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6B99DE75-CD5A-45BA-9855-5F3AC7D4F603}" xr6:coauthVersionLast="47" xr6:coauthVersionMax="47" xr10:uidLastSave="{00000000-0000-0000-0000-000000000000}"/>
  <bookViews>
    <workbookView xWindow="-98" yWindow="-98" windowWidth="19396" windowHeight="11475" tabRatio="500" firstSheet="9" activeTab="11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IPPU_Industry" sheetId="15" r:id="rId8"/>
    <sheet name="CPAT_National" sheetId="16" r:id="rId9"/>
    <sheet name="Table2_Industry" sheetId="17" r:id="rId10"/>
    <sheet name="CarveOut_Table2" sheetId="18" r:id="rId11"/>
    <sheet name="Table2_Final" sheetId="19" r:id="rId12"/>
    <sheet name="MTInputs" sheetId="3" r:id="rId13"/>
    <sheet name="Data_Energy" sheetId="4" r:id="rId14"/>
    <sheet name="Data_Prices" sheetId="5" r:id="rId15"/>
    <sheet name="Data_Macro" sheetId="6" r:id="rId16"/>
    <sheet name="Data_Elast" sheetId="7" r:id="rId17"/>
    <sheet name="Data_EF" sheetId="11" r:id="rId18"/>
    <sheet name="Check" sheetId="8" r:id="rId1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31" i="8" l="1"/>
  <c r="B61" i="19"/>
  <c r="B60" i="19"/>
  <c r="B59" i="19"/>
  <c r="B58" i="19"/>
  <c r="B57" i="19"/>
  <c r="B56" i="19"/>
  <c r="B55" i="19"/>
  <c r="B54" i="19"/>
  <c r="I48" i="19"/>
  <c r="H48" i="19"/>
  <c r="G48" i="19"/>
  <c r="F48" i="19"/>
  <c r="E48" i="19"/>
  <c r="D48" i="19"/>
  <c r="I47" i="19"/>
  <c r="H47" i="19"/>
  <c r="G47" i="19"/>
  <c r="F47" i="19"/>
  <c r="E47" i="19"/>
  <c r="D47" i="19"/>
  <c r="I14" i="19"/>
  <c r="I40" i="19" s="1"/>
  <c r="H14" i="19"/>
  <c r="H40" i="19" s="1"/>
  <c r="G14" i="19"/>
  <c r="G40" i="19" s="1"/>
  <c r="F14" i="19"/>
  <c r="F40" i="19" s="1"/>
  <c r="E14" i="19"/>
  <c r="E40" i="19" s="1"/>
  <c r="D14" i="19"/>
  <c r="D40" i="19" s="1"/>
  <c r="I13" i="19"/>
  <c r="I39" i="19" s="1"/>
  <c r="H13" i="19"/>
  <c r="H39" i="19" s="1"/>
  <c r="G13" i="19"/>
  <c r="G39" i="19" s="1"/>
  <c r="F13" i="19"/>
  <c r="F39" i="19" s="1"/>
  <c r="E13" i="19"/>
  <c r="E39" i="19" s="1"/>
  <c r="D13" i="19"/>
  <c r="D39" i="19" s="1"/>
  <c r="I12" i="19"/>
  <c r="I38" i="19" s="1"/>
  <c r="H12" i="19"/>
  <c r="H38" i="19" s="1"/>
  <c r="G12" i="19"/>
  <c r="G38" i="19" s="1"/>
  <c r="F12" i="19"/>
  <c r="F38" i="19" s="1"/>
  <c r="E12" i="19"/>
  <c r="E38" i="19" s="1"/>
  <c r="D12" i="19"/>
  <c r="D38" i="19" s="1"/>
  <c r="I11" i="19"/>
  <c r="I37" i="19" s="1"/>
  <c r="H11" i="19"/>
  <c r="H37" i="19" s="1"/>
  <c r="G11" i="19"/>
  <c r="G37" i="19" s="1"/>
  <c r="F11" i="19"/>
  <c r="F37" i="19" s="1"/>
  <c r="E11" i="19"/>
  <c r="E37" i="19" s="1"/>
  <c r="D11" i="19"/>
  <c r="D37" i="19" s="1"/>
  <c r="I10" i="19"/>
  <c r="I36" i="19" s="1"/>
  <c r="H10" i="19"/>
  <c r="H36" i="19" s="1"/>
  <c r="G10" i="19"/>
  <c r="G36" i="19" s="1"/>
  <c r="F10" i="19"/>
  <c r="F36" i="19" s="1"/>
  <c r="E10" i="19"/>
  <c r="E36" i="19" s="1"/>
  <c r="D10" i="19"/>
  <c r="D36" i="19" s="1"/>
  <c r="I9" i="19"/>
  <c r="I35" i="19" s="1"/>
  <c r="H9" i="19"/>
  <c r="H35" i="19" s="1"/>
  <c r="G9" i="19"/>
  <c r="G35" i="19" s="1"/>
  <c r="F9" i="19"/>
  <c r="F35" i="19" s="1"/>
  <c r="E9" i="19"/>
  <c r="E35" i="19" s="1"/>
  <c r="D9" i="19"/>
  <c r="D35" i="19" s="1"/>
  <c r="I8" i="19"/>
  <c r="I34" i="19" s="1"/>
  <c r="H8" i="19"/>
  <c r="H34" i="19" s="1"/>
  <c r="G8" i="19"/>
  <c r="G34" i="19" s="1"/>
  <c r="F8" i="19"/>
  <c r="F34" i="19" s="1"/>
  <c r="E8" i="19"/>
  <c r="E34" i="19" s="1"/>
  <c r="D8" i="19"/>
  <c r="D34" i="19" s="1"/>
  <c r="I7" i="19"/>
  <c r="I33" i="19" s="1"/>
  <c r="H7" i="19"/>
  <c r="H33" i="19" s="1"/>
  <c r="G7" i="19"/>
  <c r="G33" i="19" s="1"/>
  <c r="F7" i="19"/>
  <c r="F33" i="19" s="1"/>
  <c r="E7" i="19"/>
  <c r="E33" i="19" s="1"/>
  <c r="D7" i="19"/>
  <c r="D33" i="19" s="1"/>
  <c r="I6" i="19"/>
  <c r="I32" i="19" s="1"/>
  <c r="H6" i="19"/>
  <c r="H32" i="19" s="1"/>
  <c r="G6" i="19"/>
  <c r="G32" i="19" s="1"/>
  <c r="F6" i="19"/>
  <c r="F32" i="19" s="1"/>
  <c r="E6" i="19"/>
  <c r="E32" i="19" s="1"/>
  <c r="D6" i="19"/>
  <c r="D32" i="19" s="1"/>
  <c r="D1924" i="8"/>
  <c r="G694" i="2"/>
  <c r="Q694" i="2" s="1"/>
  <c r="I682" i="2"/>
  <c r="C61" i="19" s="1"/>
  <c r="G682" i="2"/>
  <c r="F682" i="2"/>
  <c r="N682" i="2" s="1"/>
  <c r="G693" i="2"/>
  <c r="N693" i="2" s="1"/>
  <c r="I681" i="2"/>
  <c r="C60" i="19" s="1"/>
  <c r="G681" i="2"/>
  <c r="F681" i="2"/>
  <c r="N681" i="2" s="1"/>
  <c r="G692" i="2"/>
  <c r="P692" i="2" s="1"/>
  <c r="I680" i="2"/>
  <c r="C59" i="19" s="1"/>
  <c r="G680" i="2"/>
  <c r="F680" i="2"/>
  <c r="N680" i="2" s="1"/>
  <c r="G691" i="2"/>
  <c r="L691" i="2" s="1"/>
  <c r="I679" i="2"/>
  <c r="C58" i="19" s="1"/>
  <c r="G679" i="2"/>
  <c r="F679" i="2"/>
  <c r="N679" i="2" s="1"/>
  <c r="G690" i="2"/>
  <c r="S690" i="2" s="1"/>
  <c r="I678" i="2"/>
  <c r="C57" i="19" s="1"/>
  <c r="G678" i="2"/>
  <c r="F678" i="2"/>
  <c r="G689" i="2"/>
  <c r="X689" i="2" s="1"/>
  <c r="I677" i="2"/>
  <c r="C56" i="19" s="1"/>
  <c r="G677" i="2"/>
  <c r="F677" i="2"/>
  <c r="N677" i="2" s="1"/>
  <c r="G688" i="2"/>
  <c r="P688" i="2" s="1"/>
  <c r="I676" i="2"/>
  <c r="C55" i="19" s="1"/>
  <c r="G676" i="2"/>
  <c r="F676" i="2"/>
  <c r="G687" i="2"/>
  <c r="P687" i="2" s="1"/>
  <c r="I675" i="2"/>
  <c r="C54" i="19" s="1"/>
  <c r="G675" i="2"/>
  <c r="F675" i="2"/>
  <c r="G295" i="2"/>
  <c r="Q295" i="2" s="1"/>
  <c r="I283" i="2"/>
  <c r="G283" i="2"/>
  <c r="F283" i="2"/>
  <c r="N283" i="2" s="1"/>
  <c r="G294" i="2"/>
  <c r="S294" i="2" s="1"/>
  <c r="I282" i="2"/>
  <c r="G282" i="2"/>
  <c r="F282" i="2"/>
  <c r="N282" i="2" s="1"/>
  <c r="G293" i="2"/>
  <c r="O293" i="2" s="1"/>
  <c r="O648" i="8" s="1"/>
  <c r="O649" i="8" s="1"/>
  <c r="I281" i="2"/>
  <c r="G281" i="2"/>
  <c r="F281" i="2"/>
  <c r="N281" i="2" s="1"/>
  <c r="G292" i="2"/>
  <c r="W292" i="2" s="1"/>
  <c r="I280" i="2"/>
  <c r="G280" i="2"/>
  <c r="F280" i="2"/>
  <c r="N280" i="2" s="1"/>
  <c r="G291" i="2"/>
  <c r="M291" i="2" s="1"/>
  <c r="I279" i="2"/>
  <c r="G279" i="2"/>
  <c r="F279" i="2"/>
  <c r="N279" i="2" s="1"/>
  <c r="G290" i="2"/>
  <c r="S290" i="2" s="1"/>
  <c r="I278" i="2"/>
  <c r="G278" i="2"/>
  <c r="F278" i="2"/>
  <c r="N278" i="2" s="1"/>
  <c r="G289" i="2"/>
  <c r="X289" i="2" s="1"/>
  <c r="I277" i="2"/>
  <c r="G277" i="2"/>
  <c r="F277" i="2"/>
  <c r="N277" i="2" s="1"/>
  <c r="G288" i="2"/>
  <c r="Q288" i="2" s="1"/>
  <c r="I276" i="2"/>
  <c r="G276" i="2"/>
  <c r="F276" i="2"/>
  <c r="N276" i="2" s="1"/>
  <c r="D26" i="18"/>
  <c r="N39" i="18" s="1"/>
  <c r="D20" i="18"/>
  <c r="D18" i="18"/>
  <c r="F1910" i="8"/>
  <c r="H54" i="17"/>
  <c r="F1894" i="8"/>
  <c r="F1893" i="8"/>
  <c r="F1892" i="8"/>
  <c r="F1891" i="8"/>
  <c r="F1890" i="8"/>
  <c r="F1889" i="8"/>
  <c r="F1888" i="8"/>
  <c r="F1887" i="8"/>
  <c r="F1886" i="8"/>
  <c r="F1885" i="8"/>
  <c r="F1884" i="8"/>
  <c r="AE1864" i="8"/>
  <c r="AD1864" i="8"/>
  <c r="AC1864" i="8"/>
  <c r="AB1864" i="8"/>
  <c r="AA1864" i="8"/>
  <c r="Z1864" i="8"/>
  <c r="Y1864" i="8"/>
  <c r="X1864" i="8"/>
  <c r="W1864" i="8"/>
  <c r="V1864" i="8"/>
  <c r="U1864" i="8"/>
  <c r="T1864" i="8"/>
  <c r="S1864" i="8"/>
  <c r="R1864" i="8"/>
  <c r="Q1864" i="8"/>
  <c r="P1864" i="8"/>
  <c r="O1864" i="8"/>
  <c r="N1864" i="8"/>
  <c r="M1864" i="8"/>
  <c r="L1864" i="8"/>
  <c r="S108" i="17"/>
  <c r="F1877" i="8" s="1"/>
  <c r="S107" i="17"/>
  <c r="F1876" i="8" s="1"/>
  <c r="S106" i="17"/>
  <c r="F1875" i="8" s="1"/>
  <c r="S105" i="17"/>
  <c r="F1874" i="8" s="1"/>
  <c r="S104" i="17"/>
  <c r="F1873" i="8" s="1"/>
  <c r="S103" i="17"/>
  <c r="F1872" i="8" s="1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H62" i="17"/>
  <c r="H61" i="17"/>
  <c r="H60" i="17"/>
  <c r="H59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E12" i="17"/>
  <c r="C12" i="17"/>
  <c r="B12" i="17"/>
  <c r="E11" i="17"/>
  <c r="C11" i="17"/>
  <c r="B11" i="17"/>
  <c r="E10" i="17"/>
  <c r="C10" i="17"/>
  <c r="B10" i="17"/>
  <c r="E9" i="17"/>
  <c r="C9" i="17"/>
  <c r="B9" i="17"/>
  <c r="E8" i="17"/>
  <c r="C8" i="17"/>
  <c r="B8" i="17"/>
  <c r="E7" i="17"/>
  <c r="C7" i="17"/>
  <c r="B7" i="17"/>
  <c r="E6" i="17"/>
  <c r="C6" i="17"/>
  <c r="B6" i="17"/>
  <c r="H93" i="15"/>
  <c r="H92" i="15"/>
  <c r="H90" i="15"/>
  <c r="H88" i="15"/>
  <c r="H87" i="15"/>
  <c r="H85" i="15"/>
  <c r="H83" i="15"/>
  <c r="H82" i="15"/>
  <c r="H80" i="15"/>
  <c r="H78" i="15"/>
  <c r="H77" i="15"/>
  <c r="H75" i="15"/>
  <c r="H69" i="15"/>
  <c r="H68" i="15"/>
  <c r="H66" i="15"/>
  <c r="H64" i="15"/>
  <c r="H63" i="15"/>
  <c r="H61" i="15"/>
  <c r="H59" i="15"/>
  <c r="H58" i="15"/>
  <c r="H56" i="15"/>
  <c r="H54" i="15"/>
  <c r="H53" i="15"/>
  <c r="H51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36" i="15" s="1"/>
  <c r="L10" i="15"/>
  <c r="L36" i="15" s="1"/>
  <c r="H10" i="15"/>
  <c r="H9" i="15"/>
  <c r="H8" i="15"/>
  <c r="H7" i="15"/>
  <c r="H6" i="1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D19" i="18" s="1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6" i="2"/>
  <c r="N678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M687" i="2"/>
  <c r="N689" i="2"/>
  <c r="O689" i="2"/>
  <c r="Q689" i="2"/>
  <c r="R689" i="2"/>
  <c r="T689" i="2"/>
  <c r="U689" i="2"/>
  <c r="W689" i="2"/>
  <c r="AB689" i="2"/>
  <c r="AC689" i="2"/>
  <c r="AE689" i="2"/>
  <c r="Q691" i="2"/>
  <c r="R691" i="2"/>
  <c r="S691" i="2"/>
  <c r="S1040" i="8" s="1"/>
  <c r="S1041" i="8" s="1"/>
  <c r="V691" i="2"/>
  <c r="W691" i="2"/>
  <c r="X691" i="2"/>
  <c r="Y691" i="2"/>
  <c r="AD691" i="2"/>
  <c r="L692" i="2"/>
  <c r="M692" i="2"/>
  <c r="U692" i="2"/>
  <c r="Y692" i="2"/>
  <c r="Z692" i="2"/>
  <c r="AA692" i="2"/>
  <c r="N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M288" i="2"/>
  <c r="S289" i="2"/>
  <c r="S632" i="8" s="1"/>
  <c r="S633" i="8" s="1"/>
  <c r="P290" i="2"/>
  <c r="AD290" i="2"/>
  <c r="L291" i="2"/>
  <c r="Q291" i="2"/>
  <c r="R291" i="2"/>
  <c r="T291" i="2"/>
  <c r="U291" i="2"/>
  <c r="W291" i="2"/>
  <c r="X291" i="2"/>
  <c r="Y291" i="2"/>
  <c r="Z291" i="2"/>
  <c r="AE291" i="2"/>
  <c r="M293" i="2"/>
  <c r="N293" i="2"/>
  <c r="S293" i="2"/>
  <c r="U293" i="2"/>
  <c r="U648" i="8" s="1"/>
  <c r="U649" i="8" s="1"/>
  <c r="V293" i="2"/>
  <c r="W293" i="2"/>
  <c r="W648" i="8" s="1"/>
  <c r="W649" i="8" s="1"/>
  <c r="Y293" i="2"/>
  <c r="Z293" i="2"/>
  <c r="AB293" i="2"/>
  <c r="N294" i="2"/>
  <c r="O294" i="2"/>
  <c r="P294" i="2"/>
  <c r="P652" i="8" s="1"/>
  <c r="P653" i="8" s="1"/>
  <c r="W294" i="2"/>
  <c r="W652" i="8" s="1"/>
  <c r="W653" i="8" s="1"/>
  <c r="X294" i="2"/>
  <c r="X652" i="8" s="1"/>
  <c r="X653" i="8" s="1"/>
  <c r="AB294" i="2"/>
  <c r="AC294" i="2"/>
  <c r="AD294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AA293" i="2" l="1"/>
  <c r="AE691" i="2"/>
  <c r="T293" i="2"/>
  <c r="V693" i="2"/>
  <c r="T691" i="2"/>
  <c r="M295" i="2"/>
  <c r="L293" i="2"/>
  <c r="L648" i="8" s="1"/>
  <c r="L649" i="8" s="1"/>
  <c r="P691" i="2"/>
  <c r="R292" i="2"/>
  <c r="R644" i="8" s="1"/>
  <c r="R645" i="8" s="1"/>
  <c r="Y288" i="2"/>
  <c r="AA690" i="2"/>
  <c r="S693" i="2"/>
  <c r="S1048" i="8" s="1"/>
  <c r="S1049" i="8" s="1"/>
  <c r="V288" i="2"/>
  <c r="V628" i="8" s="1"/>
  <c r="V629" i="8" s="1"/>
  <c r="L694" i="2"/>
  <c r="L1052" i="8" s="1"/>
  <c r="L1053" i="8" s="1"/>
  <c r="N288" i="2"/>
  <c r="N628" i="8" s="1"/>
  <c r="N629" i="8" s="1"/>
  <c r="Y693" i="2"/>
  <c r="M694" i="2"/>
  <c r="AA687" i="2"/>
  <c r="AA1024" i="8" s="1"/>
  <c r="AA1025" i="8" s="1"/>
  <c r="Z687" i="2"/>
  <c r="Y687" i="2"/>
  <c r="L687" i="2"/>
  <c r="L1024" i="8" s="1"/>
  <c r="L1025" i="8" s="1"/>
  <c r="AB694" i="2"/>
  <c r="AB1052" i="8" s="1"/>
  <c r="AB1053" i="8" s="1"/>
  <c r="U289" i="2"/>
  <c r="U632" i="8" s="1"/>
  <c r="U633" i="8" s="1"/>
  <c r="AA694" i="2"/>
  <c r="T289" i="2"/>
  <c r="Z694" i="2"/>
  <c r="Z1052" i="8" s="1"/>
  <c r="Z1053" i="8" s="1"/>
  <c r="T292" i="2"/>
  <c r="T644" i="8" s="1"/>
  <c r="T645" i="8" s="1"/>
  <c r="W289" i="2"/>
  <c r="W632" i="8" s="1"/>
  <c r="W633" i="8" s="1"/>
  <c r="AD694" i="2"/>
  <c r="P694" i="2"/>
  <c r="P1052" i="8" s="1"/>
  <c r="P1053" i="8" s="1"/>
  <c r="AC690" i="2"/>
  <c r="AC687" i="2"/>
  <c r="AC1024" i="8" s="1"/>
  <c r="AC1025" i="8" s="1"/>
  <c r="O687" i="2"/>
  <c r="S292" i="2"/>
  <c r="V289" i="2"/>
  <c r="V632" i="8" s="1"/>
  <c r="V633" i="8" s="1"/>
  <c r="AC694" i="2"/>
  <c r="AC1052" i="8" s="1"/>
  <c r="AC1053" i="8" s="1"/>
  <c r="O694" i="2"/>
  <c r="AB690" i="2"/>
  <c r="AB687" i="2"/>
  <c r="AB1024" i="8" s="1"/>
  <c r="AB1025" i="8" s="1"/>
  <c r="N687" i="2"/>
  <c r="N1024" i="8" s="1"/>
  <c r="N1025" i="8" s="1"/>
  <c r="O292" i="2"/>
  <c r="O644" i="8" s="1"/>
  <c r="O645" i="8" s="1"/>
  <c r="R289" i="2"/>
  <c r="R632" i="8" s="1"/>
  <c r="R633" i="8" s="1"/>
  <c r="Y694" i="2"/>
  <c r="X690" i="2"/>
  <c r="X1036" i="8" s="1"/>
  <c r="X1037" i="8" s="1"/>
  <c r="X687" i="2"/>
  <c r="N292" i="2"/>
  <c r="N644" i="8" s="1"/>
  <c r="N645" i="8" s="1"/>
  <c r="AE289" i="2"/>
  <c r="Q289" i="2"/>
  <c r="X694" i="2"/>
  <c r="X1052" i="8" s="1"/>
  <c r="X1053" i="8" s="1"/>
  <c r="X693" i="2"/>
  <c r="X1048" i="8" s="1"/>
  <c r="X1049" i="8" s="1"/>
  <c r="W690" i="2"/>
  <c r="W1036" i="8" s="1"/>
  <c r="W1037" i="8" s="1"/>
  <c r="W687" i="2"/>
  <c r="W1024" i="8" s="1"/>
  <c r="W1025" i="8" s="1"/>
  <c r="Y690" i="2"/>
  <c r="Y1036" i="8" s="1"/>
  <c r="Y1037" i="8" s="1"/>
  <c r="AE292" i="2"/>
  <c r="AE644" i="8" s="1"/>
  <c r="AE645" i="8" s="1"/>
  <c r="AD289" i="2"/>
  <c r="AD632" i="8" s="1"/>
  <c r="AD633" i="8" s="1"/>
  <c r="R690" i="2"/>
  <c r="R1036" i="8" s="1"/>
  <c r="R1037" i="8" s="1"/>
  <c r="U694" i="2"/>
  <c r="AA295" i="2"/>
  <c r="AB292" i="2"/>
  <c r="AA289" i="2"/>
  <c r="AA632" i="8" s="1"/>
  <c r="AA633" i="8" s="1"/>
  <c r="M289" i="2"/>
  <c r="T694" i="2"/>
  <c r="O690" i="2"/>
  <c r="O1036" i="8" s="1"/>
  <c r="O1037" i="8" s="1"/>
  <c r="AA688" i="2"/>
  <c r="S687" i="2"/>
  <c r="S1024" i="8" s="1"/>
  <c r="S1025" i="8" s="1"/>
  <c r="P292" i="2"/>
  <c r="P289" i="2"/>
  <c r="P632" i="8" s="1"/>
  <c r="P633" i="8" s="1"/>
  <c r="W694" i="2"/>
  <c r="W1052" i="8" s="1"/>
  <c r="W1053" i="8" s="1"/>
  <c r="Y295" i="2"/>
  <c r="Y656" i="8" s="1"/>
  <c r="Y657" i="8" s="1"/>
  <c r="AA292" i="2"/>
  <c r="AA644" i="8" s="1"/>
  <c r="AA645" i="8" s="1"/>
  <c r="Z289" i="2"/>
  <c r="L289" i="2"/>
  <c r="L632" i="8" s="1"/>
  <c r="L633" i="8" s="1"/>
  <c r="S694" i="2"/>
  <c r="N690" i="2"/>
  <c r="M688" i="2"/>
  <c r="M1028" i="8" s="1"/>
  <c r="M1029" i="8" s="1"/>
  <c r="R687" i="2"/>
  <c r="Q292" i="2"/>
  <c r="Q644" i="8" s="1"/>
  <c r="Q645" i="8" s="1"/>
  <c r="Z690" i="2"/>
  <c r="Z1036" i="8" s="1"/>
  <c r="Z1037" i="8" s="1"/>
  <c r="V687" i="2"/>
  <c r="V1024" i="8" s="1"/>
  <c r="V1025" i="8" s="1"/>
  <c r="AD292" i="2"/>
  <c r="AD644" i="8" s="1"/>
  <c r="AD645" i="8" s="1"/>
  <c r="O289" i="2"/>
  <c r="O632" i="8" s="1"/>
  <c r="O633" i="8" s="1"/>
  <c r="V694" i="2"/>
  <c r="V1052" i="8" s="1"/>
  <c r="V1053" i="8" s="1"/>
  <c r="Q690" i="2"/>
  <c r="Q1036" i="8" s="1"/>
  <c r="Q1037" i="8" s="1"/>
  <c r="U687" i="2"/>
  <c r="U1024" i="8" s="1"/>
  <c r="U1025" i="8" s="1"/>
  <c r="AB295" i="2"/>
  <c r="AC292" i="2"/>
  <c r="AC644" i="8" s="1"/>
  <c r="AC645" i="8" s="1"/>
  <c r="AB289" i="2"/>
  <c r="N289" i="2"/>
  <c r="N632" i="8" s="1"/>
  <c r="N633" i="8" s="1"/>
  <c r="P690" i="2"/>
  <c r="T687" i="2"/>
  <c r="V295" i="2"/>
  <c r="V656" i="8" s="1"/>
  <c r="V657" i="8" s="1"/>
  <c r="V292" i="2"/>
  <c r="V644" i="8" s="1"/>
  <c r="V645" i="8" s="1"/>
  <c r="Y289" i="2"/>
  <c r="AB288" i="2"/>
  <c r="AB628" i="8" s="1"/>
  <c r="AB629" i="8" s="1"/>
  <c r="R694" i="2"/>
  <c r="R1052" i="8" s="1"/>
  <c r="R1053" i="8" s="1"/>
  <c r="AE690" i="2"/>
  <c r="AE1036" i="8" s="1"/>
  <c r="AE1037" i="8" s="1"/>
  <c r="M690" i="2"/>
  <c r="M1036" i="8" s="1"/>
  <c r="M1037" i="8" s="1"/>
  <c r="AE687" i="2"/>
  <c r="AE1024" i="8" s="1"/>
  <c r="AE1025" i="8" s="1"/>
  <c r="Q687" i="2"/>
  <c r="M292" i="2"/>
  <c r="M644" i="8" s="1"/>
  <c r="M645" i="8" s="1"/>
  <c r="AC289" i="2"/>
  <c r="N295" i="2"/>
  <c r="N656" i="8" s="1"/>
  <c r="N657" i="8" s="1"/>
  <c r="U292" i="2"/>
  <c r="AA288" i="2"/>
  <c r="AE694" i="2"/>
  <c r="AE1052" i="8" s="1"/>
  <c r="AE1053" i="8" s="1"/>
  <c r="AD690" i="2"/>
  <c r="AD1036" i="8" s="1"/>
  <c r="AD1037" i="8" s="1"/>
  <c r="L690" i="2"/>
  <c r="L1036" i="8" s="1"/>
  <c r="L1037" i="8" s="1"/>
  <c r="AD687" i="2"/>
  <c r="AD1024" i="8" s="1"/>
  <c r="AD1025" i="8" s="1"/>
  <c r="R294" i="2"/>
  <c r="R652" i="8" s="1"/>
  <c r="R653" i="8" s="1"/>
  <c r="AC692" i="2"/>
  <c r="AC1044" i="8" s="1"/>
  <c r="AC1045" i="8" s="1"/>
  <c r="O692" i="2"/>
  <c r="O1044" i="8" s="1"/>
  <c r="O1045" i="8" s="1"/>
  <c r="AE294" i="2"/>
  <c r="AE652" i="8" s="1"/>
  <c r="AE653" i="8" s="1"/>
  <c r="Q294" i="2"/>
  <c r="Q652" i="8" s="1"/>
  <c r="Q653" i="8" s="1"/>
  <c r="AB692" i="2"/>
  <c r="AB1044" i="8" s="1"/>
  <c r="AB1045" i="8" s="1"/>
  <c r="N692" i="2"/>
  <c r="AA294" i="2"/>
  <c r="AA652" i="8" s="1"/>
  <c r="AA653" i="8" s="1"/>
  <c r="M294" i="2"/>
  <c r="M652" i="8" s="1"/>
  <c r="M653" i="8" s="1"/>
  <c r="X692" i="2"/>
  <c r="Z294" i="2"/>
  <c r="Z652" i="8" s="1"/>
  <c r="Z653" i="8" s="1"/>
  <c r="L294" i="2"/>
  <c r="L652" i="8" s="1"/>
  <c r="L653" i="8" s="1"/>
  <c r="W692" i="2"/>
  <c r="W1044" i="8" s="1"/>
  <c r="W1045" i="8" s="1"/>
  <c r="Y294" i="2"/>
  <c r="Y652" i="8" s="1"/>
  <c r="Y653" i="8" s="1"/>
  <c r="N32" i="13"/>
  <c r="V692" i="2"/>
  <c r="V1044" i="8" s="1"/>
  <c r="V1045" i="8" s="1"/>
  <c r="T692" i="2"/>
  <c r="T1044" i="8" s="1"/>
  <c r="T1045" i="8" s="1"/>
  <c r="V294" i="2"/>
  <c r="V652" i="8" s="1"/>
  <c r="V653" i="8" s="1"/>
  <c r="Z292" i="2"/>
  <c r="L292" i="2"/>
  <c r="L644" i="8" s="1"/>
  <c r="L645" i="8" s="1"/>
  <c r="S692" i="2"/>
  <c r="V690" i="2"/>
  <c r="U294" i="2"/>
  <c r="U652" i="8" s="1"/>
  <c r="U653" i="8" s="1"/>
  <c r="Y292" i="2"/>
  <c r="R692" i="2"/>
  <c r="R1044" i="8" s="1"/>
  <c r="R1045" i="8" s="1"/>
  <c r="U690" i="2"/>
  <c r="U1036" i="8" s="1"/>
  <c r="U1037" i="8" s="1"/>
  <c r="T294" i="2"/>
  <c r="T652" i="8" s="1"/>
  <c r="T653" i="8" s="1"/>
  <c r="X292" i="2"/>
  <c r="X644" i="8" s="1"/>
  <c r="X645" i="8" s="1"/>
  <c r="AE692" i="2"/>
  <c r="AE1044" i="8" s="1"/>
  <c r="AE1045" i="8" s="1"/>
  <c r="Q692" i="2"/>
  <c r="Q1044" i="8" s="1"/>
  <c r="Q1045" i="8" s="1"/>
  <c r="T690" i="2"/>
  <c r="T1036" i="8" s="1"/>
  <c r="T1037" i="8" s="1"/>
  <c r="AD692" i="2"/>
  <c r="AD1044" i="8" s="1"/>
  <c r="AD1045" i="8" s="1"/>
  <c r="D42" i="19"/>
  <c r="D1928" i="8" s="1"/>
  <c r="AD295" i="2"/>
  <c r="P295" i="2"/>
  <c r="P656" i="8" s="1"/>
  <c r="P657" i="8" s="1"/>
  <c r="R290" i="2"/>
  <c r="R636" i="8" s="1"/>
  <c r="R637" i="8" s="1"/>
  <c r="AD288" i="2"/>
  <c r="AD628" i="8" s="1"/>
  <c r="AD629" i="8" s="1"/>
  <c r="P288" i="2"/>
  <c r="P628" i="8" s="1"/>
  <c r="P629" i="8" s="1"/>
  <c r="AA693" i="2"/>
  <c r="AA1048" i="8" s="1"/>
  <c r="AA1049" i="8" s="1"/>
  <c r="M693" i="2"/>
  <c r="M1048" i="8" s="1"/>
  <c r="M1049" i="8" s="1"/>
  <c r="AC688" i="2"/>
  <c r="AC1028" i="8" s="1"/>
  <c r="AC1029" i="8" s="1"/>
  <c r="O688" i="2"/>
  <c r="O1028" i="8" s="1"/>
  <c r="O1029" i="8" s="1"/>
  <c r="AC295" i="2"/>
  <c r="AC656" i="8" s="1"/>
  <c r="AC657" i="8" s="1"/>
  <c r="O295" i="2"/>
  <c r="O656" i="8" s="1"/>
  <c r="O657" i="8" s="1"/>
  <c r="AE290" i="2"/>
  <c r="AE636" i="8" s="1"/>
  <c r="AE637" i="8" s="1"/>
  <c r="Q290" i="2"/>
  <c r="Q636" i="8" s="1"/>
  <c r="Q637" i="8" s="1"/>
  <c r="AC288" i="2"/>
  <c r="AC628" i="8" s="1"/>
  <c r="AC629" i="8" s="1"/>
  <c r="O288" i="2"/>
  <c r="O628" i="8" s="1"/>
  <c r="O629" i="8" s="1"/>
  <c r="Z693" i="2"/>
  <c r="Z1048" i="8" s="1"/>
  <c r="Z1049" i="8" s="1"/>
  <c r="L693" i="2"/>
  <c r="L1048" i="8" s="1"/>
  <c r="L1049" i="8" s="1"/>
  <c r="V689" i="2"/>
  <c r="V1032" i="8" s="1"/>
  <c r="V1033" i="8" s="1"/>
  <c r="AB688" i="2"/>
  <c r="AB1028" i="8" s="1"/>
  <c r="AB1029" i="8" s="1"/>
  <c r="N688" i="2"/>
  <c r="N1028" i="8" s="1"/>
  <c r="N1029" i="8" s="1"/>
  <c r="AC290" i="2"/>
  <c r="AC636" i="8" s="1"/>
  <c r="AC637" i="8" s="1"/>
  <c r="Z295" i="2"/>
  <c r="Z656" i="8" s="1"/>
  <c r="Z657" i="8" s="1"/>
  <c r="L295" i="2"/>
  <c r="L656" i="8" s="1"/>
  <c r="L657" i="8" s="1"/>
  <c r="X293" i="2"/>
  <c r="X648" i="8" s="1"/>
  <c r="X649" i="8" s="1"/>
  <c r="V291" i="2"/>
  <c r="V640" i="8" s="1"/>
  <c r="V641" i="8" s="1"/>
  <c r="AB290" i="2"/>
  <c r="AB636" i="8" s="1"/>
  <c r="AB637" i="8" s="1"/>
  <c r="N290" i="2"/>
  <c r="N636" i="8" s="1"/>
  <c r="N637" i="8" s="1"/>
  <c r="Z288" i="2"/>
  <c r="Z628" i="8" s="1"/>
  <c r="Z629" i="8" s="1"/>
  <c r="L288" i="2"/>
  <c r="L628" i="8" s="1"/>
  <c r="L629" i="8" s="1"/>
  <c r="W693" i="2"/>
  <c r="W1048" i="8" s="1"/>
  <c r="W1049" i="8" s="1"/>
  <c r="U691" i="2"/>
  <c r="U1040" i="8" s="1"/>
  <c r="U1041" i="8" s="1"/>
  <c r="S689" i="2"/>
  <c r="Y688" i="2"/>
  <c r="Y1028" i="8" s="1"/>
  <c r="Y1029" i="8" s="1"/>
  <c r="AA290" i="2"/>
  <c r="AA636" i="8" s="1"/>
  <c r="AA637" i="8" s="1"/>
  <c r="X688" i="2"/>
  <c r="X1028" i="8" s="1"/>
  <c r="X1029" i="8" s="1"/>
  <c r="L688" i="2"/>
  <c r="L1028" i="8" s="1"/>
  <c r="L1029" i="8" s="1"/>
  <c r="X288" i="2"/>
  <c r="X628" i="8" s="1"/>
  <c r="X629" i="8" s="1"/>
  <c r="U693" i="2"/>
  <c r="U1048" i="8" s="1"/>
  <c r="U1049" i="8" s="1"/>
  <c r="O290" i="2"/>
  <c r="O636" i="8" s="1"/>
  <c r="O637" i="8" s="1"/>
  <c r="Z688" i="2"/>
  <c r="Z1028" i="8" s="1"/>
  <c r="Z1029" i="8" s="1"/>
  <c r="M290" i="2"/>
  <c r="M636" i="8" s="1"/>
  <c r="M637" i="8" s="1"/>
  <c r="X295" i="2"/>
  <c r="X656" i="8" s="1"/>
  <c r="X657" i="8" s="1"/>
  <c r="Z290" i="2"/>
  <c r="L290" i="2"/>
  <c r="W688" i="2"/>
  <c r="W295" i="2"/>
  <c r="W656" i="8" s="1"/>
  <c r="W657" i="8" s="1"/>
  <c r="S291" i="2"/>
  <c r="S640" i="8" s="1"/>
  <c r="S641" i="8" s="1"/>
  <c r="Y290" i="2"/>
  <c r="Y636" i="8" s="1"/>
  <c r="Y637" i="8" s="1"/>
  <c r="W288" i="2"/>
  <c r="W628" i="8" s="1"/>
  <c r="W629" i="8" s="1"/>
  <c r="T693" i="2"/>
  <c r="T1048" i="8" s="1"/>
  <c r="T1049" i="8" s="1"/>
  <c r="AD689" i="2"/>
  <c r="AD1032" i="8" s="1"/>
  <c r="AD1033" i="8" s="1"/>
  <c r="P689" i="2"/>
  <c r="P1032" i="8" s="1"/>
  <c r="P1033" i="8" s="1"/>
  <c r="V688" i="2"/>
  <c r="V1028" i="8" s="1"/>
  <c r="V1029" i="8" s="1"/>
  <c r="X290" i="2"/>
  <c r="X636" i="8" s="1"/>
  <c r="X637" i="8" s="1"/>
  <c r="T295" i="2"/>
  <c r="T656" i="8" s="1"/>
  <c r="T657" i="8" s="1"/>
  <c r="R293" i="2"/>
  <c r="R648" i="8" s="1"/>
  <c r="R649" i="8" s="1"/>
  <c r="AD291" i="2"/>
  <c r="AD640" i="8" s="1"/>
  <c r="AD641" i="8" s="1"/>
  <c r="P291" i="2"/>
  <c r="P640" i="8" s="1"/>
  <c r="P641" i="8" s="1"/>
  <c r="V290" i="2"/>
  <c r="V636" i="8" s="1"/>
  <c r="V637" i="8" s="1"/>
  <c r="T288" i="2"/>
  <c r="T628" i="8" s="1"/>
  <c r="T629" i="8" s="1"/>
  <c r="AE693" i="2"/>
  <c r="Q693" i="2"/>
  <c r="Q1048" i="8" s="1"/>
  <c r="Q1049" i="8" s="1"/>
  <c r="AC691" i="2"/>
  <c r="AC1040" i="8" s="1"/>
  <c r="AC1041" i="8" s="1"/>
  <c r="O691" i="2"/>
  <c r="O1040" i="8" s="1"/>
  <c r="O1041" i="8" s="1"/>
  <c r="AA689" i="2"/>
  <c r="AA1032" i="8" s="1"/>
  <c r="AA1033" i="8" s="1"/>
  <c r="M689" i="2"/>
  <c r="M1032" i="8" s="1"/>
  <c r="M1033" i="8" s="1"/>
  <c r="S688" i="2"/>
  <c r="S1028" i="8" s="1"/>
  <c r="S1029" i="8" s="1"/>
  <c r="S295" i="2"/>
  <c r="S656" i="8" s="1"/>
  <c r="S657" i="8" s="1"/>
  <c r="AE293" i="2"/>
  <c r="AE648" i="8" s="1"/>
  <c r="AE649" i="8" s="1"/>
  <c r="Q293" i="2"/>
  <c r="Q648" i="8" s="1"/>
  <c r="Q649" i="8" s="1"/>
  <c r="AC291" i="2"/>
  <c r="AC640" i="8" s="1"/>
  <c r="AC641" i="8" s="1"/>
  <c r="O291" i="2"/>
  <c r="O640" i="8" s="1"/>
  <c r="O641" i="8" s="1"/>
  <c r="U290" i="2"/>
  <c r="U636" i="8" s="1"/>
  <c r="U637" i="8" s="1"/>
  <c r="S288" i="2"/>
  <c r="S628" i="8" s="1"/>
  <c r="S629" i="8" s="1"/>
  <c r="AD693" i="2"/>
  <c r="AD1048" i="8" s="1"/>
  <c r="AD1049" i="8" s="1"/>
  <c r="P693" i="2"/>
  <c r="P1048" i="8" s="1"/>
  <c r="P1049" i="8" s="1"/>
  <c r="AB691" i="2"/>
  <c r="AB1040" i="8" s="1"/>
  <c r="AB1041" i="8" s="1"/>
  <c r="N691" i="2"/>
  <c r="N1040" i="8" s="1"/>
  <c r="N1041" i="8" s="1"/>
  <c r="Z689" i="2"/>
  <c r="Z1032" i="8" s="1"/>
  <c r="Z1033" i="8" s="1"/>
  <c r="L689" i="2"/>
  <c r="L1032" i="8" s="1"/>
  <c r="L1033" i="8" s="1"/>
  <c r="R688" i="2"/>
  <c r="R1028" i="8" s="1"/>
  <c r="R1029" i="8" s="1"/>
  <c r="U688" i="2"/>
  <c r="U1028" i="8" s="1"/>
  <c r="U1029" i="8" s="1"/>
  <c r="U288" i="2"/>
  <c r="U628" i="8" s="1"/>
  <c r="U629" i="8" s="1"/>
  <c r="R295" i="2"/>
  <c r="R656" i="8" s="1"/>
  <c r="R657" i="8" s="1"/>
  <c r="AD293" i="2"/>
  <c r="AD648" i="8" s="1"/>
  <c r="AD649" i="8" s="1"/>
  <c r="P293" i="2"/>
  <c r="P648" i="8" s="1"/>
  <c r="P649" i="8" s="1"/>
  <c r="AB291" i="2"/>
  <c r="AB640" i="8" s="1"/>
  <c r="AB641" i="8" s="1"/>
  <c r="N291" i="2"/>
  <c r="N640" i="8" s="1"/>
  <c r="N641" i="8" s="1"/>
  <c r="T290" i="2"/>
  <c r="R288" i="2"/>
  <c r="R628" i="8" s="1"/>
  <c r="R629" i="8" s="1"/>
  <c r="AC693" i="2"/>
  <c r="AC1048" i="8" s="1"/>
  <c r="AC1049" i="8" s="1"/>
  <c r="O693" i="2"/>
  <c r="O1048" i="8" s="1"/>
  <c r="O1049" i="8" s="1"/>
  <c r="AA691" i="2"/>
  <c r="AA1040" i="8" s="1"/>
  <c r="AA1041" i="8" s="1"/>
  <c r="M691" i="2"/>
  <c r="M1040" i="8" s="1"/>
  <c r="M1041" i="8" s="1"/>
  <c r="Y689" i="2"/>
  <c r="Y1032" i="8" s="1"/>
  <c r="Y1033" i="8" s="1"/>
  <c r="AE688" i="2"/>
  <c r="AE1028" i="8" s="1"/>
  <c r="AE1029" i="8" s="1"/>
  <c r="Q688" i="2"/>
  <c r="Q1028" i="8" s="1"/>
  <c r="Q1029" i="8" s="1"/>
  <c r="U295" i="2"/>
  <c r="U656" i="8" s="1"/>
  <c r="U657" i="8" s="1"/>
  <c r="W290" i="2"/>
  <c r="W636" i="8" s="1"/>
  <c r="W637" i="8" s="1"/>
  <c r="R693" i="2"/>
  <c r="T688" i="2"/>
  <c r="T1028" i="8" s="1"/>
  <c r="T1029" i="8" s="1"/>
  <c r="AE295" i="2"/>
  <c r="AE656" i="8" s="1"/>
  <c r="AE657" i="8" s="1"/>
  <c r="AC293" i="2"/>
  <c r="AC648" i="8" s="1"/>
  <c r="AC649" i="8" s="1"/>
  <c r="AA291" i="2"/>
  <c r="AA640" i="8" s="1"/>
  <c r="AA641" i="8" s="1"/>
  <c r="AE288" i="2"/>
  <c r="AE628" i="8" s="1"/>
  <c r="AE629" i="8" s="1"/>
  <c r="AB693" i="2"/>
  <c r="AB1048" i="8" s="1"/>
  <c r="AB1049" i="8" s="1"/>
  <c r="Z691" i="2"/>
  <c r="Z1040" i="8" s="1"/>
  <c r="Z1041" i="8" s="1"/>
  <c r="AD688" i="2"/>
  <c r="AD1028" i="8" s="1"/>
  <c r="AD1029" i="8" s="1"/>
  <c r="N37" i="18"/>
  <c r="F1895" i="8"/>
  <c r="F1899" i="8"/>
  <c r="F1900" i="8"/>
  <c r="F1864" i="8"/>
  <c r="D14" i="17"/>
  <c r="L19" i="15"/>
  <c r="L1834" i="8" s="1"/>
  <c r="M19" i="15"/>
  <c r="M1834" i="8" s="1"/>
  <c r="AB497" i="2"/>
  <c r="M617" i="2"/>
  <c r="Z557" i="2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W37" i="13" s="1"/>
  <c r="AD33" i="13"/>
  <c r="AD656" i="8"/>
  <c r="AD657" i="8" s="1"/>
  <c r="S1044" i="8"/>
  <c r="S1045" i="8" s="1"/>
  <c r="W1032" i="8"/>
  <c r="W1033" i="8" s="1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AA648" i="8"/>
  <c r="AA649" i="8" s="1"/>
  <c r="M648" i="8"/>
  <c r="M649" i="8" s="1"/>
  <c r="S644" i="8"/>
  <c r="S645" i="8" s="1"/>
  <c r="Y640" i="8"/>
  <c r="Y641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T1052" i="8"/>
  <c r="T1053" i="8" s="1"/>
  <c r="X1040" i="8"/>
  <c r="X1041" i="8" s="1"/>
  <c r="P1036" i="8"/>
  <c r="P1037" i="8" s="1"/>
  <c r="T1024" i="8"/>
  <c r="T1025" i="8" s="1"/>
  <c r="V35" i="13"/>
  <c r="AB10" i="13"/>
  <c r="AB30" i="13" s="1"/>
  <c r="AE12" i="13"/>
  <c r="AE32" i="13" s="1"/>
  <c r="P13" i="13"/>
  <c r="P33" i="13" s="1"/>
  <c r="AB648" i="8"/>
  <c r="AB649" i="8" s="1"/>
  <c r="N648" i="8"/>
  <c r="N649" i="8" s="1"/>
  <c r="Z640" i="8"/>
  <c r="Z641" i="8" s="1"/>
  <c r="L640" i="8"/>
  <c r="L641" i="8" s="1"/>
  <c r="X632" i="8"/>
  <c r="X633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U1052" i="8"/>
  <c r="U1053" i="8" s="1"/>
  <c r="Y1040" i="8"/>
  <c r="Y1041" i="8" s="1"/>
  <c r="X15" i="13"/>
  <c r="X35" i="13" s="1"/>
  <c r="AB656" i="8"/>
  <c r="AB657" i="8" s="1"/>
  <c r="Z648" i="8"/>
  <c r="Z649" i="8" s="1"/>
  <c r="X640" i="8"/>
  <c r="X641" i="8" s="1"/>
  <c r="AD636" i="8"/>
  <c r="AD637" i="8" s="1"/>
  <c r="P636" i="8"/>
  <c r="P637" i="8" s="1"/>
  <c r="S1052" i="8"/>
  <c r="S1053" i="8" s="1"/>
  <c r="Y1048" i="8"/>
  <c r="Y1049" i="8" s="1"/>
  <c r="W1040" i="8"/>
  <c r="W1041" i="8" s="1"/>
  <c r="AC1036" i="8"/>
  <c r="AC1037" i="8" s="1"/>
  <c r="U1032" i="8"/>
  <c r="U1033" i="8" s="1"/>
  <c r="AA1028" i="8"/>
  <c r="AA1029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U640" i="8"/>
  <c r="U641" i="8" s="1"/>
  <c r="Y628" i="8"/>
  <c r="Y629" i="8" s="1"/>
  <c r="AD1052" i="8"/>
  <c r="AD1053" i="8" s="1"/>
  <c r="V1048" i="8"/>
  <c r="V1049" i="8" s="1"/>
  <c r="N1044" i="8"/>
  <c r="N1045" i="8" s="1"/>
  <c r="T1040" i="8"/>
  <c r="T1041" i="8" s="1"/>
  <c r="R1032" i="8"/>
  <c r="R1033" i="8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O1052" i="8"/>
  <c r="O1053" i="8" s="1"/>
  <c r="Q1032" i="8"/>
  <c r="Q1033" i="8" s="1"/>
  <c r="AC652" i="8"/>
  <c r="AC653" i="8" s="1"/>
  <c r="O652" i="8"/>
  <c r="O653" i="8" s="1"/>
  <c r="AE632" i="8"/>
  <c r="AE633" i="8" s="1"/>
  <c r="Q632" i="8"/>
  <c r="Q633" i="8" s="1"/>
  <c r="N1052" i="8"/>
  <c r="N1053" i="8" s="1"/>
  <c r="Z1044" i="8"/>
  <c r="Z1045" i="8" s="1"/>
  <c r="L1044" i="8"/>
  <c r="L1045" i="8" s="1"/>
  <c r="R1040" i="8"/>
  <c r="R1041" i="8" s="1"/>
  <c r="P36" i="13"/>
  <c r="O12" i="13"/>
  <c r="O32" i="13" s="1"/>
  <c r="AA656" i="8"/>
  <c r="AA657" i="8" s="1"/>
  <c r="Y648" i="8"/>
  <c r="Y649" i="8" s="1"/>
  <c r="AA628" i="8"/>
  <c r="AA629" i="8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V1040" i="8"/>
  <c r="V1041" i="8" s="1"/>
  <c r="AB1036" i="8"/>
  <c r="AB1037" i="8" s="1"/>
  <c r="T1032" i="8"/>
  <c r="T1033" i="8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Q1024" i="8"/>
  <c r="Q1025" i="8" s="1"/>
  <c r="AB652" i="8"/>
  <c r="AB653" i="8" s="1"/>
  <c r="N652" i="8"/>
  <c r="N653" i="8" s="1"/>
  <c r="T648" i="8"/>
  <c r="T649" i="8" s="1"/>
  <c r="Z644" i="8"/>
  <c r="Z645" i="8" s="1"/>
  <c r="R640" i="8"/>
  <c r="R641" i="8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AA1052" i="8"/>
  <c r="AA1053" i="8" s="1"/>
  <c r="M1052" i="8"/>
  <c r="M1053" i="8" s="1"/>
  <c r="Y1044" i="8"/>
  <c r="Y1045" i="8" s="1"/>
  <c r="AE1040" i="8"/>
  <c r="AE1041" i="8" s="1"/>
  <c r="Q1040" i="8"/>
  <c r="Q1041" i="8" s="1"/>
  <c r="AC1032" i="8"/>
  <c r="AC1033" i="8" s="1"/>
  <c r="O1032" i="8"/>
  <c r="O1033" i="8" s="1"/>
  <c r="M1024" i="8"/>
  <c r="M1025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N1036" i="8"/>
  <c r="N1037" i="8" s="1"/>
  <c r="Q1052" i="8"/>
  <c r="Q1053" i="8" s="1"/>
  <c r="W14" i="13"/>
  <c r="W34" i="13" s="1"/>
  <c r="S648" i="8"/>
  <c r="S649" i="8" s="1"/>
  <c r="Y644" i="8"/>
  <c r="Y645" i="8" s="1"/>
  <c r="AE640" i="8"/>
  <c r="AE641" i="8" s="1"/>
  <c r="Q640" i="8"/>
  <c r="Q641" i="8" s="1"/>
  <c r="AC632" i="8"/>
  <c r="AC633" i="8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Z1024" i="8"/>
  <c r="Z1025" i="8" s="1"/>
  <c r="O14" i="13"/>
  <c r="O34" i="13" s="1"/>
  <c r="M656" i="8"/>
  <c r="M657" i="8" s="1"/>
  <c r="R1024" i="8"/>
  <c r="R1025" i="8" s="1"/>
  <c r="T632" i="8"/>
  <c r="T633" i="8" s="1"/>
  <c r="S1032" i="8"/>
  <c r="S1033" i="8" s="1"/>
  <c r="AB632" i="8"/>
  <c r="AB633" i="8" s="1"/>
  <c r="Y1052" i="8"/>
  <c r="Y1053" i="8" s="1"/>
  <c r="AE1048" i="8"/>
  <c r="AE1049" i="8" s="1"/>
  <c r="Y1024" i="8"/>
  <c r="Y1025" i="8" s="1"/>
  <c r="X11" i="13"/>
  <c r="X31" i="13" s="1"/>
  <c r="N14" i="13"/>
  <c r="N34" i="13" s="1"/>
  <c r="P156" i="13"/>
  <c r="P1044" i="8"/>
  <c r="P1045" i="8" s="1"/>
  <c r="P644" i="8"/>
  <c r="P645" i="8" s="1"/>
  <c r="AA1036" i="8"/>
  <c r="AA1037" i="8" s="1"/>
  <c r="AC14" i="13"/>
  <c r="AC34" i="13" s="1"/>
  <c r="V648" i="8"/>
  <c r="V649" i="8" s="1"/>
  <c r="T640" i="8"/>
  <c r="T641" i="8" s="1"/>
  <c r="L636" i="8"/>
  <c r="L637" i="8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AA1044" i="8"/>
  <c r="AA1045" i="8" s="1"/>
  <c r="W1028" i="8"/>
  <c r="W1029" i="8" s="1"/>
  <c r="O1024" i="8"/>
  <c r="O1025" i="8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W644" i="8"/>
  <c r="W645" i="8" s="1"/>
  <c r="M632" i="8"/>
  <c r="M633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X1024" i="8"/>
  <c r="X1025" i="8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W640" i="8"/>
  <c r="W641" i="8" s="1"/>
  <c r="T636" i="8"/>
  <c r="T637" i="8" s="1"/>
  <c r="Z632" i="8"/>
  <c r="Z633" i="8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U1044" i="8"/>
  <c r="U1045" i="8" s="1"/>
  <c r="S1036" i="8"/>
  <c r="S1037" i="8" s="1"/>
  <c r="U11" i="13"/>
  <c r="U31" i="13" s="1"/>
  <c r="X13" i="13"/>
  <c r="X33" i="13" s="1"/>
  <c r="AD15" i="13"/>
  <c r="AD35" i="13" s="1"/>
  <c r="M16" i="13"/>
  <c r="M36" i="13" s="1"/>
  <c r="M628" i="8"/>
  <c r="M629" i="8" s="1"/>
  <c r="AD652" i="8"/>
  <c r="AD653" i="8" s="1"/>
  <c r="AB644" i="8"/>
  <c r="AB645" i="8" s="1"/>
  <c r="Z636" i="8"/>
  <c r="Z637" i="8" s="1"/>
  <c r="M1044" i="8"/>
  <c r="M1045" i="8" s="1"/>
  <c r="AE1032" i="8"/>
  <c r="AE1033" i="8" s="1"/>
  <c r="Q656" i="8"/>
  <c r="Q657" i="8" s="1"/>
  <c r="U644" i="8"/>
  <c r="U645" i="8" s="1"/>
  <c r="M640" i="8"/>
  <c r="M641" i="8" s="1"/>
  <c r="S636" i="8"/>
  <c r="S637" i="8" s="1"/>
  <c r="Y632" i="8"/>
  <c r="Y633" i="8" s="1"/>
  <c r="Q628" i="8"/>
  <c r="Q629" i="8" s="1"/>
  <c r="N1048" i="8"/>
  <c r="N1049" i="8" s="1"/>
  <c r="L1040" i="8"/>
  <c r="L1041" i="8" s="1"/>
  <c r="X1032" i="8"/>
  <c r="X1033" i="8" s="1"/>
  <c r="P1028" i="8"/>
  <c r="P1029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E54" i="19" s="1"/>
  <c r="V58" i="9"/>
  <c r="G368" i="2" s="1"/>
  <c r="F733" i="2"/>
  <c r="N60" i="9"/>
  <c r="V60" i="9"/>
  <c r="P56" i="9"/>
  <c r="T55" i="9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H367" i="2"/>
  <c r="N95" i="14" s="1"/>
  <c r="G332" i="2"/>
  <c r="N343" i="2" s="1"/>
  <c r="V55" i="9"/>
  <c r="G764" i="2" s="1"/>
  <c r="V59" i="9"/>
  <c r="F1902" i="8" s="1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G736" i="2"/>
  <c r="F61" i="19" s="1"/>
  <c r="G731" i="2"/>
  <c r="F56" i="19" s="1"/>
  <c r="G735" i="2"/>
  <c r="E304" i="2"/>
  <c r="V351" i="2"/>
  <c r="G730" i="2"/>
  <c r="F55" i="19" s="1"/>
  <c r="G729" i="2"/>
  <c r="G333" i="2"/>
  <c r="N344" i="2" s="1"/>
  <c r="N804" i="8" s="1"/>
  <c r="N805" i="8" s="1"/>
  <c r="R129" i="2"/>
  <c r="G337" i="2"/>
  <c r="L308" i="2"/>
  <c r="G336" i="2"/>
  <c r="G331" i="2"/>
  <c r="G734" i="2"/>
  <c r="R308" i="2"/>
  <c r="T587" i="2"/>
  <c r="S308" i="2"/>
  <c r="S14" i="14" s="1"/>
  <c r="G335" i="2"/>
  <c r="J335" i="2" s="1"/>
  <c r="T308" i="2"/>
  <c r="M530" i="2"/>
  <c r="G330" i="2"/>
  <c r="N341" i="2" s="1"/>
  <c r="G733" i="2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E61" i="19" s="1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D16" i="17" s="1"/>
  <c r="D8" i="18" s="1"/>
  <c r="K27" i="10"/>
  <c r="D18" i="17" s="1"/>
  <c r="J27" i="10"/>
  <c r="I27" i="10"/>
  <c r="H27" i="10"/>
  <c r="G27" i="10"/>
  <c r="D17" i="17" s="1"/>
  <c r="D9" i="18" s="1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E60" i="19" s="1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E59" i="19" s="1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E57" i="19" s="1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I61" i="19" l="1"/>
  <c r="K61" i="19" s="1"/>
  <c r="N746" i="2"/>
  <c r="F60" i="19"/>
  <c r="I60" i="19" s="1"/>
  <c r="K60" i="19" s="1"/>
  <c r="J734" i="2"/>
  <c r="F59" i="19"/>
  <c r="N743" i="2"/>
  <c r="F57" i="19"/>
  <c r="I57" i="19" s="1"/>
  <c r="K57" i="19" s="1"/>
  <c r="I59" i="19"/>
  <c r="K59" i="19" s="1"/>
  <c r="N733" i="2"/>
  <c r="N256" i="14" s="1"/>
  <c r="E58" i="19"/>
  <c r="J733" i="2"/>
  <c r="F58" i="19"/>
  <c r="N730" i="2"/>
  <c r="N253" i="14" s="1"/>
  <c r="E55" i="19"/>
  <c r="N740" i="2"/>
  <c r="F54" i="19"/>
  <c r="I54" i="19" s="1"/>
  <c r="K54" i="19" s="1"/>
  <c r="N731" i="2"/>
  <c r="N254" i="14" s="1"/>
  <c r="E56" i="19"/>
  <c r="E102" i="17"/>
  <c r="D10" i="18"/>
  <c r="D11" i="18" s="1"/>
  <c r="D93" i="18" s="1"/>
  <c r="B102" i="17"/>
  <c r="D6" i="18"/>
  <c r="F1898" i="8"/>
  <c r="F1901" i="8"/>
  <c r="F1897" i="8"/>
  <c r="G769" i="2"/>
  <c r="V287" i="14" s="1"/>
  <c r="F1903" i="8"/>
  <c r="F1896" i="8"/>
  <c r="E764" i="2"/>
  <c r="Z274" i="14" s="1"/>
  <c r="M992" i="8"/>
  <c r="M993" i="8" s="1"/>
  <c r="E716" i="2"/>
  <c r="J736" i="2" s="1"/>
  <c r="D15" i="17"/>
  <c r="D7" i="18" s="1"/>
  <c r="D21" i="18" s="1"/>
  <c r="D102" i="17"/>
  <c r="L20" i="14"/>
  <c r="M347" i="2"/>
  <c r="M816" i="8" s="1"/>
  <c r="M817" i="8" s="1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W411" i="8" s="1"/>
  <c r="W412" i="8" s="1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M88" i="17" s="1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N88" i="17" s="1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O88" i="17" s="1"/>
  <c r="K482" i="2"/>
  <c r="K492" i="2" s="1"/>
  <c r="W79" i="2"/>
  <c r="M372" i="2"/>
  <c r="P350" i="2"/>
  <c r="AD299" i="2"/>
  <c r="AA350" i="2"/>
  <c r="X749" i="2"/>
  <c r="L771" i="2"/>
  <c r="L88" i="17" s="1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Y329" i="14" s="1"/>
  <c r="X48" i="10"/>
  <c r="X138" i="5" s="1"/>
  <c r="X218" i="14" s="1"/>
  <c r="X329" i="14" s="1"/>
  <c r="Z48" i="10"/>
  <c r="Z138" i="5" s="1"/>
  <c r="Z218" i="14" s="1"/>
  <c r="Z329" i="14" s="1"/>
  <c r="L48" i="10"/>
  <c r="L138" i="5" s="1"/>
  <c r="L218" i="14" s="1"/>
  <c r="L329" i="14" s="1"/>
  <c r="AA48" i="10"/>
  <c r="AA138" i="5" s="1"/>
  <c r="AA218" i="14" s="1"/>
  <c r="AA329" i="14" s="1"/>
  <c r="M48" i="10"/>
  <c r="M138" i="5" s="1"/>
  <c r="M218" i="14" s="1"/>
  <c r="M329" i="14" s="1"/>
  <c r="AB48" i="10"/>
  <c r="AB138" i="5" s="1"/>
  <c r="AB218" i="14" s="1"/>
  <c r="AB329" i="14" s="1"/>
  <c r="N48" i="10"/>
  <c r="N138" i="5" s="1"/>
  <c r="N218" i="14" s="1"/>
  <c r="N329" i="14" s="1"/>
  <c r="AC48" i="10"/>
  <c r="AC138" i="5" s="1"/>
  <c r="AC218" i="14" s="1"/>
  <c r="AC329" i="14" s="1"/>
  <c r="O48" i="10"/>
  <c r="O138" i="5" s="1"/>
  <c r="O218" i="14" s="1"/>
  <c r="O329" i="14" s="1"/>
  <c r="AD48" i="10"/>
  <c r="AD138" i="5" s="1"/>
  <c r="AD218" i="14" s="1"/>
  <c r="AD329" i="14" s="1"/>
  <c r="P48" i="10"/>
  <c r="P138" i="5" s="1"/>
  <c r="P218" i="14" s="1"/>
  <c r="P329" i="14" s="1"/>
  <c r="AE48" i="10"/>
  <c r="AE138" i="5" s="1"/>
  <c r="AE218" i="14" s="1"/>
  <c r="AE329" i="14" s="1"/>
  <c r="T48" i="10"/>
  <c r="T138" i="5" s="1"/>
  <c r="T218" i="14" s="1"/>
  <c r="T329" i="14" s="1"/>
  <c r="Q48" i="10"/>
  <c r="Q138" i="5" s="1"/>
  <c r="Q218" i="14" s="1"/>
  <c r="Q329" i="14" s="1"/>
  <c r="AF48" i="10"/>
  <c r="R48" i="10"/>
  <c r="R138" i="5" s="1"/>
  <c r="R218" i="14" s="1"/>
  <c r="R329" i="14" s="1"/>
  <c r="AG48" i="10"/>
  <c r="S48" i="10"/>
  <c r="S138" i="5" s="1"/>
  <c r="S218" i="14" s="1"/>
  <c r="S329" i="14" s="1"/>
  <c r="AH48" i="10"/>
  <c r="AI48" i="10"/>
  <c r="U48" i="10"/>
  <c r="U138" i="5" s="1"/>
  <c r="U218" i="14" s="1"/>
  <c r="U329" i="14" s="1"/>
  <c r="V48" i="10"/>
  <c r="V138" i="5" s="1"/>
  <c r="V218" i="14" s="1"/>
  <c r="V329" i="14" s="1"/>
  <c r="W48" i="10"/>
  <c r="W138" i="5" s="1"/>
  <c r="W218" i="14" s="1"/>
  <c r="W329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AH42" i="10"/>
  <c r="U42" i="10"/>
  <c r="AI42" i="10"/>
  <c r="V42" i="10"/>
  <c r="W42" i="10"/>
  <c r="W71" i="17" s="1"/>
  <c r="X42" i="10"/>
  <c r="K42" i="10"/>
  <c r="Y42" i="10"/>
  <c r="Y71" i="17" s="1"/>
  <c r="L42" i="10"/>
  <c r="L71" i="17" s="1"/>
  <c r="Z42" i="10"/>
  <c r="Z71" i="17" s="1"/>
  <c r="M42" i="10"/>
  <c r="AA42" i="10"/>
  <c r="N42" i="10"/>
  <c r="AB42" i="10"/>
  <c r="O42" i="10"/>
  <c r="AC42" i="10"/>
  <c r="Q42" i="10"/>
  <c r="AE42" i="10"/>
  <c r="AG42" i="10"/>
  <c r="R42" i="10"/>
  <c r="P42" i="10"/>
  <c r="P71" i="17" s="1"/>
  <c r="S42" i="10"/>
  <c r="AD42" i="10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Y45" i="10"/>
  <c r="K45" i="10"/>
  <c r="Z45" i="10"/>
  <c r="L45" i="10"/>
  <c r="AA45" i="10"/>
  <c r="M45" i="10"/>
  <c r="AB45" i="10"/>
  <c r="N45" i="10"/>
  <c r="AC45" i="10"/>
  <c r="O45" i="10"/>
  <c r="AD45" i="10"/>
  <c r="P45" i="10"/>
  <c r="AE45" i="10"/>
  <c r="U45" i="10"/>
  <c r="Q45" i="10"/>
  <c r="AF45" i="10"/>
  <c r="R45" i="10"/>
  <c r="AG45" i="10"/>
  <c r="S45" i="10"/>
  <c r="AH45" i="10"/>
  <c r="V45" i="10"/>
  <c r="AI45" i="10"/>
  <c r="W45" i="10"/>
  <c r="X45" i="10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N1188" i="8"/>
  <c r="N1189" i="8" s="1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N1156" i="8" l="1"/>
  <c r="N1157" i="8" s="1"/>
  <c r="N1168" i="8"/>
  <c r="N1169" i="8" s="1"/>
  <c r="I56" i="19"/>
  <c r="K56" i="19" s="1"/>
  <c r="I58" i="19"/>
  <c r="K58" i="19" s="1"/>
  <c r="I55" i="19"/>
  <c r="K55" i="19" s="1"/>
  <c r="D27" i="18"/>
  <c r="D64" i="19"/>
  <c r="D23" i="18"/>
  <c r="D22" i="18"/>
  <c r="AB287" i="14"/>
  <c r="R287" i="14"/>
  <c r="Z287" i="14"/>
  <c r="O287" i="14"/>
  <c r="AA287" i="14"/>
  <c r="X287" i="14"/>
  <c r="L287" i="14"/>
  <c r="U287" i="14"/>
  <c r="S287" i="14"/>
  <c r="AE287" i="14"/>
  <c r="Q287" i="14"/>
  <c r="AD287" i="14"/>
  <c r="P287" i="14"/>
  <c r="W287" i="14"/>
  <c r="AC287" i="14"/>
  <c r="Y287" i="14"/>
  <c r="N287" i="14"/>
  <c r="T287" i="14"/>
  <c r="M287" i="14"/>
  <c r="S36" i="17"/>
  <c r="AB274" i="14"/>
  <c r="Q274" i="14"/>
  <c r="W274" i="14"/>
  <c r="X274" i="14"/>
  <c r="V274" i="14"/>
  <c r="AC274" i="14"/>
  <c r="R274" i="14"/>
  <c r="O274" i="14"/>
  <c r="S274" i="14"/>
  <c r="Y274" i="14"/>
  <c r="M274" i="14"/>
  <c r="T274" i="14"/>
  <c r="N274" i="14"/>
  <c r="P274" i="14"/>
  <c r="AE274" i="14"/>
  <c r="L274" i="14"/>
  <c r="U274" i="14"/>
  <c r="AD274" i="14"/>
  <c r="AA274" i="14"/>
  <c r="D1881" i="8"/>
  <c r="L740" i="2"/>
  <c r="L1188" i="8" s="1"/>
  <c r="L1189" i="8" s="1"/>
  <c r="U44" i="17"/>
  <c r="Y35" i="17"/>
  <c r="V36" i="17"/>
  <c r="AC26" i="17"/>
  <c r="U41" i="17"/>
  <c r="M39" i="17"/>
  <c r="V39" i="17"/>
  <c r="X37" i="17"/>
  <c r="Y46" i="17"/>
  <c r="T35" i="17"/>
  <c r="AA32" i="17"/>
  <c r="L34" i="17"/>
  <c r="T37" i="17"/>
  <c r="AB40" i="17"/>
  <c r="N44" i="17"/>
  <c r="S35" i="17"/>
  <c r="S41" i="17"/>
  <c r="M31" i="17"/>
  <c r="Y30" i="17"/>
  <c r="X33" i="17"/>
  <c r="W35" i="17"/>
  <c r="AC40" i="17"/>
  <c r="Q25" i="17"/>
  <c r="W25" i="17"/>
  <c r="AA39" i="17"/>
  <c r="AA36" i="17"/>
  <c r="X35" i="17"/>
  <c r="Z42" i="17"/>
  <c r="AE25" i="17"/>
  <c r="Q34" i="17"/>
  <c r="T40" i="17"/>
  <c r="M38" i="17"/>
  <c r="N37" i="17"/>
  <c r="AE40" i="17"/>
  <c r="X26" i="17"/>
  <c r="Z33" i="17"/>
  <c r="V38" i="17"/>
  <c r="AB42" i="17"/>
  <c r="Z36" i="17"/>
  <c r="N36" i="17"/>
  <c r="AD37" i="17"/>
  <c r="P37" i="17"/>
  <c r="L35" i="17"/>
  <c r="AB35" i="17"/>
  <c r="V44" i="17"/>
  <c r="W37" i="17"/>
  <c r="Q42" i="17"/>
  <c r="W38" i="17"/>
  <c r="O35" i="17"/>
  <c r="AA34" i="17"/>
  <c r="AB36" i="17"/>
  <c r="O37" i="17"/>
  <c r="M32" i="17"/>
  <c r="S38" i="17"/>
  <c r="AC46" i="17"/>
  <c r="X36" i="17"/>
  <c r="Q36" i="17"/>
  <c r="U32" i="17"/>
  <c r="Z38" i="17"/>
  <c r="AC32" i="17"/>
  <c r="V25" i="17"/>
  <c r="X25" i="17"/>
  <c r="Q37" i="17"/>
  <c r="Z37" i="17"/>
  <c r="AB33" i="17"/>
  <c r="AC35" i="17"/>
  <c r="Y33" i="17"/>
  <c r="O26" i="17"/>
  <c r="R34" i="17"/>
  <c r="AE37" i="17"/>
  <c r="O36" i="17"/>
  <c r="U39" i="17"/>
  <c r="U35" i="17"/>
  <c r="U37" i="17"/>
  <c r="Q46" i="17"/>
  <c r="AE36" i="17"/>
  <c r="AA29" i="17"/>
  <c r="Y32" i="17"/>
  <c r="AB37" i="17"/>
  <c r="V32" i="17"/>
  <c r="AA38" i="17"/>
  <c r="U45" i="17"/>
  <c r="M36" i="17"/>
  <c r="R31" i="17"/>
  <c r="U36" i="17"/>
  <c r="AD36" i="17"/>
  <c r="AE38" i="17"/>
  <c r="AB34" i="17"/>
  <c r="AC37" i="17"/>
  <c r="T30" i="17"/>
  <c r="O39" i="17"/>
  <c r="O41" i="17"/>
  <c r="L43" i="17"/>
  <c r="W39" i="17"/>
  <c r="N38" i="17"/>
  <c r="AC36" i="17"/>
  <c r="Q38" i="17"/>
  <c r="U38" i="17"/>
  <c r="Q40" i="17"/>
  <c r="R40" i="17"/>
  <c r="S40" i="17"/>
  <c r="V42" i="17"/>
  <c r="S44" i="17"/>
  <c r="O46" i="17"/>
  <c r="V34" i="17"/>
  <c r="P25" i="17"/>
  <c r="V37" i="17"/>
  <c r="Q27" i="17"/>
  <c r="T39" i="17"/>
  <c r="V27" i="17"/>
  <c r="AB38" i="17"/>
  <c r="P26" i="17"/>
  <c r="AC38" i="17"/>
  <c r="Q26" i="17"/>
  <c r="L37" i="17"/>
  <c r="AA31" i="17"/>
  <c r="M41" i="17"/>
  <c r="P41" i="17"/>
  <c r="X38" i="17"/>
  <c r="R33" i="17"/>
  <c r="AC42" i="17"/>
  <c r="AC44" i="17"/>
  <c r="AD44" i="17"/>
  <c r="T41" i="17"/>
  <c r="AC39" i="17"/>
  <c r="P38" i="17"/>
  <c r="M40" i="17"/>
  <c r="N40" i="17"/>
  <c r="N42" i="17"/>
  <c r="O42" i="17"/>
  <c r="P42" i="17"/>
  <c r="R44" i="17"/>
  <c r="AC25" i="17"/>
  <c r="M25" i="17"/>
  <c r="V35" i="17"/>
  <c r="AD25" i="17"/>
  <c r="R38" i="17"/>
  <c r="AE27" i="17"/>
  <c r="P40" i="17"/>
  <c r="O28" i="17"/>
  <c r="Y39" i="17"/>
  <c r="AD26" i="17"/>
  <c r="Z39" i="17"/>
  <c r="AE26" i="17"/>
  <c r="L38" i="17"/>
  <c r="T32" i="17"/>
  <c r="D15" i="18" s="1"/>
  <c r="AA41" i="17"/>
  <c r="AD41" i="17"/>
  <c r="Q39" i="17"/>
  <c r="Y34" i="17"/>
  <c r="Z44" i="17"/>
  <c r="R46" i="17"/>
  <c r="S46" i="17"/>
  <c r="N43" i="17"/>
  <c r="Y41" i="17"/>
  <c r="Z41" i="17"/>
  <c r="AC41" i="17"/>
  <c r="Z43" i="17"/>
  <c r="W45" i="17"/>
  <c r="L44" i="17"/>
  <c r="M44" i="17"/>
  <c r="AC45" i="17"/>
  <c r="L27" i="17"/>
  <c r="AA25" i="17"/>
  <c r="R36" i="17"/>
  <c r="W26" i="17"/>
  <c r="S39" i="17"/>
  <c r="X28" i="17"/>
  <c r="N41" i="17"/>
  <c r="AC28" i="17"/>
  <c r="V40" i="17"/>
  <c r="W27" i="17"/>
  <c r="Z40" i="17"/>
  <c r="X27" i="17"/>
  <c r="AD38" i="17"/>
  <c r="M33" i="17"/>
  <c r="T42" i="17"/>
  <c r="W42" i="17"/>
  <c r="AE39" i="17"/>
  <c r="R35" i="17"/>
  <c r="P46" i="17"/>
  <c r="M26" i="17"/>
  <c r="V29" i="17"/>
  <c r="AE44" i="17"/>
  <c r="V43" i="17"/>
  <c r="W43" i="17"/>
  <c r="Y43" i="17"/>
  <c r="V45" i="17"/>
  <c r="U25" i="17"/>
  <c r="Z45" i="17"/>
  <c r="AB45" i="17"/>
  <c r="AB25" i="17"/>
  <c r="N28" i="17"/>
  <c r="T26" i="17"/>
  <c r="S37" i="17"/>
  <c r="P27" i="17"/>
  <c r="O40" i="17"/>
  <c r="Q29" i="17"/>
  <c r="M42" i="17"/>
  <c r="W29" i="17"/>
  <c r="V41" i="17"/>
  <c r="P28" i="17"/>
  <c r="W41" i="17"/>
  <c r="Q28" i="17"/>
  <c r="AB39" i="17"/>
  <c r="AA33" i="17"/>
  <c r="M45" i="17"/>
  <c r="P43" i="17"/>
  <c r="X40" i="17"/>
  <c r="Y36" i="17"/>
  <c r="L26" i="17"/>
  <c r="R27" i="17"/>
  <c r="L25" i="17"/>
  <c r="Z46" i="17"/>
  <c r="AA46" i="17"/>
  <c r="S45" i="17"/>
  <c r="T45" i="17"/>
  <c r="T25" i="17"/>
  <c r="D12" i="18" s="1"/>
  <c r="Z26" i="17"/>
  <c r="Y25" i="17"/>
  <c r="Z25" i="17"/>
  <c r="M28" i="17"/>
  <c r="T29" i="17"/>
  <c r="D13" i="18" s="1"/>
  <c r="M27" i="17"/>
  <c r="O38" i="17"/>
  <c r="AD27" i="17"/>
  <c r="L41" i="17"/>
  <c r="L30" i="17"/>
  <c r="AE42" i="17"/>
  <c r="Q30" i="17"/>
  <c r="R42" i="17"/>
  <c r="AD28" i="17"/>
  <c r="S42" i="17"/>
  <c r="AE28" i="17"/>
  <c r="AA40" i="17"/>
  <c r="T34" i="17"/>
  <c r="AA45" i="17"/>
  <c r="AD43" i="17"/>
  <c r="Q41" i="17"/>
  <c r="R37" i="17"/>
  <c r="N27" i="17"/>
  <c r="O27" i="17"/>
  <c r="U28" i="17"/>
  <c r="N26" i="17"/>
  <c r="N25" i="17"/>
  <c r="O25" i="17"/>
  <c r="AB46" i="17"/>
  <c r="S25" i="17"/>
  <c r="Y26" i="17"/>
  <c r="AC27" i="17"/>
  <c r="AA26" i="17"/>
  <c r="AB26" i="17"/>
  <c r="S29" i="17"/>
  <c r="X30" i="17"/>
  <c r="AA27" i="17"/>
  <c r="L39" i="17"/>
  <c r="W28" i="17"/>
  <c r="L42" i="17"/>
  <c r="AB30" i="17"/>
  <c r="AC43" i="17"/>
  <c r="L31" i="17"/>
  <c r="S43" i="17"/>
  <c r="X29" i="17"/>
  <c r="T43" i="17"/>
  <c r="Y29" i="17"/>
  <c r="X41" i="17"/>
  <c r="M35" i="17"/>
  <c r="T46" i="17"/>
  <c r="W44" i="17"/>
  <c r="AE41" i="17"/>
  <c r="R41" i="17"/>
  <c r="R28" i="17"/>
  <c r="S28" i="17"/>
  <c r="Z29" i="17"/>
  <c r="S27" i="17"/>
  <c r="R26" i="17"/>
  <c r="S26" i="17"/>
  <c r="R25" i="17"/>
  <c r="V26" i="17"/>
  <c r="AB27" i="17"/>
  <c r="L29" i="17"/>
  <c r="N29" i="17"/>
  <c r="L28" i="17"/>
  <c r="V30" i="17"/>
  <c r="O33" i="17"/>
  <c r="T28" i="17"/>
  <c r="L40" i="17"/>
  <c r="P29" i="17"/>
  <c r="AD42" i="17"/>
  <c r="W31" i="17"/>
  <c r="AB44" i="17"/>
  <c r="AC31" i="17"/>
  <c r="O44" i="17"/>
  <c r="R30" i="17"/>
  <c r="P44" i="17"/>
  <c r="S30" i="17"/>
  <c r="U42" i="17"/>
  <c r="AA35" i="17"/>
  <c r="AD33" i="17"/>
  <c r="P45" i="17"/>
  <c r="X42" i="17"/>
  <c r="Y42" i="17"/>
  <c r="U29" i="17"/>
  <c r="AC30" i="17"/>
  <c r="AD30" i="17"/>
  <c r="V28" i="17"/>
  <c r="T27" i="17"/>
  <c r="U27" i="17"/>
  <c r="U26" i="17"/>
  <c r="Z27" i="17"/>
  <c r="N30" i="17"/>
  <c r="O30" i="17"/>
  <c r="P30" i="17"/>
  <c r="O29" i="17"/>
  <c r="AB31" i="17"/>
  <c r="Z34" i="17"/>
  <c r="M29" i="17"/>
  <c r="AD40" i="17"/>
  <c r="AA30" i="17"/>
  <c r="AB43" i="17"/>
  <c r="Q32" i="17"/>
  <c r="Y45" i="17"/>
  <c r="W32" i="17"/>
  <c r="L45" i="17"/>
  <c r="N31" i="17"/>
  <c r="N45" i="17"/>
  <c r="O31" i="17"/>
  <c r="U43" i="17"/>
  <c r="T36" i="17"/>
  <c r="W34" i="17"/>
  <c r="AD45" i="17"/>
  <c r="Q43" i="17"/>
  <c r="R43" i="17"/>
  <c r="Z30" i="17"/>
  <c r="N32" i="17"/>
  <c r="O32" i="17"/>
  <c r="AB29" i="17"/>
  <c r="Y28" i="17"/>
  <c r="Z28" i="17"/>
  <c r="Y27" i="17"/>
  <c r="AB28" i="17"/>
  <c r="U31" i="17"/>
  <c r="X31" i="17"/>
  <c r="Y31" i="17"/>
  <c r="U30" i="17"/>
  <c r="N33" i="17"/>
  <c r="P36" i="17"/>
  <c r="AC29" i="17"/>
  <c r="AB41" i="17"/>
  <c r="V31" i="17"/>
  <c r="AA44" i="17"/>
  <c r="L33" i="17"/>
  <c r="V46" i="17"/>
  <c r="T33" i="17"/>
  <c r="L46" i="17"/>
  <c r="AD31" i="17"/>
  <c r="M46" i="17"/>
  <c r="AE31" i="17"/>
  <c r="Q44" i="17"/>
  <c r="M37" i="17"/>
  <c r="P35" i="17"/>
  <c r="W46" i="17"/>
  <c r="AE45" i="17"/>
  <c r="Y44" i="17"/>
  <c r="L32" i="17"/>
  <c r="S33" i="17"/>
  <c r="W33" i="17"/>
  <c r="AE30" i="17"/>
  <c r="AD29" i="17"/>
  <c r="AE29" i="17"/>
  <c r="AA28" i="17"/>
  <c r="M30" i="17"/>
  <c r="AB32" i="17"/>
  <c r="AD32" i="17"/>
  <c r="AE32" i="17"/>
  <c r="Z31" i="17"/>
  <c r="U34" i="17"/>
  <c r="Y37" i="17"/>
  <c r="W30" i="17"/>
  <c r="AA42" i="17"/>
  <c r="P32" i="17"/>
  <c r="X45" i="17"/>
  <c r="AC34" i="17"/>
  <c r="X39" i="17"/>
  <c r="P34" i="17"/>
  <c r="AD46" i="17"/>
  <c r="X32" i="17"/>
  <c r="AE46" i="17"/>
  <c r="AE95" i="17" s="1"/>
  <c r="Z32" i="17"/>
  <c r="O45" i="17"/>
  <c r="AA37" i="17"/>
  <c r="AD35" i="17"/>
  <c r="Q33" i="17"/>
  <c r="X46" i="17"/>
  <c r="R45" i="17"/>
  <c r="P33" i="17"/>
  <c r="AD34" i="17"/>
  <c r="AE34" i="17"/>
  <c r="R32" i="17"/>
  <c r="S32" i="17"/>
  <c r="P31" i="17"/>
  <c r="Q31" i="17"/>
  <c r="T31" i="17"/>
  <c r="D14" i="18" s="1"/>
  <c r="M34" i="17"/>
  <c r="N34" i="17"/>
  <c r="O34" i="17"/>
  <c r="S34" i="17"/>
  <c r="L36" i="17"/>
  <c r="N39" i="17"/>
  <c r="S31" i="17"/>
  <c r="X43" i="17"/>
  <c r="AC33" i="17"/>
  <c r="U46" i="17"/>
  <c r="Z35" i="17"/>
  <c r="O43" i="17"/>
  <c r="N35" i="17"/>
  <c r="C102" i="17"/>
  <c r="U33" i="17"/>
  <c r="U40" i="17"/>
  <c r="V33" i="17"/>
  <c r="N46" i="17"/>
  <c r="T38" i="17"/>
  <c r="W36" i="17"/>
  <c r="AE33" i="17"/>
  <c r="R29" i="17"/>
  <c r="M43" i="17"/>
  <c r="P39" i="17"/>
  <c r="X34" i="17"/>
  <c r="AE43" i="17"/>
  <c r="Y38" i="17"/>
  <c r="AA43" i="17"/>
  <c r="AD39" i="17"/>
  <c r="Q35" i="17"/>
  <c r="X44" i="17"/>
  <c r="R39" i="17"/>
  <c r="T44" i="17"/>
  <c r="W40" i="17"/>
  <c r="AE35" i="17"/>
  <c r="Q45" i="17"/>
  <c r="Y40" i="17"/>
  <c r="N135" i="5"/>
  <c r="N72" i="17"/>
  <c r="V135" i="5"/>
  <c r="V72" i="17"/>
  <c r="AB135" i="5"/>
  <c r="AB72" i="17"/>
  <c r="R126" i="5"/>
  <c r="R1384" i="8" s="1"/>
  <c r="R1385" i="8" s="1"/>
  <c r="R71" i="17"/>
  <c r="X126" i="5"/>
  <c r="X1384" i="8" s="1"/>
  <c r="X1385" i="8" s="1"/>
  <c r="X71" i="17"/>
  <c r="M135" i="5"/>
  <c r="M72" i="17"/>
  <c r="W135" i="5"/>
  <c r="W72" i="17"/>
  <c r="AC135" i="5"/>
  <c r="AC72" i="17"/>
  <c r="S126" i="5"/>
  <c r="S1384" i="8" s="1"/>
  <c r="S1385" i="8" s="1"/>
  <c r="S71" i="17"/>
  <c r="S135" i="5"/>
  <c r="S72" i="17"/>
  <c r="AE126" i="5"/>
  <c r="AE1384" i="8" s="1"/>
  <c r="AE1385" i="8" s="1"/>
  <c r="AE71" i="17"/>
  <c r="V126" i="5"/>
  <c r="V1384" i="8" s="1"/>
  <c r="V1385" i="8" s="1"/>
  <c r="V71" i="17"/>
  <c r="AA135" i="5"/>
  <c r="AA72" i="17"/>
  <c r="L135" i="5"/>
  <c r="L72" i="17"/>
  <c r="Q126" i="5"/>
  <c r="Q646" i="2" s="1"/>
  <c r="Q219" i="14" s="1"/>
  <c r="Q71" i="17"/>
  <c r="R135" i="5"/>
  <c r="R72" i="17"/>
  <c r="Z135" i="5"/>
  <c r="Z72" i="17"/>
  <c r="AC126" i="5"/>
  <c r="AC1384" i="8" s="1"/>
  <c r="AC1385" i="8" s="1"/>
  <c r="AC71" i="17"/>
  <c r="U126" i="5"/>
  <c r="U646" i="2" s="1"/>
  <c r="U219" i="14" s="1"/>
  <c r="U71" i="17"/>
  <c r="O126" i="5"/>
  <c r="O646" i="2" s="1"/>
  <c r="O219" i="14" s="1"/>
  <c r="O71" i="17"/>
  <c r="Q135" i="5"/>
  <c r="Q72" i="17"/>
  <c r="Y135" i="5"/>
  <c r="Y72" i="17"/>
  <c r="AB126" i="5"/>
  <c r="AB646" i="2" s="1"/>
  <c r="AB219" i="14" s="1"/>
  <c r="AB71" i="17"/>
  <c r="T126" i="5"/>
  <c r="T1384" i="8" s="1"/>
  <c r="T1385" i="8" s="1"/>
  <c r="T71" i="17"/>
  <c r="D17" i="18" s="1"/>
  <c r="D33" i="18" s="1"/>
  <c r="U135" i="5"/>
  <c r="U72" i="17"/>
  <c r="T135" i="5"/>
  <c r="T72" i="17"/>
  <c r="N126" i="5"/>
  <c r="N1384" i="8" s="1"/>
  <c r="N1385" i="8" s="1"/>
  <c r="N71" i="17"/>
  <c r="P135" i="5"/>
  <c r="P72" i="17"/>
  <c r="M126" i="5"/>
  <c r="M1384" i="8" s="1"/>
  <c r="M1385" i="8" s="1"/>
  <c r="M71" i="17"/>
  <c r="AD135" i="5"/>
  <c r="AD72" i="17"/>
  <c r="AE135" i="5"/>
  <c r="AE72" i="17"/>
  <c r="AA126" i="5"/>
  <c r="AA646" i="2" s="1"/>
  <c r="AA219" i="14" s="1"/>
  <c r="AA71" i="17"/>
  <c r="X135" i="5"/>
  <c r="X72" i="17"/>
  <c r="O135" i="5"/>
  <c r="O72" i="17"/>
  <c r="AD126" i="5"/>
  <c r="AD1384" i="8" s="1"/>
  <c r="AD1385" i="8" s="1"/>
  <c r="AD71" i="17"/>
  <c r="M45" i="14"/>
  <c r="N45" i="14"/>
  <c r="W17" i="14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Z207" i="2"/>
  <c r="N147" i="2"/>
  <c r="AC371" i="8"/>
  <c r="AC372" i="8" s="1"/>
  <c r="L51" i="12"/>
  <c r="Z427" i="8"/>
  <c r="Z428" i="8" s="1"/>
  <c r="AE315" i="8"/>
  <c r="AE316" i="8" s="1"/>
  <c r="L78" i="12"/>
  <c r="L102" i="12"/>
  <c r="L66" i="12"/>
  <c r="L90" i="12"/>
  <c r="L15" i="12"/>
  <c r="F1530" i="8"/>
  <c r="L27" i="12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D30" i="18" l="1"/>
  <c r="D31" i="18"/>
  <c r="D32" i="18"/>
  <c r="L54" i="17"/>
  <c r="P54" i="17"/>
  <c r="N54" i="17"/>
  <c r="U54" i="17"/>
  <c r="AC54" i="17"/>
  <c r="AA54" i="17"/>
  <c r="AB54" i="17"/>
  <c r="AE54" i="17"/>
  <c r="Y54" i="17"/>
  <c r="M54" i="17"/>
  <c r="R54" i="17"/>
  <c r="Z54" i="17"/>
  <c r="V54" i="17"/>
  <c r="X54" i="17"/>
  <c r="AD54" i="17"/>
  <c r="O54" i="17"/>
  <c r="T54" i="17"/>
  <c r="D16" i="18" s="1"/>
  <c r="W54" i="17"/>
  <c r="S54" i="17"/>
  <c r="Q54" i="17"/>
  <c r="S53" i="17"/>
  <c r="U51" i="17"/>
  <c r="V53" i="17"/>
  <c r="U53" i="17"/>
  <c r="AC646" i="2"/>
  <c r="AC219" i="14" s="1"/>
  <c r="O53" i="17"/>
  <c r="Q53" i="17"/>
  <c r="AE49" i="17"/>
  <c r="AA51" i="17"/>
  <c r="L53" i="17"/>
  <c r="Q50" i="17"/>
  <c r="Q1384" i="8"/>
  <c r="Q1385" i="8" s="1"/>
  <c r="AA1384" i="8"/>
  <c r="AA1385" i="8" s="1"/>
  <c r="X646" i="2"/>
  <c r="X219" i="14" s="1"/>
  <c r="Y53" i="17"/>
  <c r="X52" i="17"/>
  <c r="AB52" i="17"/>
  <c r="AC49" i="17"/>
  <c r="N51" i="17"/>
  <c r="AC50" i="17"/>
  <c r="X53" i="17"/>
  <c r="AD49" i="17"/>
  <c r="AB53" i="17"/>
  <c r="Q49" i="17"/>
  <c r="AD50" i="17"/>
  <c r="U52" i="17"/>
  <c r="R50" i="17"/>
  <c r="Q51" i="17"/>
  <c r="W53" i="17"/>
  <c r="Z50" i="17"/>
  <c r="AB1384" i="8"/>
  <c r="AB1385" i="8" s="1"/>
  <c r="S49" i="17"/>
  <c r="Y49" i="17"/>
  <c r="V50" i="17"/>
  <c r="Y52" i="17"/>
  <c r="V48" i="17"/>
  <c r="AB51" i="17"/>
  <c r="U49" i="17"/>
  <c r="S51" i="17"/>
  <c r="R52" i="17"/>
  <c r="O1384" i="8"/>
  <c r="O1385" i="8" s="1"/>
  <c r="V49" i="17"/>
  <c r="Y51" i="17"/>
  <c r="Z53" i="17"/>
  <c r="S52" i="17"/>
  <c r="T53" i="17"/>
  <c r="AA52" i="17"/>
  <c r="M52" i="17"/>
  <c r="L52" i="17"/>
  <c r="W52" i="17"/>
  <c r="M53" i="17"/>
  <c r="N52" i="17"/>
  <c r="T51" i="17"/>
  <c r="D57" i="18" s="1"/>
  <c r="AC52" i="17"/>
  <c r="U48" i="17"/>
  <c r="O49" i="17"/>
  <c r="T52" i="17"/>
  <c r="Z52" i="17"/>
  <c r="R48" i="17"/>
  <c r="N50" i="17"/>
  <c r="R53" i="17"/>
  <c r="N47" i="17"/>
  <c r="AD52" i="17"/>
  <c r="AC51" i="17"/>
  <c r="AE50" i="17"/>
  <c r="P52" i="17"/>
  <c r="M51" i="17"/>
  <c r="L50" i="17"/>
  <c r="L48" i="17"/>
  <c r="AE53" i="17"/>
  <c r="X49" i="17"/>
  <c r="AE51" i="17"/>
  <c r="O51" i="17"/>
  <c r="V51" i="17"/>
  <c r="L51" i="17"/>
  <c r="W51" i="17"/>
  <c r="P48" i="17"/>
  <c r="AA53" i="17"/>
  <c r="Z48" i="17"/>
  <c r="AA48" i="17"/>
  <c r="AD53" i="17"/>
  <c r="V52" i="17"/>
  <c r="P50" i="17"/>
  <c r="M49" i="17"/>
  <c r="X50" i="17"/>
  <c r="U47" i="17"/>
  <c r="AA47" i="17"/>
  <c r="AE48" i="17"/>
  <c r="Q52" i="17"/>
  <c r="Z51" i="17"/>
  <c r="M50" i="17"/>
  <c r="T49" i="17"/>
  <c r="D54" i="18" s="1"/>
  <c r="W49" i="17"/>
  <c r="AC53" i="17"/>
  <c r="M48" i="17"/>
  <c r="N53" i="17"/>
  <c r="N49" i="17"/>
  <c r="T646" i="2"/>
  <c r="T702" i="2" s="1"/>
  <c r="R51" i="17"/>
  <c r="O52" i="17"/>
  <c r="P51" i="17"/>
  <c r="W50" i="17"/>
  <c r="U50" i="17"/>
  <c r="Y48" i="17"/>
  <c r="Z47" i="17"/>
  <c r="W48" i="17"/>
  <c r="L47" i="17"/>
  <c r="S646" i="2"/>
  <c r="S219" i="14" s="1"/>
  <c r="S230" i="14" s="1"/>
  <c r="AB50" i="17"/>
  <c r="X47" i="17"/>
  <c r="AB49" i="17"/>
  <c r="AD48" i="17"/>
  <c r="N48" i="17"/>
  <c r="O50" i="17"/>
  <c r="P49" i="17"/>
  <c r="T48" i="17"/>
  <c r="D56" i="18" s="1"/>
  <c r="P53" i="17"/>
  <c r="AD51" i="17"/>
  <c r="AE47" i="17"/>
  <c r="M47" i="17"/>
  <c r="R49" i="17"/>
  <c r="S48" i="17"/>
  <c r="AA49" i="17"/>
  <c r="R47" i="17"/>
  <c r="O48" i="17"/>
  <c r="S47" i="17"/>
  <c r="Z49" i="17"/>
  <c r="AB47" i="17"/>
  <c r="AB48" i="17"/>
  <c r="T47" i="17"/>
  <c r="D55" i="18" s="1"/>
  <c r="Q47" i="17"/>
  <c r="AC47" i="17"/>
  <c r="V47" i="17"/>
  <c r="AC48" i="17"/>
  <c r="O47" i="17"/>
  <c r="T50" i="17"/>
  <c r="D94" i="18" s="1"/>
  <c r="M646" i="2"/>
  <c r="M219" i="14" s="1"/>
  <c r="Q48" i="17"/>
  <c r="P47" i="17"/>
  <c r="U1384" i="8"/>
  <c r="U1385" i="8" s="1"/>
  <c r="W47" i="17"/>
  <c r="Y50" i="17"/>
  <c r="X51" i="17"/>
  <c r="L49" i="17"/>
  <c r="X48" i="17"/>
  <c r="AD47" i="17"/>
  <c r="AE52" i="17"/>
  <c r="AA50" i="17"/>
  <c r="S50" i="17"/>
  <c r="Y47" i="17"/>
  <c r="R646" i="2"/>
  <c r="R219" i="14" s="1"/>
  <c r="R228" i="14" s="1"/>
  <c r="AE646" i="2"/>
  <c r="AE219" i="14" s="1"/>
  <c r="AE224" i="14" s="1"/>
  <c r="N646" i="2"/>
  <c r="N219" i="14" s="1"/>
  <c r="AD646" i="2"/>
  <c r="AD219" i="14" s="1"/>
  <c r="V646" i="2"/>
  <c r="V219" i="14" s="1"/>
  <c r="M23" i="15"/>
  <c r="L1529" i="8"/>
  <c r="L91" i="15"/>
  <c r="L1527" i="8"/>
  <c r="L81" i="15"/>
  <c r="L1525" i="8"/>
  <c r="L67" i="15"/>
  <c r="M908" i="8"/>
  <c r="M909" i="8" s="1"/>
  <c r="M61" i="15"/>
  <c r="L1538" i="8"/>
  <c r="L1539" i="8" s="1"/>
  <c r="L62" i="15"/>
  <c r="N23" i="15"/>
  <c r="L1523" i="8"/>
  <c r="L57" i="15"/>
  <c r="L1522" i="8"/>
  <c r="L52" i="15"/>
  <c r="L17" i="15"/>
  <c r="L1528" i="8"/>
  <c r="L86" i="15"/>
  <c r="L45" i="14"/>
  <c r="L76" i="15"/>
  <c r="L34" i="15"/>
  <c r="L772" i="8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N988" i="8"/>
  <c r="N989" i="8" s="1"/>
  <c r="N220" i="14"/>
  <c r="AD988" i="8"/>
  <c r="AD989" i="8" s="1"/>
  <c r="AD220" i="14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L252" i="14"/>
  <c r="L1152" i="8"/>
  <c r="L1153" i="8" s="1"/>
  <c r="V988" i="8"/>
  <c r="V989" i="8" s="1"/>
  <c r="V220" i="14"/>
  <c r="Y988" i="8"/>
  <c r="Y989" i="8" s="1"/>
  <c r="Y220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M988" i="8"/>
  <c r="M989" i="8" s="1"/>
  <c r="M220" i="14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L784" i="8"/>
  <c r="L785" i="8" s="1"/>
  <c r="F1458" i="8"/>
  <c r="N376" i="2"/>
  <c r="N852" i="8"/>
  <c r="N853" i="8" s="1"/>
  <c r="M840" i="8"/>
  <c r="M841" i="8" s="1"/>
  <c r="M382" i="2"/>
  <c r="N378" i="2"/>
  <c r="M375" i="2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F404" i="8"/>
  <c r="F428" i="8"/>
  <c r="O701" i="2"/>
  <c r="F412" i="8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S1412" i="8"/>
  <c r="S1413" i="8" s="1"/>
  <c r="S601" i="2"/>
  <c r="S481" i="2"/>
  <c r="S421" i="2"/>
  <c r="S541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L1180" i="8"/>
  <c r="L1181" i="8" s="1"/>
  <c r="M378" i="2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M66" i="15" s="1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N66" i="15" l="1"/>
  <c r="F1915" i="8"/>
  <c r="L94" i="17"/>
  <c r="L95" i="17" s="1"/>
  <c r="AC699" i="2"/>
  <c r="AC1060" i="8" s="1"/>
  <c r="AC1061" i="8" s="1"/>
  <c r="AC705" i="2"/>
  <c r="AC1084" i="8" s="1"/>
  <c r="AC1085" i="8" s="1"/>
  <c r="AC703" i="2"/>
  <c r="AC1076" i="8" s="1"/>
  <c r="AC1077" i="8" s="1"/>
  <c r="AC704" i="2"/>
  <c r="AC1080" i="8" s="1"/>
  <c r="AC1081" i="8" s="1"/>
  <c r="V984" i="8"/>
  <c r="V985" i="8" s="1"/>
  <c r="X702" i="2"/>
  <c r="X1072" i="8" s="1"/>
  <c r="X1073" i="8" s="1"/>
  <c r="X699" i="2"/>
  <c r="X1060" i="8" s="1"/>
  <c r="X1061" i="8" s="1"/>
  <c r="X700" i="2"/>
  <c r="X1064" i="8" s="1"/>
  <c r="X1065" i="8" s="1"/>
  <c r="R703" i="2"/>
  <c r="R1076" i="8" s="1"/>
  <c r="R1077" i="8" s="1"/>
  <c r="AC984" i="8"/>
  <c r="AC985" i="8" s="1"/>
  <c r="AC698" i="2"/>
  <c r="AC1056" i="8" s="1"/>
  <c r="AC1057" i="8" s="1"/>
  <c r="AC231" i="14"/>
  <c r="AC701" i="2"/>
  <c r="AC1068" i="8" s="1"/>
  <c r="AC1069" i="8" s="1"/>
  <c r="AC702" i="2"/>
  <c r="AC1072" i="8" s="1"/>
  <c r="AC1073" i="8" s="1"/>
  <c r="AC700" i="2"/>
  <c r="AC1064" i="8" s="1"/>
  <c r="AC1065" i="8" s="1"/>
  <c r="V699" i="2"/>
  <c r="V1060" i="8" s="1"/>
  <c r="V1061" i="8" s="1"/>
  <c r="X698" i="2"/>
  <c r="X1056" i="8" s="1"/>
  <c r="X1057" i="8" s="1"/>
  <c r="V698" i="2"/>
  <c r="V1056" i="8" s="1"/>
  <c r="V1057" i="8" s="1"/>
  <c r="X705" i="2"/>
  <c r="X1084" i="8" s="1"/>
  <c r="X1085" i="8" s="1"/>
  <c r="X984" i="8"/>
  <c r="X985" i="8" s="1"/>
  <c r="X704" i="2"/>
  <c r="X1080" i="8" s="1"/>
  <c r="X1081" i="8" s="1"/>
  <c r="X228" i="14"/>
  <c r="X701" i="2"/>
  <c r="X1068" i="8" s="1"/>
  <c r="X1069" i="8" s="1"/>
  <c r="X703" i="2"/>
  <c r="X1076" i="8" s="1"/>
  <c r="X1077" i="8" s="1"/>
  <c r="V703" i="2"/>
  <c r="V1076" i="8" s="1"/>
  <c r="V1077" i="8" s="1"/>
  <c r="S226" i="14"/>
  <c r="S224" i="14"/>
  <c r="S698" i="2"/>
  <c r="S1056" i="8" s="1"/>
  <c r="S1057" i="8" s="1"/>
  <c r="S699" i="2"/>
  <c r="S1060" i="8" s="1"/>
  <c r="S1061" i="8" s="1"/>
  <c r="S702" i="2"/>
  <c r="S1072" i="8" s="1"/>
  <c r="S1073" i="8" s="1"/>
  <c r="R701" i="2"/>
  <c r="R1068" i="8" s="1"/>
  <c r="R1069" i="8" s="1"/>
  <c r="AE700" i="2"/>
  <c r="AE1064" i="8" s="1"/>
  <c r="AE1065" i="8" s="1"/>
  <c r="F1460" i="8"/>
  <c r="F1459" i="8"/>
  <c r="R698" i="2"/>
  <c r="R1056" i="8" s="1"/>
  <c r="R1057" i="8" s="1"/>
  <c r="R702" i="2"/>
  <c r="R1072" i="8" s="1"/>
  <c r="R1073" i="8" s="1"/>
  <c r="R699" i="2"/>
  <c r="R1060" i="8" s="1"/>
  <c r="R1061" i="8" s="1"/>
  <c r="T219" i="14"/>
  <c r="T229" i="14" s="1"/>
  <c r="R226" i="14"/>
  <c r="T703" i="2"/>
  <c r="T1076" i="8" s="1"/>
  <c r="T1077" i="8" s="1"/>
  <c r="AE702" i="2"/>
  <c r="AE1072" i="8" s="1"/>
  <c r="AE1073" i="8" s="1"/>
  <c r="R231" i="14"/>
  <c r="T700" i="2"/>
  <c r="T1064" i="8" s="1"/>
  <c r="T1065" i="8" s="1"/>
  <c r="AE699" i="2"/>
  <c r="AE1060" i="8" s="1"/>
  <c r="AE1061" i="8" s="1"/>
  <c r="T698" i="2"/>
  <c r="T1056" i="8" s="1"/>
  <c r="T1057" i="8" s="1"/>
  <c r="T704" i="2"/>
  <c r="T1080" i="8" s="1"/>
  <c r="T1081" i="8" s="1"/>
  <c r="AE704" i="2"/>
  <c r="AE1080" i="8" s="1"/>
  <c r="AE1081" i="8" s="1"/>
  <c r="T699" i="2"/>
  <c r="T1060" i="8" s="1"/>
  <c r="T1061" i="8" s="1"/>
  <c r="T705" i="2"/>
  <c r="T1084" i="8" s="1"/>
  <c r="T1085" i="8" s="1"/>
  <c r="M701" i="2"/>
  <c r="M1068" i="8" s="1"/>
  <c r="M1069" i="8" s="1"/>
  <c r="T984" i="8"/>
  <c r="T985" i="8" s="1"/>
  <c r="T701" i="2"/>
  <c r="T1068" i="8" s="1"/>
  <c r="T1069" i="8" s="1"/>
  <c r="R705" i="2"/>
  <c r="R1084" i="8" s="1"/>
  <c r="R1085" i="8" s="1"/>
  <c r="M699" i="2"/>
  <c r="M1060" i="8" s="1"/>
  <c r="M1061" i="8" s="1"/>
  <c r="M700" i="2"/>
  <c r="M1064" i="8" s="1"/>
  <c r="M1065" i="8" s="1"/>
  <c r="M705" i="2"/>
  <c r="M1084" i="8" s="1"/>
  <c r="M1085" i="8" s="1"/>
  <c r="M704" i="2"/>
  <c r="M1080" i="8" s="1"/>
  <c r="M1081" i="8" s="1"/>
  <c r="R700" i="2"/>
  <c r="R1064" i="8" s="1"/>
  <c r="R1065" i="8" s="1"/>
  <c r="M698" i="2"/>
  <c r="M1056" i="8" s="1"/>
  <c r="M1057" i="8" s="1"/>
  <c r="R704" i="2"/>
  <c r="R1080" i="8" s="1"/>
  <c r="R1081" i="8" s="1"/>
  <c r="M984" i="8"/>
  <c r="M985" i="8" s="1"/>
  <c r="M703" i="2"/>
  <c r="M1076" i="8" s="1"/>
  <c r="M1077" i="8" s="1"/>
  <c r="M702" i="2"/>
  <c r="M1072" i="8" s="1"/>
  <c r="M1073" i="8" s="1"/>
  <c r="R224" i="14"/>
  <c r="R225" i="14"/>
  <c r="R984" i="8"/>
  <c r="R985" i="8" s="1"/>
  <c r="R229" i="14"/>
  <c r="S227" i="14"/>
  <c r="S703" i="2"/>
  <c r="S1076" i="8" s="1"/>
  <c r="S1077" i="8" s="1"/>
  <c r="S228" i="14"/>
  <c r="S705" i="2"/>
  <c r="S1084" i="8" s="1"/>
  <c r="S1085" i="8" s="1"/>
  <c r="S984" i="8"/>
  <c r="S985" i="8" s="1"/>
  <c r="S231" i="14"/>
  <c r="S229" i="14"/>
  <c r="S700" i="2"/>
  <c r="S1064" i="8" s="1"/>
  <c r="S1065" i="8" s="1"/>
  <c r="S701" i="2"/>
  <c r="S1068" i="8" s="1"/>
  <c r="S1069" i="8" s="1"/>
  <c r="S225" i="14"/>
  <c r="S704" i="2"/>
  <c r="S1080" i="8" s="1"/>
  <c r="S1081" i="8" s="1"/>
  <c r="AD700" i="2"/>
  <c r="AD1064" i="8" s="1"/>
  <c r="AD1065" i="8" s="1"/>
  <c r="AE984" i="8"/>
  <c r="AE985" i="8" s="1"/>
  <c r="AD704" i="2"/>
  <c r="AD1080" i="8" s="1"/>
  <c r="AD1081" i="8" s="1"/>
  <c r="AD984" i="8"/>
  <c r="AD985" i="8" s="1"/>
  <c r="M230" i="14"/>
  <c r="AE227" i="14"/>
  <c r="AE226" i="14"/>
  <c r="AE231" i="14"/>
  <c r="R230" i="14"/>
  <c r="AE698" i="2"/>
  <c r="AE1056" i="8" s="1"/>
  <c r="AE1057" i="8" s="1"/>
  <c r="AE705" i="2"/>
  <c r="AE1084" i="8" s="1"/>
  <c r="AE1085" i="8" s="1"/>
  <c r="R227" i="14"/>
  <c r="AD701" i="2"/>
  <c r="AD1068" i="8" s="1"/>
  <c r="AD1069" i="8" s="1"/>
  <c r="AE703" i="2"/>
  <c r="AE1076" i="8" s="1"/>
  <c r="AE1077" i="8" s="1"/>
  <c r="AE701" i="2"/>
  <c r="AE1068" i="8" s="1"/>
  <c r="AE1069" i="8" s="1"/>
  <c r="AE228" i="14"/>
  <c r="AE225" i="14"/>
  <c r="V702" i="2"/>
  <c r="V1072" i="8" s="1"/>
  <c r="V1073" i="8" s="1"/>
  <c r="AE229" i="14"/>
  <c r="AE230" i="14"/>
  <c r="AD703" i="2"/>
  <c r="AD1076" i="8" s="1"/>
  <c r="AD1077" i="8" s="1"/>
  <c r="AD705" i="2"/>
  <c r="AD1084" i="8" s="1"/>
  <c r="AD1085" i="8" s="1"/>
  <c r="AD698" i="2"/>
  <c r="AD1056" i="8" s="1"/>
  <c r="AD1057" i="8" s="1"/>
  <c r="AD702" i="2"/>
  <c r="AD1072" i="8" s="1"/>
  <c r="AD1073" i="8" s="1"/>
  <c r="AD699" i="2"/>
  <c r="AD1060" i="8" s="1"/>
  <c r="AD1061" i="8" s="1"/>
  <c r="AD231" i="14"/>
  <c r="V701" i="2"/>
  <c r="V1068" i="8" s="1"/>
  <c r="V1069" i="8" s="1"/>
  <c r="N704" i="2"/>
  <c r="N1080" i="8" s="1"/>
  <c r="N1081" i="8" s="1"/>
  <c r="N703" i="2"/>
  <c r="N1076" i="8" s="1"/>
  <c r="N1077" i="8" s="1"/>
  <c r="V705" i="2"/>
  <c r="V1084" i="8" s="1"/>
  <c r="V1085" i="8" s="1"/>
  <c r="N702" i="2"/>
  <c r="N1072" i="8" s="1"/>
  <c r="N1073" i="8" s="1"/>
  <c r="V700" i="2"/>
  <c r="V1064" i="8" s="1"/>
  <c r="V1065" i="8" s="1"/>
  <c r="N705" i="2"/>
  <c r="N1084" i="8" s="1"/>
  <c r="N1085" i="8" s="1"/>
  <c r="N224" i="14"/>
  <c r="N699" i="2"/>
  <c r="N1060" i="8" s="1"/>
  <c r="N1061" i="8" s="1"/>
  <c r="N698" i="2"/>
  <c r="N1056" i="8" s="1"/>
  <c r="N1057" i="8" s="1"/>
  <c r="N700" i="2"/>
  <c r="N1064" i="8" s="1"/>
  <c r="N1065" i="8" s="1"/>
  <c r="V704" i="2"/>
  <c r="V1080" i="8" s="1"/>
  <c r="V1081" i="8" s="1"/>
  <c r="N984" i="8"/>
  <c r="N985" i="8" s="1"/>
  <c r="N701" i="2"/>
  <c r="N1068" i="8" s="1"/>
  <c r="N1069" i="8" s="1"/>
  <c r="V231" i="14"/>
  <c r="L18" i="15"/>
  <c r="L35" i="15"/>
  <c r="L23" i="15"/>
  <c r="M904" i="8"/>
  <c r="M905" i="8" s="1"/>
  <c r="M51" i="15"/>
  <c r="N916" i="8"/>
  <c r="N917" i="8" s="1"/>
  <c r="N56" i="15"/>
  <c r="L64" i="15"/>
  <c r="M916" i="8"/>
  <c r="M917" i="8" s="1"/>
  <c r="M56" i="15"/>
  <c r="N908" i="8"/>
  <c r="N909" i="8" s="1"/>
  <c r="N61" i="15"/>
  <c r="L69" i="15"/>
  <c r="L88" i="15"/>
  <c r="N904" i="8"/>
  <c r="N905" i="8" s="1"/>
  <c r="N51" i="15"/>
  <c r="L93" i="15"/>
  <c r="AA228" i="14"/>
  <c r="AA231" i="14"/>
  <c r="X230" i="14"/>
  <c r="X227" i="14"/>
  <c r="AA225" i="14"/>
  <c r="AA229" i="14"/>
  <c r="AA227" i="14"/>
  <c r="AA226" i="14"/>
  <c r="AA230" i="14"/>
  <c r="X224" i="14"/>
  <c r="L376" i="2"/>
  <c r="L375" i="2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L66" i="15" s="1"/>
  <c r="L68" i="15" s="1"/>
  <c r="L1850" i="8" s="1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Y170" i="13"/>
  <c r="Y171" i="13"/>
  <c r="Y169" i="13"/>
  <c r="Y176" i="13"/>
  <c r="Y175" i="13"/>
  <c r="Y173" i="13"/>
  <c r="Y172" i="13"/>
  <c r="Y174" i="13"/>
  <c r="Z175" i="13"/>
  <c r="Z173" i="13"/>
  <c r="Z171" i="13"/>
  <c r="Z169" i="13"/>
  <c r="Z170" i="13"/>
  <c r="Z176" i="13"/>
  <c r="Z172" i="13"/>
  <c r="Z174" i="13"/>
  <c r="T1072" i="8"/>
  <c r="T1073" i="8" s="1"/>
  <c r="U1068" i="8"/>
  <c r="U1069" i="8" s="1"/>
  <c r="AB1064" i="8"/>
  <c r="AB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AA1076" i="8"/>
  <c r="AA1077" i="8" s="1"/>
  <c r="U1080" i="8"/>
  <c r="U1081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AB1084" i="8"/>
  <c r="AB1085" i="8" s="1"/>
  <c r="AA1072" i="8"/>
  <c r="AA1073" i="8" s="1"/>
  <c r="O1068" i="8"/>
  <c r="O1069" i="8" s="1"/>
  <c r="Q175" i="13"/>
  <c r="Q173" i="13"/>
  <c r="Q171" i="13"/>
  <c r="Q169" i="13"/>
  <c r="Q176" i="13"/>
  <c r="Q172" i="13"/>
  <c r="Q174" i="13"/>
  <c r="Q170" i="13"/>
  <c r="U1072" i="8"/>
  <c r="U1073" i="8" s="1"/>
  <c r="AA1064" i="8"/>
  <c r="AA1065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O1072" i="8"/>
  <c r="O1073" i="8" s="1"/>
  <c r="Q1084" i="8"/>
  <c r="Q1085" i="8" s="1"/>
  <c r="AA1060" i="8"/>
  <c r="AA1061" i="8" s="1"/>
  <c r="O1084" i="8"/>
  <c r="O1085" i="8" s="1"/>
  <c r="AA1084" i="8"/>
  <c r="AA1085" i="8" s="1"/>
  <c r="Q1080" i="8"/>
  <c r="Q1081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B1072" i="8"/>
  <c r="AB1073" i="8" s="1"/>
  <c r="AA1080" i="8"/>
  <c r="AA1081" i="8" s="1"/>
  <c r="Q1072" i="8"/>
  <c r="Q1073" i="8" s="1"/>
  <c r="AB1068" i="8"/>
  <c r="AB1069" i="8" s="1"/>
  <c r="O1076" i="8"/>
  <c r="O1077" i="8" s="1"/>
  <c r="U1084" i="8"/>
  <c r="U1085" i="8" s="1"/>
  <c r="AA1056" i="8"/>
  <c r="AA1057" i="8" s="1"/>
  <c r="AB1056" i="8"/>
  <c r="AB1057" i="8" s="1"/>
  <c r="Q1076" i="8"/>
  <c r="Q1077" i="8" s="1"/>
  <c r="Q1056" i="8"/>
  <c r="Q1057" i="8" s="1"/>
  <c r="AA1068" i="8"/>
  <c r="AA1069" i="8" s="1"/>
  <c r="O1056" i="8"/>
  <c r="O1057" i="8" s="1"/>
  <c r="U1076" i="8"/>
  <c r="U1077" i="8" s="1"/>
  <c r="Q1068" i="8"/>
  <c r="Q1069" i="8" s="1"/>
  <c r="Q1060" i="8"/>
  <c r="Q1061" i="8" s="1"/>
  <c r="O1060" i="8"/>
  <c r="O1061" i="8" s="1"/>
  <c r="O1064" i="8"/>
  <c r="O1065" i="8" s="1"/>
  <c r="U1056" i="8"/>
  <c r="U1057" i="8" s="1"/>
  <c r="AB1060" i="8"/>
  <c r="AB1061" i="8" s="1"/>
  <c r="Q1064" i="8"/>
  <c r="Q1065" i="8" s="1"/>
  <c r="AB1080" i="8"/>
  <c r="AB1081" i="8" s="1"/>
  <c r="O1080" i="8"/>
  <c r="O1081" i="8" s="1"/>
  <c r="U1060" i="8"/>
  <c r="U1061" i="8" s="1"/>
  <c r="AB1076" i="8"/>
  <c r="AB1077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M900" i="8"/>
  <c r="M901" i="8" s="1"/>
  <c r="M379" i="2"/>
  <c r="N900" i="8"/>
  <c r="N901" i="8" s="1"/>
  <c r="N379" i="2"/>
  <c r="D1455" i="8" l="1"/>
  <c r="T225" i="14"/>
  <c r="T228" i="14"/>
  <c r="T227" i="14"/>
  <c r="T226" i="14"/>
  <c r="T231" i="14"/>
  <c r="T230" i="14"/>
  <c r="T224" i="14"/>
  <c r="L900" i="8"/>
  <c r="L901" i="8" s="1"/>
  <c r="L904" i="8"/>
  <c r="L905" i="8" s="1"/>
  <c r="L51" i="15"/>
  <c r="L908" i="8"/>
  <c r="L909" i="8" s="1"/>
  <c r="L61" i="15"/>
  <c r="L63" i="15" s="1"/>
  <c r="L1849" i="8" s="1"/>
  <c r="L916" i="8"/>
  <c r="L917" i="8" s="1"/>
  <c r="L56" i="15"/>
  <c r="N326" i="14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L59" i="17" l="1"/>
  <c r="N260" i="2"/>
  <c r="N20" i="15" s="1"/>
  <c r="M261" i="2"/>
  <c r="M21" i="15" s="1"/>
  <c r="M1843" i="8" s="1"/>
  <c r="M260" i="2"/>
  <c r="M20" i="15" s="1"/>
  <c r="L261" i="2"/>
  <c r="L21" i="15" s="1"/>
  <c r="L1843" i="8" s="1"/>
  <c r="L260" i="2"/>
  <c r="L20" i="15" s="1"/>
  <c r="N261" i="2"/>
  <c r="N21" i="15" s="1"/>
  <c r="N1843" i="8" s="1"/>
  <c r="L58" i="15"/>
  <c r="L1848" i="8" s="1"/>
  <c r="L59" i="15"/>
  <c r="L53" i="15"/>
  <c r="L1847" i="8" s="1"/>
  <c r="L54" i="15"/>
  <c r="Q35" i="14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M363" i="2"/>
  <c r="N363" i="2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M394" i="2" s="1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L396" i="2" s="1"/>
  <c r="L964" i="8" s="1"/>
  <c r="L965" i="8" s="1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K40" i="18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K39" i="18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N696" i="2"/>
  <c r="N683" i="2"/>
  <c r="N86" i="17" s="1"/>
  <c r="M683" i="2"/>
  <c r="M86" i="17" s="1"/>
  <c r="M696" i="2"/>
  <c r="L696" i="2"/>
  <c r="L683" i="2"/>
  <c r="L86" i="17" s="1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L39" i="18" l="1"/>
  <c r="M39" i="18" s="1"/>
  <c r="D61" i="19"/>
  <c r="L40" i="18"/>
  <c r="M40" i="18" s="1"/>
  <c r="D57" i="19"/>
  <c r="N932" i="8"/>
  <c r="N933" i="8" s="1"/>
  <c r="F39" i="18"/>
  <c r="N940" i="8"/>
  <c r="N941" i="8" s="1"/>
  <c r="F40" i="18"/>
  <c r="L63" i="17"/>
  <c r="L1842" i="8"/>
  <c r="M1842" i="8"/>
  <c r="N1842" i="8"/>
  <c r="V1148" i="8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D56" i="19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D58" i="19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D60" i="19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D55" i="19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D59" i="19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D54" i="19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F37" i="18" s="1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H56" i="19" l="1"/>
  <c r="G56" i="19"/>
  <c r="L38" i="18"/>
  <c r="K37" i="18"/>
  <c r="K38" i="18"/>
  <c r="N928" i="8"/>
  <c r="N929" i="8" s="1"/>
  <c r="F38" i="18"/>
  <c r="F41" i="18" s="1"/>
  <c r="L37" i="18"/>
  <c r="L64" i="17"/>
  <c r="V261" i="2"/>
  <c r="V21" i="15" s="1"/>
  <c r="V1843" i="8" s="1"/>
  <c r="V260" i="2"/>
  <c r="V20" i="15" s="1"/>
  <c r="AB261" i="2"/>
  <c r="AB21" i="15" s="1"/>
  <c r="AB1843" i="8" s="1"/>
  <c r="AB260" i="2"/>
  <c r="AB20" i="15" s="1"/>
  <c r="O261" i="2"/>
  <c r="O21" i="15" s="1"/>
  <c r="O1843" i="8" s="1"/>
  <c r="O260" i="2"/>
  <c r="O20" i="15" s="1"/>
  <c r="U260" i="2"/>
  <c r="U20" i="15" s="1"/>
  <c r="U261" i="2"/>
  <c r="U21" i="15" s="1"/>
  <c r="U1843" i="8" s="1"/>
  <c r="Q260" i="2"/>
  <c r="Q20" i="15" s="1"/>
  <c r="Q261" i="2"/>
  <c r="Q21" i="15" s="1"/>
  <c r="Q1843" i="8" s="1"/>
  <c r="R260" i="2"/>
  <c r="R20" i="15" s="1"/>
  <c r="R261" i="2"/>
  <c r="R21" i="15" s="1"/>
  <c r="R1843" i="8" s="1"/>
  <c r="Y261" i="2"/>
  <c r="Y21" i="15" s="1"/>
  <c r="Y1843" i="8" s="1"/>
  <c r="Y260" i="2"/>
  <c r="Y20" i="15" s="1"/>
  <c r="X261" i="2"/>
  <c r="X21" i="15" s="1"/>
  <c r="X1843" i="8" s="1"/>
  <c r="X260" i="2"/>
  <c r="X20" i="15" s="1"/>
  <c r="Z261" i="2"/>
  <c r="Z21" i="15" s="1"/>
  <c r="Z1843" i="8" s="1"/>
  <c r="Z260" i="2"/>
  <c r="Z20" i="15" s="1"/>
  <c r="AE260" i="2"/>
  <c r="AE20" i="15" s="1"/>
  <c r="AE261" i="2"/>
  <c r="AE21" i="15" s="1"/>
  <c r="AE1843" i="8" s="1"/>
  <c r="W261" i="2"/>
  <c r="W21" i="15" s="1"/>
  <c r="W1843" i="8" s="1"/>
  <c r="W260" i="2"/>
  <c r="W20" i="15" s="1"/>
  <c r="S260" i="2"/>
  <c r="S20" i="15" s="1"/>
  <c r="S261" i="2"/>
  <c r="S21" i="15" s="1"/>
  <c r="S1843" i="8" s="1"/>
  <c r="P260" i="2"/>
  <c r="P20" i="15" s="1"/>
  <c r="P261" i="2"/>
  <c r="P21" i="15" s="1"/>
  <c r="P1843" i="8" s="1"/>
  <c r="AA261" i="2"/>
  <c r="AA21" i="15" s="1"/>
  <c r="AA1843" i="8" s="1"/>
  <c r="AA260" i="2"/>
  <c r="AA20" i="15" s="1"/>
  <c r="T260" i="2"/>
  <c r="T20" i="15" s="1"/>
  <c r="T261" i="2"/>
  <c r="T21" i="15" s="1"/>
  <c r="T1843" i="8" s="1"/>
  <c r="AD260" i="2"/>
  <c r="AD20" i="15" s="1"/>
  <c r="AD261" i="2"/>
  <c r="AD21" i="15" s="1"/>
  <c r="AD1843" i="8" s="1"/>
  <c r="AC261" i="2"/>
  <c r="AC21" i="15" s="1"/>
  <c r="AC1843" i="8" s="1"/>
  <c r="AC260" i="2"/>
  <c r="AC20" i="15" s="1"/>
  <c r="U996" i="8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75" i="17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363" i="2"/>
  <c r="T864" i="8" s="1"/>
  <c r="T865" i="8" s="1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363" i="2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363" i="2"/>
  <c r="S864" i="8" s="1"/>
  <c r="S865" i="8" s="1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363" i="2"/>
  <c r="P864" i="8" s="1"/>
  <c r="P865" i="8" s="1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363" i="2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75" i="17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363" i="2"/>
  <c r="R864" i="8" s="1"/>
  <c r="R865" i="8" s="1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363" i="2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363" i="2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75" i="17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363" i="2"/>
  <c r="U864" i="8" s="1"/>
  <c r="U865" i="8" s="1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363" i="2"/>
  <c r="O864" i="8" s="1"/>
  <c r="O865" i="8" s="1"/>
  <c r="O83" i="14"/>
  <c r="O101" i="14" s="1"/>
  <c r="O91" i="14"/>
  <c r="O109" i="14" s="1"/>
  <c r="U302" i="14"/>
  <c r="U320" i="14" s="1"/>
  <c r="U294" i="14"/>
  <c r="U312" i="14" s="1"/>
  <c r="V330" i="2"/>
  <c r="V363" i="2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M90" i="17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L717" i="2"/>
  <c r="L706" i="2" s="1"/>
  <c r="L90" i="17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N90" i="17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399" i="2"/>
  <c r="R976" i="8" s="1"/>
  <c r="R977" i="8" s="1"/>
  <c r="O776" i="8"/>
  <c r="O777" i="8" s="1"/>
  <c r="O357" i="2"/>
  <c r="O848" i="8" s="1"/>
  <c r="O849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F713" i="8"/>
  <c r="F1093" i="8"/>
  <c r="F717" i="8"/>
  <c r="F1105" i="8"/>
  <c r="F1113" i="8"/>
  <c r="F1089" i="8"/>
  <c r="F697" i="8"/>
  <c r="F701" i="8"/>
  <c r="M390" i="2"/>
  <c r="M924" i="8"/>
  <c r="M925" i="8" s="1"/>
  <c r="F693" i="8"/>
  <c r="F1097" i="8"/>
  <c r="F1109" i="8"/>
  <c r="N390" i="2"/>
  <c r="N924" i="8"/>
  <c r="N925" i="8" s="1"/>
  <c r="F709" i="8"/>
  <c r="V612" i="8"/>
  <c r="V613" i="8" s="1"/>
  <c r="V334" i="2"/>
  <c r="V49" i="14" s="1"/>
  <c r="V345" i="2"/>
  <c r="T389" i="2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341" i="2"/>
  <c r="W596" i="8"/>
  <c r="W597" i="8" s="1"/>
  <c r="W624" i="8"/>
  <c r="W625" i="8" s="1"/>
  <c r="W348" i="2"/>
  <c r="W337" i="2"/>
  <c r="W52" i="14" s="1"/>
  <c r="W992" i="8"/>
  <c r="W993" i="8" s="1"/>
  <c r="W729" i="2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J56" i="19" l="1"/>
  <c r="L56" i="19" s="1"/>
  <c r="M38" i="18"/>
  <c r="K41" i="18"/>
  <c r="T932" i="8"/>
  <c r="T933" i="8" s="1"/>
  <c r="H39" i="18"/>
  <c r="T940" i="8"/>
  <c r="T941" i="8" s="1"/>
  <c r="H40" i="18"/>
  <c r="L41" i="18"/>
  <c r="M37" i="18"/>
  <c r="N22" i="15"/>
  <c r="N24" i="15" s="1"/>
  <c r="N69" i="17"/>
  <c r="N84" i="17" s="1"/>
  <c r="L22" i="15"/>
  <c r="L24" i="15" s="1"/>
  <c r="L69" i="17"/>
  <c r="L84" i="17" s="1"/>
  <c r="M22" i="15"/>
  <c r="M1836" i="8" s="1"/>
  <c r="M69" i="17"/>
  <c r="M84" i="17" s="1"/>
  <c r="P45" i="14"/>
  <c r="F1843" i="8"/>
  <c r="W252" i="14"/>
  <c r="R908" i="8"/>
  <c r="R909" i="8" s="1"/>
  <c r="R61" i="15"/>
  <c r="T45" i="14"/>
  <c r="Q45" i="14"/>
  <c r="V45" i="14"/>
  <c r="W45" i="14"/>
  <c r="P1172" i="8"/>
  <c r="P1173" i="8" s="1"/>
  <c r="O376" i="2"/>
  <c r="O399" i="2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G39" i="18" s="1"/>
  <c r="V352" i="2"/>
  <c r="V392" i="2" s="1"/>
  <c r="V948" i="8" s="1"/>
  <c r="V949" i="8" s="1"/>
  <c r="Q354" i="2"/>
  <c r="Q836" i="8" s="1"/>
  <c r="Q837" i="8" s="1"/>
  <c r="T378" i="2"/>
  <c r="G40" i="18" s="1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S90" i="17" s="1"/>
  <c r="R1160" i="8"/>
  <c r="R1161" i="8" s="1"/>
  <c r="O378" i="2"/>
  <c r="R241" i="13"/>
  <c r="U357" i="2"/>
  <c r="U848" i="8" s="1"/>
  <c r="U849" i="8" s="1"/>
  <c r="Q376" i="2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P760" i="8"/>
  <c r="P761" i="8" s="1"/>
  <c r="P683" i="2"/>
  <c r="P86" i="17" s="1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90" i="17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S86" i="17" s="1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T86" i="17" s="1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T90" i="17" s="1"/>
  <c r="P102" i="17" s="1"/>
  <c r="P756" i="8"/>
  <c r="P757" i="8" s="1"/>
  <c r="W195" i="13"/>
  <c r="W205" i="13" s="1"/>
  <c r="M182" i="2"/>
  <c r="M111" i="8" s="1"/>
  <c r="M112" i="8" s="1"/>
  <c r="AE51" i="13"/>
  <c r="AE61" i="13" s="1"/>
  <c r="Q683" i="2"/>
  <c r="Q86" i="17" s="1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R90" i="17" s="1"/>
  <c r="Q780" i="8"/>
  <c r="Q781" i="8" s="1"/>
  <c r="Q717" i="2"/>
  <c r="Q706" i="2" s="1"/>
  <c r="Q90" i="17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U86" i="17" s="1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86" i="17" s="1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O86" i="17" s="1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O90" i="17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U90" i="17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V717" i="2"/>
  <c r="V706" i="2" s="1"/>
  <c r="V90" i="17" s="1"/>
  <c r="O397" i="2"/>
  <c r="O968" i="8" s="1"/>
  <c r="O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V86" i="17" s="1"/>
  <c r="W258" i="2"/>
  <c r="V399" i="2"/>
  <c r="V383" i="2"/>
  <c r="V376" i="2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M70" i="17" s="1"/>
  <c r="N944" i="8"/>
  <c r="N380" i="2"/>
  <c r="N70" i="17" s="1"/>
  <c r="U378" i="2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L70" i="17" s="1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Z616" i="8"/>
  <c r="Z617" i="8" s="1"/>
  <c r="Z346" i="2"/>
  <c r="Z335" i="2"/>
  <c r="Z50" i="14" s="1"/>
  <c r="V1156" i="8"/>
  <c r="V1157" i="8" s="1"/>
  <c r="V1176" i="8"/>
  <c r="V1177" i="8" s="1"/>
  <c r="X330" i="2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O40" i="18" l="1"/>
  <c r="U40" i="18"/>
  <c r="I102" i="17"/>
  <c r="D63" i="18"/>
  <c r="D69" i="18" s="1"/>
  <c r="F86" i="18" s="1"/>
  <c r="F87" i="18" s="1"/>
  <c r="T924" i="8"/>
  <c r="T925" i="8" s="1"/>
  <c r="H37" i="18"/>
  <c r="U39" i="18"/>
  <c r="O39" i="18"/>
  <c r="P39" i="18" s="1"/>
  <c r="T928" i="8"/>
  <c r="T929" i="8" s="1"/>
  <c r="H38" i="18"/>
  <c r="M24" i="15"/>
  <c r="M25" i="15" s="1"/>
  <c r="L1836" i="8"/>
  <c r="N1836" i="8"/>
  <c r="T23" i="15"/>
  <c r="T1842" i="8" s="1"/>
  <c r="O23" i="15"/>
  <c r="O1842" i="8" s="1"/>
  <c r="Q23" i="15"/>
  <c r="Q1842" i="8" s="1"/>
  <c r="P23" i="15"/>
  <c r="P1842" i="8" s="1"/>
  <c r="O916" i="8"/>
  <c r="O917" i="8" s="1"/>
  <c r="O56" i="15"/>
  <c r="O908" i="8"/>
  <c r="O909" i="8" s="1"/>
  <c r="O61" i="15"/>
  <c r="S23" i="15"/>
  <c r="S1842" i="8" s="1"/>
  <c r="X252" i="14"/>
  <c r="U23" i="15"/>
  <c r="U1842" i="8" s="1"/>
  <c r="U908" i="8"/>
  <c r="U909" i="8" s="1"/>
  <c r="U61" i="15"/>
  <c r="R916" i="8"/>
  <c r="R917" i="8" s="1"/>
  <c r="R56" i="15"/>
  <c r="T908" i="8"/>
  <c r="T909" i="8" s="1"/>
  <c r="T61" i="15"/>
  <c r="L28" i="15"/>
  <c r="L25" i="15"/>
  <c r="S916" i="8"/>
  <c r="S917" i="8" s="1"/>
  <c r="S56" i="15"/>
  <c r="V908" i="8"/>
  <c r="V909" i="8" s="1"/>
  <c r="V61" i="15"/>
  <c r="X45" i="14"/>
  <c r="U916" i="8"/>
  <c r="U917" i="8" s="1"/>
  <c r="U56" i="15"/>
  <c r="Q916" i="8"/>
  <c r="Q917" i="8" s="1"/>
  <c r="Q56" i="15"/>
  <c r="P908" i="8"/>
  <c r="P909" i="8" s="1"/>
  <c r="P61" i="15"/>
  <c r="V23" i="15"/>
  <c r="V1842" i="8" s="1"/>
  <c r="S908" i="8"/>
  <c r="S909" i="8" s="1"/>
  <c r="S61" i="15"/>
  <c r="R23" i="15"/>
  <c r="R1842" i="8" s="1"/>
  <c r="Q908" i="8"/>
  <c r="Q909" i="8" s="1"/>
  <c r="Q61" i="15"/>
  <c r="T916" i="8"/>
  <c r="T917" i="8" s="1"/>
  <c r="T56" i="15"/>
  <c r="P916" i="8"/>
  <c r="P917" i="8" s="1"/>
  <c r="P56" i="15"/>
  <c r="R397" i="2"/>
  <c r="R968" i="8" s="1"/>
  <c r="R969" i="8" s="1"/>
  <c r="V828" i="8"/>
  <c r="V829" i="8" s="1"/>
  <c r="Q398" i="2"/>
  <c r="Q972" i="8" s="1"/>
  <c r="Q973" i="8" s="1"/>
  <c r="S396" i="2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P393" i="2"/>
  <c r="P952" i="8" s="1"/>
  <c r="P953" i="8" s="1"/>
  <c r="T398" i="2"/>
  <c r="T972" i="8" s="1"/>
  <c r="T973" i="8" s="1"/>
  <c r="O398" i="2"/>
  <c r="O972" i="8" s="1"/>
  <c r="O973" i="8" s="1"/>
  <c r="O374" i="2"/>
  <c r="U398" i="2"/>
  <c r="U972" i="8" s="1"/>
  <c r="U973" i="8" s="1"/>
  <c r="T374" i="2"/>
  <c r="G37" i="18" s="1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W326" i="14"/>
  <c r="V397" i="2"/>
  <c r="V968" i="8" s="1"/>
  <c r="V969" i="8" s="1"/>
  <c r="V393" i="2"/>
  <c r="V952" i="8" s="1"/>
  <c r="V953" i="8" s="1"/>
  <c r="P848" i="8"/>
  <c r="P849" i="8" s="1"/>
  <c r="U374" i="2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M20" i="12"/>
  <c r="T390" i="2"/>
  <c r="T69" i="17" s="1"/>
  <c r="T84" i="17" s="1"/>
  <c r="R390" i="2"/>
  <c r="R69" i="17" s="1"/>
  <c r="R84" i="17" s="1"/>
  <c r="M62" i="2"/>
  <c r="N62" i="2" s="1"/>
  <c r="R1567" i="8"/>
  <c r="P360" i="2"/>
  <c r="T375" i="2"/>
  <c r="G38" i="18" s="1"/>
  <c r="T392" i="2"/>
  <c r="T948" i="8" s="1"/>
  <c r="T949" i="8" s="1"/>
  <c r="S296" i="2"/>
  <c r="M59" i="8"/>
  <c r="M60" i="8" s="1"/>
  <c r="T828" i="8"/>
  <c r="T829" i="8" s="1"/>
  <c r="T296" i="2"/>
  <c r="P390" i="2"/>
  <c r="P69" i="17" s="1"/>
  <c r="P84" i="17" s="1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O69" i="17" s="1"/>
  <c r="O84" i="17" s="1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M241" i="2"/>
  <c r="M143" i="8" s="1"/>
  <c r="M144" i="8" s="1"/>
  <c r="Q390" i="2"/>
  <c r="Q69" i="17" s="1"/>
  <c r="Q84" i="17" s="1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M56" i="2"/>
  <c r="N56" i="2" s="1"/>
  <c r="AB1599" i="8"/>
  <c r="AB1568" i="8"/>
  <c r="Y269" i="13"/>
  <c r="U382" i="2"/>
  <c r="Q374" i="2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Z1565" i="8"/>
  <c r="P1565" i="8"/>
  <c r="F1597" i="8"/>
  <c r="S360" i="2"/>
  <c r="S1555" i="8"/>
  <c r="Q1559" i="8"/>
  <c r="F1598" i="8"/>
  <c r="W1555" i="8"/>
  <c r="S390" i="2"/>
  <c r="S69" i="17" s="1"/>
  <c r="S84" i="17" s="1"/>
  <c r="S382" i="2"/>
  <c r="S375" i="2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220" i="13"/>
  <c r="N217" i="13"/>
  <c r="N220" i="13"/>
  <c r="AE81" i="13"/>
  <c r="AE78" i="13"/>
  <c r="Q220" i="13"/>
  <c r="Q222" i="13" s="1"/>
  <c r="Q217" i="13"/>
  <c r="Y1556" i="8"/>
  <c r="Z1567" i="8"/>
  <c r="M1566" i="8"/>
  <c r="W1556" i="8"/>
  <c r="U1568" i="8"/>
  <c r="T1565" i="8"/>
  <c r="M59" i="2"/>
  <c r="F1554" i="8"/>
  <c r="AE220" i="13"/>
  <c r="AE222" i="13" s="1"/>
  <c r="AE217" i="13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220" i="13"/>
  <c r="AB222" i="13" s="1"/>
  <c r="L1566" i="8"/>
  <c r="Q392" i="2"/>
  <c r="Q948" i="8" s="1"/>
  <c r="Q949" i="8" s="1"/>
  <c r="Q375" i="2"/>
  <c r="T217" i="13"/>
  <c r="T220" i="13"/>
  <c r="T222" i="13" s="1"/>
  <c r="O122" i="2"/>
  <c r="N26" i="12"/>
  <c r="N75" i="8"/>
  <c r="N76" i="8" s="1"/>
  <c r="Z220" i="13"/>
  <c r="Z222" i="13" s="1"/>
  <c r="Z217" i="13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220" i="13"/>
  <c r="Z1559" i="8"/>
  <c r="Y220" i="13"/>
  <c r="Y222" i="13" s="1"/>
  <c r="Y217" i="13"/>
  <c r="AC1559" i="8"/>
  <c r="W220" i="13"/>
  <c r="W222" i="13" s="1"/>
  <c r="W217" i="13"/>
  <c r="AD217" i="13"/>
  <c r="AD220" i="13"/>
  <c r="AD222" i="13" s="1"/>
  <c r="AD1567" i="8"/>
  <c r="X217" i="13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220" i="13"/>
  <c r="V1556" i="8"/>
  <c r="V1555" i="8"/>
  <c r="V1565" i="8"/>
  <c r="V976" i="8"/>
  <c r="V977" i="8" s="1"/>
  <c r="W318" i="2"/>
  <c r="W307" i="2" s="1"/>
  <c r="W717" i="2"/>
  <c r="W706" i="2" s="1"/>
  <c r="W90" i="17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W86" i="17" s="1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Y992" i="8"/>
  <c r="Y993" i="8" s="1"/>
  <c r="Y740" i="2"/>
  <c r="Y729" i="2"/>
  <c r="X996" i="8"/>
  <c r="X997" i="8" s="1"/>
  <c r="X730" i="2"/>
  <c r="X253" i="14" s="1"/>
  <c r="X741" i="2"/>
  <c r="Y341" i="2"/>
  <c r="Y330" i="2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69" i="17" s="1"/>
  <c r="U84" i="17" s="1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X1000" i="8"/>
  <c r="X1001" i="8" s="1"/>
  <c r="X742" i="2"/>
  <c r="X731" i="2"/>
  <c r="X254" i="14" s="1"/>
  <c r="O37" i="18" l="1"/>
  <c r="P37" i="18" s="1"/>
  <c r="U37" i="18"/>
  <c r="G41" i="18"/>
  <c r="R39" i="18"/>
  <c r="Q39" i="18"/>
  <c r="U38" i="18"/>
  <c r="O38" i="18"/>
  <c r="H41" i="18"/>
  <c r="M28" i="15"/>
  <c r="Z1697" i="8"/>
  <c r="Z74" i="17"/>
  <c r="X1697" i="8"/>
  <c r="X74" i="17"/>
  <c r="N1697" i="8"/>
  <c r="N74" i="17"/>
  <c r="L1697" i="8"/>
  <c r="L74" i="17"/>
  <c r="AD1697" i="8"/>
  <c r="AD74" i="17"/>
  <c r="W1697" i="8"/>
  <c r="W74" i="17"/>
  <c r="T1697" i="8"/>
  <c r="T74" i="17"/>
  <c r="D59" i="18" s="1"/>
  <c r="O1697" i="8"/>
  <c r="O74" i="17"/>
  <c r="AE1697" i="8"/>
  <c r="AE74" i="17"/>
  <c r="V1697" i="8"/>
  <c r="V74" i="17"/>
  <c r="U1697" i="8"/>
  <c r="U74" i="17"/>
  <c r="Y1697" i="8"/>
  <c r="Y74" i="17"/>
  <c r="P1697" i="8"/>
  <c r="P74" i="17"/>
  <c r="Q1697" i="8"/>
  <c r="Q74" i="17"/>
  <c r="R1697" i="8"/>
  <c r="R74" i="17"/>
  <c r="AA1697" i="8"/>
  <c r="AA74" i="17"/>
  <c r="S1697" i="8"/>
  <c r="S74" i="17"/>
  <c r="AB1697" i="8"/>
  <c r="AB74" i="17"/>
  <c r="M1697" i="8"/>
  <c r="M74" i="17"/>
  <c r="AC1697" i="8"/>
  <c r="AC74" i="17"/>
  <c r="W23" i="15"/>
  <c r="W1842" i="8" s="1"/>
  <c r="M42" i="15"/>
  <c r="M1837" i="8"/>
  <c r="O944" i="8"/>
  <c r="O22" i="15"/>
  <c r="W908" i="8"/>
  <c r="W909" i="8" s="1"/>
  <c r="W61" i="15"/>
  <c r="R900" i="8"/>
  <c r="R901" i="8" s="1"/>
  <c r="R66" i="15"/>
  <c r="T904" i="8"/>
  <c r="T905" i="8" s="1"/>
  <c r="T51" i="15"/>
  <c r="V904" i="8"/>
  <c r="V905" i="8" s="1"/>
  <c r="V51" i="15"/>
  <c r="O904" i="8"/>
  <c r="O905" i="8" s="1"/>
  <c r="O51" i="15"/>
  <c r="S900" i="8"/>
  <c r="S901" i="8" s="1"/>
  <c r="S66" i="15"/>
  <c r="V900" i="8"/>
  <c r="V901" i="8" s="1"/>
  <c r="V66" i="15"/>
  <c r="R944" i="8"/>
  <c r="R22" i="15"/>
  <c r="M26" i="15"/>
  <c r="M66" i="17" s="1"/>
  <c r="S944" i="8"/>
  <c r="S22" i="15"/>
  <c r="Q944" i="8"/>
  <c r="Q22" i="15"/>
  <c r="T944" i="8"/>
  <c r="T22" i="15"/>
  <c r="Q900" i="8"/>
  <c r="Q901" i="8" s="1"/>
  <c r="Q66" i="15"/>
  <c r="Y252" i="14"/>
  <c r="P904" i="8"/>
  <c r="P905" i="8" s="1"/>
  <c r="P51" i="15"/>
  <c r="R904" i="8"/>
  <c r="R905" i="8" s="1"/>
  <c r="R51" i="15"/>
  <c r="Y45" i="14"/>
  <c r="W904" i="8"/>
  <c r="W905" i="8" s="1"/>
  <c r="W51" i="15"/>
  <c r="U904" i="8"/>
  <c r="U905" i="8" s="1"/>
  <c r="U51" i="15"/>
  <c r="P944" i="8"/>
  <c r="P22" i="15"/>
  <c r="T900" i="8"/>
  <c r="T901" i="8" s="1"/>
  <c r="T66" i="15"/>
  <c r="L42" i="15"/>
  <c r="L1837" i="8"/>
  <c r="Q904" i="8"/>
  <c r="Q905" i="8" s="1"/>
  <c r="Q51" i="15"/>
  <c r="V916" i="8"/>
  <c r="V917" i="8" s="1"/>
  <c r="V56" i="15"/>
  <c r="P900" i="8"/>
  <c r="P901" i="8" s="1"/>
  <c r="P66" i="15"/>
  <c r="O900" i="8"/>
  <c r="O901" i="8" s="1"/>
  <c r="O66" i="15"/>
  <c r="L26" i="15"/>
  <c r="L66" i="17" s="1"/>
  <c r="U944" i="8"/>
  <c r="U22" i="15"/>
  <c r="S904" i="8"/>
  <c r="S905" i="8" s="1"/>
  <c r="S51" i="15"/>
  <c r="U900" i="8"/>
  <c r="U901" i="8" s="1"/>
  <c r="U66" i="15"/>
  <c r="O379" i="2"/>
  <c r="O380" i="2" s="1"/>
  <c r="O70" i="17" s="1"/>
  <c r="T372" i="2"/>
  <c r="S339" i="2"/>
  <c r="S361" i="2" s="1"/>
  <c r="M191" i="14"/>
  <c r="M1671" i="8" s="1"/>
  <c r="T339" i="2"/>
  <c r="T361" i="2" s="1"/>
  <c r="W328" i="14"/>
  <c r="W75" i="17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75" i="17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75" i="17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75" i="17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75" i="17"/>
  <c r="D60" i="18" s="1"/>
  <c r="L427" i="2"/>
  <c r="L547" i="2"/>
  <c r="L607" i="2"/>
  <c r="L487" i="2"/>
  <c r="M133" i="14"/>
  <c r="M488" i="2"/>
  <c r="M548" i="2"/>
  <c r="M608" i="2"/>
  <c r="M428" i="2"/>
  <c r="S75" i="17"/>
  <c r="M165" i="14"/>
  <c r="N612" i="2"/>
  <c r="N552" i="2"/>
  <c r="N432" i="2"/>
  <c r="N492" i="2"/>
  <c r="N176" i="14"/>
  <c r="N178" i="14" s="1"/>
  <c r="U75" i="17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75" i="17"/>
  <c r="N1682" i="8"/>
  <c r="N139" i="5"/>
  <c r="N648" i="2" s="1"/>
  <c r="V75" i="17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S70" i="17" s="1"/>
  <c r="N71" i="8"/>
  <c r="N72" i="8" s="1"/>
  <c r="N25" i="12"/>
  <c r="R379" i="2"/>
  <c r="R380" i="2" s="1"/>
  <c r="R70" i="17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M62" i="15" s="1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L1466" i="8"/>
  <c r="X856" i="8"/>
  <c r="X857" i="8" s="1"/>
  <c r="X683" i="2"/>
  <c r="X86" i="17" s="1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W66" i="15" s="1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69" i="17" s="1"/>
  <c r="V84" i="17" s="1"/>
  <c r="Z1008" i="8"/>
  <c r="Z1009" i="8" s="1"/>
  <c r="Z744" i="2"/>
  <c r="Z733" i="2"/>
  <c r="Z256" i="14" s="1"/>
  <c r="Z796" i="8"/>
  <c r="Z797" i="8" s="1"/>
  <c r="Z992" i="8"/>
  <c r="Z993" i="8" s="1"/>
  <c r="Z729" i="2"/>
  <c r="Z740" i="2"/>
  <c r="X737" i="2"/>
  <c r="X1184" i="8" s="1"/>
  <c r="X1185" i="8" s="1"/>
  <c r="X376" i="2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X386" i="2"/>
  <c r="X928" i="8" s="1"/>
  <c r="X929" i="8" s="1"/>
  <c r="Y820" i="8"/>
  <c r="Y821" i="8" s="1"/>
  <c r="X816" i="8"/>
  <c r="X817" i="8" s="1"/>
  <c r="U41" i="18" l="1"/>
  <c r="Q37" i="18"/>
  <c r="R37" i="18"/>
  <c r="L660" i="2"/>
  <c r="L38" i="15" s="1"/>
  <c r="L659" i="2"/>
  <c r="L37" i="15" s="1"/>
  <c r="N660" i="2"/>
  <c r="N38" i="15" s="1"/>
  <c r="N659" i="2"/>
  <c r="N37" i="15" s="1"/>
  <c r="M660" i="2"/>
  <c r="M38" i="15" s="1"/>
  <c r="M659" i="2"/>
  <c r="M37" i="15" s="1"/>
  <c r="O920" i="8"/>
  <c r="O921" i="8" s="1"/>
  <c r="F1697" i="8"/>
  <c r="T285" i="2"/>
  <c r="T70" i="17"/>
  <c r="M63" i="15"/>
  <c r="M1849" i="8" s="1"/>
  <c r="M64" i="15"/>
  <c r="Z252" i="14"/>
  <c r="Q24" i="15"/>
  <c r="Q1836" i="8"/>
  <c r="W916" i="8"/>
  <c r="W917" i="8" s="1"/>
  <c r="W56" i="15"/>
  <c r="M1838" i="8"/>
  <c r="M27" i="15"/>
  <c r="M1835" i="8" s="1"/>
  <c r="R24" i="15"/>
  <c r="R1836" i="8"/>
  <c r="Z45" i="14"/>
  <c r="V944" i="8"/>
  <c r="V22" i="15"/>
  <c r="L1844" i="8"/>
  <c r="L1840" i="8"/>
  <c r="O24" i="15"/>
  <c r="O1836" i="8"/>
  <c r="U24" i="15"/>
  <c r="U1836" i="8"/>
  <c r="S24" i="15"/>
  <c r="S1836" i="8"/>
  <c r="M1523" i="8"/>
  <c r="M57" i="15"/>
  <c r="X908" i="8"/>
  <c r="X909" i="8" s="1"/>
  <c r="X61" i="15"/>
  <c r="P24" i="15"/>
  <c r="P1836" i="8"/>
  <c r="M1844" i="8"/>
  <c r="M1840" i="8"/>
  <c r="X904" i="8"/>
  <c r="X905" i="8" s="1"/>
  <c r="X51" i="15"/>
  <c r="Y908" i="8"/>
  <c r="Y909" i="8" s="1"/>
  <c r="Y61" i="15"/>
  <c r="L27" i="15"/>
  <c r="L1835" i="8" s="1"/>
  <c r="L1838" i="8"/>
  <c r="X23" i="15"/>
  <c r="X1842" i="8" s="1"/>
  <c r="T24" i="15"/>
  <c r="T1836" i="8"/>
  <c r="M198" i="14"/>
  <c r="S1431" i="8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75" i="17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762" i="2"/>
  <c r="M767" i="2"/>
  <c r="M1280" i="8" s="1"/>
  <c r="M1281" i="8" s="1"/>
  <c r="M766" i="2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766" i="2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S328" i="2"/>
  <c r="U380" i="2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AD1566" i="8"/>
  <c r="U1566" i="8"/>
  <c r="N39" i="12"/>
  <c r="N27" i="12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M67" i="15" s="1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Y90" i="17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X90" i="17" s="1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Y86" i="17" s="1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X374" i="2"/>
  <c r="V920" i="8"/>
  <c r="V921" i="8" s="1"/>
  <c r="V380" i="2"/>
  <c r="V70" i="17" s="1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69" i="17" s="1"/>
  <c r="W84" i="17" s="1"/>
  <c r="AA992" i="8"/>
  <c r="AA993" i="8" s="1"/>
  <c r="AA729" i="2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P285" i="2" l="1"/>
  <c r="P70" i="17"/>
  <c r="U1433" i="8"/>
  <c r="U70" i="17"/>
  <c r="Q285" i="2"/>
  <c r="Q70" i="17"/>
  <c r="M85" i="12"/>
  <c r="W944" i="8"/>
  <c r="W22" i="15"/>
  <c r="M58" i="15"/>
  <c r="M1848" i="8" s="1"/>
  <c r="M59" i="15"/>
  <c r="M1532" i="8"/>
  <c r="M1533" i="8" s="1"/>
  <c r="M52" i="15"/>
  <c r="M17" i="15"/>
  <c r="X900" i="8"/>
  <c r="X901" i="8" s="1"/>
  <c r="X66" i="15"/>
  <c r="L40" i="15"/>
  <c r="AA252" i="14"/>
  <c r="Y904" i="8"/>
  <c r="Y905" i="8" s="1"/>
  <c r="Y51" i="15"/>
  <c r="N1523" i="8"/>
  <c r="N57" i="15"/>
  <c r="N40" i="15"/>
  <c r="N1524" i="8"/>
  <c r="N62" i="15"/>
  <c r="X916" i="8"/>
  <c r="X917" i="8" s="1"/>
  <c r="X56" i="15"/>
  <c r="M40" i="15"/>
  <c r="V24" i="15"/>
  <c r="V1836" i="8"/>
  <c r="M69" i="15"/>
  <c r="M68" i="15"/>
  <c r="M1850" i="8" s="1"/>
  <c r="AA45" i="14"/>
  <c r="Y23" i="15"/>
  <c r="Y1842" i="8" s="1"/>
  <c r="M195" i="14"/>
  <c r="M1670" i="8" s="1"/>
  <c r="M75" i="12"/>
  <c r="M211" i="8"/>
  <c r="M212" i="8" s="1"/>
  <c r="Y328" i="14"/>
  <c r="Y75" i="17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90" i="15" s="1"/>
  <c r="L92" i="15" s="1"/>
  <c r="L1854" i="8" s="1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90" i="15" s="1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90" i="15" s="1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L73" i="17" s="1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73" i="17" s="1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794" i="2"/>
  <c r="L1356" i="8" s="1"/>
  <c r="L1357" i="8" s="1"/>
  <c r="Q339" i="14"/>
  <c r="Q341" i="14" s="1"/>
  <c r="N1248" i="8"/>
  <c r="N1249" i="8" s="1"/>
  <c r="N797" i="2"/>
  <c r="N1368" i="8" s="1"/>
  <c r="N1369" i="8" s="1"/>
  <c r="O184" i="14"/>
  <c r="O186" i="14" s="1"/>
  <c r="L1252" i="8"/>
  <c r="L1253" i="8" s="1"/>
  <c r="L775" i="2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73" i="17" s="1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39" i="12"/>
  <c r="O62" i="15" s="1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N67" i="15" s="1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86" i="17" s="1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W70" i="17" s="1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69" i="17" s="1"/>
  <c r="X84" i="17" s="1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Y66" i="15" s="1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M59" i="17" l="1"/>
  <c r="M18" i="15"/>
  <c r="Y125" i="14"/>
  <c r="Y128" i="14" s="1"/>
  <c r="Y130" i="14" s="1"/>
  <c r="Z23" i="15"/>
  <c r="Z1842" i="8" s="1"/>
  <c r="L1312" i="8"/>
  <c r="L1313" i="8" s="1"/>
  <c r="L80" i="15"/>
  <c r="M1300" i="8"/>
  <c r="M1301" i="8" s="1"/>
  <c r="M75" i="15"/>
  <c r="M1312" i="8"/>
  <c r="M1313" i="8" s="1"/>
  <c r="M80" i="15"/>
  <c r="N17" i="15"/>
  <c r="N52" i="15"/>
  <c r="N63" i="15"/>
  <c r="N1849" i="8" s="1"/>
  <c r="N64" i="15"/>
  <c r="N1300" i="8"/>
  <c r="N1301" i="8" s="1"/>
  <c r="N75" i="15"/>
  <c r="N1312" i="8"/>
  <c r="N1313" i="8" s="1"/>
  <c r="N80" i="15"/>
  <c r="N58" i="15"/>
  <c r="N1848" i="8" s="1"/>
  <c r="N59" i="15"/>
  <c r="M53" i="15"/>
  <c r="M1847" i="8" s="1"/>
  <c r="M54" i="15"/>
  <c r="N1304" i="8"/>
  <c r="N1305" i="8" s="1"/>
  <c r="N85" i="15"/>
  <c r="L1304" i="8"/>
  <c r="L1305" i="8" s="1"/>
  <c r="L85" i="15"/>
  <c r="X944" i="8"/>
  <c r="X22" i="15"/>
  <c r="Y916" i="8"/>
  <c r="Y917" i="8" s="1"/>
  <c r="Y56" i="15"/>
  <c r="L1300" i="8"/>
  <c r="L1301" i="8" s="1"/>
  <c r="L75" i="15"/>
  <c r="M1304" i="8"/>
  <c r="M1305" i="8" s="1"/>
  <c r="M85" i="15"/>
  <c r="AB252" i="14"/>
  <c r="AB45" i="14"/>
  <c r="O63" i="15"/>
  <c r="O1849" i="8" s="1"/>
  <c r="O64" i="15"/>
  <c r="Z908" i="8"/>
  <c r="Z909" i="8" s="1"/>
  <c r="Z61" i="15"/>
  <c r="Z904" i="8"/>
  <c r="Z905" i="8" s="1"/>
  <c r="Z51" i="15"/>
  <c r="O1535" i="8"/>
  <c r="O1536" i="8" s="1"/>
  <c r="O57" i="15"/>
  <c r="W24" i="15"/>
  <c r="W1836" i="8"/>
  <c r="N68" i="15"/>
  <c r="N1850" i="8" s="1"/>
  <c r="N69" i="15"/>
  <c r="Y131" i="14"/>
  <c r="Y132" i="14" s="1"/>
  <c r="Y134" i="14" s="1"/>
  <c r="Y147" i="14"/>
  <c r="Y148" i="14" s="1"/>
  <c r="Y150" i="14" s="1"/>
  <c r="Y151" i="14"/>
  <c r="Y152" i="14" s="1"/>
  <c r="Y154" i="14" s="1"/>
  <c r="Y159" i="14"/>
  <c r="Y160" i="14" s="1"/>
  <c r="Y162" i="14" s="1"/>
  <c r="Y175" i="14"/>
  <c r="Y176" i="14" s="1"/>
  <c r="Y178" i="14" s="1"/>
  <c r="Y171" i="14"/>
  <c r="Y172" i="14" s="1"/>
  <c r="Y174" i="14" s="1"/>
  <c r="Y250" i="2"/>
  <c r="Y1673" i="8" s="1"/>
  <c r="Y187" i="14"/>
  <c r="Y190" i="14" s="1"/>
  <c r="Y197" i="14" s="1"/>
  <c r="Y139" i="14"/>
  <c r="Y140" i="14" s="1"/>
  <c r="Y142" i="14" s="1"/>
  <c r="Y167" i="14"/>
  <c r="Y168" i="14" s="1"/>
  <c r="Y170" i="14" s="1"/>
  <c r="Y143" i="14"/>
  <c r="Y144" i="14" s="1"/>
  <c r="Y146" i="14" s="1"/>
  <c r="Y155" i="14"/>
  <c r="Y156" i="14" s="1"/>
  <c r="Y158" i="14" s="1"/>
  <c r="Y183" i="14"/>
  <c r="Y184" i="14" s="1"/>
  <c r="Y186" i="14" s="1"/>
  <c r="Y179" i="14"/>
  <c r="Y180" i="14" s="1"/>
  <c r="Y182" i="14" s="1"/>
  <c r="Y163" i="14"/>
  <c r="Y164" i="14" s="1"/>
  <c r="Y166" i="14" s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75" i="17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W173" i="14"/>
  <c r="R173" i="14"/>
  <c r="O153" i="14"/>
  <c r="M1320" i="8"/>
  <c r="M1321" i="8" s="1"/>
  <c r="M789" i="2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M1545" i="8"/>
  <c r="M90" i="12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M1586" i="8"/>
  <c r="M1714" i="8"/>
  <c r="M1582" i="8"/>
  <c r="M1688" i="8"/>
  <c r="M1590" i="8"/>
  <c r="N83" i="12"/>
  <c r="N231" i="8"/>
  <c r="N232" i="8" s="1"/>
  <c r="M78" i="12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O376" i="14"/>
  <c r="X199" i="14"/>
  <c r="X200" i="14" s="1"/>
  <c r="X1672" i="8"/>
  <c r="O177" i="14"/>
  <c r="W145" i="14"/>
  <c r="P428" i="2"/>
  <c r="P488" i="2"/>
  <c r="P548" i="2"/>
  <c r="P608" i="2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O15" i="12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O67" i="15" s="1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P62" i="15" s="1"/>
  <c r="Y372" i="2"/>
  <c r="Y339" i="2"/>
  <c r="Y361" i="2" s="1"/>
  <c r="Y964" i="8"/>
  <c r="Y965" i="8" s="1"/>
  <c r="AA717" i="2"/>
  <c r="AA706" i="2" s="1"/>
  <c r="AA90" i="17" s="1"/>
  <c r="Z296" i="2"/>
  <c r="AA318" i="2"/>
  <c r="X1434" i="8"/>
  <c r="X328" i="2"/>
  <c r="Z706" i="2"/>
  <c r="Z90" i="17" s="1"/>
  <c r="AA696" i="2"/>
  <c r="Z395" i="2"/>
  <c r="Z960" i="8" s="1"/>
  <c r="Z961" i="8" s="1"/>
  <c r="AA683" i="2"/>
  <c r="AA86" i="17" s="1"/>
  <c r="AA297" i="2"/>
  <c r="W285" i="2"/>
  <c r="W286" i="2"/>
  <c r="AB259" i="2"/>
  <c r="AA284" i="2"/>
  <c r="X1432" i="8"/>
  <c r="AB258" i="2"/>
  <c r="AA383" i="2"/>
  <c r="X980" i="8"/>
  <c r="X981" i="8" s="1"/>
  <c r="Z374" i="2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X70" i="17" s="1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Y69" i="17" s="1"/>
  <c r="Y84" i="17" s="1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L87" i="15" l="1"/>
  <c r="L1853" i="8" s="1"/>
  <c r="L60" i="17"/>
  <c r="L61" i="17" s="1"/>
  <c r="L65" i="17" s="1"/>
  <c r="N59" i="17"/>
  <c r="Q660" i="2"/>
  <c r="Q38" i="15" s="1"/>
  <c r="Q659" i="2"/>
  <c r="Q37" i="15" s="1"/>
  <c r="P659" i="2"/>
  <c r="P37" i="15" s="1"/>
  <c r="P660" i="2"/>
  <c r="P38" i="15" s="1"/>
  <c r="O660" i="2"/>
  <c r="O38" i="15" s="1"/>
  <c r="O659" i="2"/>
  <c r="O37" i="15" s="1"/>
  <c r="M63" i="17"/>
  <c r="N18" i="15"/>
  <c r="N19" i="15" s="1"/>
  <c r="N1834" i="8" s="1"/>
  <c r="AA23" i="15"/>
  <c r="AA1842" i="8" s="1"/>
  <c r="Y206" i="14"/>
  <c r="AA908" i="8"/>
  <c r="AA909" i="8" s="1"/>
  <c r="AA61" i="15"/>
  <c r="X24" i="15"/>
  <c r="X1836" i="8"/>
  <c r="M1528" i="8"/>
  <c r="M86" i="15"/>
  <c r="L1340" i="8"/>
  <c r="L39" i="15"/>
  <c r="M1527" i="8"/>
  <c r="M81" i="15"/>
  <c r="Z900" i="8"/>
  <c r="Z901" i="8" s="1"/>
  <c r="Z66" i="15"/>
  <c r="N53" i="15"/>
  <c r="N1847" i="8" s="1"/>
  <c r="N54" i="15"/>
  <c r="P1523" i="8"/>
  <c r="P57" i="15"/>
  <c r="AC45" i="14"/>
  <c r="Y944" i="8"/>
  <c r="Y22" i="15"/>
  <c r="Z916" i="8"/>
  <c r="Z917" i="8" s="1"/>
  <c r="Z56" i="15"/>
  <c r="O58" i="15"/>
  <c r="O1848" i="8" s="1"/>
  <c r="O59" i="15"/>
  <c r="M76" i="15"/>
  <c r="M34" i="15"/>
  <c r="O1522" i="8"/>
  <c r="O17" i="15"/>
  <c r="O52" i="15"/>
  <c r="AA904" i="8"/>
  <c r="AA905" i="8" s="1"/>
  <c r="AA51" i="15"/>
  <c r="M1340" i="8"/>
  <c r="M39" i="15"/>
  <c r="AC252" i="14"/>
  <c r="N1340" i="8"/>
  <c r="N39" i="15"/>
  <c r="L77" i="15"/>
  <c r="L1851" i="8" s="1"/>
  <c r="L78" i="15"/>
  <c r="L83" i="15"/>
  <c r="L82" i="15"/>
  <c r="L1852" i="8" s="1"/>
  <c r="O68" i="15"/>
  <c r="O1850" i="8" s="1"/>
  <c r="O69" i="15"/>
  <c r="P63" i="15"/>
  <c r="P1849" i="8" s="1"/>
  <c r="P64" i="15"/>
  <c r="M1529" i="8"/>
  <c r="M91" i="15"/>
  <c r="Y207" i="14"/>
  <c r="Y209" i="14"/>
  <c r="Y211" i="14"/>
  <c r="Y1669" i="8"/>
  <c r="Y208" i="14"/>
  <c r="Y193" i="14"/>
  <c r="Y204" i="14"/>
  <c r="Y192" i="14"/>
  <c r="Y210" i="14"/>
  <c r="Y203" i="14"/>
  <c r="Y205" i="14"/>
  <c r="Z131" i="14"/>
  <c r="Z132" i="14" s="1"/>
  <c r="Z134" i="14" s="1"/>
  <c r="Z147" i="14"/>
  <c r="Z148" i="14" s="1"/>
  <c r="Z150" i="14" s="1"/>
  <c r="Z183" i="14"/>
  <c r="Z184" i="14" s="1"/>
  <c r="Z186" i="14" s="1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44" i="14" s="1"/>
  <c r="Z146" i="14" s="1"/>
  <c r="Z151" i="14"/>
  <c r="Z152" i="14" s="1"/>
  <c r="Z154" i="14" s="1"/>
  <c r="Z179" i="14"/>
  <c r="Z180" i="14" s="1"/>
  <c r="Z182" i="14" s="1"/>
  <c r="W340" i="14"/>
  <c r="W342" i="14" s="1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75" i="17" s="1"/>
  <c r="X173" i="14"/>
  <c r="AB120" i="14"/>
  <c r="Y177" i="14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O1683" i="8"/>
  <c r="O769" i="2"/>
  <c r="O754" i="2"/>
  <c r="O765" i="2"/>
  <c r="O762" i="2"/>
  <c r="O658" i="2"/>
  <c r="O768" i="2"/>
  <c r="O1284" i="8" s="1"/>
  <c r="O1285" i="8" s="1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45" i="8"/>
  <c r="X165" i="14"/>
  <c r="P1683" i="8"/>
  <c r="P765" i="2"/>
  <c r="P769" i="2"/>
  <c r="P758" i="2"/>
  <c r="P754" i="2"/>
  <c r="P756" i="2"/>
  <c r="P768" i="2"/>
  <c r="P1284" i="8" s="1"/>
  <c r="P1285" i="8" s="1"/>
  <c r="P762" i="2"/>
  <c r="P764" i="2"/>
  <c r="P1268" i="8" s="1"/>
  <c r="P1269" i="8" s="1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M89" i="17" s="1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768" i="2"/>
  <c r="Q1284" i="8" s="1"/>
  <c r="Q1285" i="8" s="1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N89" i="17" s="1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89" i="17" s="1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O453" i="2"/>
  <c r="O101" i="12"/>
  <c r="O291" i="8"/>
  <c r="O292" i="8" s="1"/>
  <c r="P641" i="2"/>
  <c r="P635" i="2"/>
  <c r="O95" i="12"/>
  <c r="O267" i="8"/>
  <c r="O268" i="8" s="1"/>
  <c r="N102" i="12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Q27" i="12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P67" i="15" s="1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Q62" i="15" s="1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90" i="17" s="1"/>
  <c r="AB318" i="2"/>
  <c r="AB307" i="2" s="1"/>
  <c r="Y1434" i="8"/>
  <c r="Y328" i="2"/>
  <c r="AB376" i="2"/>
  <c r="AA307" i="2"/>
  <c r="AA374" i="2"/>
  <c r="AA844" i="8"/>
  <c r="AA845" i="8" s="1"/>
  <c r="AB696" i="2"/>
  <c r="AB297" i="2"/>
  <c r="AB683" i="2"/>
  <c r="AB86" i="17" s="1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Y70" i="17" s="1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Z69" i="17" s="1"/>
  <c r="Z84" i="17" s="1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C1004" i="8"/>
  <c r="AC1005" i="8" s="1"/>
  <c r="AC732" i="2"/>
  <c r="AC255" i="14" s="1"/>
  <c r="AC743" i="2"/>
  <c r="AA371" i="2"/>
  <c r="AA896" i="8" s="1"/>
  <c r="AA897" i="8" s="1"/>
  <c r="M64" i="17" l="1"/>
  <c r="L1713" i="8"/>
  <c r="M60" i="17"/>
  <c r="M61" i="17" s="1"/>
  <c r="L82" i="17"/>
  <c r="L93" i="17"/>
  <c r="O59" i="17"/>
  <c r="N28" i="15"/>
  <c r="N25" i="15"/>
  <c r="N1837" i="8" s="1"/>
  <c r="N63" i="17"/>
  <c r="N64" i="17" s="1"/>
  <c r="O18" i="15"/>
  <c r="O19" i="15" s="1"/>
  <c r="O25" i="15" s="1"/>
  <c r="M35" i="15"/>
  <c r="Y191" i="14"/>
  <c r="Y194" i="14" s="1"/>
  <c r="Y195" i="14" s="1"/>
  <c r="Y1670" i="8" s="1"/>
  <c r="Q40" i="15"/>
  <c r="O40" i="15"/>
  <c r="P40" i="15"/>
  <c r="M93" i="15"/>
  <c r="M92" i="15"/>
  <c r="M1854" i="8" s="1"/>
  <c r="M41" i="15"/>
  <c r="M1839" i="8"/>
  <c r="AD252" i="14"/>
  <c r="AB904" i="8"/>
  <c r="AB905" i="8" s="1"/>
  <c r="AB51" i="15"/>
  <c r="Y24" i="15"/>
  <c r="Y1836" i="8"/>
  <c r="Q63" i="15"/>
  <c r="Q1849" i="8" s="1"/>
  <c r="Q64" i="15"/>
  <c r="O53" i="15"/>
  <c r="O1847" i="8" s="1"/>
  <c r="O54" i="15"/>
  <c r="M88" i="15"/>
  <c r="M87" i="15"/>
  <c r="M1853" i="8" s="1"/>
  <c r="P58" i="15"/>
  <c r="P1848" i="8" s="1"/>
  <c r="P59" i="15"/>
  <c r="Q1523" i="8"/>
  <c r="Q57" i="15"/>
  <c r="L41" i="15"/>
  <c r="L1839" i="8"/>
  <c r="AA916" i="8"/>
  <c r="AA917" i="8" s="1"/>
  <c r="AA56" i="15"/>
  <c r="Z944" i="8"/>
  <c r="Z22" i="15"/>
  <c r="N1529" i="8"/>
  <c r="N91" i="15"/>
  <c r="AA900" i="8"/>
  <c r="AA901" i="8" s="1"/>
  <c r="AA66" i="15"/>
  <c r="N1528" i="8"/>
  <c r="N86" i="15"/>
  <c r="M78" i="15"/>
  <c r="M77" i="15"/>
  <c r="M1851" i="8" s="1"/>
  <c r="P1522" i="8"/>
  <c r="P52" i="15"/>
  <c r="P17" i="15"/>
  <c r="AB23" i="15"/>
  <c r="AB1842" i="8" s="1"/>
  <c r="N41" i="15"/>
  <c r="N1839" i="8"/>
  <c r="AD45" i="14"/>
  <c r="AB908" i="8"/>
  <c r="AB909" i="8" s="1"/>
  <c r="AB61" i="15"/>
  <c r="N76" i="15"/>
  <c r="N34" i="15"/>
  <c r="P68" i="15"/>
  <c r="P1850" i="8" s="1"/>
  <c r="P69" i="15"/>
  <c r="N1527" i="8"/>
  <c r="N81" i="15"/>
  <c r="M82" i="15"/>
  <c r="M1852" i="8" s="1"/>
  <c r="M83" i="15"/>
  <c r="Z192" i="14"/>
  <c r="Z193" i="14"/>
  <c r="Z210" i="14"/>
  <c r="Z204" i="14"/>
  <c r="Z206" i="14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75" i="17" s="1"/>
  <c r="Z157" i="14"/>
  <c r="AC327" i="14"/>
  <c r="AC119" i="14"/>
  <c r="Z141" i="14"/>
  <c r="Z185" i="14"/>
  <c r="AC331" i="14"/>
  <c r="Z165" i="14"/>
  <c r="AC120" i="14"/>
  <c r="P1532" i="8"/>
  <c r="P1533" i="8" s="1"/>
  <c r="Z133" i="14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90" i="15" s="1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O73" i="17" s="1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O90" i="15" s="1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P1224" i="8"/>
  <c r="P1225" i="8" s="1"/>
  <c r="P791" i="2"/>
  <c r="P774" i="2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P73" i="17" s="1"/>
  <c r="Z177" i="14"/>
  <c r="P1252" i="8"/>
  <c r="P1253" i="8" s="1"/>
  <c r="P775" i="2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3" i="17" s="1"/>
  <c r="Q785" i="2"/>
  <c r="Q1324" i="8" s="1"/>
  <c r="Q1325" i="8" s="1"/>
  <c r="O1546" i="8"/>
  <c r="O102" i="12"/>
  <c r="Q458" i="2"/>
  <c r="P62" i="12"/>
  <c r="P171" i="8"/>
  <c r="P172" i="8" s="1"/>
  <c r="P1240" i="8"/>
  <c r="P1241" i="8" s="1"/>
  <c r="P795" i="2"/>
  <c r="P1360" i="8" s="1"/>
  <c r="P1361" i="8" s="1"/>
  <c r="P773" i="2"/>
  <c r="P90" i="15" s="1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R27" i="12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R62" i="15" s="1"/>
  <c r="T177" i="2"/>
  <c r="S33" i="12"/>
  <c r="S91" i="8"/>
  <c r="S92" i="8" s="1"/>
  <c r="Q51" i="12"/>
  <c r="Q67" i="15" s="1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297" i="2"/>
  <c r="AC696" i="2"/>
  <c r="AB382" i="2"/>
  <c r="AC318" i="2"/>
  <c r="AC307" i="2" s="1"/>
  <c r="AC717" i="2"/>
  <c r="AC706" i="2" s="1"/>
  <c r="AC90" i="17" s="1"/>
  <c r="Z1434" i="8"/>
  <c r="Z328" i="2"/>
  <c r="F849" i="8"/>
  <c r="AC683" i="2"/>
  <c r="AC86" i="17" s="1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Z70" i="17" s="1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A69" i="17" s="1"/>
  <c r="AA84" i="17" s="1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66" i="15" s="1"/>
  <c r="AB378" i="2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M65" i="17" l="1"/>
  <c r="M82" i="17" s="1"/>
  <c r="N60" i="17"/>
  <c r="N61" i="17" s="1"/>
  <c r="N65" i="17" s="1"/>
  <c r="L1866" i="8"/>
  <c r="L91" i="17"/>
  <c r="L92" i="17" s="1"/>
  <c r="P59" i="17"/>
  <c r="O28" i="15"/>
  <c r="O1834" i="8"/>
  <c r="N26" i="15"/>
  <c r="N66" i="17" s="1"/>
  <c r="O63" i="17"/>
  <c r="O64" i="17" s="1"/>
  <c r="N1469" i="8"/>
  <c r="N87" i="17"/>
  <c r="L1469" i="8"/>
  <c r="L87" i="17"/>
  <c r="P18" i="15"/>
  <c r="P19" i="15" s="1"/>
  <c r="P25" i="15" s="1"/>
  <c r="N35" i="15"/>
  <c r="N36" i="15" s="1"/>
  <c r="N42" i="15" s="1"/>
  <c r="N43" i="15" s="1"/>
  <c r="M1469" i="8"/>
  <c r="M87" i="17"/>
  <c r="Y1671" i="8"/>
  <c r="Y198" i="14"/>
  <c r="Y196" i="14"/>
  <c r="AC23" i="15"/>
  <c r="AC1842" i="8" s="1"/>
  <c r="AC904" i="8"/>
  <c r="AC905" i="8" s="1"/>
  <c r="AC51" i="15"/>
  <c r="O1312" i="8"/>
  <c r="O1313" i="8" s="1"/>
  <c r="O80" i="15"/>
  <c r="N83" i="15"/>
  <c r="N82" i="15"/>
  <c r="N1852" i="8" s="1"/>
  <c r="AB916" i="8"/>
  <c r="AB917" i="8" s="1"/>
  <c r="AB56" i="15"/>
  <c r="AE252" i="14"/>
  <c r="Q1300" i="8"/>
  <c r="Q1301" i="8" s="1"/>
  <c r="Q75" i="15"/>
  <c r="P1300" i="8"/>
  <c r="P1301" i="8" s="1"/>
  <c r="P75" i="15"/>
  <c r="N93" i="15"/>
  <c r="N92" i="15"/>
  <c r="N1854" i="8" s="1"/>
  <c r="P53" i="15"/>
  <c r="P1847" i="8" s="1"/>
  <c r="P54" i="15"/>
  <c r="M43" i="15"/>
  <c r="M67" i="17" s="1"/>
  <c r="M68" i="17" s="1"/>
  <c r="M81" i="17" s="1"/>
  <c r="M45" i="15"/>
  <c r="P1312" i="8"/>
  <c r="P1313" i="8" s="1"/>
  <c r="P80" i="15"/>
  <c r="AA944" i="8"/>
  <c r="AA22" i="15"/>
  <c r="R63" i="15"/>
  <c r="R1849" i="8" s="1"/>
  <c r="R64" i="15"/>
  <c r="Q1304" i="8"/>
  <c r="Q1305" i="8" s="1"/>
  <c r="Q85" i="15"/>
  <c r="O1300" i="8"/>
  <c r="O1301" i="8" s="1"/>
  <c r="O75" i="15"/>
  <c r="AC908" i="8"/>
  <c r="AC909" i="8" s="1"/>
  <c r="AC61" i="15"/>
  <c r="Q68" i="15"/>
  <c r="Q1850" i="8" s="1"/>
  <c r="Q69" i="15"/>
  <c r="R1523" i="8"/>
  <c r="R57" i="15"/>
  <c r="Q1312" i="8"/>
  <c r="Q1313" i="8" s="1"/>
  <c r="Q80" i="15"/>
  <c r="N78" i="15"/>
  <c r="N77" i="15"/>
  <c r="N1851" i="8" s="1"/>
  <c r="Q58" i="15"/>
  <c r="Q1848" i="8" s="1"/>
  <c r="Q59" i="15"/>
  <c r="N87" i="15"/>
  <c r="N1853" i="8" s="1"/>
  <c r="N88" i="15"/>
  <c r="Z24" i="15"/>
  <c r="Z1836" i="8"/>
  <c r="Q1522" i="8"/>
  <c r="Q52" i="15"/>
  <c r="Q17" i="15"/>
  <c r="O1304" i="8"/>
  <c r="O1305" i="8" s="1"/>
  <c r="O85" i="15"/>
  <c r="AE45" i="14"/>
  <c r="O1529" i="8"/>
  <c r="O91" i="15"/>
  <c r="P1304" i="8"/>
  <c r="P1305" i="8" s="1"/>
  <c r="P85" i="15"/>
  <c r="L43" i="15"/>
  <c r="L67" i="17" s="1"/>
  <c r="L68" i="17" s="1"/>
  <c r="L81" i="17" s="1"/>
  <c r="L83" i="17" s="1"/>
  <c r="L45" i="15"/>
  <c r="O1837" i="8"/>
  <c r="O26" i="15"/>
  <c r="O66" i="17" s="1"/>
  <c r="Z191" i="14"/>
  <c r="Z198" i="14" s="1"/>
  <c r="AC328" i="14"/>
  <c r="AC75" i="17" s="1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 s="1"/>
  <c r="T344" i="14"/>
  <c r="T346" i="14" s="1"/>
  <c r="AC121" i="14"/>
  <c r="AC122" i="14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88" i="17" s="1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45" i="8"/>
  <c r="AA140" i="14"/>
  <c r="AA142" i="14" s="1"/>
  <c r="Q287" i="8"/>
  <c r="Q288" i="8" s="1"/>
  <c r="Q100" i="12"/>
  <c r="O1544" i="8"/>
  <c r="O78" i="12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46" i="8"/>
  <c r="Q95" i="12"/>
  <c r="Q267" i="8"/>
  <c r="Q268" i="8" s="1"/>
  <c r="Q75" i="12"/>
  <c r="Q211" i="8"/>
  <c r="Q212" i="8" s="1"/>
  <c r="AD124" i="14"/>
  <c r="P771" i="2"/>
  <c r="P88" i="17" s="1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R15" i="12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S62" i="15" s="1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R67" i="15" s="1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90" i="17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AD86" i="17" s="1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A70" i="17" s="1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B69" i="17" s="1"/>
  <c r="AB84" i="17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66" i="15" s="1"/>
  <c r="AC378" i="2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E608" i="8"/>
  <c r="AE609" i="8" s="1"/>
  <c r="F609" i="8" s="1"/>
  <c r="AE344" i="2"/>
  <c r="AE333" i="2"/>
  <c r="AE48" i="14" s="1"/>
  <c r="AE764" i="8"/>
  <c r="AE765" i="8" s="1"/>
  <c r="F765" i="8" s="1"/>
  <c r="AD376" i="2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M93" i="17" l="1"/>
  <c r="M94" i="17" s="1"/>
  <c r="M95" i="17" s="1"/>
  <c r="M1866" i="8"/>
  <c r="M91" i="17"/>
  <c r="M92" i="17" s="1"/>
  <c r="L96" i="17"/>
  <c r="L1865" i="8" s="1"/>
  <c r="L1868" i="8"/>
  <c r="Q59" i="17"/>
  <c r="M83" i="17"/>
  <c r="M1867" i="8" s="1"/>
  <c r="L85" i="17"/>
  <c r="L1867" i="8"/>
  <c r="N27" i="15"/>
  <c r="N1835" i="8" s="1"/>
  <c r="N1838" i="8"/>
  <c r="P28" i="15"/>
  <c r="P63" i="17"/>
  <c r="P1834" i="8"/>
  <c r="N1840" i="8"/>
  <c r="N1844" i="8"/>
  <c r="N82" i="17"/>
  <c r="N93" i="17"/>
  <c r="N1841" i="8"/>
  <c r="N67" i="17"/>
  <c r="N68" i="17" s="1"/>
  <c r="N81" i="17" s="1"/>
  <c r="Q18" i="15"/>
  <c r="Q19" i="15" s="1"/>
  <c r="Q25" i="15" s="1"/>
  <c r="N45" i="15"/>
  <c r="N44" i="15"/>
  <c r="N1855" i="8" s="1"/>
  <c r="Z194" i="14"/>
  <c r="Z195" i="14" s="1"/>
  <c r="Z1670" i="8" s="1"/>
  <c r="Z1671" i="8"/>
  <c r="M44" i="15"/>
  <c r="M1855" i="8" s="1"/>
  <c r="M1841" i="8"/>
  <c r="AC916" i="8"/>
  <c r="AC917" i="8" s="1"/>
  <c r="AC56" i="15"/>
  <c r="O27" i="15"/>
  <c r="O1835" i="8" s="1"/>
  <c r="O1838" i="8"/>
  <c r="R69" i="15"/>
  <c r="R68" i="15"/>
  <c r="R1850" i="8" s="1"/>
  <c r="AB944" i="8"/>
  <c r="AB22" i="15"/>
  <c r="L44" i="15"/>
  <c r="L1855" i="8" s="1"/>
  <c r="L1841" i="8"/>
  <c r="AD904" i="8"/>
  <c r="AD905" i="8" s="1"/>
  <c r="AD51" i="15"/>
  <c r="O1528" i="8"/>
  <c r="O86" i="15"/>
  <c r="AD23" i="15"/>
  <c r="AD1842" i="8" s="1"/>
  <c r="O1527" i="8"/>
  <c r="O81" i="15"/>
  <c r="Q53" i="15"/>
  <c r="Q1847" i="8" s="1"/>
  <c r="Q54" i="15"/>
  <c r="R58" i="15"/>
  <c r="R1848" i="8" s="1"/>
  <c r="R59" i="15"/>
  <c r="O92" i="15"/>
  <c r="O1854" i="8" s="1"/>
  <c r="O93" i="15"/>
  <c r="R1522" i="8"/>
  <c r="R52" i="15"/>
  <c r="R17" i="15"/>
  <c r="AD908" i="8"/>
  <c r="AD909" i="8" s="1"/>
  <c r="AD61" i="15"/>
  <c r="P1837" i="8"/>
  <c r="P26" i="15"/>
  <c r="P66" i="17" s="1"/>
  <c r="O1340" i="8"/>
  <c r="O39" i="15"/>
  <c r="O76" i="15"/>
  <c r="O34" i="15"/>
  <c r="S1523" i="8"/>
  <c r="S57" i="15"/>
  <c r="S63" i="15"/>
  <c r="S1849" i="8" s="1"/>
  <c r="S64" i="15"/>
  <c r="P1340" i="8"/>
  <c r="P39" i="15"/>
  <c r="Q1340" i="8"/>
  <c r="Q39" i="15"/>
  <c r="P1529" i="8"/>
  <c r="P91" i="15"/>
  <c r="AA24" i="15"/>
  <c r="AA1836" i="8"/>
  <c r="R344" i="14"/>
  <c r="R346" i="14" s="1"/>
  <c r="Z339" i="14"/>
  <c r="Z341" i="14" s="1"/>
  <c r="W347" i="14"/>
  <c r="W349" i="14" s="1"/>
  <c r="S344" i="14"/>
  <c r="S346" i="14" s="1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D75" i="17" s="1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45" i="8"/>
  <c r="AA169" i="14"/>
  <c r="AB136" i="14"/>
  <c r="AB138" i="14" s="1"/>
  <c r="O1438" i="8"/>
  <c r="O727" i="2"/>
  <c r="O89" i="17" s="1"/>
  <c r="S1581" i="8"/>
  <c r="S1687" i="8"/>
  <c r="Q1438" i="8"/>
  <c r="Q727" i="2"/>
  <c r="Q89" i="17" s="1"/>
  <c r="Q1316" i="8"/>
  <c r="Q1317" i="8" s="1"/>
  <c r="Q779" i="2"/>
  <c r="Q1704" i="8" s="1"/>
  <c r="Q1546" i="8"/>
  <c r="Q102" i="12"/>
  <c r="O276" i="13"/>
  <c r="O278" i="13" s="1"/>
  <c r="O1720" i="8"/>
  <c r="O406" i="14"/>
  <c r="O407" i="14" s="1"/>
  <c r="O1676" i="8"/>
  <c r="O1436" i="8"/>
  <c r="O1435" i="8"/>
  <c r="O1376" i="8"/>
  <c r="O1377" i="8" s="1"/>
  <c r="AB164" i="14"/>
  <c r="AB166" i="14" s="1"/>
  <c r="P78" i="12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P89" i="17" s="1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T27" i="12"/>
  <c r="D25" i="18" s="1"/>
  <c r="N40" i="18" s="1"/>
  <c r="P40" i="18" s="1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S67" i="15" s="1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T62" i="15" s="1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E90" i="17" s="1"/>
  <c r="AC372" i="2"/>
  <c r="AE383" i="2"/>
  <c r="AC339" i="2"/>
  <c r="AC361" i="2" s="1"/>
  <c r="AE376" i="2"/>
  <c r="AD398" i="2"/>
  <c r="AD972" i="8" s="1"/>
  <c r="AD973" i="8" s="1"/>
  <c r="AE318" i="2"/>
  <c r="AB1434" i="8"/>
  <c r="AB328" i="2"/>
  <c r="AC400" i="2"/>
  <c r="AE683" i="2"/>
  <c r="AE86" i="17" s="1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C69" i="17" s="1"/>
  <c r="AC84" i="17" s="1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B70" i="17" s="1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D66" i="15" s="1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R40" i="18" l="1"/>
  <c r="Q40" i="18"/>
  <c r="O1713" i="8"/>
  <c r="P64" i="17"/>
  <c r="M1868" i="8"/>
  <c r="M96" i="17"/>
  <c r="M1865" i="8" s="1"/>
  <c r="N94" i="17"/>
  <c r="N95" i="17" s="1"/>
  <c r="N1866" i="8"/>
  <c r="N91" i="17"/>
  <c r="N92" i="17" s="1"/>
  <c r="N96" i="17" s="1"/>
  <c r="O60" i="17"/>
  <c r="O61" i="17" s="1"/>
  <c r="O65" i="17" s="1"/>
  <c r="R59" i="17"/>
  <c r="M85" i="17"/>
  <c r="Q63" i="17"/>
  <c r="Q64" i="17" s="1"/>
  <c r="N83" i="17"/>
  <c r="Q28" i="15"/>
  <c r="Q1834" i="8"/>
  <c r="R18" i="15"/>
  <c r="R19" i="15" s="1"/>
  <c r="R28" i="15" s="1"/>
  <c r="O35" i="15"/>
  <c r="O36" i="15" s="1"/>
  <c r="O42" i="15" s="1"/>
  <c r="Z196" i="14"/>
  <c r="R54" i="15"/>
  <c r="R53" i="15"/>
  <c r="R1847" i="8" s="1"/>
  <c r="O88" i="15"/>
  <c r="O87" i="15"/>
  <c r="O1853" i="8" s="1"/>
  <c r="T64" i="15"/>
  <c r="T63" i="15"/>
  <c r="T1849" i="8" s="1"/>
  <c r="S59" i="15"/>
  <c r="S58" i="15"/>
  <c r="S1848" i="8" s="1"/>
  <c r="AE908" i="8"/>
  <c r="AE909" i="8" s="1"/>
  <c r="F909" i="8" s="1"/>
  <c r="AE61" i="15"/>
  <c r="S1522" i="8"/>
  <c r="S52" i="15"/>
  <c r="S17" i="15"/>
  <c r="P1527" i="8"/>
  <c r="P81" i="15"/>
  <c r="AE904" i="8"/>
  <c r="AE905" i="8" s="1"/>
  <c r="F905" i="8" s="1"/>
  <c r="AE51" i="15"/>
  <c r="P93" i="15"/>
  <c r="P92" i="15"/>
  <c r="P1854" i="8" s="1"/>
  <c r="O41" i="15"/>
  <c r="O1839" i="8"/>
  <c r="AE23" i="15"/>
  <c r="AE1842" i="8" s="1"/>
  <c r="F1842" i="8" s="1"/>
  <c r="O77" i="15"/>
  <c r="O1851" i="8" s="1"/>
  <c r="O78" i="15"/>
  <c r="T1523" i="8"/>
  <c r="T57" i="15"/>
  <c r="AC944" i="8"/>
  <c r="AC22" i="15"/>
  <c r="S68" i="15"/>
  <c r="S1850" i="8" s="1"/>
  <c r="S69" i="15"/>
  <c r="P1528" i="8"/>
  <c r="P86" i="15"/>
  <c r="Q41" i="15"/>
  <c r="Q1839" i="8"/>
  <c r="P27" i="15"/>
  <c r="P1835" i="8" s="1"/>
  <c r="P1838" i="8"/>
  <c r="Q1529" i="8"/>
  <c r="Q91" i="15"/>
  <c r="AB24" i="15"/>
  <c r="AB1836" i="8"/>
  <c r="Q1837" i="8"/>
  <c r="Q26" i="15"/>
  <c r="Q66" i="17" s="1"/>
  <c r="P41" i="15"/>
  <c r="P1839" i="8"/>
  <c r="O83" i="15"/>
  <c r="O82" i="15"/>
  <c r="O1852" i="8" s="1"/>
  <c r="AD916" i="8"/>
  <c r="AD917" i="8" s="1"/>
  <c r="AD56" i="15"/>
  <c r="P76" i="15"/>
  <c r="P34" i="15"/>
  <c r="AA195" i="14"/>
  <c r="AA1670" i="8" s="1"/>
  <c r="AA1671" i="8"/>
  <c r="AA198" i="14"/>
  <c r="Y343" i="14"/>
  <c r="Y345" i="14" s="1"/>
  <c r="V347" i="14"/>
  <c r="V349" i="14" s="1"/>
  <c r="U347" i="14"/>
  <c r="U349" i="14" s="1"/>
  <c r="T348" i="14"/>
  <c r="T350" i="14" s="1"/>
  <c r="AE121" i="14"/>
  <c r="AE122" i="14" s="1"/>
  <c r="R347" i="14"/>
  <c r="R349" i="14" s="1"/>
  <c r="AA340" i="14"/>
  <c r="AA342" i="14" s="1"/>
  <c r="W348" i="14"/>
  <c r="W350" i="14" s="1"/>
  <c r="S347" i="14"/>
  <c r="S349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172" i="14" s="1"/>
  <c r="AD174" i="14" s="1"/>
  <c r="AD250" i="2"/>
  <c r="AD1673" i="8" s="1"/>
  <c r="AE328" i="14"/>
  <c r="AE75" i="17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48" i="8"/>
  <c r="O1721" i="8"/>
  <c r="O1698" i="8"/>
  <c r="O1573" i="8"/>
  <c r="O1595" i="8"/>
  <c r="Q1719" i="8"/>
  <c r="Q1696" i="8"/>
  <c r="Q684" i="2"/>
  <c r="Q1448" i="8"/>
  <c r="Q685" i="2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AB191" i="14"/>
  <c r="P1526" i="8"/>
  <c r="P1718" i="8"/>
  <c r="AC172" i="14"/>
  <c r="AC174" i="14" s="1"/>
  <c r="AB336" i="14"/>
  <c r="AB338" i="14" s="1"/>
  <c r="AB339" i="14" s="1"/>
  <c r="AB341" i="14" s="1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45" i="8"/>
  <c r="AB137" i="14"/>
  <c r="AC184" i="14"/>
  <c r="AC186" i="14" s="1"/>
  <c r="AB157" i="14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D24" i="18" s="1"/>
  <c r="N38" i="18" s="1"/>
  <c r="P38" i="18" s="1"/>
  <c r="U27" i="12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U62" i="15" s="1"/>
  <c r="T51" i="12"/>
  <c r="T67" i="15" s="1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D860" i="8"/>
  <c r="AD861" i="8" s="1"/>
  <c r="AD381" i="2"/>
  <c r="AC920" i="8"/>
  <c r="AC921" i="8" s="1"/>
  <c r="AC380" i="2"/>
  <c r="AC70" i="17" s="1"/>
  <c r="AE385" i="2"/>
  <c r="AE924" i="8" s="1"/>
  <c r="AE925" i="8" s="1"/>
  <c r="F925" i="8" s="1"/>
  <c r="AD390" i="2"/>
  <c r="AD69" i="17" s="1"/>
  <c r="AD84" i="17" s="1"/>
  <c r="AE37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Q38" i="18" l="1"/>
  <c r="Q41" i="18" s="1"/>
  <c r="D44" i="18" s="1"/>
  <c r="R38" i="18"/>
  <c r="R41" i="18" s="1"/>
  <c r="D45" i="18" s="1"/>
  <c r="D66" i="18" s="1"/>
  <c r="C86" i="18" s="1"/>
  <c r="C87" i="18" s="1"/>
  <c r="P60" i="17"/>
  <c r="P61" i="17" s="1"/>
  <c r="P65" i="17" s="1"/>
  <c r="S59" i="17"/>
  <c r="N1868" i="8"/>
  <c r="N85" i="17"/>
  <c r="N1867" i="8"/>
  <c r="N1865" i="8"/>
  <c r="R63" i="17"/>
  <c r="R64" i="17" s="1"/>
  <c r="R25" i="15"/>
  <c r="R1837" i="8" s="1"/>
  <c r="R1834" i="8"/>
  <c r="O93" i="17"/>
  <c r="O82" i="17"/>
  <c r="P1469" i="8"/>
  <c r="P87" i="17"/>
  <c r="S18" i="15"/>
  <c r="S19" i="15" s="1"/>
  <c r="S25" i="15" s="1"/>
  <c r="O1469" i="8"/>
  <c r="O87" i="17"/>
  <c r="Q1469" i="8"/>
  <c r="Q87" i="17"/>
  <c r="P35" i="15"/>
  <c r="P36" i="15" s="1"/>
  <c r="O43" i="15"/>
  <c r="O67" i="17" s="1"/>
  <c r="O68" i="17" s="1"/>
  <c r="O81" i="17" s="1"/>
  <c r="O1844" i="8"/>
  <c r="O1840" i="8"/>
  <c r="AE900" i="8"/>
  <c r="AE901" i="8" s="1"/>
  <c r="F901" i="8" s="1"/>
  <c r="AE66" i="15"/>
  <c r="U64" i="15"/>
  <c r="U63" i="15"/>
  <c r="U1849" i="8" s="1"/>
  <c r="AC24" i="15"/>
  <c r="AC1836" i="8"/>
  <c r="Q1528" i="8"/>
  <c r="Q86" i="15"/>
  <c r="AD944" i="8"/>
  <c r="AD22" i="15"/>
  <c r="P82" i="15"/>
  <c r="P1852" i="8" s="1"/>
  <c r="P83" i="15"/>
  <c r="T59" i="15"/>
  <c r="T58" i="15"/>
  <c r="T1848" i="8" s="1"/>
  <c r="Q1527" i="8"/>
  <c r="Q81" i="15"/>
  <c r="P77" i="15"/>
  <c r="P1851" i="8" s="1"/>
  <c r="P78" i="15"/>
  <c r="Q93" i="15"/>
  <c r="Q92" i="15"/>
  <c r="Q1854" i="8" s="1"/>
  <c r="O45" i="15"/>
  <c r="T68" i="15"/>
  <c r="T1850" i="8" s="1"/>
  <c r="T69" i="15"/>
  <c r="Q1838" i="8"/>
  <c r="Q27" i="15"/>
  <c r="Q1835" i="8" s="1"/>
  <c r="Q76" i="15"/>
  <c r="Q34" i="15"/>
  <c r="AE916" i="8"/>
  <c r="AE917" i="8" s="1"/>
  <c r="F917" i="8" s="1"/>
  <c r="AE56" i="15"/>
  <c r="S54" i="15"/>
  <c r="S53" i="15"/>
  <c r="S1847" i="8" s="1"/>
  <c r="U1523" i="8"/>
  <c r="U57" i="15"/>
  <c r="T1522" i="8"/>
  <c r="T52" i="15"/>
  <c r="T17" i="15"/>
  <c r="P88" i="15"/>
  <c r="P87" i="15"/>
  <c r="P1853" i="8" s="1"/>
  <c r="U348" i="14"/>
  <c r="U350" i="14" s="1"/>
  <c r="AA343" i="14"/>
  <c r="AA345" i="14" s="1"/>
  <c r="X347" i="14"/>
  <c r="X349" i="14" s="1"/>
  <c r="Z343" i="14"/>
  <c r="Z345" i="14" s="1"/>
  <c r="W351" i="14"/>
  <c r="W353" i="14" s="1"/>
  <c r="R348" i="14"/>
  <c r="R350" i="14" s="1"/>
  <c r="T351" i="14"/>
  <c r="T353" i="14" s="1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V27" i="12"/>
  <c r="U15" i="12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V62" i="15" s="1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D70" i="17" s="1"/>
  <c r="AE379" i="2"/>
  <c r="AE860" i="8"/>
  <c r="AE861" i="8" s="1"/>
  <c r="F861" i="8" s="1"/>
  <c r="AE381" i="2"/>
  <c r="AE390" i="2"/>
  <c r="AE69" i="17" s="1"/>
  <c r="AE84" i="17" s="1"/>
  <c r="D95" i="18" l="1"/>
  <c r="D96" i="18" s="1"/>
  <c r="D97" i="18"/>
  <c r="D48" i="18"/>
  <c r="O94" i="17"/>
  <c r="O95" i="17" s="1"/>
  <c r="O1866" i="8"/>
  <c r="O91" i="17"/>
  <c r="O92" i="17" s="1"/>
  <c r="O96" i="17" s="1"/>
  <c r="Q60" i="17"/>
  <c r="Q61" i="17" s="1"/>
  <c r="Q65" i="17" s="1"/>
  <c r="T59" i="17"/>
  <c r="S28" i="15"/>
  <c r="S63" i="17"/>
  <c r="S64" i="17" s="1"/>
  <c r="S1834" i="8"/>
  <c r="R26" i="15"/>
  <c r="R66" i="17" s="1"/>
  <c r="P82" i="17"/>
  <c r="P93" i="17"/>
  <c r="O83" i="17"/>
  <c r="O1841" i="8"/>
  <c r="O44" i="15"/>
  <c r="O1855" i="8" s="1"/>
  <c r="Q35" i="15"/>
  <c r="Q36" i="15" s="1"/>
  <c r="T18" i="15"/>
  <c r="T19" i="15" s="1"/>
  <c r="P45" i="15"/>
  <c r="P42" i="15"/>
  <c r="T54" i="15"/>
  <c r="T53" i="15"/>
  <c r="T1847" i="8" s="1"/>
  <c r="Q87" i="15"/>
  <c r="Q1853" i="8" s="1"/>
  <c r="Q88" i="15"/>
  <c r="AE944" i="8"/>
  <c r="AE22" i="15"/>
  <c r="Q82" i="15"/>
  <c r="Q1852" i="8" s="1"/>
  <c r="Q83" i="15"/>
  <c r="U59" i="15"/>
  <c r="U58" i="15"/>
  <c r="U1848" i="8" s="1"/>
  <c r="Q77" i="15"/>
  <c r="Q1851" i="8" s="1"/>
  <c r="Q78" i="15"/>
  <c r="V64" i="15"/>
  <c r="V63" i="15"/>
  <c r="V1849" i="8" s="1"/>
  <c r="U1522" i="8"/>
  <c r="U52" i="15"/>
  <c r="U17" i="15"/>
  <c r="AD24" i="15"/>
  <c r="AD1836" i="8"/>
  <c r="V1535" i="8"/>
  <c r="V1536" i="8" s="1"/>
  <c r="V57" i="15"/>
  <c r="U1541" i="8"/>
  <c r="U1542" i="8" s="1"/>
  <c r="U67" i="15"/>
  <c r="S1837" i="8"/>
  <c r="S26" i="15"/>
  <c r="S66" i="17" s="1"/>
  <c r="AD194" i="14"/>
  <c r="AD195" i="14" s="1"/>
  <c r="AD1670" i="8" s="1"/>
  <c r="AC340" i="14"/>
  <c r="AC342" i="14" s="1"/>
  <c r="Y347" i="14"/>
  <c r="Y349" i="14" s="1"/>
  <c r="U351" i="14"/>
  <c r="U353" i="14" s="1"/>
  <c r="T352" i="14"/>
  <c r="T354" i="14" s="1"/>
  <c r="W352" i="14"/>
  <c r="W354" i="14" s="1"/>
  <c r="S351" i="14"/>
  <c r="S353" i="14" s="1"/>
  <c r="AD1671" i="8"/>
  <c r="Z344" i="14"/>
  <c r="Z346" i="14" s="1"/>
  <c r="X348" i="14"/>
  <c r="X350" i="14" s="1"/>
  <c r="R351" i="14"/>
  <c r="R353" i="14" s="1"/>
  <c r="V351" i="14"/>
  <c r="V353" i="14" s="1"/>
  <c r="AB343" i="14"/>
  <c r="AB345" i="14" s="1"/>
  <c r="AA344" i="14"/>
  <c r="AA346" i="14" s="1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V15" i="12"/>
  <c r="Y114" i="2"/>
  <c r="X18" i="12"/>
  <c r="X43" i="8"/>
  <c r="X44" i="8" s="1"/>
  <c r="X123" i="2"/>
  <c r="Y177" i="2"/>
  <c r="X33" i="12"/>
  <c r="X91" i="8"/>
  <c r="X92" i="8" s="1"/>
  <c r="V51" i="12"/>
  <c r="V67" i="15" s="1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W62" i="15" s="1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P1866" i="8" l="1"/>
  <c r="P91" i="17"/>
  <c r="P92" i="17" s="1"/>
  <c r="P94" i="17"/>
  <c r="P95" i="17" s="1"/>
  <c r="U59" i="17"/>
  <c r="O1868" i="8"/>
  <c r="O85" i="17"/>
  <c r="O1867" i="8"/>
  <c r="O1865" i="8"/>
  <c r="T63" i="17"/>
  <c r="T64" i="17" s="1"/>
  <c r="R27" i="15"/>
  <c r="R1835" i="8" s="1"/>
  <c r="R1838" i="8"/>
  <c r="Q82" i="17"/>
  <c r="Q93" i="17"/>
  <c r="F1498" i="8"/>
  <c r="AE70" i="17"/>
  <c r="U18" i="15"/>
  <c r="U19" i="15" s="1"/>
  <c r="Q45" i="15"/>
  <c r="Q42" i="15"/>
  <c r="P1844" i="8"/>
  <c r="P1840" i="8"/>
  <c r="P43" i="15"/>
  <c r="P67" i="17" s="1"/>
  <c r="P68" i="17" s="1"/>
  <c r="P81" i="17" s="1"/>
  <c r="P83" i="17" s="1"/>
  <c r="V69" i="15"/>
  <c r="V68" i="15"/>
  <c r="V1850" i="8" s="1"/>
  <c r="T1834" i="8"/>
  <c r="T28" i="15"/>
  <c r="T25" i="15"/>
  <c r="S1838" i="8"/>
  <c r="S27" i="15"/>
  <c r="S1835" i="8" s="1"/>
  <c r="U54" i="15"/>
  <c r="U53" i="15"/>
  <c r="U1847" i="8" s="1"/>
  <c r="W64" i="15"/>
  <c r="W63" i="15"/>
  <c r="W1849" i="8" s="1"/>
  <c r="U69" i="15"/>
  <c r="U68" i="15"/>
  <c r="U1850" i="8" s="1"/>
  <c r="AE24" i="15"/>
  <c r="AE1836" i="8"/>
  <c r="F1836" i="8" s="1"/>
  <c r="V1522" i="8"/>
  <c r="V52" i="15"/>
  <c r="V17" i="15"/>
  <c r="W1535" i="8"/>
  <c r="W1536" i="8" s="1"/>
  <c r="W57" i="15"/>
  <c r="V59" i="15"/>
  <c r="V58" i="15"/>
  <c r="V1848" i="8" s="1"/>
  <c r="AD196" i="14"/>
  <c r="AB344" i="14"/>
  <c r="AB346" i="14" s="1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X351" i="14"/>
  <c r="X353" i="14" s="1"/>
  <c r="T355" i="14"/>
  <c r="T357" i="14" s="1"/>
  <c r="V352" i="14"/>
  <c r="V354" i="14" s="1"/>
  <c r="R352" i="14"/>
  <c r="R354" i="14" s="1"/>
  <c r="U352" i="14"/>
  <c r="U354" i="14" s="1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X27" i="12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W67" i="15" s="1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X62" i="15" s="1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Q1866" i="8" l="1"/>
  <c r="Q91" i="17"/>
  <c r="Q92" i="17" s="1"/>
  <c r="Q94" i="17"/>
  <c r="Q95" i="17" s="1"/>
  <c r="P1868" i="8"/>
  <c r="P96" i="17"/>
  <c r="P1865" i="8" s="1"/>
  <c r="V59" i="17"/>
  <c r="F102" i="17"/>
  <c r="P85" i="17"/>
  <c r="P1867" i="8"/>
  <c r="U63" i="17"/>
  <c r="U64" i="17" s="1"/>
  <c r="V18" i="15"/>
  <c r="V19" i="15" s="1"/>
  <c r="P1841" i="8"/>
  <c r="P44" i="15"/>
  <c r="P1855" i="8" s="1"/>
  <c r="Q43" i="15"/>
  <c r="Q67" i="17" s="1"/>
  <c r="Q68" i="17" s="1"/>
  <c r="Q81" i="17" s="1"/>
  <c r="Q83" i="17" s="1"/>
  <c r="Q1844" i="8"/>
  <c r="Q1840" i="8"/>
  <c r="V54" i="15"/>
  <c r="V53" i="15"/>
  <c r="V1847" i="8" s="1"/>
  <c r="W58" i="15"/>
  <c r="W1848" i="8" s="1"/>
  <c r="W59" i="15"/>
  <c r="T1837" i="8"/>
  <c r="T26" i="15"/>
  <c r="T66" i="17" s="1"/>
  <c r="X63" i="15"/>
  <c r="X1849" i="8" s="1"/>
  <c r="X64" i="15"/>
  <c r="U1834" i="8"/>
  <c r="U28" i="15"/>
  <c r="U25" i="15"/>
  <c r="X1535" i="8"/>
  <c r="X1536" i="8" s="1"/>
  <c r="X57" i="15"/>
  <c r="W69" i="15"/>
  <c r="W68" i="15"/>
  <c r="W1850" i="8" s="1"/>
  <c r="W1522" i="8"/>
  <c r="W52" i="15"/>
  <c r="W17" i="15"/>
  <c r="W356" i="14"/>
  <c r="W358" i="14" s="1"/>
  <c r="W359" i="14" s="1"/>
  <c r="W361" i="14" s="1"/>
  <c r="T356" i="14"/>
  <c r="T358" i="14" s="1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AA350" i="14" s="1"/>
  <c r="V355" i="14"/>
  <c r="V357" i="14" s="1"/>
  <c r="AD340" i="14"/>
  <c r="AD342" i="14" s="1"/>
  <c r="Z348" i="14"/>
  <c r="Z350" i="14" s="1"/>
  <c r="X352" i="14"/>
  <c r="X354" i="14" s="1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3" i="8"/>
  <c r="Y27" i="12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X67" i="15" s="1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Y62" i="15" s="1"/>
  <c r="AE1466" i="8"/>
  <c r="F1466" i="8" s="1"/>
  <c r="F1468" i="8"/>
  <c r="Q1868" i="8" l="1"/>
  <c r="Q96" i="17"/>
  <c r="Q1865" i="8" s="1"/>
  <c r="W59" i="17"/>
  <c r="Q85" i="17"/>
  <c r="Q1867" i="8"/>
  <c r="V63" i="17"/>
  <c r="V64" i="17" s="1"/>
  <c r="W18" i="15"/>
  <c r="W19" i="15" s="1"/>
  <c r="Q1841" i="8"/>
  <c r="Q44" i="15"/>
  <c r="Q1855" i="8" s="1"/>
  <c r="X1522" i="8"/>
  <c r="X52" i="15"/>
  <c r="X17" i="15"/>
  <c r="X59" i="15"/>
  <c r="X58" i="15"/>
  <c r="X1848" i="8" s="1"/>
  <c r="T1838" i="8"/>
  <c r="T27" i="15"/>
  <c r="T1835" i="8" s="1"/>
  <c r="U1837" i="8"/>
  <c r="U26" i="15"/>
  <c r="U66" i="17" s="1"/>
  <c r="W54" i="15"/>
  <c r="W53" i="15"/>
  <c r="W1847" i="8" s="1"/>
  <c r="Y1535" i="8"/>
  <c r="Y1536" i="8" s="1"/>
  <c r="Y57" i="15"/>
  <c r="X69" i="15"/>
  <c r="X68" i="15"/>
  <c r="X1850" i="8" s="1"/>
  <c r="Y64" i="15"/>
  <c r="Y63" i="15"/>
  <c r="Y1849" i="8" s="1"/>
  <c r="V1834" i="8"/>
  <c r="V28" i="15"/>
  <c r="V25" i="15"/>
  <c r="W360" i="14"/>
  <c r="W362" i="14" s="1"/>
  <c r="R356" i="14"/>
  <c r="R358" i="14" s="1"/>
  <c r="AC347" i="14"/>
  <c r="AC349" i="14" s="1"/>
  <c r="X355" i="14"/>
  <c r="X357" i="14" s="1"/>
  <c r="T359" i="14"/>
  <c r="T361" i="14" s="1"/>
  <c r="AB348" i="14"/>
  <c r="AB350" i="14" s="1"/>
  <c r="AD343" i="14"/>
  <c r="AD345" i="14" s="1"/>
  <c r="U356" i="14"/>
  <c r="U358" i="14" s="1"/>
  <c r="AA351" i="14"/>
  <c r="AA353" i="14" s="1"/>
  <c r="V356" i="14"/>
  <c r="V358" i="14" s="1"/>
  <c r="S356" i="14"/>
  <c r="S358" i="14" s="1"/>
  <c r="Y352" i="14"/>
  <c r="Y354" i="14" s="1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Z27" i="12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Y67" i="15" s="1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Z62" i="15" s="1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X59" i="17" l="1"/>
  <c r="W63" i="17"/>
  <c r="W64" i="17" s="1"/>
  <c r="X18" i="15"/>
  <c r="X19" i="15" s="1"/>
  <c r="Z1523" i="8"/>
  <c r="Z57" i="15"/>
  <c r="W1834" i="8"/>
  <c r="W28" i="15"/>
  <c r="W25" i="15"/>
  <c r="U1838" i="8"/>
  <c r="U27" i="15"/>
  <c r="U1835" i="8" s="1"/>
  <c r="Z64" i="15"/>
  <c r="Z63" i="15"/>
  <c r="Z1849" i="8" s="1"/>
  <c r="V1837" i="8"/>
  <c r="V26" i="15"/>
  <c r="V66" i="17" s="1"/>
  <c r="Y1522" i="8"/>
  <c r="Y52" i="15"/>
  <c r="Y17" i="15"/>
  <c r="Y59" i="15"/>
  <c r="Y58" i="15"/>
  <c r="Y1848" i="8" s="1"/>
  <c r="X54" i="15"/>
  <c r="X53" i="15"/>
  <c r="X1847" i="8" s="1"/>
  <c r="Y68" i="15"/>
  <c r="Y1850" i="8" s="1"/>
  <c r="Y69" i="15"/>
  <c r="AA352" i="14"/>
  <c r="AA354" i="14" s="1"/>
  <c r="AD344" i="14"/>
  <c r="AD346" i="14" s="1"/>
  <c r="Z352" i="14"/>
  <c r="Z354" i="14" s="1"/>
  <c r="U359" i="14"/>
  <c r="U361" i="14" s="1"/>
  <c r="S359" i="14"/>
  <c r="S361" i="14" s="1"/>
  <c r="AE343" i="14"/>
  <c r="AE345" i="14" s="1"/>
  <c r="Y355" i="14"/>
  <c r="Y357" i="14" s="1"/>
  <c r="T360" i="14"/>
  <c r="T362" i="14" s="1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 s="1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AA27" i="12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A62" i="15" s="1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Z67" i="15" s="1"/>
  <c r="AC241" i="2"/>
  <c r="AB49" i="12"/>
  <c r="AB143" i="8"/>
  <c r="AB144" i="8" s="1"/>
  <c r="Y59" i="17" l="1"/>
  <c r="X63" i="17"/>
  <c r="X64" i="17" s="1"/>
  <c r="Y18" i="15"/>
  <c r="Y19" i="15" s="1"/>
  <c r="Y1834" i="8" s="1"/>
  <c r="Z69" i="15"/>
  <c r="Z68" i="15"/>
  <c r="Z1850" i="8" s="1"/>
  <c r="V1838" i="8"/>
  <c r="V27" i="15"/>
  <c r="V1835" i="8" s="1"/>
  <c r="AA63" i="15"/>
  <c r="AA1849" i="8" s="1"/>
  <c r="AA64" i="15"/>
  <c r="Z1532" i="8"/>
  <c r="Z1533" i="8" s="1"/>
  <c r="Z52" i="15"/>
  <c r="Z17" i="15"/>
  <c r="AA1523" i="8"/>
  <c r="AA57" i="15"/>
  <c r="W1837" i="8"/>
  <c r="W26" i="15"/>
  <c r="W66" i="17" s="1"/>
  <c r="X1834" i="8"/>
  <c r="X28" i="15"/>
  <c r="X25" i="15"/>
  <c r="Y53" i="15"/>
  <c r="Y1847" i="8" s="1"/>
  <c r="Y54" i="15"/>
  <c r="Z58" i="15"/>
  <c r="Z1848" i="8" s="1"/>
  <c r="Z59" i="15"/>
  <c r="AE344" i="14"/>
  <c r="AE346" i="14" s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S360" i="14"/>
  <c r="S362" i="14" s="1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B39" i="12"/>
  <c r="AB1538" i="8" s="1"/>
  <c r="AB1539" i="8" s="1"/>
  <c r="AB27" i="12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A67" i="15" s="1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Z59" i="17" l="1"/>
  <c r="Y63" i="17"/>
  <c r="Y64" i="17" s="1"/>
  <c r="Z18" i="15"/>
  <c r="Z19" i="15" s="1"/>
  <c r="Y25" i="15"/>
  <c r="Y1837" i="8" s="1"/>
  <c r="Y28" i="15"/>
  <c r="AA69" i="15"/>
  <c r="AA68" i="15"/>
  <c r="AA1850" i="8" s="1"/>
  <c r="AB1524" i="8"/>
  <c r="AB62" i="15"/>
  <c r="Z53" i="15"/>
  <c r="Z1847" i="8" s="1"/>
  <c r="Z54" i="15"/>
  <c r="AB1523" i="8"/>
  <c r="AB57" i="15"/>
  <c r="X1837" i="8"/>
  <c r="X26" i="15"/>
  <c r="X66" i="17" s="1"/>
  <c r="AA1532" i="8"/>
  <c r="AA1533" i="8" s="1"/>
  <c r="AA52" i="15"/>
  <c r="AA17" i="15"/>
  <c r="W1838" i="8"/>
  <c r="W27" i="15"/>
  <c r="W1835" i="8" s="1"/>
  <c r="AA58" i="15"/>
  <c r="AA1848" i="8" s="1"/>
  <c r="AA59" i="15"/>
  <c r="AC352" i="14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 s="1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 s="1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C39" i="12"/>
  <c r="AC27" i="12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B67" i="15" s="1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AA59" i="17" l="1"/>
  <c r="Z63" i="17"/>
  <c r="Z64" i="17" s="1"/>
  <c r="AA18" i="15"/>
  <c r="AA19" i="15" s="1"/>
  <c r="AA25" i="15" s="1"/>
  <c r="Y26" i="15"/>
  <c r="AA53" i="15"/>
  <c r="AA1847" i="8" s="1"/>
  <c r="AA54" i="15"/>
  <c r="X1838" i="8"/>
  <c r="X27" i="15"/>
  <c r="X1835" i="8" s="1"/>
  <c r="AB1532" i="8"/>
  <c r="AB1533" i="8" s="1"/>
  <c r="AB52" i="15"/>
  <c r="AB17" i="15"/>
  <c r="AB58" i="15"/>
  <c r="AB1848" i="8" s="1"/>
  <c r="AB59" i="15"/>
  <c r="AC1524" i="8"/>
  <c r="AC62" i="15"/>
  <c r="AB68" i="15"/>
  <c r="AB1850" i="8" s="1"/>
  <c r="AB69" i="15"/>
  <c r="AB63" i="15"/>
  <c r="AB1849" i="8" s="1"/>
  <c r="AB64" i="15"/>
  <c r="AC1523" i="8"/>
  <c r="AC57" i="15"/>
  <c r="Z28" i="15"/>
  <c r="Z1834" i="8"/>
  <c r="Z25" i="15"/>
  <c r="S364" i="14"/>
  <c r="S366" i="14" s="1"/>
  <c r="AE348" i="14"/>
  <c r="AE350" i="14" s="1"/>
  <c r="AD351" i="14"/>
  <c r="AD353" i="14" s="1"/>
  <c r="X363" i="14"/>
  <c r="X365" i="14" s="1"/>
  <c r="Z359" i="14"/>
  <c r="Z361" i="14" s="1"/>
  <c r="AC356" i="14"/>
  <c r="AC358" i="14" s="1"/>
  <c r="U364" i="14"/>
  <c r="U366" i="14" s="1"/>
  <c r="AA359" i="14"/>
  <c r="AA361" i="14" s="1"/>
  <c r="W368" i="14"/>
  <c r="W370" i="14" s="1"/>
  <c r="R364" i="14"/>
  <c r="R366" i="14" s="1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" i="12"/>
  <c r="AD27" i="12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D62" i="15" s="1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B59" i="17" l="1"/>
  <c r="AA63" i="17"/>
  <c r="AA64" i="17" s="1"/>
  <c r="AB18" i="15"/>
  <c r="AB19" i="15" s="1"/>
  <c r="Y1838" i="8"/>
  <c r="Y66" i="17"/>
  <c r="AA1834" i="8"/>
  <c r="Y27" i="15"/>
  <c r="Y1835" i="8" s="1"/>
  <c r="AA28" i="15"/>
  <c r="AB53" i="15"/>
  <c r="AB1847" i="8" s="1"/>
  <c r="AB54" i="15"/>
  <c r="AD1523" i="8"/>
  <c r="AD57" i="15"/>
  <c r="AA1837" i="8"/>
  <c r="AA26" i="15"/>
  <c r="AA66" i="17" s="1"/>
  <c r="AC1522" i="8"/>
  <c r="AC52" i="15"/>
  <c r="AC17" i="15"/>
  <c r="AC58" i="15"/>
  <c r="AC1848" i="8" s="1"/>
  <c r="AC59" i="15"/>
  <c r="AC1525" i="8"/>
  <c r="AC67" i="15"/>
  <c r="AD63" i="15"/>
  <c r="AD1849" i="8" s="1"/>
  <c r="AD64" i="15"/>
  <c r="Z1837" i="8"/>
  <c r="Z26" i="15"/>
  <c r="Z66" i="17" s="1"/>
  <c r="AC63" i="15"/>
  <c r="AC1849" i="8" s="1"/>
  <c r="AC64" i="15"/>
  <c r="AA360" i="14"/>
  <c r="AA362" i="14" s="1"/>
  <c r="W371" i="14"/>
  <c r="W373" i="14" s="1"/>
  <c r="AB359" i="14"/>
  <c r="AB361" i="14" s="1"/>
  <c r="Y363" i="14"/>
  <c r="Y365" i="14" s="1"/>
  <c r="AC359" i="14"/>
  <c r="AC361" i="14" s="1"/>
  <c r="V367" i="14"/>
  <c r="V369" i="14" s="1"/>
  <c r="U367" i="14"/>
  <c r="U369" i="14" s="1"/>
  <c r="T368" i="14"/>
  <c r="T370" i="14" s="1"/>
  <c r="Z360" i="14"/>
  <c r="Z362" i="14" s="1"/>
  <c r="S367" i="14"/>
  <c r="S369" i="14" s="1"/>
  <c r="X364" i="14"/>
  <c r="X366" i="14" s="1"/>
  <c r="R367" i="14"/>
  <c r="R369" i="14" s="1"/>
  <c r="AD352" i="14"/>
  <c r="AD354" i="14" s="1"/>
  <c r="AE351" i="14"/>
  <c r="AE353" i="14" s="1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E27" i="12"/>
  <c r="AD51" i="12"/>
  <c r="AD67" i="15" s="1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2" i="15" s="1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AC59" i="17" l="1"/>
  <c r="AB63" i="17"/>
  <c r="AB64" i="17" s="1"/>
  <c r="AC18" i="15"/>
  <c r="AC19" i="15" s="1"/>
  <c r="AD68" i="15"/>
  <c r="AD1850" i="8" s="1"/>
  <c r="AD69" i="15"/>
  <c r="AE1523" i="8"/>
  <c r="F1523" i="8" s="1"/>
  <c r="AE57" i="15"/>
  <c r="AD1522" i="8"/>
  <c r="AD52" i="15"/>
  <c r="AD17" i="15"/>
  <c r="AE63" i="15"/>
  <c r="AE1849" i="8" s="1"/>
  <c r="F1849" i="8" s="1"/>
  <c r="AE64" i="15"/>
  <c r="AA1838" i="8"/>
  <c r="AA27" i="15"/>
  <c r="AA1835" i="8" s="1"/>
  <c r="Z27" i="15"/>
  <c r="Z1835" i="8" s="1"/>
  <c r="Z1838" i="8"/>
  <c r="AC54" i="15"/>
  <c r="AC53" i="15"/>
  <c r="AC1847" i="8" s="1"/>
  <c r="AD58" i="15"/>
  <c r="AD1848" i="8" s="1"/>
  <c r="AD59" i="15"/>
  <c r="AB1834" i="8"/>
  <c r="AB25" i="15"/>
  <c r="AB28" i="15"/>
  <c r="AC68" i="15"/>
  <c r="AC1850" i="8" s="1"/>
  <c r="AC69" i="15"/>
  <c r="V368" i="14"/>
  <c r="V370" i="14" s="1"/>
  <c r="S368" i="14"/>
  <c r="S370" i="14" s="1"/>
  <c r="S371" i="14" s="1"/>
  <c r="S373" i="14" s="1"/>
  <c r="T371" i="14"/>
  <c r="T373" i="14" s="1"/>
  <c r="X367" i="14"/>
  <c r="X369" i="14" s="1"/>
  <c r="AA363" i="14"/>
  <c r="AA365" i="14" s="1"/>
  <c r="R368" i="14"/>
  <c r="R370" i="14" s="1"/>
  <c r="AC360" i="14"/>
  <c r="AC362" i="14" s="1"/>
  <c r="AE352" i="14"/>
  <c r="AE354" i="14" s="1"/>
  <c r="Y364" i="14"/>
  <c r="Y366" i="14" s="1"/>
  <c r="AD355" i="14"/>
  <c r="AD357" i="14" s="1"/>
  <c r="AB360" i="14"/>
  <c r="AB362" i="14" s="1"/>
  <c r="Z363" i="14"/>
  <c r="Z365" i="14" s="1"/>
  <c r="W372" i="14"/>
  <c r="W374" i="14" s="1"/>
  <c r="U368" i="14"/>
  <c r="U370" i="14" s="1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D2" i="8"/>
  <c r="AE1524" i="8"/>
  <c r="F1524" i="8" s="1"/>
  <c r="AE1538" i="8"/>
  <c r="AE1539" i="8" s="1"/>
  <c r="F1539" i="8" s="1"/>
  <c r="AD1525" i="8"/>
  <c r="AD1541" i="8"/>
  <c r="AD1542" i="8" s="1"/>
  <c r="AE51" i="12"/>
  <c r="AE67" i="15" s="1"/>
  <c r="AD59" i="17" l="1"/>
  <c r="AC63" i="17"/>
  <c r="AC64" i="17" s="1"/>
  <c r="AD18" i="15"/>
  <c r="AD19" i="15" s="1"/>
  <c r="AE68" i="15"/>
  <c r="AE1850" i="8" s="1"/>
  <c r="F1850" i="8" s="1"/>
  <c r="AE69" i="15"/>
  <c r="AC1834" i="8"/>
  <c r="AC25" i="15"/>
  <c r="AC28" i="15"/>
  <c r="AB1837" i="8"/>
  <c r="AB26" i="15"/>
  <c r="AB66" i="17" s="1"/>
  <c r="AE1532" i="8"/>
  <c r="AE1533" i="8" s="1"/>
  <c r="F1533" i="8" s="1"/>
  <c r="G1533" i="8" s="1"/>
  <c r="AE52" i="15"/>
  <c r="AE17" i="15"/>
  <c r="AD53" i="15"/>
  <c r="AD1847" i="8" s="1"/>
  <c r="AD54" i="15"/>
  <c r="AE58" i="15"/>
  <c r="AE1848" i="8" s="1"/>
  <c r="F1848" i="8" s="1"/>
  <c r="AE59" i="15"/>
  <c r="AE1522" i="8"/>
  <c r="F1522" i="8" s="1"/>
  <c r="S372" i="14"/>
  <c r="S374" i="14" s="1"/>
  <c r="Y367" i="14"/>
  <c r="Y369" i="14" s="1"/>
  <c r="AE355" i="14"/>
  <c r="AE357" i="14" s="1"/>
  <c r="U371" i="14"/>
  <c r="U373" i="14" s="1"/>
  <c r="AB363" i="14"/>
  <c r="AB365" i="14" s="1"/>
  <c r="Z364" i="14"/>
  <c r="Z366" i="14" s="1"/>
  <c r="AA364" i="14"/>
  <c r="AA366" i="14" s="1"/>
  <c r="W375" i="14"/>
  <c r="W377" i="14" s="1"/>
  <c r="V371" i="14"/>
  <c r="V373" i="14" s="1"/>
  <c r="AD356" i="14"/>
  <c r="AD358" i="14" s="1"/>
  <c r="X368" i="14"/>
  <c r="X370" i="14" s="1"/>
  <c r="AC363" i="14"/>
  <c r="AC365" i="14" s="1"/>
  <c r="R371" i="14"/>
  <c r="R373" i="14" s="1"/>
  <c r="T372" i="14"/>
  <c r="T374" i="14"/>
  <c r="AE1525" i="8"/>
  <c r="F1525" i="8" s="1"/>
  <c r="AE1541" i="8"/>
  <c r="AE1542" i="8" s="1"/>
  <c r="F1542" i="8" s="1"/>
  <c r="AE59" i="17" l="1"/>
  <c r="F1912" i="8" s="1"/>
  <c r="AD63" i="17"/>
  <c r="AD64" i="17" s="1"/>
  <c r="AE18" i="15"/>
  <c r="AE19" i="15" s="1"/>
  <c r="AE28" i="15" s="1"/>
  <c r="AE53" i="15"/>
  <c r="AE1847" i="8" s="1"/>
  <c r="F1847" i="8" s="1"/>
  <c r="AE54" i="15"/>
  <c r="AB1838" i="8"/>
  <c r="AB27" i="15"/>
  <c r="AB1835" i="8" s="1"/>
  <c r="AC1837" i="8"/>
  <c r="AC26" i="15"/>
  <c r="AC66" i="17" s="1"/>
  <c r="AD1834" i="8"/>
  <c r="AD25" i="15"/>
  <c r="AD28" i="15"/>
  <c r="V372" i="14"/>
  <c r="V374" i="14" s="1"/>
  <c r="V375" i="14" s="1"/>
  <c r="V377" i="14" s="1"/>
  <c r="AC364" i="14"/>
  <c r="AC366" i="14" s="1"/>
  <c r="X371" i="14"/>
  <c r="X373" i="14" s="1"/>
  <c r="AD359" i="14"/>
  <c r="AD361" i="14" s="1"/>
  <c r="Z367" i="14"/>
  <c r="Z369" i="14" s="1"/>
  <c r="R372" i="14"/>
  <c r="R374" i="14" s="1"/>
  <c r="W376" i="14"/>
  <c r="W378" i="14" s="1"/>
  <c r="AB364" i="14"/>
  <c r="AB366" i="14" s="1"/>
  <c r="U372" i="14"/>
  <c r="U374" i="14" s="1"/>
  <c r="AE356" i="14"/>
  <c r="AE358" i="14" s="1"/>
  <c r="T375" i="14"/>
  <c r="T377" i="14" s="1"/>
  <c r="AA367" i="14"/>
  <c r="AA369" i="14" s="1"/>
  <c r="Y368" i="14"/>
  <c r="Y370" i="14" s="1"/>
  <c r="S375" i="14"/>
  <c r="S377" i="14" s="1"/>
  <c r="AE63" i="17" l="1"/>
  <c r="AE1834" i="8"/>
  <c r="F1834" i="8" s="1"/>
  <c r="AE25" i="15"/>
  <c r="AE1837" i="8" s="1"/>
  <c r="AD1837" i="8"/>
  <c r="AD26" i="15"/>
  <c r="AD66" i="17" s="1"/>
  <c r="AC27" i="15"/>
  <c r="AC1835" i="8" s="1"/>
  <c r="AC1838" i="8"/>
  <c r="U375" i="14"/>
  <c r="U377" i="14" s="1"/>
  <c r="W379" i="14"/>
  <c r="W381" i="14" s="1"/>
  <c r="AC367" i="14"/>
  <c r="AC369" i="14" s="1"/>
  <c r="AB367" i="14"/>
  <c r="AB369" i="14" s="1"/>
  <c r="R375" i="14"/>
  <c r="R377" i="14" s="1"/>
  <c r="V376" i="14"/>
  <c r="V378" i="14" s="1"/>
  <c r="S376" i="14"/>
  <c r="S378" i="14" s="1"/>
  <c r="Y371" i="14"/>
  <c r="Y373" i="14" s="1"/>
  <c r="AA368" i="14"/>
  <c r="AA370" i="14" s="1"/>
  <c r="Z368" i="14"/>
  <c r="Z370" i="14" s="1"/>
  <c r="AE359" i="14"/>
  <c r="AE361" i="14" s="1"/>
  <c r="AD360" i="14"/>
  <c r="AD362" i="14" s="1"/>
  <c r="T376" i="14"/>
  <c r="T378" i="14" s="1"/>
  <c r="X372" i="14"/>
  <c r="X374" i="14" s="1"/>
  <c r="AE64" i="17" l="1"/>
  <c r="F1914" i="8"/>
  <c r="F1913" i="8"/>
  <c r="AE26" i="15"/>
  <c r="AE66" i="17" s="1"/>
  <c r="F1837" i="8"/>
  <c r="AD27" i="15"/>
  <c r="AD1835" i="8" s="1"/>
  <c r="AD1838" i="8"/>
  <c r="AA371" i="14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 s="1"/>
  <c r="X375" i="14"/>
  <c r="X377" i="14" s="1"/>
  <c r="AC368" i="14"/>
  <c r="AC370" i="14" s="1"/>
  <c r="V379" i="14"/>
  <c r="V381" i="14" s="1"/>
  <c r="Z371" i="14"/>
  <c r="Z373" i="14" s="1"/>
  <c r="W380" i="14"/>
  <c r="W382" i="14" s="1"/>
  <c r="Y372" i="14"/>
  <c r="Y374" i="14" s="1"/>
  <c r="U376" i="14"/>
  <c r="U378" i="14"/>
  <c r="AE27" i="15" l="1"/>
  <c r="AE1835" i="8" s="1"/>
  <c r="F1835" i="8" s="1"/>
  <c r="AE1838" i="8"/>
  <c r="F1838" i="8" s="1"/>
  <c r="AE363" i="14"/>
  <c r="AE365" i="14" s="1"/>
  <c r="R379" i="14"/>
  <c r="R381" i="14" s="1"/>
  <c r="U379" i="14"/>
  <c r="U381" i="14" s="1"/>
  <c r="Y375" i="14"/>
  <c r="Y377" i="14" s="1"/>
  <c r="Z372" i="14"/>
  <c r="Z374" i="14" s="1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 s="1"/>
  <c r="X376" i="14"/>
  <c r="X378" i="14" s="1"/>
  <c r="AA372" i="14"/>
  <c r="AA374" i="14" s="1"/>
  <c r="T383" i="14" l="1"/>
  <c r="T385" i="14" s="1"/>
  <c r="AD367" i="14"/>
  <c r="AD369" i="14" s="1"/>
  <c r="X379" i="14"/>
  <c r="X381" i="14" s="1"/>
  <c r="AA375" i="14"/>
  <c r="AA377" i="14" s="1"/>
  <c r="AB372" i="14"/>
  <c r="AB374" i="14" s="1"/>
  <c r="V383" i="14"/>
  <c r="V385" i="14" s="1"/>
  <c r="S383" i="14"/>
  <c r="S385" i="14" s="1"/>
  <c r="Y376" i="14"/>
  <c r="Y378" i="14" s="1"/>
  <c r="Z375" i="14"/>
  <c r="Z377" i="14" s="1"/>
  <c r="AC372" i="14"/>
  <c r="AC374" i="14" s="1"/>
  <c r="U380" i="14"/>
  <c r="U382" i="14" s="1"/>
  <c r="W384" i="14"/>
  <c r="W386" i="14" s="1"/>
  <c r="R380" i="14"/>
  <c r="R382" i="14" s="1"/>
  <c r="AE364" i="14"/>
  <c r="AE366" i="14" s="1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 s="1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AD374" i="14" s="1"/>
  <c r="V388" i="14"/>
  <c r="V390" i="14" s="1"/>
  <c r="T388" i="14"/>
  <c r="T390" i="14" s="1"/>
  <c r="X384" i="14"/>
  <c r="X386" i="14" s="1"/>
  <c r="AC380" i="14" l="1"/>
  <c r="AC382" i="14" s="1"/>
  <c r="Z383" i="14"/>
  <c r="Z385" i="14" s="1"/>
  <c r="AA383" i="14"/>
  <c r="AA385" i="14" s="1"/>
  <c r="S391" i="14"/>
  <c r="S393" i="14" s="1"/>
  <c r="AE372" i="14"/>
  <c r="AE374" i="14" s="1"/>
  <c r="U388" i="14"/>
  <c r="U390" i="14" s="1"/>
  <c r="AB380" i="14"/>
  <c r="AB382" i="14"/>
  <c r="X387" i="14"/>
  <c r="X389" i="14" s="1"/>
  <c r="AD375" i="14"/>
  <c r="AD377" i="14" s="1"/>
  <c r="V391" i="14"/>
  <c r="V393" i="14" s="1"/>
  <c r="Y384" i="14"/>
  <c r="Y386" i="14" s="1"/>
  <c r="R388" i="14"/>
  <c r="R390" i="14" s="1"/>
  <c r="W392" i="14"/>
  <c r="W394" i="14" s="1"/>
  <c r="W397" i="14" s="1"/>
  <c r="T391" i="14"/>
  <c r="T393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/>
  <c r="S397" i="14" s="1"/>
  <c r="AD376" i="14"/>
  <c r="AD378" i="14" s="1"/>
  <c r="AA384" i="14"/>
  <c r="AA386" i="14" s="1"/>
  <c r="X388" i="14"/>
  <c r="X390" i="14" s="1"/>
  <c r="Z384" i="14"/>
  <c r="Z386" i="14" s="1"/>
  <c r="Y388" i="14" l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Y390" i="14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659" i="2" l="1"/>
  <c r="W37" i="15" s="1"/>
  <c r="W660" i="2"/>
  <c r="W38" i="15" s="1"/>
  <c r="W1575" i="8"/>
  <c r="W1574" i="8"/>
  <c r="W1576" i="8"/>
  <c r="AB388" i="14"/>
  <c r="AB390" i="14" s="1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AA390" i="14" s="1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752" i="2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AD382" i="14" s="1"/>
  <c r="T429" i="2"/>
  <c r="T549" i="2"/>
  <c r="T489" i="2"/>
  <c r="T609" i="2"/>
  <c r="S489" i="2"/>
  <c r="S429" i="2"/>
  <c r="S609" i="2"/>
  <c r="S549" i="2"/>
  <c r="V1682" i="8"/>
  <c r="V139" i="5"/>
  <c r="V648" i="2" s="1"/>
  <c r="W1681" i="8"/>
  <c r="T659" i="2" l="1"/>
  <c r="T37" i="15" s="1"/>
  <c r="T660" i="2"/>
  <c r="T38" i="15" s="1"/>
  <c r="V659" i="2"/>
  <c r="V37" i="15" s="1"/>
  <c r="V660" i="2"/>
  <c r="V38" i="15" s="1"/>
  <c r="S660" i="2"/>
  <c r="S38" i="15" s="1"/>
  <c r="S659" i="2"/>
  <c r="S37" i="15" s="1"/>
  <c r="W40" i="15"/>
  <c r="V1574" i="8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90" i="15" s="1"/>
  <c r="W795" i="2"/>
  <c r="W1360" i="8" s="1"/>
  <c r="W1361" i="8" s="1"/>
  <c r="V757" i="2"/>
  <c r="V756" i="2"/>
  <c r="V758" i="2"/>
  <c r="V762" i="2"/>
  <c r="V763" i="2"/>
  <c r="V1264" i="8" s="1"/>
  <c r="V1265" i="8" s="1"/>
  <c r="V764" i="2"/>
  <c r="V1268" i="8" s="1"/>
  <c r="V1269" i="8" s="1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W1232" i="8"/>
  <c r="W1233" i="8" s="1"/>
  <c r="W793" i="2"/>
  <c r="W1352" i="8" s="1"/>
  <c r="W1353" i="8" s="1"/>
  <c r="Z392" i="14"/>
  <c r="Z394" i="14" s="1"/>
  <c r="Z397" i="14" s="1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759" i="2"/>
  <c r="T768" i="2"/>
  <c r="T757" i="2"/>
  <c r="G60" i="19" s="1"/>
  <c r="T755" i="2"/>
  <c r="G58" i="19" s="1"/>
  <c r="T751" i="2"/>
  <c r="G54" i="19" s="1"/>
  <c r="T766" i="2"/>
  <c r="H58" i="19" s="1"/>
  <c r="T658" i="2"/>
  <c r="T756" i="2"/>
  <c r="G59" i="19" s="1"/>
  <c r="T764" i="2"/>
  <c r="T1268" i="8" s="1"/>
  <c r="T1269" i="8" s="1"/>
  <c r="T754" i="2"/>
  <c r="G57" i="19" s="1"/>
  <c r="T762" i="2"/>
  <c r="H54" i="19" s="1"/>
  <c r="T763" i="2"/>
  <c r="T767" i="2"/>
  <c r="T1683" i="8"/>
  <c r="T657" i="2"/>
  <c r="T753" i="2"/>
  <c r="T758" i="2"/>
  <c r="G61" i="19" s="1"/>
  <c r="T752" i="2"/>
  <c r="G55" i="19" s="1"/>
  <c r="T765" i="2"/>
  <c r="H57" i="19" s="1"/>
  <c r="T769" i="2"/>
  <c r="H61" i="19" s="1"/>
  <c r="W1710" i="8"/>
  <c r="W402" i="14"/>
  <c r="W1674" i="8" s="1"/>
  <c r="W403" i="14"/>
  <c r="W1711" i="8" s="1"/>
  <c r="U607" i="2"/>
  <c r="U487" i="2"/>
  <c r="U427" i="2"/>
  <c r="U547" i="2"/>
  <c r="AE380" i="14"/>
  <c r="AE382" i="14" s="1"/>
  <c r="R611" i="2"/>
  <c r="R638" i="2" s="1"/>
  <c r="R491" i="2"/>
  <c r="R518" i="2" s="1"/>
  <c r="R551" i="2"/>
  <c r="R578" i="2" s="1"/>
  <c r="R431" i="2"/>
  <c r="R458" i="2" s="1"/>
  <c r="T1707" i="8"/>
  <c r="T401" i="14"/>
  <c r="T405" i="14" s="1"/>
  <c r="U486" i="2"/>
  <c r="U606" i="2"/>
  <c r="U546" i="2"/>
  <c r="U426" i="2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73" i="17" s="1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1707" i="8"/>
  <c r="S401" i="14"/>
  <c r="S405" i="14" s="1"/>
  <c r="W777" i="2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J57" i="19" l="1"/>
  <c r="L57" i="19" s="1"/>
  <c r="J58" i="19"/>
  <c r="L58" i="19" s="1"/>
  <c r="J61" i="19"/>
  <c r="L61" i="19" s="1"/>
  <c r="T1280" i="8"/>
  <c r="T1281" i="8" s="1"/>
  <c r="H59" i="19"/>
  <c r="J59" i="19" s="1"/>
  <c r="L59" i="19" s="1"/>
  <c r="T1264" i="8"/>
  <c r="T1265" i="8" s="1"/>
  <c r="H55" i="19"/>
  <c r="J55" i="19" s="1"/>
  <c r="L55" i="19" s="1"/>
  <c r="J54" i="19"/>
  <c r="L54" i="19" s="1"/>
  <c r="T1284" i="8"/>
  <c r="T1285" i="8" s="1"/>
  <c r="H60" i="19"/>
  <c r="J60" i="19" s="1"/>
  <c r="L60" i="19" s="1"/>
  <c r="R659" i="2"/>
  <c r="R37" i="15" s="1"/>
  <c r="R660" i="2"/>
  <c r="R38" i="15" s="1"/>
  <c r="U660" i="2"/>
  <c r="U38" i="15" s="1"/>
  <c r="U659" i="2"/>
  <c r="U37" i="15" s="1"/>
  <c r="S40" i="15"/>
  <c r="W1300" i="8"/>
  <c r="W1301" i="8" s="1"/>
  <c r="W75" i="15"/>
  <c r="W1304" i="8"/>
  <c r="W1305" i="8" s="1"/>
  <c r="W85" i="15"/>
  <c r="V40" i="15"/>
  <c r="W1312" i="8"/>
  <c r="W1313" i="8" s="1"/>
  <c r="W80" i="15"/>
  <c r="T40" i="15"/>
  <c r="W738" i="2"/>
  <c r="W760" i="2" s="1"/>
  <c r="U1574" i="8"/>
  <c r="U1577" i="8"/>
  <c r="U1575" i="8"/>
  <c r="U1576" i="8"/>
  <c r="AB392" i="14"/>
  <c r="AB394" i="14" s="1"/>
  <c r="AB397" i="14" s="1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I40" i="18" s="1"/>
  <c r="T1236" i="8"/>
  <c r="T1237" i="8" s="1"/>
  <c r="S770" i="2"/>
  <c r="S1292" i="8" s="1"/>
  <c r="S1293" i="8" s="1"/>
  <c r="S782" i="2"/>
  <c r="S73" i="17" s="1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755" i="2"/>
  <c r="U1683" i="8"/>
  <c r="U752" i="2"/>
  <c r="U753" i="2"/>
  <c r="U754" i="2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73" i="17" s="1"/>
  <c r="V1260" i="8"/>
  <c r="V1261" i="8" s="1"/>
  <c r="V770" i="2"/>
  <c r="V1292" i="8" s="1"/>
  <c r="V1293" i="8" s="1"/>
  <c r="V785" i="2"/>
  <c r="V1324" i="8" s="1"/>
  <c r="V1325" i="8" s="1"/>
  <c r="S458" i="2"/>
  <c r="R171" i="8"/>
  <c r="R172" i="8" s="1"/>
  <c r="R62" i="12"/>
  <c r="T1272" i="8"/>
  <c r="T1273" i="8" s="1"/>
  <c r="T788" i="2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794" i="2"/>
  <c r="V1356" i="8" s="1"/>
  <c r="V1357" i="8" s="1"/>
  <c r="V1236" i="8"/>
  <c r="V1237" i="8" s="1"/>
  <c r="V775" i="2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J37" i="18" s="1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90" i="15" s="1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I39" i="18" s="1"/>
  <c r="T1252" i="8"/>
  <c r="T1253" i="8" s="1"/>
  <c r="T1224" i="8"/>
  <c r="T1225" i="8" s="1"/>
  <c r="T774" i="2"/>
  <c r="I38" i="18" s="1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3" i="17" s="1"/>
  <c r="D58" i="18" s="1"/>
  <c r="T785" i="2"/>
  <c r="T1288" i="8"/>
  <c r="T1289" i="8" s="1"/>
  <c r="T786" i="2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762" i="2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90" i="15" s="1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W88" i="17" s="1"/>
  <c r="S791" i="2"/>
  <c r="S774" i="2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D63" i="19" l="1"/>
  <c r="D65" i="19" s="1"/>
  <c r="D1929" i="8" s="1"/>
  <c r="T1324" i="8"/>
  <c r="T1325" i="8" s="1"/>
  <c r="J38" i="18"/>
  <c r="T38" i="18" s="1"/>
  <c r="T90" i="15"/>
  <c r="I37" i="18"/>
  <c r="S39" i="18"/>
  <c r="T1328" i="8"/>
  <c r="T1329" i="8" s="1"/>
  <c r="J39" i="18"/>
  <c r="T39" i="18" s="1"/>
  <c r="S40" i="18"/>
  <c r="S38" i="18"/>
  <c r="T37" i="18"/>
  <c r="T1336" i="8"/>
  <c r="T1337" i="8" s="1"/>
  <c r="J40" i="18"/>
  <c r="T40" i="18" s="1"/>
  <c r="X660" i="2"/>
  <c r="X38" i="15" s="1"/>
  <c r="X659" i="2"/>
  <c r="X37" i="15" s="1"/>
  <c r="V1304" i="8"/>
  <c r="V1305" i="8" s="1"/>
  <c r="V85" i="15"/>
  <c r="U40" i="15"/>
  <c r="T1304" i="8"/>
  <c r="T1305" i="8" s="1"/>
  <c r="T85" i="15"/>
  <c r="V1312" i="8"/>
  <c r="V1313" i="8" s="1"/>
  <c r="V80" i="15"/>
  <c r="S1304" i="8"/>
  <c r="S1305" i="8" s="1"/>
  <c r="S85" i="15"/>
  <c r="V1300" i="8"/>
  <c r="V1301" i="8" s="1"/>
  <c r="V75" i="15"/>
  <c r="S1312" i="8"/>
  <c r="S1313" i="8" s="1"/>
  <c r="S80" i="15"/>
  <c r="W1340" i="8"/>
  <c r="W39" i="15"/>
  <c r="S1300" i="8"/>
  <c r="S1301" i="8" s="1"/>
  <c r="S75" i="15"/>
  <c r="T1300" i="8"/>
  <c r="T1301" i="8" s="1"/>
  <c r="T75" i="15"/>
  <c r="T1312" i="8"/>
  <c r="T1313" i="8" s="1"/>
  <c r="T80" i="15"/>
  <c r="R40" i="15"/>
  <c r="T771" i="2"/>
  <c r="T88" i="17" s="1"/>
  <c r="AC392" i="14"/>
  <c r="AC394" i="14" s="1"/>
  <c r="AC397" i="14" s="1"/>
  <c r="AE384" i="14"/>
  <c r="AE386" i="14" s="1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U90" i="15" s="1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U73" i="17" s="1"/>
  <c r="V771" i="2"/>
  <c r="V88" i="17" s="1"/>
  <c r="X762" i="2"/>
  <c r="X767" i="2"/>
  <c r="X1280" i="8" s="1"/>
  <c r="X1281" i="8" s="1"/>
  <c r="X758" i="2"/>
  <c r="X658" i="2"/>
  <c r="X755" i="2"/>
  <c r="X1683" i="8"/>
  <c r="X756" i="2"/>
  <c r="X757" i="2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S88" i="17" s="1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W89" i="17" s="1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90" i="15" s="1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3" i="17" s="1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U794" i="2"/>
  <c r="U1356" i="8" s="1"/>
  <c r="U1357" i="8" s="1"/>
  <c r="U1236" i="8"/>
  <c r="U1237" i="8" s="1"/>
  <c r="U777" i="2"/>
  <c r="T460" i="2"/>
  <c r="S64" i="12"/>
  <c r="S179" i="8"/>
  <c r="S180" i="8" s="1"/>
  <c r="V38" i="18" l="1"/>
  <c r="W38" i="18"/>
  <c r="W40" i="18"/>
  <c r="V40" i="18"/>
  <c r="V39" i="18"/>
  <c r="W39" i="18"/>
  <c r="V37" i="18"/>
  <c r="I41" i="18"/>
  <c r="W37" i="18"/>
  <c r="S37" i="18"/>
  <c r="S41" i="18" s="1"/>
  <c r="D46" i="18" s="1"/>
  <c r="D98" i="18" s="1"/>
  <c r="T41" i="18"/>
  <c r="D47" i="18" s="1"/>
  <c r="D50" i="18" s="1"/>
  <c r="K102" i="17"/>
  <c r="D62" i="18"/>
  <c r="J41" i="18"/>
  <c r="Z660" i="2"/>
  <c r="Z38" i="15" s="1"/>
  <c r="Z659" i="2"/>
  <c r="Z37" i="15" s="1"/>
  <c r="Y660" i="2"/>
  <c r="Y38" i="15" s="1"/>
  <c r="Y659" i="2"/>
  <c r="Y37" i="15" s="1"/>
  <c r="T1340" i="8"/>
  <c r="T39" i="15"/>
  <c r="S1340" i="8"/>
  <c r="S39" i="15"/>
  <c r="U1304" i="8"/>
  <c r="U1305" i="8" s="1"/>
  <c r="U85" i="15"/>
  <c r="R1312" i="8"/>
  <c r="R1313" i="8" s="1"/>
  <c r="R80" i="15"/>
  <c r="U1300" i="8"/>
  <c r="U1301" i="8" s="1"/>
  <c r="U75" i="15"/>
  <c r="R1300" i="8"/>
  <c r="R1301" i="8" s="1"/>
  <c r="R75" i="15"/>
  <c r="V1340" i="8"/>
  <c r="V39" i="15"/>
  <c r="R1304" i="8"/>
  <c r="R1305" i="8" s="1"/>
  <c r="R85" i="15"/>
  <c r="X40" i="15"/>
  <c r="W41" i="15"/>
  <c r="W1839" i="8"/>
  <c r="U1312" i="8"/>
  <c r="U1313" i="8" s="1"/>
  <c r="U80" i="15"/>
  <c r="R738" i="2"/>
  <c r="R760" i="2" s="1"/>
  <c r="R771" i="2"/>
  <c r="R88" i="17" s="1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89" i="17" s="1"/>
  <c r="S1438" i="8"/>
  <c r="T65" i="12"/>
  <c r="U461" i="2"/>
  <c r="T183" i="8"/>
  <c r="T184" i="8" s="1"/>
  <c r="R1544" i="8"/>
  <c r="R78" i="12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AB549" i="2"/>
  <c r="AB429" i="2"/>
  <c r="AB609" i="2"/>
  <c r="AB489" i="2"/>
  <c r="Z765" i="2"/>
  <c r="Z658" i="2"/>
  <c r="Z763" i="2"/>
  <c r="Z1264" i="8" s="1"/>
  <c r="Z1265" i="8" s="1"/>
  <c r="Z753" i="2"/>
  <c r="Z766" i="2"/>
  <c r="Z757" i="2"/>
  <c r="Z767" i="2"/>
  <c r="Z1280" i="8" s="1"/>
  <c r="Z1281" i="8" s="1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3" i="17" s="1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752" i="2"/>
  <c r="Y754" i="2"/>
  <c r="Y757" i="2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88" i="17" s="1"/>
  <c r="U515" i="2"/>
  <c r="T195" i="8"/>
  <c r="T196" i="8" s="1"/>
  <c r="T71" i="12"/>
  <c r="AA548" i="2"/>
  <c r="AA488" i="2"/>
  <c r="AA428" i="2"/>
  <c r="AA608" i="2"/>
  <c r="R1320" i="8"/>
  <c r="R1321" i="8" s="1"/>
  <c r="R789" i="2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X791" i="2"/>
  <c r="X1224" i="8"/>
  <c r="X1225" i="8" s="1"/>
  <c r="X774" i="2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X90" i="15" s="1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T89" i="17" s="1"/>
  <c r="O102" i="17" s="1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20" i="8"/>
  <c r="U1321" i="8" s="1"/>
  <c r="AA554" i="2"/>
  <c r="AA434" i="2"/>
  <c r="AA494" i="2"/>
  <c r="AA614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V89" i="17" s="1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Z1679" i="8"/>
  <c r="AA1708" i="8"/>
  <c r="AA398" i="14"/>
  <c r="W41" i="18" l="1"/>
  <c r="D49" i="18"/>
  <c r="D75" i="18"/>
  <c r="L86" i="18" s="1"/>
  <c r="L87" i="18" s="1"/>
  <c r="V41" i="18"/>
  <c r="AA660" i="2"/>
  <c r="AA38" i="15" s="1"/>
  <c r="AA659" i="2"/>
  <c r="AA37" i="15" s="1"/>
  <c r="AB660" i="2"/>
  <c r="AB38" i="15" s="1"/>
  <c r="AB659" i="2"/>
  <c r="AB37" i="15" s="1"/>
  <c r="W1469" i="8"/>
  <c r="W87" i="17"/>
  <c r="X1300" i="8"/>
  <c r="X1301" i="8" s="1"/>
  <c r="X75" i="15"/>
  <c r="X1304" i="8"/>
  <c r="X1305" i="8" s="1"/>
  <c r="X85" i="15"/>
  <c r="R1529" i="8"/>
  <c r="R91" i="15"/>
  <c r="R1340" i="8"/>
  <c r="R39" i="15"/>
  <c r="U1340" i="8"/>
  <c r="U39" i="15"/>
  <c r="X1312" i="8"/>
  <c r="X1313" i="8" s="1"/>
  <c r="X80" i="15"/>
  <c r="R1528" i="8"/>
  <c r="R86" i="15"/>
  <c r="Y40" i="15"/>
  <c r="R34" i="15"/>
  <c r="R76" i="15"/>
  <c r="S41" i="15"/>
  <c r="S1839" i="8"/>
  <c r="T41" i="15"/>
  <c r="T1839" i="8"/>
  <c r="Z40" i="15"/>
  <c r="R1527" i="8"/>
  <c r="R81" i="15"/>
  <c r="V41" i="15"/>
  <c r="V1839" i="8"/>
  <c r="S1585" i="8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U183" i="8"/>
  <c r="U184" i="8" s="1"/>
  <c r="V461" i="2"/>
  <c r="U65" i="12"/>
  <c r="AB1707" i="8"/>
  <c r="AB401" i="14"/>
  <c r="AB405" i="14" s="1"/>
  <c r="V520" i="2"/>
  <c r="U76" i="12"/>
  <c r="U215" i="8"/>
  <c r="U216" i="8" s="1"/>
  <c r="R727" i="2"/>
  <c r="R89" i="17" s="1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754" i="2"/>
  <c r="AB762" i="2"/>
  <c r="AB757" i="2"/>
  <c r="AB767" i="2"/>
  <c r="AB1280" i="8" s="1"/>
  <c r="AB1281" i="8" s="1"/>
  <c r="AB769" i="2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90" i="15" s="1"/>
  <c r="Y795" i="2"/>
  <c r="Y1360" i="8" s="1"/>
  <c r="Y1361" i="8" s="1"/>
  <c r="Z792" i="2"/>
  <c r="Z1348" i="8" s="1"/>
  <c r="Z1349" i="8" s="1"/>
  <c r="Z1228" i="8"/>
  <c r="Z1229" i="8" s="1"/>
  <c r="AA758" i="2"/>
  <c r="AA751" i="2"/>
  <c r="AA657" i="2"/>
  <c r="AA1683" i="8"/>
  <c r="AA756" i="2"/>
  <c r="AA769" i="2"/>
  <c r="AA658" i="2"/>
  <c r="AA764" i="2"/>
  <c r="AA1268" i="8" s="1"/>
  <c r="AA1269" i="8" s="1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73" i="17" s="1"/>
  <c r="Z1260" i="8"/>
  <c r="Z1261" i="8" s="1"/>
  <c r="S90" i="12"/>
  <c r="S1545" i="8"/>
  <c r="Z798" i="2"/>
  <c r="Z1372" i="8" s="1"/>
  <c r="Z1373" i="8" s="1"/>
  <c r="Z775" i="2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37" i="8"/>
  <c r="AC553" i="2"/>
  <c r="AC493" i="2"/>
  <c r="AC433" i="2"/>
  <c r="AC613" i="2"/>
  <c r="Y1260" i="8"/>
  <c r="Y1261" i="8" s="1"/>
  <c r="Y782" i="2"/>
  <c r="Y73" i="17" s="1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89" i="17" s="1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90" i="15" s="1"/>
  <c r="Z1240" i="8"/>
  <c r="Z1241" i="8" s="1"/>
  <c r="T1704" i="8"/>
  <c r="F1501" i="8"/>
  <c r="T684" i="2"/>
  <c r="T1719" i="8"/>
  <c r="T1437" i="8"/>
  <c r="T1448" i="8"/>
  <c r="T685" i="2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X88" i="17" s="1"/>
  <c r="AA1678" i="8"/>
  <c r="Y1276" i="8"/>
  <c r="Y1277" i="8" s="1"/>
  <c r="Y784" i="2"/>
  <c r="Z791" i="2"/>
  <c r="Z774" i="2"/>
  <c r="Z1224" i="8"/>
  <c r="Z1225" i="8" s="1"/>
  <c r="Z781" i="2"/>
  <c r="Z695" i="2"/>
  <c r="Z759" i="2"/>
  <c r="D67" i="18" l="1"/>
  <c r="D73" i="18"/>
  <c r="J86" i="18" s="1"/>
  <c r="J87" i="18" s="1"/>
  <c r="D74" i="18"/>
  <c r="K86" i="18" s="1"/>
  <c r="K87" i="18" s="1"/>
  <c r="D51" i="18"/>
  <c r="D72" i="18" s="1"/>
  <c r="I86" i="18" s="1"/>
  <c r="I87" i="18" s="1"/>
  <c r="R1713" i="8"/>
  <c r="R60" i="17"/>
  <c r="R61" i="17" s="1"/>
  <c r="R65" i="17" s="1"/>
  <c r="AC659" i="2"/>
  <c r="AC37" i="15" s="1"/>
  <c r="AC660" i="2"/>
  <c r="AC38" i="15" s="1"/>
  <c r="V1469" i="8"/>
  <c r="V87" i="17"/>
  <c r="T1469" i="8"/>
  <c r="T87" i="17"/>
  <c r="S1469" i="8"/>
  <c r="S87" i="17"/>
  <c r="R35" i="15"/>
  <c r="R36" i="15" s="1"/>
  <c r="R42" i="15" s="1"/>
  <c r="R82" i="15"/>
  <c r="R1852" i="8" s="1"/>
  <c r="R83" i="15"/>
  <c r="R87" i="15"/>
  <c r="R1853" i="8" s="1"/>
  <c r="R88" i="15"/>
  <c r="Y1300" i="8"/>
  <c r="Y1301" i="8" s="1"/>
  <c r="Y75" i="15"/>
  <c r="S1528" i="8"/>
  <c r="S86" i="15"/>
  <c r="AA40" i="15"/>
  <c r="U41" i="15"/>
  <c r="U1839" i="8"/>
  <c r="S1529" i="8"/>
  <c r="S91" i="15"/>
  <c r="Z1312" i="8"/>
  <c r="Z1313" i="8" s="1"/>
  <c r="Z80" i="15"/>
  <c r="R41" i="15"/>
  <c r="R1839" i="8"/>
  <c r="AB40" i="15"/>
  <c r="R92" i="15"/>
  <c r="R1854" i="8" s="1"/>
  <c r="R93" i="15"/>
  <c r="R77" i="15"/>
  <c r="R1851" i="8" s="1"/>
  <c r="R78" i="15"/>
  <c r="Z1300" i="8"/>
  <c r="Z1301" i="8" s="1"/>
  <c r="Z75" i="15"/>
  <c r="X1340" i="8"/>
  <c r="X39" i="15"/>
  <c r="Z1304" i="8"/>
  <c r="Z1305" i="8" s="1"/>
  <c r="Z85" i="15"/>
  <c r="S1527" i="8"/>
  <c r="S81" i="15"/>
  <c r="S34" i="15"/>
  <c r="S76" i="15"/>
  <c r="Y1304" i="8"/>
  <c r="Y1305" i="8" s="1"/>
  <c r="Y85" i="15"/>
  <c r="Y1312" i="8"/>
  <c r="Y1313" i="8" s="1"/>
  <c r="Y80" i="15"/>
  <c r="T1689" i="8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45" i="8"/>
  <c r="Y1320" i="8"/>
  <c r="Y1321" i="8" s="1"/>
  <c r="Y789" i="2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73" i="17" s="1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3" i="17" s="1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W575" i="2"/>
  <c r="V83" i="12"/>
  <c r="V231" i="8"/>
  <c r="V232" i="8" s="1"/>
  <c r="W457" i="2"/>
  <c r="V167" i="8"/>
  <c r="V168" i="8" s="1"/>
  <c r="V61" i="12"/>
  <c r="T1546" i="8"/>
  <c r="T102" i="12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X89" i="17" s="1"/>
  <c r="T1703" i="8"/>
  <c r="T1717" i="8"/>
  <c r="T1593" i="8"/>
  <c r="AC1707" i="8"/>
  <c r="AC401" i="14"/>
  <c r="AC405" i="14" s="1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Z88" i="17" s="1"/>
  <c r="R1573" i="8"/>
  <c r="R1595" i="8"/>
  <c r="R1721" i="8"/>
  <c r="R1704" i="8"/>
  <c r="R1448" i="8"/>
  <c r="R684" i="2"/>
  <c r="R1437" i="8"/>
  <c r="R685" i="2"/>
  <c r="R87" i="17" s="1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798" i="2"/>
  <c r="AA1372" i="8" s="1"/>
  <c r="AA1373" i="8" s="1"/>
  <c r="AA1252" i="8"/>
  <c r="AA1253" i="8" s="1"/>
  <c r="AA775" i="2"/>
  <c r="AB795" i="2"/>
  <c r="AB1360" i="8" s="1"/>
  <c r="AB1361" i="8" s="1"/>
  <c r="AB1240" i="8"/>
  <c r="AB1241" i="8" s="1"/>
  <c r="AB773" i="2"/>
  <c r="AB90" i="15" s="1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AA90" i="15" s="1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AD394" i="14" s="1"/>
  <c r="AD397" i="14" s="1"/>
  <c r="Y771" i="2"/>
  <c r="Y88" i="17" s="1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791" i="2"/>
  <c r="AB1224" i="8"/>
  <c r="AB1225" i="8" s="1"/>
  <c r="AC1680" i="8"/>
  <c r="D71" i="18" l="1"/>
  <c r="H86" i="18" s="1"/>
  <c r="H87" i="18" s="1"/>
  <c r="J102" i="17"/>
  <c r="D61" i="18"/>
  <c r="D70" i="18" s="1"/>
  <c r="G86" i="18" s="1"/>
  <c r="G87" i="18" s="1"/>
  <c r="D52" i="18"/>
  <c r="D1920" i="8" s="1"/>
  <c r="D68" i="18"/>
  <c r="E86" i="18" s="1"/>
  <c r="E87" i="18" s="1"/>
  <c r="D86" i="18"/>
  <c r="D87" i="18" s="1"/>
  <c r="S60" i="17"/>
  <c r="S61" i="17" s="1"/>
  <c r="S65" i="17" s="1"/>
  <c r="R82" i="17"/>
  <c r="R93" i="17"/>
  <c r="U1469" i="8"/>
  <c r="U87" i="17"/>
  <c r="S35" i="15"/>
  <c r="S36" i="15" s="1"/>
  <c r="S42" i="15" s="1"/>
  <c r="R1844" i="8"/>
  <c r="R1840" i="8"/>
  <c r="R43" i="15"/>
  <c r="Z1340" i="8"/>
  <c r="Z39" i="15"/>
  <c r="T1528" i="8"/>
  <c r="T86" i="15"/>
  <c r="AC40" i="15"/>
  <c r="T76" i="15"/>
  <c r="T34" i="15"/>
  <c r="S82" i="15"/>
  <c r="S1852" i="8" s="1"/>
  <c r="S83" i="15"/>
  <c r="S78" i="15"/>
  <c r="S77" i="15"/>
  <c r="S1851" i="8" s="1"/>
  <c r="T1529" i="8"/>
  <c r="T91" i="15"/>
  <c r="S87" i="15"/>
  <c r="S1853" i="8" s="1"/>
  <c r="S88" i="15"/>
  <c r="AB1312" i="8"/>
  <c r="AB1313" i="8" s="1"/>
  <c r="AB80" i="15"/>
  <c r="AB1304" i="8"/>
  <c r="AB1305" i="8" s="1"/>
  <c r="AB85" i="15"/>
  <c r="T1527" i="8"/>
  <c r="T81" i="15"/>
  <c r="X41" i="15"/>
  <c r="X1839" i="8"/>
  <c r="R45" i="15"/>
  <c r="AB1300" i="8"/>
  <c r="AB1301" i="8" s="1"/>
  <c r="AB75" i="15"/>
  <c r="AA1312" i="8"/>
  <c r="AA1313" i="8" s="1"/>
  <c r="AA80" i="15"/>
  <c r="Y1340" i="8"/>
  <c r="Y39" i="15"/>
  <c r="S92" i="15"/>
  <c r="S1854" i="8" s="1"/>
  <c r="S93" i="15"/>
  <c r="AA1300" i="8"/>
  <c r="AA1301" i="8" s="1"/>
  <c r="AA75" i="15"/>
  <c r="AA1304" i="8"/>
  <c r="AA1305" i="8" s="1"/>
  <c r="AA85" i="15"/>
  <c r="U1689" i="8"/>
  <c r="U1583" i="8"/>
  <c r="U1585" i="8"/>
  <c r="U1691" i="8"/>
  <c r="U1688" i="8"/>
  <c r="U1582" i="8"/>
  <c r="AB771" i="2"/>
  <c r="AB88" i="17" s="1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X519" i="2"/>
  <c r="W211" i="8"/>
  <c r="W212" i="8" s="1"/>
  <c r="W75" i="12"/>
  <c r="AC759" i="2"/>
  <c r="AC791" i="2"/>
  <c r="AC1224" i="8"/>
  <c r="AC1225" i="8" s="1"/>
  <c r="AC695" i="2"/>
  <c r="AC781" i="2"/>
  <c r="AC774" i="2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Y89" i="17" s="1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Z89" i="17" s="1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AC90" i="15" s="1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44" i="8"/>
  <c r="X575" i="2"/>
  <c r="W231" i="8"/>
  <c r="W232" i="8" s="1"/>
  <c r="W83" i="12"/>
  <c r="AA1320" i="8"/>
  <c r="AA1321" i="8" s="1"/>
  <c r="AA789" i="2"/>
  <c r="AA771" i="2"/>
  <c r="AA88" i="17" s="1"/>
  <c r="AC785" i="2"/>
  <c r="AC1324" i="8" s="1"/>
  <c r="AC1325" i="8" s="1"/>
  <c r="AC1260" i="8"/>
  <c r="AC1261" i="8" s="1"/>
  <c r="AC782" i="2"/>
  <c r="AC73" i="17" s="1"/>
  <c r="AC770" i="2"/>
  <c r="AC1292" i="8" s="1"/>
  <c r="AC1293" i="8" s="1"/>
  <c r="D88" i="18" l="1"/>
  <c r="R94" i="17"/>
  <c r="R95" i="17" s="1"/>
  <c r="R1866" i="8"/>
  <c r="R91" i="17"/>
  <c r="R92" i="17" s="1"/>
  <c r="R96" i="17" s="1"/>
  <c r="T60" i="17"/>
  <c r="T61" i="17" s="1"/>
  <c r="T65" i="17" s="1"/>
  <c r="S82" i="17"/>
  <c r="S93" i="17"/>
  <c r="T35" i="15"/>
  <c r="T36" i="15" s="1"/>
  <c r="R1841" i="8"/>
  <c r="R67" i="17"/>
  <c r="R68" i="17" s="1"/>
  <c r="R81" i="17" s="1"/>
  <c r="R83" i="17" s="1"/>
  <c r="X1469" i="8"/>
  <c r="X87" i="17"/>
  <c r="R44" i="15"/>
  <c r="R1855" i="8" s="1"/>
  <c r="S1844" i="8"/>
  <c r="S1840" i="8"/>
  <c r="S43" i="15"/>
  <c r="U1527" i="8"/>
  <c r="U81" i="15"/>
  <c r="Y41" i="15"/>
  <c r="Y1839" i="8"/>
  <c r="U1529" i="8"/>
  <c r="U91" i="15"/>
  <c r="U1528" i="8"/>
  <c r="U86" i="15"/>
  <c r="T77" i="15"/>
  <c r="T1851" i="8" s="1"/>
  <c r="T78" i="15"/>
  <c r="T83" i="15"/>
  <c r="T82" i="15"/>
  <c r="T1852" i="8" s="1"/>
  <c r="AC1312" i="8"/>
  <c r="AC1313" i="8" s="1"/>
  <c r="AC80" i="15"/>
  <c r="AB1340" i="8"/>
  <c r="AB39" i="15"/>
  <c r="S45" i="15"/>
  <c r="T87" i="15"/>
  <c r="T1853" i="8" s="1"/>
  <c r="T88" i="15"/>
  <c r="T92" i="15"/>
  <c r="T1854" i="8" s="1"/>
  <c r="T93" i="15"/>
  <c r="Z41" i="15"/>
  <c r="Z1839" i="8"/>
  <c r="AA1340" i="8"/>
  <c r="AA39" i="15"/>
  <c r="AC1304" i="8"/>
  <c r="AC1305" i="8" s="1"/>
  <c r="AC85" i="15"/>
  <c r="U76" i="15"/>
  <c r="U34" i="15"/>
  <c r="AC1300" i="8"/>
  <c r="AC1301" i="8" s="1"/>
  <c r="AC75" i="15"/>
  <c r="V1690" i="8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89" i="17" s="1"/>
  <c r="AA1438" i="8"/>
  <c r="X239" i="8"/>
  <c r="X240" i="8" s="1"/>
  <c r="X85" i="12"/>
  <c r="Y577" i="2"/>
  <c r="V102" i="12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AC88" i="17" s="1"/>
  <c r="Y635" i="2"/>
  <c r="X267" i="8"/>
  <c r="X268" i="8" s="1"/>
  <c r="X95" i="12"/>
  <c r="V1544" i="8"/>
  <c r="V78" i="12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87" i="17" s="1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AB89" i="17" s="1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D1919" i="8" l="1"/>
  <c r="D1930" i="8"/>
  <c r="U60" i="17"/>
  <c r="U61" i="17" s="1"/>
  <c r="U65" i="17" s="1"/>
  <c r="S94" i="17"/>
  <c r="S95" i="17" s="1"/>
  <c r="S1866" i="8"/>
  <c r="S91" i="17"/>
  <c r="S92" i="17" s="1"/>
  <c r="AD659" i="2"/>
  <c r="AD37" i="15" s="1"/>
  <c r="AD660" i="2"/>
  <c r="AD38" i="15" s="1"/>
  <c r="R1868" i="8"/>
  <c r="R85" i="17"/>
  <c r="R1867" i="8"/>
  <c r="R1865" i="8"/>
  <c r="T82" i="17"/>
  <c r="T93" i="17"/>
  <c r="T94" i="17" s="1"/>
  <c r="U35" i="15"/>
  <c r="U36" i="15" s="1"/>
  <c r="S1841" i="8"/>
  <c r="S67" i="17"/>
  <c r="S68" i="17" s="1"/>
  <c r="S81" i="17" s="1"/>
  <c r="S83" i="17" s="1"/>
  <c r="Z1469" i="8"/>
  <c r="Z87" i="17"/>
  <c r="S44" i="15"/>
  <c r="S1855" i="8" s="1"/>
  <c r="T45" i="15"/>
  <c r="T42" i="15"/>
  <c r="U87" i="15"/>
  <c r="U1853" i="8" s="1"/>
  <c r="U88" i="15"/>
  <c r="U92" i="15"/>
  <c r="U1854" i="8" s="1"/>
  <c r="U93" i="15"/>
  <c r="V1527" i="8"/>
  <c r="V81" i="15"/>
  <c r="V1529" i="8"/>
  <c r="V91" i="15"/>
  <c r="AB41" i="15"/>
  <c r="AB1839" i="8"/>
  <c r="U77" i="15"/>
  <c r="U1851" i="8" s="1"/>
  <c r="U78" i="15"/>
  <c r="AC1340" i="8"/>
  <c r="AC39" i="15"/>
  <c r="U82" i="15"/>
  <c r="U1852" i="8" s="1"/>
  <c r="U83" i="15"/>
  <c r="AA41" i="15"/>
  <c r="AA1839" i="8"/>
  <c r="V76" i="15"/>
  <c r="V34" i="15"/>
  <c r="V1528" i="8"/>
  <c r="V86" i="15"/>
  <c r="W1690" i="8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89" i="17" s="1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44" i="8"/>
  <c r="AA1704" i="8"/>
  <c r="AA1437" i="8"/>
  <c r="AA685" i="2"/>
  <c r="AA1448" i="8"/>
  <c r="AA684" i="2"/>
  <c r="AA1719" i="8"/>
  <c r="AE611" i="2"/>
  <c r="AE491" i="2"/>
  <c r="AE551" i="2"/>
  <c r="AE431" i="2"/>
  <c r="W1545" i="8"/>
  <c r="W90" i="12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V60" i="17" l="1"/>
  <c r="V61" i="17" s="1"/>
  <c r="V65" i="17" s="1"/>
  <c r="S1868" i="8"/>
  <c r="S96" i="17"/>
  <c r="S1865" i="8" s="1"/>
  <c r="T1866" i="8"/>
  <c r="T91" i="17"/>
  <c r="T92" i="17" s="1"/>
  <c r="AE660" i="2"/>
  <c r="AE38" i="15" s="1"/>
  <c r="AE659" i="2"/>
  <c r="AE37" i="15" s="1"/>
  <c r="S85" i="17"/>
  <c r="S1867" i="8"/>
  <c r="U82" i="17"/>
  <c r="U93" i="17"/>
  <c r="M102" i="17"/>
  <c r="T95" i="17"/>
  <c r="N102" i="17" s="1"/>
  <c r="AA1469" i="8"/>
  <c r="AA87" i="17"/>
  <c r="AB1469" i="8"/>
  <c r="AB87" i="17"/>
  <c r="V35" i="15"/>
  <c r="V36" i="15" s="1"/>
  <c r="V42" i="15" s="1"/>
  <c r="U45" i="15"/>
  <c r="U42" i="15"/>
  <c r="T1844" i="8"/>
  <c r="T1840" i="8"/>
  <c r="T43" i="15"/>
  <c r="T67" i="17" s="1"/>
  <c r="T68" i="17" s="1"/>
  <c r="T81" i="17" s="1"/>
  <c r="T83" i="17" s="1"/>
  <c r="W1529" i="8"/>
  <c r="W91" i="15"/>
  <c r="V78" i="15"/>
  <c r="V77" i="15"/>
  <c r="V1851" i="8" s="1"/>
  <c r="V92" i="15"/>
  <c r="V1854" i="8" s="1"/>
  <c r="V93" i="15"/>
  <c r="V82" i="15"/>
  <c r="V1852" i="8" s="1"/>
  <c r="V83" i="15"/>
  <c r="W1527" i="8"/>
  <c r="W81" i="15"/>
  <c r="AD40" i="15"/>
  <c r="AC41" i="15"/>
  <c r="AC1839" i="8"/>
  <c r="V87" i="15"/>
  <c r="V1853" i="8" s="1"/>
  <c r="V88" i="15"/>
  <c r="W76" i="15"/>
  <c r="W34" i="15"/>
  <c r="W1528" i="8"/>
  <c r="W86" i="15"/>
  <c r="X1689" i="8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3" i="17" s="1"/>
  <c r="AD770" i="2"/>
  <c r="AD1292" i="8" s="1"/>
  <c r="AD1293" i="8" s="1"/>
  <c r="AD795" i="2"/>
  <c r="AD1360" i="8" s="1"/>
  <c r="AD1361" i="8" s="1"/>
  <c r="AD1240" i="8"/>
  <c r="AD1241" i="8" s="1"/>
  <c r="AD773" i="2"/>
  <c r="AD90" i="15" s="1"/>
  <c r="X1702" i="8"/>
  <c r="X1716" i="8"/>
  <c r="X1592" i="8"/>
  <c r="AE763" i="2"/>
  <c r="AE1264" i="8" s="1"/>
  <c r="AE1265" i="8" s="1"/>
  <c r="F1265" i="8" s="1"/>
  <c r="AE762" i="2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46" i="8"/>
  <c r="Z60" i="12"/>
  <c r="AA456" i="2"/>
  <c r="Z163" i="8"/>
  <c r="Z164" i="8" s="1"/>
  <c r="AE1681" i="8"/>
  <c r="F1681" i="8" s="1"/>
  <c r="AD1236" i="8"/>
  <c r="AD1237" i="8" s="1"/>
  <c r="AD777" i="2"/>
  <c r="AD794" i="2"/>
  <c r="AD1356" i="8" s="1"/>
  <c r="AD1357" i="8" s="1"/>
  <c r="AD1252" i="8"/>
  <c r="AD1253" i="8" s="1"/>
  <c r="AD775" i="2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W60" i="17" l="1"/>
  <c r="W61" i="17" s="1"/>
  <c r="W65" i="17" s="1"/>
  <c r="T1868" i="8"/>
  <c r="T96" i="17"/>
  <c r="Q102" i="17" s="1"/>
  <c r="U1866" i="8"/>
  <c r="U91" i="17"/>
  <c r="U92" i="17" s="1"/>
  <c r="U96" i="17" s="1"/>
  <c r="U94" i="17"/>
  <c r="U95" i="17" s="1"/>
  <c r="L102" i="17"/>
  <c r="T1867" i="8"/>
  <c r="V82" i="17"/>
  <c r="V93" i="17"/>
  <c r="G102" i="17"/>
  <c r="T85" i="17"/>
  <c r="H102" i="17" s="1"/>
  <c r="AC1469" i="8"/>
  <c r="AC87" i="17"/>
  <c r="W35" i="15"/>
  <c r="W36" i="15" s="1"/>
  <c r="W42" i="15" s="1"/>
  <c r="V1844" i="8"/>
  <c r="V1840" i="8"/>
  <c r="V43" i="15"/>
  <c r="T1841" i="8"/>
  <c r="T44" i="15"/>
  <c r="T1855" i="8" s="1"/>
  <c r="U1844" i="8"/>
  <c r="U1840" i="8"/>
  <c r="U43" i="15"/>
  <c r="U67" i="17" s="1"/>
  <c r="U68" i="17" s="1"/>
  <c r="U81" i="17" s="1"/>
  <c r="U83" i="17" s="1"/>
  <c r="W83" i="15"/>
  <c r="W82" i="15"/>
  <c r="W1852" i="8" s="1"/>
  <c r="W87" i="15"/>
  <c r="W1853" i="8" s="1"/>
  <c r="W88" i="15"/>
  <c r="X1527" i="8"/>
  <c r="X81" i="15"/>
  <c r="AD1304" i="8"/>
  <c r="AD1305" i="8" s="1"/>
  <c r="AD85" i="15"/>
  <c r="W78" i="15"/>
  <c r="W77" i="15"/>
  <c r="W1851" i="8" s="1"/>
  <c r="AD1312" i="8"/>
  <c r="AD1313" i="8" s="1"/>
  <c r="AD80" i="15"/>
  <c r="X1529" i="8"/>
  <c r="X91" i="15"/>
  <c r="AE40" i="15"/>
  <c r="V45" i="15"/>
  <c r="AD1300" i="8"/>
  <c r="AD1301" i="8" s="1"/>
  <c r="AD75" i="15"/>
  <c r="X1528" i="8"/>
  <c r="X86" i="15"/>
  <c r="X76" i="15"/>
  <c r="X34" i="15"/>
  <c r="W92" i="15"/>
  <c r="W1854" i="8" s="1"/>
  <c r="W93" i="15"/>
  <c r="Y1688" i="8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759" i="2"/>
  <c r="AE1252" i="8"/>
  <c r="AE1253" i="8" s="1"/>
  <c r="F1253" i="8" s="1"/>
  <c r="AE775" i="2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73" i="17" s="1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B515" i="2"/>
  <c r="AA71" i="12"/>
  <c r="AA195" i="8"/>
  <c r="AA196" i="8" s="1"/>
  <c r="AD771" i="2"/>
  <c r="AD88" i="17" s="1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E90" i="15" s="1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T1865" i="8" l="1"/>
  <c r="V1866" i="8"/>
  <c r="V91" i="17"/>
  <c r="V92" i="17" s="1"/>
  <c r="V96" i="17" s="1"/>
  <c r="V94" i="17"/>
  <c r="V95" i="17" s="1"/>
  <c r="X60" i="17"/>
  <c r="X61" i="17" s="1"/>
  <c r="X65" i="17" s="1"/>
  <c r="U1868" i="8"/>
  <c r="F1869" i="8"/>
  <c r="U85" i="17"/>
  <c r="U1867" i="8"/>
  <c r="U1865" i="8"/>
  <c r="W82" i="17"/>
  <c r="W93" i="17"/>
  <c r="X35" i="15"/>
  <c r="X36" i="15" s="1"/>
  <c r="X42" i="15" s="1"/>
  <c r="V1841" i="8"/>
  <c r="V67" i="17"/>
  <c r="V68" i="17" s="1"/>
  <c r="V81" i="17" s="1"/>
  <c r="V83" i="17" s="1"/>
  <c r="W1840" i="8"/>
  <c r="W1844" i="8"/>
  <c r="W43" i="15"/>
  <c r="U1841" i="8"/>
  <c r="U44" i="15"/>
  <c r="U1855" i="8" s="1"/>
  <c r="V44" i="15"/>
  <c r="V1855" i="8" s="1"/>
  <c r="X78" i="15"/>
  <c r="X77" i="15"/>
  <c r="X1851" i="8" s="1"/>
  <c r="Y1527" i="8"/>
  <c r="Y81" i="15"/>
  <c r="W45" i="15"/>
  <c r="AD1340" i="8"/>
  <c r="AD39" i="15"/>
  <c r="X88" i="15"/>
  <c r="X87" i="15"/>
  <c r="X1853" i="8" s="1"/>
  <c r="Y1529" i="8"/>
  <c r="Y91" i="15"/>
  <c r="Y76" i="15"/>
  <c r="Y34" i="15"/>
  <c r="AE1312" i="8"/>
  <c r="AE1313" i="8" s="1"/>
  <c r="F1313" i="8" s="1"/>
  <c r="AE80" i="15"/>
  <c r="X83" i="15"/>
  <c r="X82" i="15"/>
  <c r="X1852" i="8" s="1"/>
  <c r="AE1304" i="8"/>
  <c r="AE1305" i="8" s="1"/>
  <c r="F1305" i="8" s="1"/>
  <c r="AE85" i="15"/>
  <c r="Y1528" i="8"/>
  <c r="Y86" i="15"/>
  <c r="AE1300" i="8"/>
  <c r="AE1301" i="8" s="1"/>
  <c r="F1301" i="8" s="1"/>
  <c r="AE75" i="15"/>
  <c r="X92" i="15"/>
  <c r="X1854" i="8" s="1"/>
  <c r="X93" i="15"/>
  <c r="AE771" i="2"/>
  <c r="AE88" i="17" s="1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20" i="8"/>
  <c r="AE1321" i="8" s="1"/>
  <c r="F1321" i="8" s="1"/>
  <c r="AD1438" i="8"/>
  <c r="AD727" i="2"/>
  <c r="AD89" i="17" s="1"/>
  <c r="Z78" i="12"/>
  <c r="Z1544" i="8"/>
  <c r="Z1703" i="8"/>
  <c r="Z1593" i="8"/>
  <c r="Z1717" i="8"/>
  <c r="AB287" i="8"/>
  <c r="AB288" i="8" s="1"/>
  <c r="AB100" i="12"/>
  <c r="AC640" i="2"/>
  <c r="Z1701" i="8"/>
  <c r="Z1715" i="8"/>
  <c r="Z1591" i="8"/>
  <c r="W94" i="17" l="1"/>
  <c r="W95" i="17" s="1"/>
  <c r="W1866" i="8"/>
  <c r="W91" i="17"/>
  <c r="W92" i="17" s="1"/>
  <c r="W96" i="17" s="1"/>
  <c r="Y60" i="17"/>
  <c r="Y61" i="17" s="1"/>
  <c r="Y65" i="17" s="1"/>
  <c r="V1868" i="8"/>
  <c r="V85" i="17"/>
  <c r="V1867" i="8"/>
  <c r="V1865" i="8"/>
  <c r="X82" i="17"/>
  <c r="X93" i="17"/>
  <c r="Y35" i="15"/>
  <c r="Y36" i="15" s="1"/>
  <c r="Y42" i="15" s="1"/>
  <c r="W1841" i="8"/>
  <c r="W67" i="17"/>
  <c r="W68" i="17" s="1"/>
  <c r="W81" i="17" s="1"/>
  <c r="W83" i="17" s="1"/>
  <c r="W44" i="15"/>
  <c r="W1855" i="8" s="1"/>
  <c r="X1844" i="8"/>
  <c r="X1840" i="8"/>
  <c r="X43" i="15"/>
  <c r="X44" i="15" s="1"/>
  <c r="X1855" i="8" s="1"/>
  <c r="Y78" i="15"/>
  <c r="Y77" i="15"/>
  <c r="Y1851" i="8" s="1"/>
  <c r="Y93" i="15"/>
  <c r="Y92" i="15"/>
  <c r="Y1854" i="8" s="1"/>
  <c r="Z76" i="15"/>
  <c r="Z34" i="15"/>
  <c r="Y88" i="15"/>
  <c r="Y87" i="15"/>
  <c r="Y1853" i="8" s="1"/>
  <c r="AE1340" i="8"/>
  <c r="AE39" i="15"/>
  <c r="Z1528" i="8"/>
  <c r="Z86" i="15"/>
  <c r="AD41" i="15"/>
  <c r="AD1839" i="8"/>
  <c r="X45" i="15"/>
  <c r="Y83" i="15"/>
  <c r="Y82" i="15"/>
  <c r="Y1852" i="8" s="1"/>
  <c r="Z1527" i="8"/>
  <c r="Z81" i="15"/>
  <c r="Z1529" i="8"/>
  <c r="Z91" i="15"/>
  <c r="AA1688" i="8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46" i="8"/>
  <c r="AC155" i="8"/>
  <c r="AC156" i="8" s="1"/>
  <c r="AC58" i="12"/>
  <c r="AD454" i="2"/>
  <c r="AC275" i="8"/>
  <c r="AC276" i="8" s="1"/>
  <c r="AC97" i="12"/>
  <c r="AD637" i="2"/>
  <c r="AA90" i="12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87" i="17" s="1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E89" i="17" s="1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AE1713" i="8" l="1"/>
  <c r="F1713" i="8" s="1"/>
  <c r="F1911" i="8"/>
  <c r="D1907" i="8" s="1"/>
  <c r="X94" i="17"/>
  <c r="X95" i="17" s="1"/>
  <c r="X1866" i="8"/>
  <c r="X91" i="17"/>
  <c r="X92" i="17" s="1"/>
  <c r="X96" i="17" s="1"/>
  <c r="Z60" i="17"/>
  <c r="Z61" i="17" s="1"/>
  <c r="Z65" i="17" s="1"/>
  <c r="W1868" i="8"/>
  <c r="W85" i="17"/>
  <c r="W1867" i="8"/>
  <c r="W1865" i="8"/>
  <c r="Y82" i="17"/>
  <c r="Y93" i="17"/>
  <c r="Z35" i="15"/>
  <c r="Z36" i="15" s="1"/>
  <c r="X1841" i="8"/>
  <c r="X67" i="17"/>
  <c r="X68" i="17" s="1"/>
  <c r="X81" i="17" s="1"/>
  <c r="X83" i="17" s="1"/>
  <c r="Y1844" i="8"/>
  <c r="Y1840" i="8"/>
  <c r="Y43" i="15"/>
  <c r="AA1529" i="8"/>
  <c r="AA91" i="15"/>
  <c r="Y45" i="15"/>
  <c r="AE41" i="15"/>
  <c r="AE1839" i="8"/>
  <c r="F1839" i="8" s="1"/>
  <c r="Z88" i="15"/>
  <c r="Z87" i="15"/>
  <c r="Z1853" i="8" s="1"/>
  <c r="AA76" i="15"/>
  <c r="AA34" i="15"/>
  <c r="Z93" i="15"/>
  <c r="Z92" i="15"/>
  <c r="Z1854" i="8" s="1"/>
  <c r="Z83" i="15"/>
  <c r="Z82" i="15"/>
  <c r="Z1852" i="8" s="1"/>
  <c r="AA1528" i="8"/>
  <c r="AA86" i="15"/>
  <c r="Z78" i="15"/>
  <c r="Z77" i="15"/>
  <c r="Z1851" i="8" s="1"/>
  <c r="AA1527" i="8"/>
  <c r="AA81" i="15"/>
  <c r="AB1582" i="8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Y1866" i="8" l="1"/>
  <c r="Y91" i="17"/>
  <c r="Y92" i="17" s="1"/>
  <c r="Y96" i="17" s="1"/>
  <c r="Y94" i="17"/>
  <c r="Y95" i="17" s="1"/>
  <c r="AA60" i="17"/>
  <c r="AA61" i="17" s="1"/>
  <c r="AA65" i="17" s="1"/>
  <c r="X1868" i="8"/>
  <c r="X85" i="17"/>
  <c r="X1867" i="8"/>
  <c r="X1865" i="8"/>
  <c r="Z82" i="17"/>
  <c r="Z93" i="17"/>
  <c r="Y1841" i="8"/>
  <c r="Y67" i="17"/>
  <c r="Y68" i="17" s="1"/>
  <c r="Y81" i="17" s="1"/>
  <c r="Y83" i="17" s="1"/>
  <c r="AE1469" i="8"/>
  <c r="F1469" i="8" s="1"/>
  <c r="AE87" i="17"/>
  <c r="AA35" i="15"/>
  <c r="AA36" i="15" s="1"/>
  <c r="AA42" i="15" s="1"/>
  <c r="Y44" i="15"/>
  <c r="Y1855" i="8" s="1"/>
  <c r="Z45" i="15"/>
  <c r="Z42" i="15"/>
  <c r="AA78" i="15"/>
  <c r="AA77" i="15"/>
  <c r="AA1851" i="8" s="1"/>
  <c r="AA83" i="15"/>
  <c r="AA82" i="15"/>
  <c r="AA1852" i="8" s="1"/>
  <c r="AB76" i="15"/>
  <c r="AB34" i="15"/>
  <c r="AB1527" i="8"/>
  <c r="AB81" i="15"/>
  <c r="AA93" i="15"/>
  <c r="AA92" i="15"/>
  <c r="AA1854" i="8" s="1"/>
  <c r="AB1528" i="8"/>
  <c r="AB86" i="15"/>
  <c r="AB1529" i="8"/>
  <c r="AB91" i="15"/>
  <c r="AA88" i="15"/>
  <c r="AA87" i="15"/>
  <c r="AA1853" i="8" s="1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Z1866" i="8" l="1"/>
  <c r="Z91" i="17"/>
  <c r="Z92" i="17" s="1"/>
  <c r="Z94" i="17"/>
  <c r="Z95" i="17" s="1"/>
  <c r="AB60" i="17"/>
  <c r="AB61" i="17" s="1"/>
  <c r="AB65" i="17" s="1"/>
  <c r="Y1868" i="8"/>
  <c r="Y85" i="17"/>
  <c r="Y1867" i="8"/>
  <c r="Y1865" i="8"/>
  <c r="AA82" i="17"/>
  <c r="AA93" i="17"/>
  <c r="AB35" i="15"/>
  <c r="AB36" i="15" s="1"/>
  <c r="AB42" i="15" s="1"/>
  <c r="AA1844" i="8"/>
  <c r="AA1840" i="8"/>
  <c r="AA43" i="15"/>
  <c r="AA44" i="15" s="1"/>
  <c r="AA1855" i="8" s="1"/>
  <c r="Z1840" i="8"/>
  <c r="Z1844" i="8"/>
  <c r="Z43" i="15"/>
  <c r="Z67" i="17" s="1"/>
  <c r="Z68" i="17" s="1"/>
  <c r="Z81" i="17" s="1"/>
  <c r="Z83" i="17" s="1"/>
  <c r="AC76" i="15"/>
  <c r="AC34" i="15"/>
  <c r="AA45" i="15"/>
  <c r="AC1528" i="8"/>
  <c r="AC86" i="15"/>
  <c r="AB83" i="15"/>
  <c r="AB82" i="15"/>
  <c r="AB1852" i="8" s="1"/>
  <c r="AC1527" i="8"/>
  <c r="AC81" i="15"/>
  <c r="AB78" i="15"/>
  <c r="AB77" i="15"/>
  <c r="AB1851" i="8" s="1"/>
  <c r="AB93" i="15"/>
  <c r="AB92" i="15"/>
  <c r="AB1854" i="8" s="1"/>
  <c r="AC1529" i="8"/>
  <c r="AC91" i="15"/>
  <c r="AB88" i="15"/>
  <c r="AB87" i="15"/>
  <c r="AB1853" i="8" s="1"/>
  <c r="D1464" i="8"/>
  <c r="AD1582" i="8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90" i="12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46" i="8"/>
  <c r="AA1866" i="8" l="1"/>
  <c r="AA91" i="17"/>
  <c r="AA92" i="17" s="1"/>
  <c r="AA96" i="17" s="1"/>
  <c r="AA94" i="17"/>
  <c r="AA95" i="17" s="1"/>
  <c r="Z1868" i="8"/>
  <c r="Z96" i="17"/>
  <c r="Z1865" i="8" s="1"/>
  <c r="AC60" i="17"/>
  <c r="AC61" i="17" s="1"/>
  <c r="AC65" i="17" s="1"/>
  <c r="Z85" i="17"/>
  <c r="Z1867" i="8"/>
  <c r="AB82" i="17"/>
  <c r="AB93" i="17"/>
  <c r="AC35" i="15"/>
  <c r="AC36" i="15" s="1"/>
  <c r="AA1841" i="8"/>
  <c r="AA67" i="17"/>
  <c r="AA68" i="17" s="1"/>
  <c r="AA81" i="17" s="1"/>
  <c r="AA83" i="17" s="1"/>
  <c r="Z1841" i="8"/>
  <c r="Z44" i="15"/>
  <c r="Z1855" i="8" s="1"/>
  <c r="AB1840" i="8"/>
  <c r="AB1844" i="8"/>
  <c r="AB43" i="15"/>
  <c r="AC83" i="15"/>
  <c r="AC82" i="15"/>
  <c r="AC1852" i="8" s="1"/>
  <c r="AB45" i="15"/>
  <c r="AC88" i="15"/>
  <c r="AC87" i="15"/>
  <c r="AC1853" i="8" s="1"/>
  <c r="AD1528" i="8"/>
  <c r="AD86" i="15"/>
  <c r="AD1529" i="8"/>
  <c r="AD91" i="15"/>
  <c r="AC93" i="15"/>
  <c r="AC92" i="15"/>
  <c r="AC1854" i="8" s="1"/>
  <c r="AD1527" i="8"/>
  <c r="AD81" i="15"/>
  <c r="AD76" i="15"/>
  <c r="AD34" i="15"/>
  <c r="AC77" i="15"/>
  <c r="AC1851" i="8" s="1"/>
  <c r="AC78" i="15"/>
  <c r="AE1585" i="8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44" i="8"/>
  <c r="F1544" i="8" s="1"/>
  <c r="AE1545" i="8"/>
  <c r="F1545" i="8" s="1"/>
  <c r="AE90" i="12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703" i="8"/>
  <c r="F1703" i="8" s="1"/>
  <c r="AE1593" i="8"/>
  <c r="F1593" i="8" s="1"/>
  <c r="AE1717" i="8"/>
  <c r="F1717" i="8" s="1"/>
  <c r="AB94" i="17" l="1"/>
  <c r="AB95" i="17" s="1"/>
  <c r="AB1866" i="8"/>
  <c r="AB91" i="17"/>
  <c r="AB92" i="17" s="1"/>
  <c r="AB96" i="17" s="1"/>
  <c r="AD60" i="17"/>
  <c r="AD61" i="17" s="1"/>
  <c r="AD65" i="17" s="1"/>
  <c r="AA1868" i="8"/>
  <c r="AA85" i="17"/>
  <c r="AA1867" i="8"/>
  <c r="AA1865" i="8"/>
  <c r="AC82" i="17"/>
  <c r="AC93" i="17"/>
  <c r="AD35" i="15"/>
  <c r="AD36" i="15" s="1"/>
  <c r="AD42" i="15" s="1"/>
  <c r="AB1841" i="8"/>
  <c r="AB67" i="17"/>
  <c r="AB68" i="17" s="1"/>
  <c r="AB81" i="17" s="1"/>
  <c r="AB83" i="17" s="1"/>
  <c r="AB44" i="15"/>
  <c r="AB1855" i="8" s="1"/>
  <c r="AC45" i="15"/>
  <c r="AC42" i="15"/>
  <c r="AD88" i="15"/>
  <c r="AD87" i="15"/>
  <c r="AD1853" i="8" s="1"/>
  <c r="AD93" i="15"/>
  <c r="AD92" i="15"/>
  <c r="AD1854" i="8" s="1"/>
  <c r="AE1528" i="8"/>
  <c r="F1528" i="8" s="1"/>
  <c r="AE86" i="15"/>
  <c r="AE1527" i="8"/>
  <c r="F1527" i="8" s="1"/>
  <c r="AE81" i="15"/>
  <c r="AE76" i="15"/>
  <c r="AE34" i="15"/>
  <c r="AD82" i="15"/>
  <c r="AD1852" i="8" s="1"/>
  <c r="AD83" i="15"/>
  <c r="AD77" i="15"/>
  <c r="AD1851" i="8" s="1"/>
  <c r="AD78" i="15"/>
  <c r="AE1529" i="8"/>
  <c r="F1529" i="8" s="1"/>
  <c r="AE91" i="15"/>
  <c r="D1552" i="8"/>
  <c r="D1667" i="8"/>
  <c r="AE1526" i="8"/>
  <c r="F1526" i="8" s="1"/>
  <c r="AE1718" i="8"/>
  <c r="F1718" i="8" s="1"/>
  <c r="AE60" i="17" l="1"/>
  <c r="AE61" i="17" s="1"/>
  <c r="AE65" i="17" s="1"/>
  <c r="AC94" i="17"/>
  <c r="AC95" i="17" s="1"/>
  <c r="AC1866" i="8"/>
  <c r="AC91" i="17"/>
  <c r="AC92" i="17" s="1"/>
  <c r="AB1868" i="8"/>
  <c r="AB85" i="17"/>
  <c r="AB1867" i="8"/>
  <c r="AB1865" i="8"/>
  <c r="AD82" i="17"/>
  <c r="AD93" i="17"/>
  <c r="AE35" i="15"/>
  <c r="AE36" i="15" s="1"/>
  <c r="AE42" i="15" s="1"/>
  <c r="AE1844" i="8" s="1"/>
  <c r="AD1840" i="8"/>
  <c r="AD1844" i="8"/>
  <c r="AD43" i="15"/>
  <c r="AC1840" i="8"/>
  <c r="AC1844" i="8"/>
  <c r="AC43" i="15"/>
  <c r="AC67" i="17" s="1"/>
  <c r="AC68" i="17" s="1"/>
  <c r="AC81" i="17" s="1"/>
  <c r="AC83" i="17" s="1"/>
  <c r="D1520" i="8"/>
  <c r="AE82" i="15"/>
  <c r="AE1852" i="8" s="1"/>
  <c r="F1852" i="8" s="1"/>
  <c r="AE83" i="15"/>
  <c r="AE87" i="15"/>
  <c r="AE1853" i="8" s="1"/>
  <c r="F1853" i="8" s="1"/>
  <c r="AE88" i="15"/>
  <c r="AE77" i="15"/>
  <c r="AE1851" i="8" s="1"/>
  <c r="F1851" i="8" s="1"/>
  <c r="AE78" i="15"/>
  <c r="AD45" i="15"/>
  <c r="AE93" i="15"/>
  <c r="AE92" i="15"/>
  <c r="AE1854" i="8" s="1"/>
  <c r="F1854" i="8" s="1"/>
  <c r="AD1866" i="8" l="1"/>
  <c r="AD91" i="17"/>
  <c r="AD92" i="17" s="1"/>
  <c r="AD96" i="17" s="1"/>
  <c r="AD94" i="17"/>
  <c r="AD95" i="17" s="1"/>
  <c r="AC1868" i="8"/>
  <c r="AC96" i="17"/>
  <c r="AC1865" i="8" s="1"/>
  <c r="AC85" i="17"/>
  <c r="AC1867" i="8"/>
  <c r="AE43" i="15"/>
  <c r="AE44" i="15" s="1"/>
  <c r="AE1855" i="8" s="1"/>
  <c r="AE1840" i="8"/>
  <c r="F1840" i="8" s="1"/>
  <c r="AE82" i="17"/>
  <c r="AE93" i="17"/>
  <c r="AE94" i="17" s="1"/>
  <c r="AE45" i="15"/>
  <c r="AD1841" i="8"/>
  <c r="AD67" i="17"/>
  <c r="AD68" i="17" s="1"/>
  <c r="AD81" i="17" s="1"/>
  <c r="AD83" i="17" s="1"/>
  <c r="AD44" i="15"/>
  <c r="AD1855" i="8" s="1"/>
  <c r="F1844" i="8"/>
  <c r="AC1841" i="8"/>
  <c r="AC44" i="15"/>
  <c r="AC1855" i="8" s="1"/>
  <c r="AE1866" i="8" l="1"/>
  <c r="F1866" i="8" s="1"/>
  <c r="AE91" i="17"/>
  <c r="AE92" i="17" s="1"/>
  <c r="AD1868" i="8"/>
  <c r="AD85" i="17"/>
  <c r="AD1867" i="8"/>
  <c r="AD1865" i="8"/>
  <c r="AE67" i="17"/>
  <c r="AE68" i="17" s="1"/>
  <c r="AE81" i="17" s="1"/>
  <c r="AE83" i="17" s="1"/>
  <c r="AE1841" i="8"/>
  <c r="F1841" i="8" s="1"/>
  <c r="D1831" i="8" s="1"/>
  <c r="F1855" i="8"/>
  <c r="AE1868" i="8" l="1"/>
  <c r="F1868" i="8" s="1"/>
  <c r="AE96" i="17"/>
  <c r="AE1865" i="8" s="1"/>
  <c r="F1865" i="8" s="1"/>
  <c r="AE85" i="17"/>
  <c r="AE1867" i="8"/>
  <c r="F1867" i="8" s="1"/>
  <c r="D1861" i="8" l="1"/>
</calcChain>
</file>

<file path=xl/sharedStrings.xml><?xml version="1.0" encoding="utf-8"?>
<sst xmlns="http://schemas.openxmlformats.org/spreadsheetml/2006/main" count="17275" uniqueCount="3878">
  <si>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</si>
  <si>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</si>
  <si>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</si>
  <si>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</si>
  <si>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</si>
  <si>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</si>
  <si>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</si>
  <si>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</si>
  <si>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</si>
  <si>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</si>
  <si>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</si>
  <si>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</si>
  <si>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</si>
  <si>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</si>
  <si>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</si>
  <si>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</si>
  <si>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</si>
  <si>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</si>
  <si>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</si>
  <si>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</si>
  <si>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</si>
  <si>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</si>
  <si>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</si>
  <si>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</si>
  <si>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</si>
  <si>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</si>
  <si>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</si>
  <si>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</si>
  <si>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</si>
  <si>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</si>
  <si>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</si>
  <si>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</si>
  <si>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</si>
  <si>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</si>
  <si>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</si>
  <si>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</si>
  <si>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</si>
  <si>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</si>
  <si>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</si>
  <si>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</si>
  <si>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</si>
  <si>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</si>
  <si>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</si>
  <si>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</si>
  <si>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</si>
  <si>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</si>
  <si>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</si>
  <si>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</si>
  <si>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</si>
  <si>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</si>
  <si>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</si>
  <si>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</si>
  <si>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</si>
  <si>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</si>
  <si>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</si>
  <si>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</si>
  <si>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</si>
  <si>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</si>
  <si>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</si>
  <si>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</si>
  <si>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</si>
  <si>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</si>
  <si>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</si>
  <si>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</si>
  <si>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</si>
  <si>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</si>
  <si>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</si>
  <si>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</si>
  <si>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</si>
  <si>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</si>
  <si>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</si>
  <si>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</si>
  <si>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</si>
  <si>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</si>
  <si>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</si>
  <si>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</si>
  <si>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</si>
  <si>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</si>
  <si>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</si>
  <si>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</si>
  <si>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</si>
  <si>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</si>
  <si>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</si>
  <si>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</si>
  <si>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</si>
  <si>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</si>
  <si>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</si>
  <si>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</si>
  <si>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</si>
  <si>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</si>
  <si>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</si>
  <si>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</si>
  <si>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</si>
  <si>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</si>
  <si>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</si>
  <si>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</si>
  <si>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</si>
  <si>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</si>
  <si>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</si>
  <si>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</si>
  <si>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</si>
  <si>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</si>
  <si>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</si>
  <si>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</si>
  <si>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</si>
  <si>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</si>
  <si>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</si>
  <si>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</si>
  <si>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</si>
  <si>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</si>
  <si>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</si>
  <si>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</si>
  <si>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</si>
  <si>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</si>
  <si>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</si>
  <si>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</si>
  <si>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</si>
  <si>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</si>
  <si>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</si>
  <si>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</si>
  <si>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</si>
  <si>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</si>
  <si>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</si>
  <si>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</si>
  <si>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</si>
  <si>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</si>
  <si>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</si>
  <si>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</si>
  <si>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</si>
  <si>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</si>
  <si>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</si>
  <si>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</si>
  <si>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</si>
  <si>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</si>
  <si>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</si>
  <si>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</si>
  <si>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</si>
  <si>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</si>
  <si>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</si>
  <si>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</si>
  <si>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</si>
  <si>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</si>
  <si>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</si>
  <si>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</si>
  <si>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</si>
  <si>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</si>
  <si>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</si>
  <si>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</si>
  <si>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</si>
  <si>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</si>
  <si>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</si>
  <si>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</si>
  <si>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</si>
  <si>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</si>
  <si>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</si>
  <si>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</si>
  <si>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</si>
  <si>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</si>
  <si>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</si>
  <si>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</si>
  <si>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</si>
  <si>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</si>
  <si>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</si>
  <si>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</si>
  <si>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</si>
  <si>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</si>
  <si>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</si>
  <si>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</si>
  <si>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</si>
  <si>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</si>
  <si>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</si>
  <si>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</si>
  <si>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</si>
  <si>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</si>
  <si>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</si>
  <si>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</si>
  <si>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</si>
  <si>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</si>
  <si>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</si>
  <si>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</si>
  <si>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</si>
  <si>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</si>
  <si>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</si>
  <si>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</si>
  <si>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</si>
  <si>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</si>
  <si>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</si>
  <si>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</si>
  <si>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</si>
  <si>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</si>
  <si>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</si>
  <si>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</si>
  <si>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</si>
  <si>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</si>
  <si>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</si>
  <si>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</si>
  <si>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</si>
  <si>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</si>
  <si>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</si>
  <si>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</si>
  <si>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</si>
  <si>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</si>
  <si>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</si>
  <si>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</si>
  <si>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</si>
  <si>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</si>
  <si>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</si>
  <si>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</si>
  <si>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</si>
  <si>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</si>
  <si>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</si>
  <si>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</si>
  <si>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</si>
  <si>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</si>
  <si>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</si>
  <si>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</si>
  <si>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</si>
  <si>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</si>
  <si>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</si>
  <si>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</si>
  <si>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</si>
  <si>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</si>
  <si>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</si>
  <si>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</si>
  <si>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</si>
  <si>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</si>
  <si>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</si>
  <si>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</si>
  <si>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</si>
  <si>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</si>
  <si>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</si>
  <si>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</si>
  <si>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</si>
  <si>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</si>
  <si>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</si>
  <si>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</si>
  <si>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</si>
  <si>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</si>
  <si>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</si>
  <si>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</si>
  <si>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</si>
  <si>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</si>
  <si>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</si>
  <si>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</si>
  <si>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</si>
  <si>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</si>
  <si>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</si>
  <si>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</si>
  <si>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</si>
  <si>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</si>
  <si>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</si>
  <si>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</si>
  <si>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</si>
  <si>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</si>
  <si>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</si>
  <si>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</si>
  <si>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</si>
  <si>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</si>
  <si>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</si>
  <si>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</si>
  <si>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</si>
  <si>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</si>
  <si>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</si>
  <si>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</si>
  <si>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</si>
  <si>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</si>
  <si>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</si>
  <si>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</si>
  <si>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</si>
  <si>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</si>
  <si>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</si>
  <si>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</si>
  <si>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</si>
  <si>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</si>
  <si>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</si>
  <si>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</si>
  <si>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</si>
  <si>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</si>
  <si>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</si>
  <si>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</si>
  <si>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</si>
  <si>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</si>
  <si>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</si>
  <si>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</si>
  <si>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</si>
  <si>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</si>
  <si>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</si>
  <si>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</si>
  <si>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</si>
  <si>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</si>
  <si>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</si>
  <si>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</si>
  <si>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</si>
  <si>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</si>
  <si>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</si>
  <si>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</si>
  <si>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</si>
  <si>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</si>
  <si>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</si>
  <si>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</si>
  <si>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</si>
  <si>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</si>
  <si>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</si>
  <si>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</si>
  <si>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</si>
  <si>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</si>
  <si>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</si>
  <si>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</si>
  <si>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</si>
  <si>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</si>
  <si>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</si>
  <si>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</si>
  <si>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</si>
  <si>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</si>
  <si>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</si>
  <si>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</si>
  <si>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</si>
  <si>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</si>
  <si>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</si>
  <si>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</si>
  <si>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</si>
  <si>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</si>
  <si>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</si>
  <si>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</si>
  <si>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</si>
  <si>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</si>
  <si>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</si>
  <si>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</si>
  <si>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</si>
  <si>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</si>
  <si>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</si>
  <si>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</si>
  <si>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</si>
  <si>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</si>
  <si>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</si>
  <si>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</si>
  <si>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</si>
  <si>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</si>
  <si>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</si>
  <si>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</si>
  <si>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</si>
  <si>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</si>
  <si>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</si>
  <si>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</si>
  <si>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</si>
  <si>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</si>
  <si>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</si>
  <si>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</si>
  <si>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</si>
  <si>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</si>
  <si>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</si>
  <si>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</si>
  <si>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</si>
  <si>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</si>
  <si>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</si>
  <si>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</si>
  <si>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</si>
  <si>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</si>
  <si>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</si>
  <si>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</si>
  <si>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</si>
  <si>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</si>
  <si>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</si>
  <si>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</si>
  <si>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</si>
  <si>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</si>
  <si>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</si>
  <si>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</si>
  <si>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</si>
  <si>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</si>
  <si>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</si>
  <si>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</si>
  <si>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</si>
  <si>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</si>
  <si>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</si>
  <si>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</si>
  <si>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</si>
  <si>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</si>
  <si>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</si>
  <si>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</si>
  <si>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</si>
  <si>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</si>
  <si>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</si>
  <si>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</si>
  <si>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</si>
  <si>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</si>
  <si>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</si>
  <si>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</si>
  <si>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</si>
  <si>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</si>
  <si>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</si>
  <si>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</si>
  <si>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</si>
  <si>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</si>
  <si>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</si>
  <si>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</si>
  <si>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</si>
  <si>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</si>
  <si>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</si>
  <si>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</si>
  <si>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</si>
  <si>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</si>
  <si>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</si>
  <si>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</si>
  <si>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</si>
  <si>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</si>
  <si>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</si>
  <si>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</si>
  <si>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</si>
  <si>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</si>
  <si>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</si>
  <si>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</si>
  <si>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</si>
  <si>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</si>
  <si>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</si>
  <si>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</si>
  <si>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</si>
  <si>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</si>
  <si>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</si>
  <si>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</si>
  <si>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</si>
  <si>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</si>
  <si>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</si>
  <si>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</si>
  <si>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</si>
  <si>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</si>
  <si>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</si>
  <si>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</si>
  <si>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</si>
  <si>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</si>
  <si>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</si>
  <si>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</si>
  <si>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</si>
  <si>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</si>
  <si>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</si>
  <si>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</si>
  <si>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</si>
  <si>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</si>
  <si>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</si>
  <si>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</si>
  <si>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</si>
  <si>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</si>
  <si>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</si>
  <si>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</si>
  <si>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</si>
  <si>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</si>
  <si>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</si>
  <si>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</si>
  <si>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</si>
  <si>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</si>
  <si>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</si>
  <si>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</si>
  <si>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</si>
  <si>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</si>
  <si>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</si>
  <si>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</si>
  <si>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</si>
  <si>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</si>
  <si>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</si>
  <si>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</si>
  <si>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</si>
  <si>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</si>
  <si>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</si>
  <si>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</si>
  <si>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</si>
  <si>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</si>
  <si>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</si>
  <si>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</si>
  <si>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</si>
  <si>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</si>
  <si>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</si>
  <si>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</si>
  <si>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</si>
  <si>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</si>
  <si>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</si>
  <si>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</si>
  <si>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</si>
  <si>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</si>
  <si>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</si>
  <si>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</si>
  <si>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</si>
  <si>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</si>
  <si>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</si>
  <si>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</si>
  <si>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</si>
  <si>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</si>
  <si>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</si>
  <si>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</si>
  <si>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</si>
  <si>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</si>
  <si>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</si>
  <si>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</si>
  <si>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</si>
  <si>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</si>
  <si>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</si>
  <si>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</si>
  <si>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</si>
  <si>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</si>
  <si>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</si>
  <si>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</si>
  <si>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</si>
  <si>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</si>
  <si>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</si>
  <si>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</si>
  <si>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</si>
  <si>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</si>
  <si>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</si>
  <si>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</si>
  <si>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</si>
  <si>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</si>
  <si>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</si>
  <si>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</si>
  <si>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</si>
  <si>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</si>
  <si>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</si>
  <si>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</si>
  <si>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</si>
  <si>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</si>
  <si>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</si>
  <si>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</si>
  <si>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</si>
  <si>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</si>
  <si>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</si>
  <si>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</si>
  <si>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</si>
  <si>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</si>
  <si>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</si>
  <si>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</si>
  <si>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</si>
  <si>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</si>
  <si>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</si>
  <si>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</si>
  <si>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</si>
  <si>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</si>
  <si>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</si>
  <si>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</si>
  <si>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</si>
  <si>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</si>
  <si>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</si>
  <si>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</si>
  <si>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</si>
  <si>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</si>
  <si>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</si>
  <si>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</si>
  <si>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</si>
  <si>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</si>
  <si>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</si>
  <si>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</si>
  <si>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</si>
  <si>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</si>
  <si>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</si>
  <si>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</si>
  <si>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</si>
  <si>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</si>
  <si>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</si>
  <si>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</si>
  <si>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</si>
  <si>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</si>
  <si>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</si>
  <si>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</si>
  <si>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</si>
  <si>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</si>
  <si>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</si>
  <si>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</si>
  <si>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</si>
  <si>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</si>
  <si>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</si>
  <si>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</si>
  <si>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</si>
  <si>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</si>
  <si>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</si>
  <si>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</si>
  <si>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</si>
  <si>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</si>
  <si>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</si>
  <si>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</si>
  <si>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</si>
  <si>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</si>
  <si>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</si>
  <si>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</si>
  <si>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</si>
  <si>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</si>
  <si>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</si>
  <si>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</si>
  <si>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</si>
  <si>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</si>
  <si>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</si>
  <si>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</si>
  <si>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</si>
  <si>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</si>
  <si>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</si>
  <si>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</si>
  <si>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</si>
  <si>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</si>
  <si>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</si>
  <si>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</si>
  <si>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</si>
  <si>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</si>
  <si>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</si>
  <si>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</si>
  <si>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</si>
  <si>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</si>
  <si>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</si>
  <si>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</si>
  <si>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</si>
  <si>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</si>
  <si>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</si>
  <si>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</si>
  <si>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</si>
  <si>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</si>
  <si>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</si>
  <si>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</si>
  <si>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</si>
  <si>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</si>
  <si>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</si>
  <si>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</si>
  <si>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</si>
  <si>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</si>
  <si>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</si>
  <si>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</si>
  <si>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</si>
  <si>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</si>
  <si>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</si>
  <si>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</si>
  <si>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</si>
  <si>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</si>
  <si>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</si>
  <si>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</si>
  <si>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</si>
  <si>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</si>
  <si>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</si>
  <si>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</si>
  <si>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</si>
  <si>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</si>
  <si>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</si>
  <si>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</si>
  <si>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</si>
  <si>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</si>
  <si>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</si>
  <si>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</si>
  <si>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</si>
  <si>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</si>
  <si>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</si>
  <si>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</si>
  <si>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</si>
  <si>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</si>
  <si>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</si>
  <si>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</si>
  <si>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</si>
  <si>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</si>
  <si>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</si>
  <si>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</si>
  <si>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</si>
  <si>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</si>
  <si>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</si>
  <si>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</si>
  <si>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</si>
  <si>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</si>
  <si>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</si>
  <si>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</si>
  <si>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</si>
  <si>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</si>
  <si>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</si>
  <si>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</si>
  <si>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</si>
  <si>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</si>
  <si>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</si>
  <si>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</si>
  <si>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</si>
  <si>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</si>
  <si>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</si>
  <si>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</si>
  <si>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</si>
  <si>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</si>
  <si>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</si>
  <si>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</si>
  <si>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</si>
  <si>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</si>
  <si>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</si>
  <si>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</si>
  <si>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</si>
  <si>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</si>
  <si>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</si>
  <si>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</si>
  <si>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</si>
  <si>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</si>
  <si>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</si>
  <si>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</si>
  <si>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</si>
  <si>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</si>
  <si>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</si>
  <si>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</si>
  <si>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</si>
  <si>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</si>
  <si>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</si>
  <si>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</si>
  <si>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</si>
  <si>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</si>
  <si>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</si>
  <si>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</si>
  <si>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</si>
  <si>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</si>
  <si>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</si>
  <si>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</si>
  <si>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</si>
  <si>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</si>
  <si>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</si>
  <si>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</si>
  <si>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</si>
  <si>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</si>
  <si>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</si>
  <si>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</si>
  <si>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</si>
  <si>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</si>
  <si>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</si>
  <si>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</si>
  <si>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</si>
  <si>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</si>
  <si>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</si>
  <si>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</si>
  <si>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</si>
  <si>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</si>
  <si>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</si>
  <si>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</si>
  <si>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</si>
  <si>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</si>
  <si>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</si>
  <si>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</si>
  <si>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</si>
  <si>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</si>
  <si>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</si>
  <si>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</si>
  <si>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</si>
  <si>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</si>
  <si>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</si>
  <si>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</si>
  <si>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</si>
  <si>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</si>
  <si>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</si>
  <si>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</si>
  <si>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</si>
  <si>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</si>
  <si>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</si>
  <si>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</si>
  <si>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</si>
  <si>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</si>
  <si>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</si>
  <si>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</si>
  <si>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</si>
  <si>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</si>
  <si>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</si>
  <si>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</si>
  <si>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</si>
  <si>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</si>
  <si>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</si>
  <si>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</si>
  <si>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</si>
  <si>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</si>
  <si>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</si>
  <si>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</si>
  <si>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</si>
  <si>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</si>
  <si>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</si>
  <si>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</si>
  <si>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</si>
  <si>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</si>
  <si>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</si>
  <si>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</si>
  <si>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</si>
  <si>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</si>
  <si>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</si>
  <si>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</si>
  <si>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</si>
  <si>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</si>
  <si>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</si>
  <si>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</si>
  <si>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</si>
  <si>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</si>
  <si>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</si>
  <si>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</si>
  <si>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</si>
  <si>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</si>
  <si>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</si>
  <si>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</si>
  <si>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</si>
  <si>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</si>
  <si>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</si>
  <si>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</si>
  <si>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</si>
  <si>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</si>
  <si>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</si>
  <si>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</si>
  <si>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</si>
  <si>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</si>
  <si>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</si>
  <si>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</si>
  <si>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</si>
  <si>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</si>
  <si>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</si>
  <si>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</si>
  <si>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</si>
  <si>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</si>
  <si>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</si>
  <si>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</si>
  <si>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</si>
  <si>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</si>
  <si>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</si>
  <si>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</si>
  <si>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</si>
  <si>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</si>
  <si>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</si>
  <si>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</si>
  <si>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</si>
  <si>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</si>
  <si>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</si>
  <si>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</si>
  <si>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</si>
  <si>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</si>
  <si>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</si>
  <si>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</si>
  <si>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</si>
  <si>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</si>
  <si>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</si>
  <si>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</si>
  <si>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</si>
  <si>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</si>
  <si>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</si>
  <si>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</si>
  <si>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</si>
  <si>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</si>
  <si>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</si>
  <si>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</si>
  <si>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</si>
  <si>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</si>
  <si>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</si>
  <si>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</si>
  <si>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</si>
  <si>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</si>
  <si>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</si>
  <si>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</si>
  <si>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</si>
  <si>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</si>
  <si>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</si>
  <si>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</si>
  <si>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</si>
  <si>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</si>
  <si>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</si>
  <si>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</si>
  <si>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</si>
  <si>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</si>
  <si>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</si>
  <si>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</si>
  <si>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</si>
  <si>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</si>
  <si>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</si>
  <si>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</si>
  <si>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</si>
  <si>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</si>
  <si>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</si>
  <si>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</si>
  <si>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</si>
  <si>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</si>
  <si>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</si>
  <si>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</si>
  <si>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</si>
  <si>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</si>
  <si>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</si>
  <si>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</si>
  <si>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</si>
  <si>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</si>
  <si>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</si>
  <si>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</si>
  <si>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</si>
  <si>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</si>
  <si>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</si>
  <si>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</si>
  <si>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</si>
  <si>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</si>
  <si>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</si>
  <si>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</si>
  <si>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</si>
  <si>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</si>
  <si>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</si>
  <si>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</si>
  <si>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</si>
  <si>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</si>
  <si>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</si>
  <si>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</si>
  <si>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</si>
  <si>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</si>
  <si>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</si>
  <si>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</si>
  <si>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</si>
  <si>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</si>
  <si>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</si>
  <si>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</si>
  <si>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</si>
  <si>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</si>
  <si>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</si>
  <si>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</si>
  <si>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</si>
  <si>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</si>
  <si>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</si>
  <si>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</si>
  <si>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</si>
  <si>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</si>
  <si>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</si>
  <si>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</si>
  <si>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</si>
  <si>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</si>
  <si>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</si>
  <si>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</si>
  <si>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</si>
  <si>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</si>
  <si>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</si>
  <si>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</si>
  <si>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</si>
  <si>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</si>
  <si>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</si>
  <si>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</si>
  <si>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</si>
  <si>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</si>
  <si>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</si>
  <si>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</si>
  <si>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</si>
  <si>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</si>
  <si>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</si>
  <si>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</si>
  <si>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</si>
  <si>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</si>
  <si>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</si>
  <si>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</si>
  <si>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</si>
  <si>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</si>
  <si>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</si>
  <si>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</si>
  <si>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</si>
  <si>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</si>
  <si>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</si>
  <si>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</si>
  <si>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</si>
  <si>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</si>
  <si>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</si>
  <si>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</si>
  <si>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</si>
  <si>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</si>
  <si>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</si>
  <si>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</si>
  <si>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</si>
  <si>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</si>
  <si>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</si>
  <si>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</si>
  <si>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</si>
  <si>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</si>
  <si>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</si>
  <si>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</si>
  <si>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</si>
  <si>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</si>
  <si>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</si>
  <si>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</si>
  <si>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</si>
  <si>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</si>
  <si>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</si>
  <si>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</si>
  <si>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</si>
  <si>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</si>
  <si>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</si>
  <si>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</si>
  <si>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</si>
  <si>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</si>
  <si>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</si>
  <si>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</si>
  <si>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</si>
  <si>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</si>
  <si>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</si>
  <si>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</si>
  <si>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</si>
  <si>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</si>
  <si>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</si>
  <si>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</si>
  <si>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</si>
  <si>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</si>
  <si>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</si>
  <si>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</si>
  <si>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</si>
  <si>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</si>
  <si>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</si>
  <si>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</si>
  <si>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</si>
  <si>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</si>
  <si>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</si>
  <si>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</si>
  <si>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</si>
  <si>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</si>
  <si>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</si>
  <si>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</si>
  <si>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</si>
  <si>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</si>
  <si>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</si>
  <si>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</si>
  <si>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</si>
  <si>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</si>
  <si>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</si>
  <si>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</si>
  <si>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</si>
  <si>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</si>
  <si>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</si>
  <si>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</si>
  <si>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</si>
  <si>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</si>
  <si>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</si>
  <si>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</si>
  <si>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</si>
  <si>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</si>
  <si>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</si>
  <si>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</si>
  <si>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</si>
  <si>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</si>
  <si>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</si>
  <si>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</si>
  <si>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</si>
  <si>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</si>
  <si>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</si>
  <si>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</si>
  <si>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</si>
  <si>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</si>
  <si>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</si>
  <si>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</si>
  <si>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</si>
  <si>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</si>
  <si>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</si>
  <si>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</si>
  <si>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</si>
  <si>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</si>
  <si>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</si>
  <si>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</si>
  <si>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</si>
  <si>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</si>
  <si>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</si>
  <si>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</si>
  <si>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</si>
  <si>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</si>
  <si>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</si>
  <si>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</si>
  <si>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</si>
  <si>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</si>
  <si>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</si>
  <si>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</si>
  <si>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</si>
  <si>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</si>
  <si>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</si>
  <si>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</si>
  <si>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</si>
  <si>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</si>
  <si>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</si>
  <si>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</si>
  <si>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</si>
  <si>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</si>
  <si>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</si>
  <si>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</si>
  <si>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</si>
  <si>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</si>
  <si>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</si>
  <si>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</si>
  <si>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</si>
  <si>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</si>
  <si>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</si>
  <si>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</si>
  <si>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</si>
  <si>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</si>
  <si>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</si>
  <si>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</si>
  <si>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</si>
  <si>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</si>
  <si>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</si>
  <si>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</si>
  <si>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</si>
  <si>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</si>
  <si>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</si>
  <si>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</si>
  <si>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</si>
  <si>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</si>
  <si>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</si>
  <si>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</si>
  <si>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</si>
  <si>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</si>
  <si>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</si>
  <si>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</si>
  <si>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</si>
  <si>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</si>
  <si>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</si>
  <si>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</si>
  <si>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</si>
  <si>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</si>
  <si>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</si>
  <si>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</si>
  <si>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</si>
  <si>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</si>
  <si>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</si>
  <si>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</si>
  <si>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</si>
  <si>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</si>
  <si>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</si>
  <si>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</si>
  <si>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</si>
  <si>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</si>
  <si>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</si>
  <si>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</si>
  <si>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</si>
  <si>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</si>
  <si>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</si>
  <si>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</si>
  <si>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</si>
  <si>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</si>
  <si>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</si>
  <si>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</si>
  <si>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</si>
  <si>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</si>
  <si>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</si>
  <si>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</si>
  <si>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</si>
  <si>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</si>
  <si>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</si>
  <si>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</si>
  <si>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</si>
  <si>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</si>
  <si>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</si>
  <si>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</si>
  <si>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</si>
  <si>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</si>
  <si>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</si>
  <si>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</si>
  <si>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</si>
  <si>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</si>
  <si>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</si>
  <si>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</si>
  <si>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</si>
  <si>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</si>
  <si>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</si>
  <si>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</si>
  <si>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</si>
  <si>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</si>
  <si>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</si>
  <si>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</si>
  <si>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</si>
  <si>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</si>
  <si>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</si>
  <si>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</si>
  <si>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</si>
  <si>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</si>
  <si>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</si>
  <si>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</si>
  <si>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</si>
  <si>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</si>
  <si>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</si>
  <si>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</si>
  <si>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</si>
  <si>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</si>
  <si>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</si>
  <si>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</si>
  <si>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</si>
  <si>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</si>
  <si>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</si>
  <si>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</si>
  <si>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</si>
  <si>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</si>
  <si>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</si>
  <si>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</si>
  <si>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</si>
  <si>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</si>
  <si>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</si>
  <si>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</si>
  <si>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</si>
  <si>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</si>
  <si>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</si>
  <si>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</si>
  <si>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</si>
  <si>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</si>
  <si>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</si>
  <si>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</si>
  <si>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</si>
  <si>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</si>
  <si>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</si>
  <si>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</si>
  <si>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</si>
  <si>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</si>
  <si>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</si>
  <si>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</si>
  <si>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</si>
  <si>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</si>
  <si>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</si>
  <si>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</si>
  <si>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</si>
  <si>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</si>
  <si>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</si>
  <si>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</si>
  <si>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</si>
  <si>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</si>
  <si>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</si>
  <si>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</si>
  <si>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</si>
  <si>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</si>
  <si>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</si>
  <si>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</si>
  <si>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</si>
  <si>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</si>
  <si>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</si>
  <si>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</si>
  <si>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</si>
  <si>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</si>
  <si>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</si>
  <si>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</si>
  <si>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</si>
  <si>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</si>
  <si>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</si>
  <si>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</si>
  <si>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</si>
  <si>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</si>
  <si>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</si>
  <si>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</si>
  <si>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</si>
  <si>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</si>
  <si>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</si>
  <si>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</si>
  <si>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</si>
  <si>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</si>
  <si>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</si>
  <si>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</si>
  <si>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</si>
  <si>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</si>
  <si>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</si>
  <si>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</si>
  <si>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</si>
  <si>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</si>
  <si>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</si>
  <si>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</si>
  <si>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</si>
  <si>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</si>
  <si>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</si>
  <si>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</si>
  <si>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</si>
  <si>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</si>
  <si>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</si>
  <si>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</si>
  <si>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</si>
  <si>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</si>
  <si>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</si>
  <si>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</si>
  <si>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</si>
  <si>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</si>
  <si>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</si>
  <si>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</si>
  <si>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</si>
  <si>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</si>
  <si>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</si>
  <si>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</si>
  <si>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</si>
  <si>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</si>
  <si>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</si>
  <si>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</si>
  <si>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</si>
  <si>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</si>
  <si>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</si>
  <si>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</si>
  <si>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</si>
  <si>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</si>
  <si>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</si>
  <si>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</si>
  <si>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</si>
  <si>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</si>
  <si>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</si>
  <si>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</si>
  <si>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</si>
  <si>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</si>
  <si>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</si>
  <si>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</si>
  <si>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</si>
  <si>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</si>
  <si>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</si>
  <si>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</si>
  <si>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</si>
  <si>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</si>
  <si>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</si>
  <si>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</si>
  <si>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</si>
  <si>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</si>
  <si>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</si>
  <si>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</si>
  <si>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</si>
  <si>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</si>
  <si>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</si>
  <si>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</si>
  <si>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</si>
  <si>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</si>
  <si>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</si>
  <si>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</si>
  <si>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</si>
  <si>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</si>
  <si>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</si>
  <si>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</si>
  <si>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</si>
  <si>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</si>
  <si>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</si>
  <si>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</si>
  <si>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</si>
  <si>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</si>
  <si>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</si>
  <si>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</si>
  <si>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</si>
  <si>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</si>
  <si>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</si>
  <si>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</si>
  <si>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</si>
  <si>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</si>
  <si>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</si>
  <si>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</si>
  <si>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</si>
  <si>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</si>
  <si>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</si>
  <si>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</si>
  <si>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</si>
  <si>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</si>
  <si>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</si>
  <si>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</si>
  <si>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</si>
  <si>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</si>
  <si>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</si>
  <si>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</si>
  <si>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</si>
  <si>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</si>
  <si>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</si>
  <si>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</si>
  <si>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</si>
  <si>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</si>
  <si>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</si>
  <si>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</si>
  <si>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</si>
  <si>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</si>
  <si>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</si>
  <si>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</si>
  <si>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</si>
  <si>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</si>
  <si>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</si>
  <si>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</si>
  <si>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</si>
  <si>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</si>
  <si>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</si>
  <si>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</si>
  <si>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</si>
  <si>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</si>
  <si>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</si>
  <si>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</si>
  <si>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</si>
  <si>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</si>
  <si>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</si>
  <si>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</si>
  <si>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</si>
  <si>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</si>
  <si>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</si>
  <si>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</si>
  <si>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</si>
  <si>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</si>
  <si>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</si>
  <si>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</si>
  <si>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</si>
  <si>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</si>
  <si>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</si>
  <si>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</si>
  <si>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</si>
  <si>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</si>
  <si>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</si>
  <si>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</si>
  <si>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</si>
  <si>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</si>
  <si>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</si>
  <si>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</si>
  <si>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</si>
  <si>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</si>
  <si>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</si>
  <si>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</si>
  <si>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</si>
  <si>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</si>
  <si>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</si>
  <si>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</si>
  <si>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</si>
  <si>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</si>
  <si>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</si>
  <si>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</si>
  <si>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</si>
  <si>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</si>
  <si>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</si>
  <si>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</si>
  <si>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</si>
  <si>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</si>
  <si>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</si>
  <si>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</si>
  <si>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</si>
  <si>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</si>
  <si>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</si>
  <si>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</si>
  <si>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</si>
  <si>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</si>
  <si>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</si>
  <si>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</si>
  <si>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</si>
  <si>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</si>
  <si>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</si>
  <si>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</si>
  <si>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</si>
  <si>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</si>
  <si>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</si>
  <si>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</si>
  <si>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</si>
  <si>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</si>
  <si>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</si>
  <si>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</si>
  <si>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</si>
  <si>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</si>
  <si>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</si>
  <si>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</si>
  <si>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</si>
  <si>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</si>
  <si>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</si>
  <si>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</si>
  <si>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</si>
  <si>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</si>
  <si>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</si>
  <si>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</si>
  <si>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</si>
  <si>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</si>
  <si>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</si>
  <si>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</si>
  <si>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</si>
  <si>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</si>
  <si>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</si>
  <si>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</si>
  <si>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</si>
  <si>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</si>
  <si>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</si>
  <si>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</si>
  <si>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</si>
  <si>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</si>
  <si>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</si>
  <si>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</si>
  <si>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</si>
  <si>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</si>
  <si>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</si>
  <si>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</si>
  <si>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</si>
  <si>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</si>
  <si>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</si>
  <si>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</si>
  <si>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</si>
  <si>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</si>
  <si>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</si>
  <si>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</si>
  <si>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</si>
  <si>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</si>
  <si>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</si>
  <si>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</si>
  <si>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</si>
  <si>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</si>
  <si>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</si>
  <si>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</si>
  <si>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</si>
  <si>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</si>
  <si>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</si>
  <si>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</si>
  <si>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</si>
  <si>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</si>
  <si>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</si>
  <si>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</si>
  <si>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</si>
  <si>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</si>
  <si>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</si>
  <si>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</si>
  <si>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</si>
  <si>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</si>
  <si>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</si>
  <si>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</si>
  <si>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</si>
  <si>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</si>
  <si>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</si>
  <si>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</si>
  <si>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</si>
  <si>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</si>
  <si>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</si>
  <si>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</si>
  <si>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</si>
  <si>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</si>
  <si>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</si>
  <si>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</si>
  <si>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</si>
  <si>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</si>
  <si>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</si>
  <si>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</si>
  <si>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</si>
  <si>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</si>
  <si>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</si>
  <si>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</si>
  <si>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</si>
  <si>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</si>
  <si>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</si>
  <si>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</si>
  <si>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</si>
  <si>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</si>
  <si>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</si>
  <si>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</si>
  <si>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</si>
  <si>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</si>
  <si>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</si>
  <si>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</si>
  <si>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</si>
  <si>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</si>
  <si>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</si>
  <si>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</si>
  <si>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</si>
  <si>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</si>
  <si>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</si>
  <si>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</si>
  <si>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</si>
  <si>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</si>
  <si>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</si>
  <si>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</si>
  <si>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</si>
  <si>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</si>
  <si>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</si>
  <si>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</si>
  <si>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</si>
  <si>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</si>
  <si>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</si>
  <si>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</si>
  <si>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</si>
  <si>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</si>
  <si>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</si>
  <si>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</si>
  <si>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</si>
  <si>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</si>
  <si>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</si>
  <si>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</si>
  <si>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</si>
  <si>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</si>
  <si>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</si>
  <si>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</si>
  <si>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</si>
  <si>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</si>
  <si>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</si>
  <si>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</si>
  <si>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</si>
  <si>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</si>
  <si>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</si>
  <si>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</si>
  <si>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</si>
  <si>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</si>
  <si>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</si>
  <si>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</si>
  <si>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</si>
  <si>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</si>
  <si>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</si>
  <si>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</si>
  <si>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</si>
  <si>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</si>
  <si>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</si>
  <si>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</si>
  <si>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</si>
  <si>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</si>
  <si>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</si>
  <si>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</si>
  <si>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</si>
  <si>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</si>
  <si>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</si>
  <si>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</si>
  <si>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</si>
  <si>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</si>
  <si>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</si>
  <si>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</si>
  <si>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</si>
  <si>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</si>
  <si>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</si>
  <si>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</si>
  <si>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</si>
  <si>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</si>
  <si>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</si>
  <si>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</si>
  <si>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</si>
  <si>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</si>
  <si>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</si>
  <si>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</si>
  <si>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</si>
  <si>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</si>
  <si>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</si>
  <si>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</si>
  <si>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</si>
  <si>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</si>
  <si>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</si>
  <si>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</si>
  <si>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</si>
  <si>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</si>
  <si>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</si>
  <si>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</si>
  <si>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</si>
  <si>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</si>
  <si>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</si>
  <si>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</si>
  <si>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</si>
  <si>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</si>
  <si>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</si>
  <si>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</si>
  <si>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</si>
  <si>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</si>
  <si>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</si>
  <si>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</si>
  <si>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</si>
  <si>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</si>
  <si>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</si>
  <si>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</si>
  <si>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</si>
  <si>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</si>
  <si>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</si>
  <si>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</si>
  <si>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</si>
  <si>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</si>
  <si>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</si>
  <si>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</si>
  <si>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</si>
  <si>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</si>
  <si>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</si>
  <si>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</si>
  <si>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</si>
  <si>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</si>
  <si>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</si>
  <si>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</si>
  <si>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</si>
  <si>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</si>
  <si>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</si>
  <si>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</si>
  <si>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</si>
  <si>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</si>
  <si>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</si>
  <si>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</si>
  <si>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</si>
  <si>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</si>
  <si>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</si>
  <si>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</si>
  <si>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</si>
  <si>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</si>
  <si>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</si>
  <si>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</si>
  <si>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</si>
  <si>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</si>
  <si>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</si>
  <si>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</si>
  <si>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</si>
  <si>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</si>
  <si>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</si>
  <si>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</si>
  <si>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</si>
  <si>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</si>
  <si>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</si>
  <si>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</si>
  <si>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</si>
  <si>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</si>
  <si>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</si>
  <si>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</si>
  <si>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</si>
  <si>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</si>
  <si>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</si>
  <si>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</si>
  <si>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</si>
  <si>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</si>
  <si>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</si>
  <si>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</si>
  <si>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</si>
  <si>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</si>
  <si>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</si>
  <si>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</si>
  <si>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</si>
  <si>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</si>
  <si>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</si>
  <si>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</si>
  <si>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</si>
  <si>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</si>
  <si>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</si>
  <si>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</si>
  <si>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</si>
  <si>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</si>
  <si>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</si>
  <si>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</si>
  <si>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</si>
  <si>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</si>
  <si>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</si>
  <si>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</si>
  <si>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</si>
  <si>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</si>
  <si>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</si>
  <si>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</si>
  <si>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</si>
  <si>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</si>
  <si>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</si>
  <si>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</si>
  <si>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</si>
  <si>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</si>
  <si>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</si>
  <si>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</si>
  <si>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</si>
  <si>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</si>
  <si>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</si>
  <si>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</si>
  <si>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</si>
  <si>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</si>
  <si>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</si>
  <si>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</si>
  <si>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</si>
  <si>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</si>
  <si>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</si>
  <si>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</si>
  <si>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</si>
  <si>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</si>
  <si>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</si>
  <si>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</si>
  <si>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</si>
  <si>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</si>
  <si>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</si>
  <si>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</si>
  <si>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</si>
  <si>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</si>
  <si>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</si>
  <si>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</si>
  <si>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</si>
  <si>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</si>
  <si>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</si>
  <si>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</si>
  <si>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</si>
  <si>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</si>
  <si>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</si>
  <si>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</si>
  <si>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</si>
  <si>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</si>
  <si>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</si>
  <si>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</si>
  <si>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</si>
  <si>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</si>
  <si>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</si>
  <si>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</si>
  <si>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</si>
  <si>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</si>
  <si>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</si>
  <si>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</si>
  <si>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</si>
  <si>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</si>
  <si>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</si>
  <si>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</si>
  <si>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</si>
  <si>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</si>
  <si>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</si>
  <si>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</si>
  <si>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</si>
  <si>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</si>
  <si>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</si>
  <si>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</si>
  <si>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</si>
  <si>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</si>
  <si>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</si>
  <si>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</si>
  <si>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</si>
  <si>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</si>
  <si>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</si>
  <si>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</si>
  <si>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</si>
  <si>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</si>
  <si>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</si>
  <si>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</si>
  <si>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</si>
  <si>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</si>
  <si>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</si>
  <si>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</si>
  <si>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</si>
  <si>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</si>
  <si>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</si>
  <si>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</si>
  <si>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</si>
  <si>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</si>
  <si>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</si>
  <si>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</si>
  <si>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</si>
  <si>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</si>
  <si>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</si>
  <si>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</si>
  <si>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</si>
  <si>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</si>
  <si>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</si>
  <si>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</si>
  <si>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</si>
  <si>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</si>
  <si>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</si>
  <si>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</si>
  <si>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</si>
  <si>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</si>
  <si>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</si>
  <si>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</si>
  <si>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</si>
  <si>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</si>
  <si>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</si>
  <si>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</si>
  <si>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</si>
  <si>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</si>
  <si>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</si>
  <si>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</si>
  <si>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</si>
  <si>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</si>
  <si>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</si>
  <si>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</si>
  <si>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</si>
  <si>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</si>
  <si>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</si>
  <si>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</si>
  <si>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</si>
  <si>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</si>
  <si>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</si>
  <si>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</si>
  <si>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</si>
  <si>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</si>
  <si>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</si>
  <si>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</si>
  <si>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</si>
  <si>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</si>
  <si>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</si>
  <si>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</si>
  <si>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</si>
  <si>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</si>
  <si>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</si>
  <si>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</si>
  <si>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</si>
  <si>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</si>
  <si>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</si>
  <si>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</si>
  <si>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</si>
  <si>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</si>
  <si>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</si>
  <si>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</si>
  <si>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</si>
  <si>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</si>
  <si>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</si>
  <si>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</si>
  <si>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</si>
  <si>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</si>
  <si>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</si>
  <si>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</si>
  <si>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</si>
  <si>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</si>
  <si>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</si>
  <si>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</si>
  <si>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</si>
  <si>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</si>
  <si>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</si>
  <si>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</si>
  <si>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</si>
  <si>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</si>
  <si>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</si>
  <si>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</si>
  <si>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</si>
  <si>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</si>
  <si>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</si>
  <si>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</si>
  <si>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</si>
  <si>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</si>
  <si>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</si>
  <si>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</si>
  <si>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</si>
  <si>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</si>
  <si>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</si>
  <si>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</si>
  <si>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</si>
  <si>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</si>
  <si>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</si>
  <si>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</si>
  <si>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</si>
  <si>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</si>
  <si>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</si>
  <si>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</si>
  <si>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</si>
  <si>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</si>
  <si>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</si>
  <si>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</si>
  <si>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</si>
  <si>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</si>
  <si>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</si>
  <si>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</si>
  <si>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</si>
  <si>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</si>
  <si>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</si>
  <si>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</si>
  <si>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</si>
  <si>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</si>
  <si>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</si>
  <si>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</si>
  <si>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</si>
  <si>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</si>
  <si>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</si>
  <si>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</si>
  <si>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</si>
  <si>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</si>
  <si>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</si>
  <si>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</si>
  <si>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</si>
  <si>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</si>
  <si>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</si>
  <si>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</si>
  <si>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</si>
  <si>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</si>
  <si>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</si>
  <si>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</si>
  <si>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</si>
  <si>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</si>
  <si>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</si>
  <si>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</si>
  <si>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</si>
  <si>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</si>
  <si>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</si>
  <si>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</si>
  <si>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</si>
  <si>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</si>
  <si>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</si>
  <si>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</si>
  <si>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</si>
  <si>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</si>
  <si>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</si>
  <si>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</si>
  <si>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</si>
  <si>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</si>
  <si>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</si>
  <si>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</si>
  <si>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</si>
  <si>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</si>
  <si>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</si>
  <si>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</si>
  <si>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</si>
  <si>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</si>
  <si>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</si>
  <si>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</si>
  <si>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</si>
  <si>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</si>
  <si>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</si>
  <si>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</si>
  <si>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</si>
  <si>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</si>
  <si>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</si>
  <si>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</si>
  <si>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</si>
  <si>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</si>
  <si>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</si>
  <si>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</si>
  <si>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</si>
  <si>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</si>
  <si>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</si>
  <si>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</si>
  <si>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</si>
  <si>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</si>
  <si>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</si>
  <si>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</si>
  <si>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</si>
  <si>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</si>
  <si>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</si>
  <si>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</si>
  <si>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</si>
  <si>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</si>
  <si>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</si>
  <si>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</si>
  <si>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</si>
  <si>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</si>
  <si>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</si>
  <si>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</si>
  <si>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</si>
  <si>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</si>
  <si>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</si>
  <si>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</si>
  <si>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</si>
  <si>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</si>
  <si>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</si>
  <si>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</si>
  <si>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</si>
  <si>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</si>
  <si>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</si>
  <si>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</si>
  <si>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</si>
  <si>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</si>
  <si>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</si>
  <si>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</si>
  <si>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</si>
  <si>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</si>
  <si>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</si>
  <si>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</si>
  <si>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</si>
  <si>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</si>
  <si>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</si>
  <si>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</si>
  <si>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</si>
  <si>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</si>
  <si>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</si>
  <si>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</si>
  <si>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</si>
  <si>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</si>
  <si>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</si>
  <si>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</si>
  <si>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</si>
  <si>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</si>
  <si>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</si>
  <si>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</si>
  <si>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</si>
  <si>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</si>
  <si>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</si>
  <si>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</si>
  <si>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</si>
  <si>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</si>
  <si>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</si>
  <si>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</si>
  <si>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</si>
  <si>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</si>
  <si>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</si>
  <si>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</si>
  <si>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</si>
  <si>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</si>
  <si>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</si>
  <si>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</si>
  <si>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</si>
  <si>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</si>
  <si>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</si>
  <si>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</si>
  <si>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</si>
  <si>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</si>
  <si>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</si>
  <si>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</si>
  <si>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</si>
  <si>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</si>
  <si>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</si>
  <si>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</si>
  <si>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</si>
  <si>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</si>
  <si>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</si>
  <si>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</si>
  <si>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</si>
  <si>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</si>
  <si>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</si>
  <si>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</si>
  <si>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</si>
  <si>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</si>
  <si>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</si>
  <si>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</si>
  <si>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</si>
  <si>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</si>
  <si>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</si>
  <si>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</si>
  <si>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</si>
  <si>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</si>
  <si>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</si>
  <si>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</si>
  <si>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</si>
  <si>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</si>
  <si>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</si>
  <si>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</si>
  <si>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</si>
  <si>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</si>
  <si>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</si>
  <si>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</si>
  <si>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</si>
  <si>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</si>
  <si>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</si>
  <si>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</si>
  <si>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</si>
  <si>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</si>
  <si>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</si>
  <si>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</si>
  <si>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</si>
  <si>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</si>
  <si>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</si>
  <si>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</si>
  <si>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</si>
  <si>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</si>
  <si>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</si>
  <si>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</si>
  <si>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</si>
  <si>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</si>
  <si>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</si>
  <si>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</si>
  <si>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</si>
  <si>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</si>
  <si>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</si>
  <si>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</si>
  <si>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</si>
  <si>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</si>
  <si>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</si>
  <si>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</si>
  <si>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</si>
  <si>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</si>
  <si>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</si>
  <si>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</si>
  <si>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</si>
  <si>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</si>
  <si>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</si>
  <si>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</si>
  <si>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</si>
  <si>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</si>
  <si>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</si>
  <si>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</si>
  <si>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</si>
  <si>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</si>
  <si>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</si>
  <si>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</si>
  <si>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</si>
  <si>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</si>
  <si>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</si>
  <si>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</si>
  <si>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</si>
  <si>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</si>
  <si>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</si>
  <si>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</si>
  <si>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</si>
  <si>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</si>
  <si>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</si>
  <si>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</si>
  <si>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</si>
  <si>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</si>
  <si>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</si>
  <si>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</si>
  <si>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</si>
  <si>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</si>
  <si>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</si>
  <si>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</si>
  <si>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</si>
  <si>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</si>
  <si>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</si>
  <si>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</si>
  <si>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</si>
  <si>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</si>
  <si>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</si>
  <si>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</si>
  <si>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</si>
  <si>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</si>
  <si>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</si>
  <si>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</si>
  <si>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</si>
  <si>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</si>
  <si>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</si>
  <si>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</si>
  <si>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</si>
  <si>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</si>
  <si>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</si>
  <si>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</si>
  <si>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</si>
  <si>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</si>
  <si>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</si>
  <si>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</si>
  <si>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</si>
  <si>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</si>
  <si>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</si>
  <si>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</si>
  <si>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</si>
  <si>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</si>
  <si>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</si>
  <si>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</si>
  <si>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</si>
  <si>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</si>
  <si>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</si>
  <si>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</si>
  <si>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</si>
  <si>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</si>
  <si>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</si>
  <si>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</si>
  <si>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</si>
  <si>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</si>
  <si>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</si>
  <si>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</si>
  <si>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</si>
  <si>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</si>
  <si>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</si>
  <si>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</si>
  <si>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</si>
  <si>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</si>
  <si>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</si>
  <si>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</si>
  <si>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</si>
  <si>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</si>
  <si>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</si>
  <si>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</si>
  <si>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</si>
  <si>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</si>
  <si>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</si>
  <si>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</si>
  <si>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</si>
  <si>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</si>
  <si>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</si>
  <si>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</si>
  <si>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</si>
  <si>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</si>
  <si>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</si>
  <si>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</si>
  <si>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</si>
  <si>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</si>
  <si>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</si>
  <si>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</si>
  <si>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</si>
  <si>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</si>
  <si>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</si>
  <si>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</si>
  <si>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</si>
  <si>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</si>
  <si>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</si>
  <si>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</si>
  <si>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</si>
  <si>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</si>
  <si>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</si>
  <si>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</si>
  <si>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</si>
  <si>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</si>
  <si>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</si>
  <si>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</si>
  <si>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</si>
  <si>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</si>
  <si>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</si>
  <si>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</si>
  <si>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</si>
  <si>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</si>
  <si>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</si>
  <si>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</si>
  <si>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</si>
  <si>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</si>
  <si>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</si>
  <si>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</si>
  <si>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</si>
  <si>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</si>
  <si>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</si>
  <si>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</si>
  <si>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</si>
  <si>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</si>
  <si>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</si>
  <si>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</si>
  <si>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</si>
  <si>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</si>
  <si>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</si>
  <si>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</si>
  <si>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</si>
  <si>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</si>
  <si>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</si>
  <si>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</si>
  <si>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</si>
  <si>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</si>
  <si>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</si>
  <si>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</si>
  <si>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</si>
  <si>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</si>
  <si>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</si>
  <si>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</si>
  <si>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</si>
  <si>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</si>
  <si>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</si>
  <si>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</si>
  <si>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</si>
  <si>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</si>
  <si>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</si>
  <si>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</si>
  <si>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</si>
  <si>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</si>
  <si>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</si>
  <si>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</si>
  <si>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</si>
  <si>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</si>
  <si>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</si>
  <si>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</si>
  <si>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</si>
  <si>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</si>
  <si>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</si>
  <si>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</si>
  <si>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</si>
  <si>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</si>
  <si>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</si>
  <si>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</si>
  <si>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</si>
  <si>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</si>
  <si>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</si>
  <si>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</si>
  <si>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</si>
  <si>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</si>
  <si>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</si>
  <si>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</si>
  <si>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</si>
  <si>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</si>
  <si>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</si>
  <si>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</si>
  <si>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</si>
  <si>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</si>
  <si>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</si>
  <si>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</si>
  <si>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</si>
  <si>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</si>
  <si>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</si>
  <si>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</si>
  <si>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</si>
  <si>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</si>
  <si>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</si>
  <si>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</si>
  <si>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</si>
  <si>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</si>
  <si>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</si>
  <si>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</si>
  <si>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</si>
  <si>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</si>
  <si>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</si>
  <si>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</si>
  <si>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</si>
  <si>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</si>
  <si>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</si>
  <si>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</si>
  <si>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</si>
  <si>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</si>
  <si>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</si>
  <si>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</si>
  <si>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</si>
  <si>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</si>
  <si>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</si>
  <si>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</si>
  <si>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</si>
  <si>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</si>
  <si>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</si>
  <si>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</si>
  <si>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</si>
  <si>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</si>
  <si>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</si>
  <si>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</si>
  <si>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</si>
  <si>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</si>
  <si>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</si>
  <si>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</si>
  <si>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</si>
  <si>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</si>
  <si>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</si>
  <si>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</si>
  <si>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</si>
  <si>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</si>
  <si>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</si>
  <si>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</si>
  <si>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</si>
  <si>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</si>
  <si>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</si>
  <si>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</si>
  <si>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</si>
  <si>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</si>
  <si>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</si>
  <si>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</si>
  <si>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</si>
  <si>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</si>
  <si>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</si>
  <si>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</si>
  <si>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</si>
  <si>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</si>
  <si>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</si>
  <si>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</si>
  <si>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</si>
  <si>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</si>
  <si>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</si>
  <si>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</si>
  <si>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</si>
  <si>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</si>
  <si>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</si>
  <si>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</si>
  <si>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</si>
  <si>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</si>
  <si>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</si>
  <si>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</si>
  <si>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</si>
  <si>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</si>
  <si>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</si>
  <si>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</si>
  <si>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</si>
  <si>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</si>
  <si>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</si>
  <si>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</si>
  <si>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</si>
  <si>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</si>
  <si>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</si>
  <si>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</si>
  <si>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</si>
  <si>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</si>
  <si>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</si>
  <si>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</si>
  <si>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</si>
  <si>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</si>
  <si>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</si>
  <si>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</si>
  <si>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</si>
  <si>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</si>
  <si>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</si>
  <si>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</si>
  <si>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</si>
  <si>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</si>
  <si>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</si>
  <si>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</si>
  <si>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</si>
  <si>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</si>
  <si>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</si>
  <si>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</si>
  <si>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</si>
  <si>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</si>
  <si>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</si>
  <si>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</si>
  <si>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</si>
  <si>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</si>
  <si>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</si>
  <si>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</si>
  <si>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</si>
  <si>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</si>
  <si>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</si>
  <si>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</si>
  <si>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</si>
  <si>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</si>
  <si>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</si>
  <si>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</si>
  <si>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</si>
  <si>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</si>
  <si>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</si>
  <si>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</si>
  <si>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</si>
  <si>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</si>
  <si>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</si>
  <si>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</si>
  <si>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</si>
  <si>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</si>
  <si>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</si>
  <si>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</si>
  <si>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</si>
  <si>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</si>
  <si>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</si>
  <si>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</si>
  <si>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</si>
  <si>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</si>
  <si>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</si>
  <si>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</si>
  <si>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</si>
  <si>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</si>
  <si>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</si>
  <si>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</si>
  <si>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</si>
  <si>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</si>
  <si>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</si>
  <si>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</si>
  <si>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</si>
  <si>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</si>
  <si>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</si>
  <si>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</si>
  <si>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</si>
  <si>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</si>
  <si>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</si>
  <si>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</si>
  <si>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</si>
  <si>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</si>
  <si>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</si>
  <si>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</si>
  <si>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</si>
  <si>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</si>
  <si>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</si>
  <si>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</si>
  <si>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</si>
  <si>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</si>
  <si>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</si>
  <si>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</si>
  <si>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</si>
  <si>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</si>
  <si>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</si>
  <si>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</si>
  <si>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</si>
  <si>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</si>
  <si>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</si>
  <si>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</si>
  <si>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</si>
  <si>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</si>
  <si>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</si>
  <si>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</si>
  <si>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</si>
  <si>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</si>
  <si>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</si>
  <si>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</si>
  <si>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</si>
  <si>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</si>
  <si>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</si>
  <si>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</si>
  <si>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</si>
  <si>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</si>
  <si>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</si>
  <si>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</si>
  <si>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</si>
  <si>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</si>
  <si>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</si>
  <si>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</si>
  <si>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</si>
  <si>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</si>
  <si>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</si>
  <si>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</si>
  <si>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</si>
  <si>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</si>
  <si>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</si>
  <si>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</si>
  <si>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</si>
  <si>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</si>
  <si>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</si>
  <si>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</si>
  <si>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</si>
  <si>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</si>
  <si>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</si>
  <si>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</si>
  <si>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</si>
  <si>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</si>
  <si>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</si>
  <si>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</si>
  <si>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</si>
  <si>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</si>
  <si>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</si>
  <si>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</si>
  <si>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</si>
  <si>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</si>
  <si>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</si>
  <si>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</si>
  <si>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</si>
  <si>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</si>
  <si>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</si>
  <si>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</si>
  <si>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</si>
  <si>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</si>
  <si>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</si>
  <si>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</si>
  <si>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</si>
  <si>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</si>
  <si>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</si>
  <si>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</si>
  <si>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</si>
  <si>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</si>
  <si>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</si>
  <si>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</si>
  <si>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</si>
  <si>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</si>
  <si>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</si>
  <si>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</si>
  <si>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</si>
  <si>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</si>
  <si>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</si>
  <si>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</si>
  <si>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</si>
  <si>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</si>
  <si>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</si>
  <si>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</si>
  <si>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</si>
  <si>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</si>
  <si>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</si>
  <si>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</si>
  <si>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</si>
  <si>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</si>
  <si>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</si>
  <si>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</si>
  <si>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</si>
  <si>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</si>
  <si>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</si>
  <si>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</si>
  <si>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</si>
  <si>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</si>
  <si>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</si>
  <si>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</si>
  <si>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</si>
  <si>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</si>
  <si>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</si>
  <si>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</si>
  <si>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</si>
  <si>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</si>
  <si>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</si>
  <si>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</si>
  <si>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</si>
  <si>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</si>
  <si>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</si>
  <si>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</si>
  <si>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</si>
  <si>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</si>
  <si>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</si>
  <si>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</si>
  <si>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</si>
  <si>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</si>
  <si>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</si>
  <si>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</si>
  <si>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</si>
  <si>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</si>
  <si>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</si>
  <si>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</si>
  <si>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</si>
  <si>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</si>
  <si>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</si>
  <si>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</si>
  <si>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</si>
  <si>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</si>
  <si>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</si>
  <si>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</si>
  <si>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</si>
  <si>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</si>
  <si>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</si>
  <si>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</si>
  <si>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</si>
  <si>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</si>
  <si>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</si>
  <si>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</si>
  <si>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</si>
  <si>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</si>
  <si>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</si>
  <si>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</si>
  <si>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</si>
  <si>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</si>
  <si>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</si>
  <si>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</si>
  <si>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</si>
  <si>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</si>
  <si>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</si>
  <si>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</si>
  <si>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</si>
  <si>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</si>
  <si>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</si>
  <si>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</si>
  <si>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</si>
  <si>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</si>
  <si>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</si>
  <si>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</si>
  <si>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</si>
  <si>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</si>
  <si>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</si>
  <si>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</si>
  <si>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</si>
  <si>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</si>
  <si>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</si>
  <si>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</si>
  <si>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</si>
  <si>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</si>
  <si>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</si>
  <si>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</si>
  <si>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</si>
  <si>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</si>
  <si>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</si>
  <si>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</si>
  <si>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</si>
  <si>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</si>
  <si>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</si>
  <si>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</si>
  <si>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</si>
  <si>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</si>
  <si>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</si>
  <si>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</si>
  <si>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</si>
  <si>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</si>
  <si>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</si>
  <si>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</si>
  <si>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</si>
  <si>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</si>
  <si>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</si>
  <si>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</si>
  <si>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</si>
  <si>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</si>
  <si>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</si>
  <si>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</si>
  <si>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</si>
  <si>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</si>
  <si>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</si>
  <si>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</si>
  <si>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</si>
  <si>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</si>
  <si>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</si>
  <si>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</si>
  <si>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</si>
  <si>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</si>
  <si>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</si>
  <si>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</si>
  <si>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</si>
  <si>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</si>
  <si>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</si>
  <si>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</si>
  <si>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</si>
  <si>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</si>
  <si>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</si>
  <si>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</si>
  <si>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</si>
  <si>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</si>
  <si>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</si>
  <si>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</si>
  <si>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</si>
  <si>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</si>
  <si>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</si>
  <si>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</si>
  <si>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</si>
  <si>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</si>
  <si>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</si>
  <si>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</si>
  <si>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</si>
  <si>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</si>
  <si>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</si>
  <si>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</si>
  <si>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</si>
  <si>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</si>
  <si>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</si>
  <si>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</si>
  <si>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</si>
  <si>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</si>
  <si>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</si>
  <si>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</si>
  <si>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</si>
  <si>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</si>
  <si>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</si>
  <si>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</si>
  <si>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</si>
  <si>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</si>
  <si>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</si>
  <si>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</si>
  <si>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</si>
  <si>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</si>
  <si>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</si>
  <si>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</si>
  <si>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</si>
  <si>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</si>
  <si>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</si>
  <si>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</si>
  <si>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</si>
  <si>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</si>
  <si>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</si>
  <si>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</si>
  <si>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</si>
  <si>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</si>
  <si>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</si>
  <si>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</si>
  <si>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</si>
  <si>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</si>
  <si>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</si>
  <si>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</si>
  <si>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</si>
  <si>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</si>
  <si>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</si>
  <si>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</si>
  <si>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</si>
  <si>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</si>
  <si>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</si>
  <si>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</si>
  <si>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</si>
  <si>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</si>
  <si>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</si>
  <si>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</si>
  <si>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</si>
  <si>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</si>
  <si>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</si>
  <si>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</si>
  <si>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</si>
  <si>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</si>
  <si>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</si>
  <si>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</si>
  <si>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</si>
  <si>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</si>
  <si>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</si>
  <si>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</si>
  <si>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</si>
  <si>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</si>
  <si>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</si>
  <si>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</si>
  <si>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</si>
  <si>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</si>
  <si>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</si>
  <si>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</si>
  <si>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</si>
  <si>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</si>
  <si>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</si>
  <si>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</si>
  <si>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</si>
  <si>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</si>
  <si>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</si>
  <si>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</si>
  <si>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</si>
  <si>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</si>
  <si>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</si>
  <si>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</si>
  <si>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</si>
  <si>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</si>
  <si>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</si>
  <si>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</si>
  <si>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</si>
  <si>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</si>
  <si>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</si>
  <si>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</si>
  <si>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</si>
  <si>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</si>
  <si>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</si>
  <si>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</si>
  <si>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</si>
  <si>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</si>
  <si>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</si>
  <si>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</si>
  <si>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</si>
  <si>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</si>
  <si>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</si>
  <si>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</si>
  <si>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</si>
  <si>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</si>
  <si>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</si>
  <si>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</si>
  <si>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</si>
  <si>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</si>
  <si>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</si>
  <si>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</si>
  <si>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</si>
  <si>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</si>
  <si>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</si>
  <si>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</si>
  <si>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</si>
  <si>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</si>
  <si>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</si>
  <si>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</si>
  <si>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</si>
  <si>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</si>
  <si>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</si>
  <si>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</si>
  <si>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</si>
  <si>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</si>
  <si>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</si>
  <si>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</si>
  <si>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</si>
  <si>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</si>
  <si>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</si>
  <si>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</si>
  <si>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</si>
  <si>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</si>
  <si>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</si>
  <si>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</si>
  <si>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</si>
  <si>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</si>
  <si>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</si>
  <si>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</si>
  <si>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</si>
  <si>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</si>
  <si>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</si>
  <si>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</si>
  <si>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</si>
  <si>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</si>
  <si>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</si>
  <si>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</si>
  <si>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</si>
  <si>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</si>
  <si>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</si>
  <si>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</si>
  <si>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</si>
  <si>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</si>
  <si>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</si>
  <si>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</si>
  <si>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</si>
  <si>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</si>
  <si>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</si>
  <si>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</si>
  <si>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</si>
  <si>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</si>
  <si>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</si>
  <si>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</si>
  <si>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</si>
  <si>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</si>
  <si>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</si>
  <si>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</si>
  <si>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</si>
  <si>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</si>
  <si>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</si>
  <si>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</si>
  <si>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</si>
  <si>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</si>
  <si>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</si>
  <si>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</si>
  <si>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</si>
  <si>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</si>
  <si>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</si>
  <si>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</si>
  <si>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</si>
  <si>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</si>
  <si>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</si>
  <si>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</si>
  <si>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</si>
  <si>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</si>
  <si>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</si>
  <si>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</si>
  <si>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</si>
  <si>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</si>
  <si>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</si>
  <si>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</si>
  <si>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</si>
  <si>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</si>
  <si>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</si>
  <si>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</si>
  <si>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</si>
  <si>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</si>
  <si>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</si>
  <si>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</si>
  <si>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</si>
  <si>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</si>
  <si>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</si>
  <si>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</si>
  <si>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</si>
  <si>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</si>
  <si>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</si>
  <si>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</si>
  <si>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</si>
  <si>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</si>
  <si>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</si>
  <si>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</si>
  <si>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</si>
  <si>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</si>
  <si>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</si>
  <si>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</si>
  <si>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</si>
  <si>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</si>
  <si>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</si>
  <si>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</si>
  <si>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</si>
  <si>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</si>
  <si>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</si>
  <si>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</si>
  <si>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</si>
  <si>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</si>
  <si>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</si>
  <si>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</si>
  <si>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</si>
  <si>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</si>
  <si>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</si>
  <si>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</si>
  <si>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</si>
  <si>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</si>
  <si>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</si>
  <si>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</si>
  <si>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</si>
  <si>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</si>
  <si>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</si>
  <si>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</si>
  <si>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</si>
  <si>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</si>
  <si>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</si>
  <si>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</si>
  <si>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</si>
  <si>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</si>
  <si>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</si>
  <si>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</si>
  <si>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</si>
  <si>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</si>
  <si>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</si>
  <si>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</si>
  <si>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</si>
  <si>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</si>
  <si>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</si>
  <si>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</si>
  <si>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</si>
  <si>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</si>
  <si>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</si>
  <si>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</si>
  <si>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</si>
  <si>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</si>
  <si>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</si>
  <si>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</si>
  <si>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</si>
  <si>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</si>
  <si>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</si>
  <si>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</si>
  <si>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</si>
  <si>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</si>
  <si>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</si>
  <si>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</si>
  <si>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</si>
  <si>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</si>
  <si>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</si>
  <si>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</si>
  <si>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</si>
  <si>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</si>
  <si>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</si>
  <si>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</si>
  <si>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</si>
  <si>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</si>
  <si>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</si>
  <si>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</si>
  <si>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</si>
  <si>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</si>
  <si>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</si>
  <si>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</si>
  <si>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</si>
  <si>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</si>
  <si>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</si>
  <si>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</si>
  <si>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</si>
  <si>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</si>
  <si>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</si>
  <si>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</si>
  <si>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</si>
  <si>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</si>
  <si>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</si>
  <si>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</si>
  <si>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</si>
  <si>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</si>
  <si>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</si>
  <si>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</si>
  <si>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</si>
  <si>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</si>
  <si>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</si>
  <si>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</si>
  <si>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</si>
  <si>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</si>
  <si>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</si>
  <si>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</si>
  <si>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</si>
  <si>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</si>
  <si>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</si>
  <si>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</si>
  <si>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</si>
  <si>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</si>
  <si>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</si>
  <si>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</si>
  <si>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</si>
  <si>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</si>
  <si>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</si>
  <si>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</si>
  <si>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</si>
  <si>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</si>
  <si>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</si>
  <si>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</si>
  <si>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</si>
  <si>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</si>
  <si>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</si>
  <si>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</si>
  <si>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</si>
  <si>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</si>
  <si>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</si>
  <si>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</si>
  <si>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</si>
  <si>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</si>
  <si>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</si>
  <si>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</si>
  <si>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</si>
  <si>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</si>
  <si>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</si>
  <si>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</si>
  <si>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</si>
  <si>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</si>
  <si>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</si>
  <si>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</si>
  <si>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</si>
  <si>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</si>
  <si>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</si>
  <si>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</si>
  <si>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</si>
  <si>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</si>
  <si>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</si>
  <si>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</si>
  <si>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</si>
  <si>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</si>
  <si>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</si>
  <si>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</si>
  <si>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</si>
  <si>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</si>
  <si>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</si>
  <si>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</si>
  <si>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</si>
  <si>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</si>
  <si>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</si>
  <si>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</si>
  <si>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</si>
  <si>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</si>
  <si>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</si>
  <si>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</si>
  <si>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</si>
  <si>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</si>
  <si>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</si>
  <si>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</si>
  <si>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</si>
  <si>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</si>
  <si>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</si>
  <si>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</si>
  <si>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</si>
  <si>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</si>
  <si>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</si>
  <si>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</si>
  <si>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</si>
  <si>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</si>
  <si>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</si>
  <si>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</si>
  <si>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</si>
  <si>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</si>
  <si>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</si>
  <si>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</si>
  <si>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</si>
  <si>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</si>
  <si>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</si>
  <si>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</si>
  <si>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</si>
  <si>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</si>
  <si>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</si>
  <si>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</si>
  <si>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</si>
  <si>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</si>
  <si>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</si>
  <si>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</si>
  <si>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</si>
  <si>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</si>
  <si>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</si>
  <si>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</si>
  <si>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</si>
  <si>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</si>
  <si>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</si>
  <si>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</si>
  <si>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</si>
  <si>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</si>
  <si>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</si>
  <si>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</si>
  <si>
    <t>IPPU accounting (Task G, v0.13)</t>
  </si>
  <si>
    <t>Non-block IPPU response (IppuOther: NONE / CPAT)</t>
  </si>
  <si>
    <t>NONE</t>
  </si>
  <si>
    <t>NONE (default, MajorIssues #17): IPPU outside the CBAM block held at baseline in the policy scenario. CPAT: scaled with industrial energy CO2 as in CPAT. Code egy.in.ippuoth</t>
  </si>
  <si>
    <t>IPPU_Industry: kernel IPPU = block process (np + no, post-policy) + fp flagged below + non-block remainder (CPAT IPPU baseline - block IPPU baseline); replaces CPAT's proportional IPPU row</t>
  </si>
  <si>
    <t>fp counted as IPPU (1/0)</t>
  </si>
  <si>
    <t>0: DRI reductant gas stays in energy CO2 (IEA/CPAT iron &amp; steel final consumption; block steel fc+fp &lt; CPAT irn)</t>
  </si>
  <si>
    <t>assumption</t>
  </si>
  <si>
    <t>egy.in.ippufp.stl.drg</t>
  </si>
  <si>
    <t>0: no fp</t>
  </si>
  <si>
    <t>egy.in.ippufp.stl.scr</t>
  </si>
  <si>
    <t>0: BF-BOF coke/coal reductant counted with energy (not produced in Egypt, Q = 0)</t>
  </si>
  <si>
    <t>egy.in.ippufp.stl.bof</t>
  </si>
  <si>
    <t>egy.in.ippufp.cmt.dry</t>
  </si>
  <si>
    <t>1: SMR feedstock gas = IEA non-energy use (not in CPAT energy CO2; CPAT mch = 0) and IPCC 2B1 IPPU</t>
  </si>
  <si>
    <t>egy.in.ippufp.frt.amc</t>
  </si>
  <si>
    <t>egy.in.ippufp.frt.ure</t>
  </si>
  <si>
    <t>egy.in.ippufp.frt.nit</t>
  </si>
  <si>
    <t>egy.in.ippufp.alu.prp</t>
  </si>
  <si>
    <t>Mitigation Module - Egypt: Industry kernel - IPPU accounting and fuel-CO2 reconciliation (Task G): block process emissions replace CPAT's proportional IPPU row</t>
  </si>
  <si>
    <t>A. CPAT IPPU inventory and industrial energy CO2, baseline (CPAT_1_0pre_456 Mitigation, stored values)</t>
  </si>
  <si>
    <t>co2</t>
  </si>
  <si>
    <t>ipr</t>
  </si>
  <si>
    <t>IPPU CO2, CPAT baseline</t>
  </si>
  <si>
    <t>CPAT Mitigation row 7566</t>
  </si>
  <si>
    <t>2022-23 inventory (rows 844-847); 2024+ x ind CO2 growth (row 7553)</t>
  </si>
  <si>
    <t>ch4</t>
  </si>
  <si>
    <t>IPPU CH4, CPAT baseline</t>
  </si>
  <si>
    <t>CPAT Mitigation row 7567</t>
  </si>
  <si>
    <t>n2o</t>
  </si>
  <si>
    <t>IPPU N2O, CPAT baseline</t>
  </si>
  <si>
    <t>CPAT Mitigation row 7568</t>
  </si>
  <si>
    <t>fga</t>
  </si>
  <si>
    <t>IPPU F-gases, CPAT baseline</t>
  </si>
  <si>
    <t>CPAT Mitigation row 7569</t>
  </si>
  <si>
    <t>IPPU all gases, CPAT baseline</t>
  </si>
  <si>
    <t>CPAT Mitigation row 7570</t>
  </si>
  <si>
    <t>sum of the gas rows</t>
  </si>
  <si>
    <t>Industrial energy CO2 (all industry sectors), CPAT baseline</t>
  </si>
  <si>
    <t>CPAT Mitigation row 6590</t>
  </si>
  <si>
    <t>IPPU growth driver in CPAT</t>
  </si>
  <si>
    <t>B1. IPPU accounting - Baseline (scenario 1)</t>
  </si>
  <si>
    <t>kern</t>
  </si>
  <si>
    <t>Energy CO2, kernel sectors (irn + cem + nfm + mch)</t>
  </si>
  <si>
    <t>Emissions_Industry</t>
  </si>
  <si>
    <t>Task F sector totals</t>
  </si>
  <si>
    <t>Industrial energy CO2 implied (CPAT baseline + kernel change)</t>
  </si>
  <si>
    <t>row 11 + kernel change</t>
  </si>
  <si>
    <t>non-kernel industry sectors held at the CPAT baseline</t>
  </si>
  <si>
    <t>IPPU, CPAT method (all IPPU scaled with industrial energy CO2)</t>
  </si>
  <si>
    <t>CPAT Mitigation rows 7553, 7566-7570</t>
  </si>
  <si>
    <t>the row Task G replaces; scenario 1 = CPAT egy.mit.ghg.ipr.tot.1</t>
  </si>
  <si>
    <t>Block process CO2 (np), post-policy</t>
  </si>
  <si>
    <t>Mitigation_Industry row 260 (o15)</t>
  </si>
  <si>
    <t>egy.mit.emisnp.cbam.tot.1</t>
  </si>
  <si>
    <t>Block non-CO2 process (no), post-policy</t>
  </si>
  <si>
    <t>Mitigation_Industry row 261 (o16)</t>
  </si>
  <si>
    <t>egy.mit.emisno.cbam.tot.1</t>
  </si>
  <si>
    <t>Block process emissions (np + no), post-policy</t>
  </si>
  <si>
    <t>Mitigation_Industry row 390 (o145)</t>
  </si>
  <si>
    <t>egy.mit.emisp.cbam.tot.1</t>
  </si>
  <si>
    <t>Block fuel used in the process (fp) counted as IPPU</t>
  </si>
  <si>
    <t>Mitigation_Industry o85-o92 + o107-o114</t>
  </si>
  <si>
    <t>(fuel + fuel ER) x fp/(fc+fp) x flag (Manual inputs E88:E95)</t>
  </si>
  <si>
    <t>Block IPPU (process + fp counted as IPPU)</t>
  </si>
  <si>
    <t>oth</t>
  </si>
  <si>
    <t>Non-block IPPU (IPPU outside the CBAM block)</t>
  </si>
  <si>
    <t>CPAT IPPU baseline - block IPPU baseline (about 40-60% of IPPU)</t>
  </si>
  <si>
    <t>IPPU, kernel (block + non-block) - replaces the CPAT-method row</t>
  </si>
  <si>
    <t>use instead of egy.mit.ghg.ipr.tot.1</t>
  </si>
  <si>
    <t>Double-count correction: kernel IPPU - CPAT-method IPPU</t>
  </si>
  <si>
    <t>add to CPAT total GHG to correct it (0 in scenario 1)</t>
  </si>
  <si>
    <t>shr</t>
  </si>
  <si>
    <t>Block IPPU share of CPAT-method IPPU</t>
  </si>
  <si>
    <t>B2. IPPU accounting - Policy scenario (scenario 2)</t>
  </si>
  <si>
    <t>Mitigation_Industry row 659 (o15)</t>
  </si>
  <si>
    <t>egy.mit.emisnp.cbam.tot.2</t>
  </si>
  <si>
    <t>Mitigation_Industry row 660 (o16)</t>
  </si>
  <si>
    <t>egy.mit.emisno.cbam.tot.2</t>
  </si>
  <si>
    <t>Mitigation_Industry row 789 (o145)</t>
  </si>
  <si>
    <t>egy.mit.emisp.cbam.tot.2</t>
  </si>
  <si>
    <t>IppuOther (Manual inputs E85): NONE = baseline; CPAT = baseline x CPAT-method ratio</t>
  </si>
  <si>
    <t>use instead of egy.mit.ghg.ipr.tot.2</t>
  </si>
  <si>
    <t>C1. Reconciliation: block product fuel CO2 vs kernel sector energy CO2 (Task F) - scenario 1</t>
  </si>
  <si>
    <t>blk</t>
  </si>
  <si>
    <t>Iron and steel: block fuel CO2 (fc + fp, post-policy) net of fp counted as IPPU</t>
  </si>
  <si>
    <t>Mitigation_Industry row 375 (cpef)</t>
  </si>
  <si>
    <t>Iron and steel: kernel sector energy CO2</t>
  </si>
  <si>
    <t>Emissions_Industry row 15</t>
  </si>
  <si>
    <t>gap</t>
  </si>
  <si>
    <t>Iron and steel: sector energy CO2 - block fuel CO2 (other products / non-CBAM)</t>
  </si>
  <si>
    <t>negative = block exceeds the sector</t>
  </si>
  <si>
    <t>rat</t>
  </si>
  <si>
    <t>Iron and steel: block fuel CO2 / sector energy CO2</t>
  </si>
  <si>
    <t>0 if the sector has no energy CO2 (CPAT nfm, mch)</t>
  </si>
  <si>
    <t>Cement: block fuel CO2 (fc + fp, post-policy) net of fp counted as IPPU</t>
  </si>
  <si>
    <t>Mitigation_Industry row 378 (cpef)</t>
  </si>
  <si>
    <t>Cement: kernel sector energy CO2</t>
  </si>
  <si>
    <t>Emissions_Industry row 27</t>
  </si>
  <si>
    <t>Cement: sector energy CO2 - block fuel CO2 (other products / non-CBAM)</t>
  </si>
  <si>
    <t>Cement: block fuel CO2 / sector energy CO2</t>
  </si>
  <si>
    <t>Non-ferrous metals: block fuel CO2 (fc + fp, post-policy) net of fp counted as IPPU</t>
  </si>
  <si>
    <t>Mitigation_Industry row 376 (cpef)</t>
  </si>
  <si>
    <t>Non-ferrous metals: kernel sector energy CO2</t>
  </si>
  <si>
    <t>Emissions_Industry row 39</t>
  </si>
  <si>
    <t>Non-ferrous metals: sector energy CO2 - block fuel CO2 (other products / non-CBAM)</t>
  </si>
  <si>
    <t>Non-ferrous metals: block fuel CO2 / sector energy CO2</t>
  </si>
  <si>
    <t>Mining &amp; chemicals: block fuel CO2 (fc + fp, post-policy) net of fp counted as IPPU</t>
  </si>
  <si>
    <t>Mitigation_Industry row 374 (cpef)</t>
  </si>
  <si>
    <t>Mining &amp; chemicals: kernel sector energy CO2</t>
  </si>
  <si>
    <t>Emissions_Industry row 51</t>
  </si>
  <si>
    <t>Mining &amp; chemicals: sector energy CO2 - block fuel CO2 (other products / non-CBAM)</t>
  </si>
  <si>
    <t>Mining &amp; chemicals: block fuel CO2 / sector energy CO2</t>
  </si>
  <si>
    <t>C2. Reconciliation: block product fuel CO2 vs kernel sector energy CO2 (Task F) - scenario 2</t>
  </si>
  <si>
    <t>Mitigation_Industry row 774 (cpef)</t>
  </si>
  <si>
    <t>Emissions_Industry row 66</t>
  </si>
  <si>
    <t>egy.mit.eco2.irn.tot.e.2</t>
  </si>
  <si>
    <t>Mitigation_Industry row 777 (cpef)</t>
  </si>
  <si>
    <t>Emissions_Industry row 78</t>
  </si>
  <si>
    <t>egy.mit.eco2.cem.tot.e.2</t>
  </si>
  <si>
    <t>Mitigation_Industry row 775 (cpef)</t>
  </si>
  <si>
    <t>Emissions_Industry row 90</t>
  </si>
  <si>
    <t>egy.mit.eco2.nfm.tot.e.2</t>
  </si>
  <si>
    <t>Mitigation_Industry row 773 (cpef)</t>
  </si>
  <si>
    <t>Emissions_Industry row 102</t>
  </si>
  <si>
    <t>egy.mit.eco2.mch.tot.e.2</t>
  </si>
  <si>
    <t>Task G (v0.13): IPPU accounting and fuel-CO2 reconciliation</t>
  </si>
  <si>
    <t>IPPU CPAT method, scenario 1 - CPAT egy.mit.ghg.ipr.tot.1 (stored)</t>
  </si>
  <si>
    <t>Kernel IPPU - CPAT-method IPPU, scenario 1</t>
  </si>
  <si>
    <t>Block np + no - block process total (emisnp + emisno - emisp)</t>
  </si>
  <si>
    <t>Non-block IPPU &lt; 0 (count of years)</t>
  </si>
  <si>
    <t>Kernel IPPU - (block + non-block)</t>
  </si>
  <si>
    <t>Block CO2 (np + fp as IPPU) &gt; CPAT IPPU CO2, scenario 1 (count of years)</t>
  </si>
  <si>
    <t>Block non-CO2 (no) &gt; CPAT IPPU CH4 + N2O + F-gases, scenario 1 (count of years)</t>
  </si>
  <si>
    <t>Non-block IPPU scenario 2 - IppuOther rule (NONE: = s1; CPAT: s1 x CPAT ratio)</t>
  </si>
  <si>
    <t>Max |identity| and violation counts (Task G)</t>
  </si>
  <si>
    <t>Information (not expected 0): reconciliation and double-count size</t>
  </si>
  <si>
    <t>Info: block fuel CO2 &gt; kernel sector energy CO2, irn (count of years)</t>
  </si>
  <si>
    <t>Info: block fuel CO2 &gt; kernel sector energy CO2, cem (count of years)</t>
  </si>
  <si>
    <t>Info: block fuel CO2 &gt; kernel sector energy CO2, nfm (count of years)</t>
  </si>
  <si>
    <t>Info: block fuel CO2 &gt; kernel sector energy CO2, mch (count of years)</t>
  </si>
  <si>
    <t>Info: double-count correction, scenario 2 (MtCO2e; kernel - CPAT-method IPPU)</t>
  </si>
  <si>
    <t>value</t>
  </si>
  <si>
    <t>Note: the CPAT-method row reproduces CPAT exactly only in scenario 1; in scenario 2 it applies CPAT's rule to the kernel's own industrial energy CO2 change (non-kernel industry sectors held at the CPAT baseline).</t>
  </si>
  <si>
    <t>Task G (v0.13): sheet IPPU_Industry - kernel IPPU egy.mit.ghg.iprk.tot.&lt;s&gt; (rows 26 / 43) = block process (np + no) + fp flagged as IPPU + non-block remainder (Manual inputs E85 IppuOther NONE|CPAT); it replaces CPAT's proportional IPPU (egy.mit.ghg.iprc.tot.&lt;s&gt;); double-count correction egy.mit.ghg.iprdc.tot.&lt;s&gt;. Fuel-CO2 reconciliation by sector in sections C1/C2.</t>
  </si>
  <si>
    <t>v0.13</t>
  </si>
  <si>
    <t>Task G: new sheet IPPU_Industry. CPAT IPPU baseline by gas and industrial energy CO2 stored (CPAT Mitigation rows 7566-7570, 6590); CPAT-method IPPU (all IPPU x industrial energy CO2 growth, kernel change only) vs kernel IPPU = block process np+no (o145) + fp counted as IPPU (ammonia feedstock flag) + non-block remainder (CPAT baseline - block baseline; IppuOther NONE holds it, CPAT scales it). Double-count correction row iprdc. Reconciliation of block fuel CO2 with Task F sector energy CO2 by sector (report only). Manual inputs rows 84-95 (switch E85, fp flags E88:E95). Check section row 1831. 2030, bundle 3A scenario 2: CPAT-method IPPU 85.3, kernel IPPU 84.7 MtCO2e (block 34.0, non-block 50.7), correction -0.52. Regression vs v0.12: all prior sheets identical for every bundle (max |diff| 0); new rows only.</t>
  </si>
  <si>
    <t>Main CPAT - Egypt: national outputs of the CPAT runs EG1-EG4 used by Task M (stored values)</t>
  </si>
  <si>
    <t>A. CPAT national outputs by run (cpat_outputs_egypt_2022_2041.csv, egypt+mitigation/AdHocRebuild; EG1 = 1A/2A, EG2 = 2B, EG3 = 3A-3C, EG4 unused)</t>
  </si>
  <si>
    <t>Key (code|run)</t>
  </si>
  <si>
    <t>Run</t>
  </si>
  <si>
    <t>egy.air.ada.2464|EG1</t>
  </si>
  <si>
    <t>EG1</t>
  </si>
  <si>
    <t>Averted deaths by age group: 25 to 64 years</t>
  </si>
  <si>
    <t>deaths</t>
  </si>
  <si>
    <t>CPAT run EG1 (csv)</t>
  </si>
  <si>
    <t>egy.air.ada.2464</t>
  </si>
  <si>
    <t>egy.air.ada.2464|EG2</t>
  </si>
  <si>
    <t>EG2</t>
  </si>
  <si>
    <t>CPAT run EG2 (csv)</t>
  </si>
  <si>
    <t>egy.air.ada.2464|EG3</t>
  </si>
  <si>
    <t>EG3</t>
  </si>
  <si>
    <t>CPAT run EG3 (csv)</t>
  </si>
  <si>
    <t>egy.air.ada.2464|EG4</t>
  </si>
  <si>
    <t>EG4</t>
  </si>
  <si>
    <t>CPAT run EG4 (csv)</t>
  </si>
  <si>
    <t>egy.air.ada.65|EG1</t>
  </si>
  <si>
    <t>Averted deaths by age group: 65+ years</t>
  </si>
  <si>
    <t>egy.air.ada.65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</si>
  <si>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</si>
  <si>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</si>
  <si>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</si>
  <si>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</si>
  <si>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</si>
  <si>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</t>
  </si>
  <si>
    <t>egy.air.ada.u24|EG2</t>
  </si>
  <si>
    <t>egy.air.ada.u24|EG3</t>
  </si>
  <si>
    <t>egy.air.ada.u24|EG4</t>
  </si>
  <si>
    <t>egy.air.cad.net|EG1</t>
  </si>
  <si>
    <t>Cumulative averted deaths - net</t>
  </si>
  <si>
    <t>csv</t>
  </si>
  <si>
    <t>egy.air.cad.net</t>
  </si>
  <si>
    <t>egy.air.cad.net|EG2</t>
  </si>
  <si>
    <t>egy.air.cad.net|EG3</t>
  </si>
  <si>
    <t>egy.air.cad.net|EG4</t>
  </si>
  <si>
    <t>egy.air.mort|EG1</t>
  </si>
  <si>
    <t>Baseline air pollution deaths</t>
  </si>
  <si>
    <t>egy.air.mort</t>
  </si>
  <si>
    <t>egy.air.mort|EG2</t>
  </si>
  <si>
    <t>egy.air.mort|EG3</t>
  </si>
  <si>
    <t>egy.air.mort|EG4</t>
  </si>
  <si>
    <t>egy.mit.co2.enr.tot.1|EG1</t>
  </si>
  <si>
    <t>Total energy related CO2 emissions (baseline)</t>
  </si>
  <si>
    <t>egy.mit.co2.enr.tot.1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</si>
  <si>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</si>
  <si>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</si>
  <si>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</si>
  <si>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</si>
  <si>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</si>
  <si>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</si>
  <si>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</si>
  <si>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</si>
  <si>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</si>
  <si>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</si>
  <si>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</si>
  <si>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</si>
  <si>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</si>
  <si>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</si>
  <si>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</si>
  <si>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</si>
  <si>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</si>
  <si>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</t>
  </si>
  <si>
    <t>egy.mit.co2.ind.2|EG2</t>
  </si>
  <si>
    <t>egy.mit.co2.ind.2|EG3</t>
  </si>
  <si>
    <t>egy.mit.co2.ind.2|EG4</t>
  </si>
  <si>
    <t>egy.mit.co2.pow.1|EG1</t>
  </si>
  <si>
    <t>Energy related CO2 emissions - Power sector (baseline)</t>
  </si>
  <si>
    <t>egy.mit.co2.pow.1</t>
  </si>
  <si>
    <t>egy.mit.co2.pow.1|EG2</t>
  </si>
  <si>
    <t>egy.mit.co2.pow.1|EG3</t>
  </si>
  <si>
    <t>egy.mit.co2.pow.1|EG4</t>
  </si>
  <si>
    <t>egy.mit.co2.pow.2|EG1</t>
  </si>
  <si>
    <t>Energy related CO2 emissions - Power sector (policy)</t>
  </si>
  <si>
    <t>egy.mit.co2.pow.2</t>
  </si>
  <si>
    <t>egy.mit.co2.pow.2|EG2</t>
  </si>
  <si>
    <t>egy.mit.co2.pow.2|EG3</t>
  </si>
  <si>
    <t>egy.mit.co2.pow.2|EG4</t>
  </si>
  <si>
    <t>egy.mit.co2.res.1|EG1</t>
  </si>
  <si>
    <t>Energy related CO2 emissions - Residential (baseline)</t>
  </si>
  <si>
    <t>egy.mit.co2.res.1</t>
  </si>
  <si>
    <t>egy.mit.co2.res.1|EG2</t>
  </si>
  <si>
    <t>egy.mit.co2.res.1|EG3</t>
  </si>
  <si>
    <t>egy.mit.co2.res.1|EG4</t>
  </si>
  <si>
    <t>egy.mit.co2.res.2|EG1</t>
  </si>
  <si>
    <t>Energy related CO2 emissions - Residential (policy)</t>
  </si>
  <si>
    <t>egy.mit.co2.res.2</t>
  </si>
  <si>
    <t>egy.mit.co2.res.2|EG2</t>
  </si>
  <si>
    <t>egy.mit.co2.res.2|EG3</t>
  </si>
  <si>
    <t>egy.mit.co2.res.2|EG4</t>
  </si>
  <si>
    <t>egy.mit.co2.tot.1|EG1</t>
  </si>
  <si>
    <t>Carbon dioxide (CO2) - baseline</t>
  </si>
  <si>
    <t>egy.mit.co2.tot.1</t>
  </si>
  <si>
    <t>egy.mit.co2.tot.1|EG2</t>
  </si>
  <si>
    <t>egy.mit.co2.tot.1|EG3</t>
  </si>
  <si>
    <t>egy.mit.co2.tot.1|EG4</t>
  </si>
  <si>
    <t>egy.mit.co2.tot.2|EG1</t>
  </si>
  <si>
    <t>Carbon dioxide (CO2) - policy</t>
  </si>
  <si>
    <t>egy.mit.co2.tot.2</t>
  </si>
  <si>
    <t>egy.mit.co2.tot.2|EG2</t>
  </si>
  <si>
    <t>egy.mit.co2.tot.2|EG3</t>
  </si>
  <si>
    <t>egy.mit.co2.tot.2|EG4</t>
  </si>
  <si>
    <t>egy.mit.co2.tra.1|EG1</t>
  </si>
  <si>
    <t>Energy related CO2 emissions - Transport (baseline)</t>
  </si>
  <si>
    <t>egy.mit.co2.tra.1</t>
  </si>
  <si>
    <t>egy.mit.co2.tra.1|EG2</t>
  </si>
  <si>
    <t>egy.mit.co2.tra.1|EG3</t>
  </si>
  <si>
    <t>egy.mit.co2.tra.1|EG4</t>
  </si>
  <si>
    <t>egy.mit.co2.tra.2|EG1</t>
  </si>
  <si>
    <t>Energy related CO2 emissions - Transport (policy)</t>
  </si>
  <si>
    <t>egy.mit.co2.tra.2</t>
  </si>
  <si>
    <t>egy.mit.co2.tra.2|EG2</t>
  </si>
  <si>
    <t>egy.mit.co2.tra.2|EG3</t>
  </si>
  <si>
    <t>egy.mit.co2.tra.2|EG4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</si>
  <si>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</si>
  <si>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</si>
  <si>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</si>
  <si>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</si>
  <si>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</si>
  <si>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</si>
  <si>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</si>
  <si>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</t>
  </si>
  <si>
    <t>egy.mit.eff.cptraj.2|EG2</t>
  </si>
  <si>
    <t>egy.mit.eff.cptraj.2|EG3</t>
  </si>
  <si>
    <t>egy.mit.eff.cptraj.2|EG4</t>
  </si>
  <si>
    <t>egy.mit.ghg.ipr.tot.1|EG1</t>
  </si>
  <si>
    <t>Industrial processes GHG emissions (baseline)</t>
  </si>
  <si>
    <t>egy.mit.ghg.ipr.tot.1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</si>
  <si>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</si>
  <si>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</si>
  <si>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</si>
  <si>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</si>
  <si>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</si>
  <si>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</t>
  </si>
  <si>
    <t>egy.mit.ghg.ipr.tot.2|EG2</t>
  </si>
  <si>
    <t>egy.mit.ghg.ipr.tot.2|EG3</t>
  </si>
  <si>
    <t>egy.mit.ghg.ipr.tot.2|EG4</t>
  </si>
  <si>
    <t>egy.mit.ghg.tot.inc.1|EG1</t>
  </si>
  <si>
    <t>Total GHG emissions, inc. LULUCF (baseline)</t>
  </si>
  <si>
    <t>egy.mit.ghg.tot.inc.1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</si>
  <si>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</si>
  <si>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</si>
  <si>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</si>
  <si>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</si>
  <si>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</si>
  <si>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</t>
  </si>
  <si>
    <t>egy.mit.ghg.tot.inc.2|EG2</t>
  </si>
  <si>
    <t>egy.mit.ghg.tot.inc.2|EG3</t>
  </si>
  <si>
    <t>egy.mit.ghg.tot.inc.2|EG4</t>
  </si>
  <si>
    <t>egy.mit.rev.new.coa.usd.2|EG1</t>
  </si>
  <si>
    <t>Fiscal revenues, coal, policy</t>
  </si>
  <si>
    <t>$bn</t>
  </si>
  <si>
    <t>egy.mit.rev.new.coa.usd.2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</si>
  <si>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</si>
  <si>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</si>
  <si>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</si>
  <si>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</si>
  <si>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</si>
  <si>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</si>
  <si>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</si>
  <si>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</si>
  <si>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</si>
  <si>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</si>
  <si>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</si>
  <si>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</si>
  <si>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</si>
  <si>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</si>
  <si>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</si>
  <si>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</si>
  <si>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</si>
  <si>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</si>
  <si>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</si>
  <si>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</si>
  <si>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</si>
  <si>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</si>
  <si>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</si>
  <si>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</si>
  <si>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</si>
  <si>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</si>
  <si>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</si>
  <si>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</si>
  <si>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</si>
  <si>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</t>
  </si>
  <si>
    <t>egy.mit.rev.new.oil.usd.2|EG2</t>
  </si>
  <si>
    <t>egy.mit.rev.new.oil.usd.2|EG3</t>
  </si>
  <si>
    <t>egy.mit.rev.new.oil.usd.2|EG4</t>
  </si>
  <si>
    <t>egy.mit.rev.new.usd.1|EG1</t>
  </si>
  <si>
    <t>Fiscal revenues by fuel, total, net of subsidies, baseline (real 2021 US$bn)</t>
  </si>
  <si>
    <t>egy.mit.rev.new.usd.1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</si>
  <si>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</si>
  <si>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</si>
  <si>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</si>
  <si>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</si>
  <si>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</si>
  <si>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</t>
  </si>
  <si>
    <t>egy.mit.rev.new.usd.2|EG2</t>
  </si>
  <si>
    <t>egy.mit.rev.new.usd.2|EG3</t>
  </si>
  <si>
    <t>egy.mit.rev.new.usd.2|EG4</t>
  </si>
  <si>
    <t>egy.mit.wel.air.pct|EG1</t>
  </si>
  <si>
    <t>Air pollution co-benefits (% GDP)</t>
  </si>
  <si>
    <t>egy.mit.wel.air.pct</t>
  </si>
  <si>
    <t>egy.mit.wel.air.pct|EG2</t>
  </si>
  <si>
    <t>egy.mit.wel.air.pct|EG3</t>
  </si>
  <si>
    <t>egy.mit.wel.air.pct|EG4</t>
  </si>
  <si>
    <t>Note: different data vintage from the CPAT values stored in the kernel (IPPU_Industry section A, CPAT_1_0pre_456 xlsb): 2030 baseline IPPU 85.97 vs 87.67, industrial energy CO2 88.97 vs 75.38 MtCO2. Task M uses deltas (policy - baseline) of a run only; levels of the two sources are never mixed.</t>
  </si>
  <si>
    <t>Mitigation Module - Egypt: Industry kernel - links to main CPAT and Table 2 (Task M)</t>
  </si>
  <si>
    <t>A. Bundle -&gt; CPAT run mapping and active bundle</t>
  </si>
  <si>
    <t>CPAT run</t>
  </si>
  <si>
    <t>Energy scope (Scenarios L)</t>
  </si>
  <si>
    <t>-': regression bundle, not in Table 2 (national rows 0)</t>
  </si>
  <si>
    <t>TASK-2b run mapping (MethodologyNote v0.1)</t>
  </si>
  <si>
    <t>Active bundle</t>
  </si>
  <si>
    <t>Energy scope</t>
  </si>
  <si>
    <t>Revenue use (recycling)</t>
  </si>
  <si>
    <t>Summary year (section E)</t>
  </si>
  <si>
    <t>the stored snapshot (E) is for 2030; Check compares live = snapshot in 2030</t>
  </si>
  <si>
    <t>B. CPAT national series of the mapped run (CPAT_National; 0 when the run is '-')</t>
  </si>
  <si>
    <t>nat</t>
  </si>
  <si>
    <t>cpat</t>
  </si>
  <si>
    <t>Total GHG incl. LULUCF, baseline</t>
  </si>
  <si>
    <t>CPAT_National</t>
  </si>
  <si>
    <t>Total GHG incl. LULUCF, policy</t>
  </si>
  <si>
    <t>IPPU GHG, baseline</t>
  </si>
  <si>
    <t>IPPU GHG, policy</t>
  </si>
  <si>
    <t>Energy CO2, baseline</t>
  </si>
  <si>
    <t>Energy CO2, policy</t>
  </si>
  <si>
    <t>Industry energy CO2, baseline</t>
  </si>
  <si>
    <t>Industry energy CO2, policy</t>
  </si>
  <si>
    <t>Carbon price trajectory of the run</t>
  </si>
  <si>
    <t>Effective (coverage-weighted) carbon price of the run</t>
  </si>
  <si>
    <t>Net new revenue, baseline</t>
  </si>
  <si>
    <t>Net new revenue, policy</t>
  </si>
  <si>
    <t>Carbon-tax revenue, coal</t>
  </si>
  <si>
    <t>Carbon-tax revenue, diesel</t>
  </si>
  <si>
    <t>Carbon-tax revenue, gasoline</t>
  </si>
  <si>
    <t>Carbon-tax revenue, LPG/kerosene</t>
  </si>
  <si>
    <t>Carbon-tax revenue, natural gas</t>
  </si>
  <si>
    <t>Carbon-tax revenue, oil products</t>
  </si>
  <si>
    <t>Air-pollution deaths avoided, 25-64</t>
  </si>
  <si>
    <t>Air-pollution deaths avoided, 65+</t>
  </si>
  <si>
    <t>Air-pollution deaths avoided, under 24</t>
  </si>
  <si>
    <t>Air-pollution deaths, baseline total</t>
  </si>
  <si>
    <t>der</t>
  </si>
  <si>
    <t>Carbon-tax receipts of the run, six fuels</t>
  </si>
  <si>
    <t>rebuild CV_revctax</t>
  </si>
  <si>
    <t>Deaths avoided of the run, all ages</t>
  </si>
  <si>
    <t>rebuild CV_deaths</t>
  </si>
  <si>
    <t>dGHG of the run (policy - baseline)</t>
  </si>
  <si>
    <t>dIPPU of the run</t>
  </si>
  <si>
    <t>CPAT proportional IPPU response</t>
  </si>
  <si>
    <t>dEnergy CO2 of the run</t>
  </si>
  <si>
    <t>dIndustry energy CO2 of the run</t>
  </si>
  <si>
    <t>dNet new revenue of the run</t>
  </si>
  <si>
    <t>C. Kernel series (active bundle; scenario 1 = baseline, 2 = policy)</t>
  </si>
  <si>
    <t>dEnergy CO2, kernel sectors</t>
  </si>
  <si>
    <t>Industry energy CO2, CPAT baseline (kernel's stored CPAT vintage)</t>
  </si>
  <si>
    <t>IPPU_Industry row 11</t>
  </si>
  <si>
    <t>Non-kernel industry energy CO2, baseline</t>
  </si>
  <si>
    <t>dIndustry energy CO2, kernel composition</t>
  </si>
  <si>
    <t>IPPU, kernel, baseline</t>
  </si>
  <si>
    <t>IPPU_Industry row 26</t>
  </si>
  <si>
    <t>IPPU, kernel, policy</t>
  </si>
  <si>
    <t>IPPU_Industry row 43</t>
  </si>
  <si>
    <t>dIPPU, kernel</t>
  </si>
  <si>
    <t>Block process emissions (np + no), baseline</t>
  </si>
  <si>
    <t>Mitigation_Industry o145 (block 1)</t>
  </si>
  <si>
    <t>Block emissions (fuel + process), baseline</t>
  </si>
  <si>
    <t>Mitigation_Industry o135 (block 1)</t>
  </si>
  <si>
    <t>Carbon price on energy CO2, active bundle</t>
  </si>
  <si>
    <t>Scenarios row 42</t>
  </si>
  <si>
    <t>Share of industry energy CO2 covered</t>
  </si>
  <si>
    <t>Scenarios row 45</t>
  </si>
  <si>
    <t>Block process revenue (np + no)</t>
  </si>
  <si>
    <t>Mitigation_Industry o138 / 1000</t>
  </si>
  <si>
    <t>Output-based rebate cost</t>
  </si>
  <si>
    <t>Rebate_Industry row 217 / 1000</t>
  </si>
  <si>
    <t>Abatement fund F</t>
  </si>
  <si>
    <t>Fund_Industry row 329 / 1000</t>
  </si>
  <si>
    <t>D. Table 2 columns per year, active bundle (composition in deltas; see Scenarios note and CAVEATS)</t>
  </si>
  <si>
    <t>decomp</t>
  </si>
  <si>
    <t>t2</t>
  </si>
  <si>
    <t>K component: IPPU replacement (dIPPU kernel - dIPPU CPAT)</t>
  </si>
  <si>
    <t>K component: industry energy replacement (dInd kernel - dInd CPAT)</t>
  </si>
  <si>
    <t>K</t>
  </si>
  <si>
    <t>[K] GHG reduction vs baseline = dGHG CPAT + IPPU + industry replacement</t>
  </si>
  <si>
    <t>J</t>
  </si>
  <si>
    <t>All sectors: CPAT energy CO2; Industry only: encov x kernel sectors</t>
  </si>
  <si>
    <t>L</t>
  </si>
  <si>
    <t>[L] Reduction, % of baseline GHG</t>
  </si>
  <si>
    <t>M</t>
  </si>
  <si>
    <t>[M] CBAM coverage</t>
  </si>
  <si>
    <t>block cbcov o39</t>
  </si>
  <si>
    <t>N</t>
  </si>
  <si>
    <t>[N] CBAM-sector intensity change</t>
  </si>
  <si>
    <t>block cbintch o41</t>
  </si>
  <si>
    <t>O</t>
  </si>
  <si>
    <t>[O] CBAM obligation change per t exported</t>
  </si>
  <si>
    <t>block cbobchu o127</t>
  </si>
  <si>
    <t>T</t>
  </si>
  <si>
    <t>[T] Block emissions change (emrt / baseline block emissions)</t>
  </si>
  <si>
    <t>block o83 / o135 (block 1)</t>
  </si>
  <si>
    <t>U</t>
  </si>
  <si>
    <t>[U] Block output change</t>
  </si>
  <si>
    <t>block cbqch o62</t>
  </si>
  <si>
    <t>P</t>
  </si>
  <si>
    <t>[P] Net revenue = gross - output-based rebates - abatement fund</t>
  </si>
  <si>
    <t>Q</t>
  </si>
  <si>
    <t>dEnergy CO2, kernel composition (CPAT run with kernel industry response)</t>
  </si>
  <si>
    <t>R</t>
  </si>
  <si>
    <t>[R] Deaths avoided, % of baseline deaths</t>
  </si>
  <si>
    <t>AR</t>
  </si>
  <si>
    <t>recycling: revenue use in section A</t>
  </si>
  <si>
    <t>E. Table 2 at the summary year: live row (active bundle) and stored snapshot of all bundles (2030)</t>
  </si>
  <si>
    <t>[J] Coverage, % of GHG</t>
  </si>
  <si>
    <t>[K] Reduction, MtCO2e</t>
  </si>
  <si>
    <t>[L] Reduction, % of GHG</t>
  </si>
  <si>
    <t>[M] CBAM coverage, %</t>
  </si>
  <si>
    <t>[N] CBAM intensity change, %</t>
  </si>
  <si>
    <t>[O] CBAM obligation per t exported, %</t>
  </si>
  <si>
    <t>[P] Net revenue, $bn</t>
  </si>
  <si>
    <t>[Q] Deaths avoided</t>
  </si>
  <si>
    <t>[R] Deaths avoided, % of baseline</t>
  </si>
  <si>
    <t>[T] Block emissions change, %</t>
  </si>
  <si>
    <t>[U] Block output change, %</t>
  </si>
  <si>
    <t>[AR] Net new revenue change, $bn</t>
  </si>
  <si>
    <t>K - rebuild K</t>
  </si>
  <si>
    <t>live</t>
  </si>
  <si>
    <t>stored</t>
  </si>
  <si>
    <t>Task M (v0.14): links to main CPAT and Table 2</t>
  </si>
  <si>
    <t>CPAT_National: baseline series (.1) identical across runs EG1-EG4</t>
  </si>
  <si>
    <t>LEGACY (run '-'): national-linked Table 2 columns J, K, P, Q, AR = 0</t>
  </si>
  <si>
    <t>K - (dGHG CPAT + IPPU replacement + industry replacement)</t>
  </si>
  <si>
    <t>Net revenue P &gt; gross revenue (count of years)</t>
  </si>
  <si>
    <t>Table 2 live row (summary year 2030) - stored snapshot row of the active bundle</t>
  </si>
  <si>
    <t>Max |identity| and violation counts (Task M)</t>
  </si>
  <si>
    <t>Info: 1A K kernel composition - rebuild K</t>
  </si>
  <si>
    <t>Info: 2A K kernel composition - rebuild K</t>
  </si>
  <si>
    <t>Info: 2B K kernel composition - rebuild K</t>
  </si>
  <si>
    <t>Info: 3A K kernel composition - rebuild K</t>
  </si>
  <si>
    <t>Info: 3B K kernel composition - rebuild K</t>
  </si>
  <si>
    <t>Info: 3C K kernel composition - rebuild K</t>
  </si>
  <si>
    <t>Task M (v0.14): sheets CPAT_National (CPAT runs EG1-EG4, stored) and Table2_Industry. Bundle -&gt; run mapping Table2_Industry D6:D12 (1A/2A EG1, 2B EG2, 3A-3C EG3, LEGACY '-'); energy scope column L of this sheet. K = dGHG CPAT + (dIPPU kernel - dIPPU CPAT) + (dInd kernel - dInd CPAT), deltas only (csv vintage differs from the stored xlsb values). Table 2 live row 102, stored 2030 snapshot rows 103-108.</t>
  </si>
  <si>
    <t>v0.14</t>
  </si>
  <si>
    <t>Task M: new sheets CPAT_National (CPAT national outputs of runs EG1-EG4 from the TASK-2b csv, stored) and Table2_Industry (bundle -&gt; run mapping; CPAT series of the mapped run; kernel series; Table 2 columns J K L M N O P Q R T U AR per year; live summary row + stored 2030 snapshot of all bundles vs rebuild v0.1 K). Composition in deltas: K = dGHG CPAT + IPPU replacement (Task G kernel IPPU) + industry energy replacement (kernel sectors + non-kernel industry scaled with the run for All sectors). P = gross (CPAT receipts adjusted / kernel sectors) + process revenue - rebates - fund. Q = CPAT deaths x dEnergy CO2 ratio. Check section row 1861. 2030 K: 1A -27.7, 2A -25.7, 2B -27.0, 3A -9.7, 3B -6.6, 3C -17.3. Regression vs v0.13: all prior sheets identical for every bundle (max |diff| 0); new sheets only.</t>
  </si>
  <si>
    <t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t>
  </si>
  <si>
    <t>v0.15 EF: Egypt CBAM EF v0.1 (egypt+mitigation/EmissionFactors/EGY_CBAM_EF_v0.1.xlsx Products; EGY_CBAM_EF_Methodology_v0.1.md). Prior: S1.np: Auth: IPCC 2006 2C1 — DRI process CO2 = 0 / S1.no: Auth: IPCC 2006 2C1</t>
  </si>
  <si>
    <t>v0.15 EF: Egypt CBAM EF v0.1 (egypt+mitigation/EmissionFactors/EGY_CBAM_EF_v0.1.xlsx Products; EGY_CBAM_EF_Methodology_v0.1.md). Prior: S1.fc: Est: IEA Egypt sector average; WSA 2023 scrap-EAF range 2-3 GJ/t. Tota / S1.fp: Auth: no reductant in scrap melting process</t>
  </si>
  <si>
    <t>v0.15 EF: Egypt CBAM EF v0.1 (egypt+mitigation/EmissionFactors/EGY_CBAM_EF_v0.1.xlsx Products; EGY_CBAM_EF_Methodology_v0.1.md). Prior: S1.np: Est: IPCC 2006 Vol2 2C1 default 0.01-0.02 tCO2/t for scrap-EAF / S1.no: Auth: IPCC 2006 2C1</t>
  </si>
  <si>
    <t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t>
  </si>
  <si>
    <t>v0.15 EF: Egypt CBAM EF v0.1 (egypt+mitigation/EmissionFactors/EGY_CBAM_EF_v0.1.xlsx Products; EGY_CBAM_EF_Methodology_v0.1.md). Prior: S1.np: Auth: IPCC 2006 Vol2 2C1 default 0.22-0.28 tCO2/t crude steel / S1.no: Auth: IPCC 2006 2C1</t>
  </si>
  <si>
    <t>v0.15 EF: Egypt CBAM EF v0.1 (egypt+mitigation/EmissionFactors/EGY_CBAM_EF_v0.1.xlsx Products; EGY_CBAM_EF_Methodology_v0.1.md). Prior: S1.fc: Est: IEA Egypt cement sector; CSI/GCCA GNR Egypt 2022. Total AukCoa / S1.fp: Auth: cement production has no chemical reductant fuel</t>
  </si>
  <si>
    <t>v0.15 EF: Egypt CBAM EF v0.1 (egypt+mitigation/EmissionFactors/EGY_CBAM_EF_v0.1.xlsx Products; EGY_CBAM_EF_Methodology_v0.1.md). Prior: S1.np: Auth: IPCC 2006 2A1 stoichiometric constant (44/100 × fraction CaCO3 i / S1.no: Auth</t>
  </si>
  <si>
    <t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t>
  </si>
  <si>
    <t>v0.15 EF: Egypt CBAM EF v0.1 (egypt+mitigation/EmissionFactors/EGY_CBAM_EF_v0.1.xlsx Products; EGY_CBAM_EF_Methodology_v0.1.md). Prior: S1.np: Auth: NH3 synthesis has no carbon process emissions / S1.no: Auth</t>
  </si>
  <si>
    <t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t>
  </si>
  <si>
    <t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</si>
  <si>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</si>
  <si>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t>
  </si>
  <si>
    <t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t>
  </si>
  <si>
    <t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t>
  </si>
  <si>
    <t>S:V memo (v0.15): implied GJ/t = S1 EF x 1000 / tCO2 per TJ (not read by formulas).</t>
  </si>
  <si>
    <t>n/a (no ERmax 0)</t>
  </si>
  <si>
    <t>Medium</t>
  </si>
  <si>
    <t>Low</t>
  </si>
  <si>
    <t>n/a (np ERmax 0): none: np = 0 (SMR feedstock CO2 is fp; CCS / blue lever not routed to fp - caveat)</t>
  </si>
  <si>
    <t>n/a (np ERmax 0): none: inherits ammonia (np = 0 under CBAM rule)</t>
  </si>
  <si>
    <t>n/a (np ERmax 0): -</t>
  </si>
  <si>
    <t>T1/T5 (v0.15): Egypt CBAM EF v0.1 and Task D semi-elasticities</t>
  </si>
  <si>
    <t>|diff| / count</t>
  </si>
  <si>
    <t>H30:K30 (DRI-EAF steel) = EGY_CBAM_EF_v0.1 Products D:G</t>
  </si>
  <si>
    <t>H31:K31 (Scrap-EAF steel) = EGY_CBAM_EF_v0.1 Products D:G</t>
  </si>
  <si>
    <t>H32:K32 (BF-BOF steel (reference)) = EGY_CBAM_EF_v0.1 Products D:G</t>
  </si>
  <si>
    <t>H33:K33 (Grey clinker (dry-process)) = EGY_CBAM_EF_v0.1 Products D:G</t>
  </si>
  <si>
    <t>H34:K34 (Ammonia (net merchant)) = EGY_CBAM_EF_v0.1 Products D:G</t>
  </si>
  <si>
    <t>H35:K35 (Urea) = EGY_CBAM_EF_v0.1 Products D:G</t>
  </si>
  <si>
    <t>H36:K36 (Ammonium nitrate) = EGY_CBAM_EF_v0.1 Products D:G</t>
  </si>
  <si>
    <t>H37:K37 (Primary aluminium) = EGY_CBAM_EF_v0.1 Products D:G</t>
  </si>
  <si>
    <t>M35 embedded NH3 = 1.12559</t>
  </si>
  <si>
    <t>M36 embedded NH3 = 0.8462122</t>
  </si>
  <si>
    <t>Task D applied: E50 = IPCC</t>
  </si>
  <si>
    <t>Max |identity| and violation counts (T1/T5)</t>
  </si>
  <si>
    <t>T1/T5 (v0.15): Manual inputs H30:K37 = Egypt CBAM EF v0.1 (urea np 0; AN no = integrated HNO3 N2O 0.9944); E50 = IPCC with Task D rows 53-60 (IPCC AR6 central ER at $100; AN blend 0.6179; Al 0.2164 np+no; ammonia / urea 0). Table 2 2030 snapshot refilled.</t>
  </si>
  <si>
    <t>v0.15</t>
  </si>
  <si>
    <t>T5: S1 emission factors H30:K37 = Egypt CBAM EF v0.1 (EGY_CBAM_EF_v0.1.xlsx; urea np 0 CBAM rule, M35 1.1256; AN no 0.9944 integrated HNO3 N2O, M36 0.8462); S:V memo restated. T1: Task D semi-elasticities applied (E50 IPCC; rows 53-60 ER at $100 = IPCC AR6 central, USD2019: DRI 0.3433, scrap 0.1810, BF 0.2803, clinker 0.3352, AN no 0.6179 (50 % abatement blend), Al 0.2164 np+no, ammonia/urea 0). Fuel ER (rows 40-47) and fund unchanged. Table 2 snapshot refilled; rebuild column = AdHoc rebuild v0.2. Check row 1881. 2030 K: 1A -29.8 (v0.14 -27.7), 2A -25.8 (v0.14 -25.7), 2B -27.1 (v0.14 -27.0), 3A -11.8 (v0.14 -9.7), 3B -8.6 (v0.14 -6.6), 3C -23.9 (v0.14 -17.3).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</si>
  <si>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H2/NG-DRI, scrap share, CCS on shaft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</si>
  <si>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electrode / carbon-input efficiency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</si>
  <si>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top-gas recycling, DRI substitution,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</si>
  <si>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clinker substitution (SCMs, LC3),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</si>
  <si>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tertiary N2O abatement in HNO3 (blend: unabated 0.7210 / abated 0.3292 at 50 % abated share, N2O-weighted)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</si>
  <si>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central, applied to np and no)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</si>
  <si>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central)</t>
  </si>
  <si>
    <t>Task D applied: ER(122) row 53 = 0.3433 +/- 1e-6 [P* 122, v0.16]</t>
  </si>
  <si>
    <t>Row 53: ER(P*) used = ER* (np 0.3433, no 0.0000) [P* 122, v0.16]</t>
  </si>
  <si>
    <t>Row 54: ER(P*) used = ER* (np 0.1810, no 0.0000) [P* 122, v0.16]</t>
  </si>
  <si>
    <t>Row 55: ER(P*) used = ER* (np 0.2803, no 0.0000) [P* 122, v0.16]</t>
  </si>
  <si>
    <t>Row 56: ER(P*) used = ER* (np 0.3352, no 0.0000) [P* 122, v0.16]</t>
  </si>
  <si>
    <t>Row 57: ER(P*) used = ER* (np 0.0000, no 0.0000) [P* 122, v0.16]</t>
  </si>
  <si>
    <t>Row 58: ER(P*) used = ER* (np 0.0000, no 0.0000) [P* 122, v0.16]</t>
  </si>
  <si>
    <t>Row 59: ER(P*) used = ER* (np 0.0000, no 0.6179) [P* 122, v0.16]</t>
  </si>
  <si>
    <t>Row 60: ER(P*) used = ER* (np 0.2164, no 0.2164) [P* 122, v0.16]</t>
  </si>
  <si>
    <t>kap</t>
  </si>
  <si>
    <t>kappa: share of industry energy CO2 priced by the run (Industry only: effective / headline price x energy CO2 / industry energy CO2; 1 for All sectors)</t>
  </si>
  <si>
    <t>v0.16 EG3 full-coverage approximation (D3)</t>
  </si>
  <si>
    <t>Energy CO2, kernel sectors, baseline: sum over sectors of max(block fuel CO2, CPAT sector energy CO2) (v0.16 reallocation; excess comes out of non-kernel industry)</t>
  </si>
  <si>
    <t>Energy CO2, kernel sectors, policy: sector policy CO2 where sector &gt;= block, else block baseline x sector response rate (block's own response where the sector has 0)</t>
  </si>
  <si>
    <t>IPPU_Industry C1 rows 51-67 (v0.16 D2)</t>
  </si>
  <si>
    <t>IPPU_Industry C2 rows 75-91 (v0.16 D2)</t>
  </si>
  <si>
    <t>dNon-kernel industry energy CO2 = nk1 x dInd CPAT / (Ind CPAT baseline x kappa) (v0.16: Industry-only runs scaled to full industry coverage)</t>
  </si>
  <si>
    <t>[J] Coverage, % of baseline GHG (All: energy CO2; Industry only: all industry energy CO2; + flag x block process)</t>
  </si>
  <si>
    <t>Gross carbon revenue (All: CPAT receipts adjusted to the kernel industry; Industry only: price x all industry energy CO2 incl. non-kernel at full coverage) + block process revenue</t>
  </si>
  <si>
    <t>[Q] Air-pollution deaths avoided (CPAT deaths / kappa x dEnergy CO2 kernel / CPAT dEnergy CO2 at full coverage, dE + (1/kappa - 1) dInd; kappa = 1 for All sectors)</t>
  </si>
  <si>
    <t>[AR] Net new revenue change (CPAT dRev - CPAT carbon-tax receipts / kappa + P)</t>
  </si>
  <si>
    <t>Industry replacement = dEnergy kernel sectors + dnk - dInd CPAT (v0.16: non-kernel industry priced at full coverage, kappa)</t>
  </si>
  <si>
    <t>Stored fixed point (v0.16, build_v0_16.py): R* = block revenue after the fund response (o155) solving R* = o155(phi x R*), per bundle, scenario 2</t>
  </si>
  <si>
    <t>bundle</t>
  </si>
  <si>
    <t>Post-fund block revenue R* (stored; refreshed by the builder; Check v0.16 flags a stale value)</t>
  </si>
  <si>
    <t>Abatement fund F = phi x R* (post-fund block revenue, fixed point; rows 427-433)</t>
  </si>
  <si>
    <t>Stored pre-Task-J values (v0.11 + Tasks F, I within the v0.12 build, computed per bundle by looping Settings!B10 before the Task J changes); key = v2:&lt;var&gt;:&lt;scenario&gt;:&lt;sector|tot&gt;:&lt;bundle&gt; [refilled by build_v0_16.py: phi = 0 per bundle, v0.16 inputs]</t>
  </si>
  <si>
    <t>Rebuild v0.3 K</t>
  </si>
  <si>
    <t>Information (not expected 0): 2030 K vs TASK-2b rebuild v0.3 (MtCO2e)</t>
  </si>
  <si>
    <t>v0.16: P* deflation, fuel-CO2 reallocation, EG3 kappa scaling, fund fixed point</t>
  </si>
  <si>
    <t>P* = 122 on every row with ERmax &gt; 0 (np E/F, no I/J; max abs)</t>
  </si>
  <si>
    <t>Fund fixed point: |phi x o155 - F| scenario 2, active bundle (USD million, max abs over years)</t>
  </si>
  <si>
    <t>Reallocated kernel energy CO2 ek1' below IPPU_Industry row 17 (count of years)</t>
  </si>
  <si>
    <t>Non-kernel industry energy CO2 nk1 &lt; 0 after reallocation (count of years)</t>
  </si>
  <si>
    <t>Industry total preserved: ek1' + nk1 - CPAT industry energy CO2 (max abs)</t>
  </si>
  <si>
    <t>kappa outside (0, 1] (count of years)</t>
  </si>
  <si>
    <t>Max |identity| and violation counts (v0.16)</t>
  </si>
  <si>
    <t>v0.16: P* 122 (USD2024); fuel-CO2 reallocation in the national composition (Table2 rows 59/60); EG3 full-coverage approximation via kappa (Table2 row 54); fund F = phi x post-fund block revenue (fixed point, Fund_Industry rows 427-433). Table 2 snapshot refilled.</t>
  </si>
  <si>
    <t>v0.16</t>
  </si>
  <si>
    <t>Final-results run 2. D1 Manual inputs rows 53-60 P* 100 -&gt; 122 (USD2019 100 in USD2024). D2 Table2 rows 59/60: kernel energy CO2 = max(block fuel CO2, CPAT sector) per sector, excess out of non-kernel industry (industry total unchanged). D3 Table2 row 54 kappa; Industry-only runs (EG3) scaled to full industry coverage (rows 64, 84, 91, 96; approximation). D4 Fund_Industry row 329 F = phi x R*, R* stored rows 427-433 (secant fixed point, iterations {'3C': 5}). Check row 1907. 2030 K: 1A -29.0, 2A -25.5, 2B -26.7, 3A -21.1, 3B -17.4, 3C -32.9.</t>
  </si>
  <si>
    <t>Stored rows written by build_v0_14.py, refilled by build_v0_16.py (2030, each bundle active in turn; Manual inputs at default). Rebuild v0.3 K: TASK-2b ad-hoc rebuild, MethodologyNote v0.3 (Mode REBUILD, Conv NOPHASE). Recycling effects: CPAT csv has no recycling outputs for the runs; reported as revenue use + AR only.</t>
  </si>
  <si>
    <t>Original CPAT run everywhere; CPAT's implied CBAM-block change (r x block) removed; block rebuilt from CPAT's fuel-intensity response (fuel per t), the kernel output response and, where process emissions are charged, the kernel process response. Each effect counted once.</t>
  </si>
  <si>
    <t>A. Inputs (active bundle, 2030)</t>
  </si>
  <si>
    <t>1A/2A = EG1, 2B = EG2, 3A-3C = EG3</t>
  </si>
  <si>
    <t>Process emissions charged (0/1)</t>
  </si>
  <si>
    <t>Output-based free allocation (0/1)</t>
  </si>
  <si>
    <t>3B: free allocation leaves no domestic-price credit against CBAM</t>
  </si>
  <si>
    <t>GHG0: CPAT total GHG incl. LULUCF, baseline</t>
  </si>
  <si>
    <t>ENR0: CPAT energy CO2, baseline</t>
  </si>
  <si>
    <t>IND0: CPAT industry energy CO2, baseline</t>
  </si>
  <si>
    <t>IND1: CPAT industry energy CO2, policy (run)</t>
  </si>
  <si>
    <t>kappa: share of industry energy CO2 priced by the run</t>
  </si>
  <si>
    <t>tau: carbon price, active bundle</t>
  </si>
  <si>
    <t>CBAM factor used (phase-in)</t>
  </si>
  <si>
    <t>s_int: efficiency share of CPAT's industry fuel response</t>
  </si>
  <si>
    <t>Methodology section 3</t>
  </si>
  <si>
    <t>Run for the fuel-intensity response</t>
  </si>
  <si>
    <t>EG3 prices only ~54% of industry; the block is fully priced at the same $20/t, so 3A-3C use EG1</t>
  </si>
  <si>
    <t>IND0 of that run</t>
  </si>
  <si>
    <t>IND1 of that run</t>
  </si>
  <si>
    <t>CPAT growth 2024-2030, iron &amp; steel energy CO2</t>
  </si>
  <si>
    <t>CPAT growth 2024-2030, cement energy CO2</t>
  </si>
  <si>
    <t>CPAT growth 2024-2030, total industry energy CO2</t>
  </si>
  <si>
    <t>CPAT has no mch / nfm energy for Egypt, so they follow total industry</t>
  </si>
  <si>
    <t>Kernel v0.16 O, NOPHASE convention (stored input, table G6:H12)</t>
  </si>
  <si>
    <t>v0.16 O NOPHASE, %</t>
  </si>
  <si>
    <t>B. Rates</t>
  </si>
  <si>
    <t>r: CPAT industry energy CO2 change of the run</t>
  </si>
  <si>
    <t>CPAT scales all industry, incl. IPPU, by r: r x block = CPAT's implied block change</t>
  </si>
  <si>
    <t>i_f: CPAT fuel-intensity response = (IND1/IND0)^s_int - 1</t>
  </si>
  <si>
    <t>O credit factor, FULL = (CBF x P_EU - tau)/(CBF x P_EU); 3B = 1</t>
  </si>
  <si>
    <t>O credit factor, NOPHASE memo = (P_EU - tau)/P_EU; 3B = 1</t>
  </si>
  <si>
    <t>C. CBAM block by sector, 2030 (MtCO2; output in kt; Mitigation_Industry scenario 1 = baseline, +399 = policy)</t>
  </si>
  <si>
    <t>Fuel row</t>
  </si>
  <si>
    <t>Process row</t>
  </si>
  <si>
    <t>Base 2024 fuel+proc</t>
  </si>
  <si>
    <t>Base fuel</t>
  </si>
  <si>
    <t>Base proc</t>
  </si>
  <si>
    <t>Policy fuel</t>
  </si>
  <si>
    <t>Policy proc</t>
  </si>
  <si>
    <t>Output base</t>
  </si>
  <si>
    <t>Output policy</t>
  </si>
  <si>
    <t>Output change u</t>
  </si>
  <si>
    <t>CPAT growth</t>
  </si>
  <si>
    <t>Kernel growth</t>
  </si>
  <si>
    <t>Growth factor f</t>
  </si>
  <si>
    <t>f x base fuel (Bf)</t>
  </si>
  <si>
    <t>f x base proc (Bp)</t>
  </si>
  <si>
    <t>f x (pol fuel x (1+i_f) - base fuel) (dF)</t>
  </si>
  <si>
    <t>f x (pol proc - base proc) (dP)</t>
  </si>
  <si>
    <t>e0 = base fuel+proc</t>
  </si>
  <si>
    <t>e1(i_f) = (pol fuel(1+i_f)+pol proc)/(1+u)</t>
  </si>
  <si>
    <t>e1(0)</t>
  </si>
  <si>
    <t>Mining &amp; chemicals: ammonia, urea, ammonium nitrate</t>
  </si>
  <si>
    <t>Iron &amp; steel</t>
  </si>
  <si>
    <t>Non-ferrous metals: primary aluminium</t>
  </si>
  <si>
    <t>Cement (non-metallic minerals)</t>
  </si>
  <si>
    <t>D. Carve-out</t>
  </si>
  <si>
    <t>Bf: block fuel CO2, baseline (growth-adjusted)</t>
  </si>
  <si>
    <t>Bp: block process CO2, baseline (growth-adjusted)</t>
  </si>
  <si>
    <t>dF: new block fuel change (output x CPAT fuel intensity)</t>
  </si>
  <si>
    <t>dP: new block process change (kernel)</t>
  </si>
  <si>
    <t>CPAT's implied block change = r x (Bf + Bp)</t>
  </si>
  <si>
    <t>adj_f = dF - r x Bf</t>
  </si>
  <si>
    <t>adj_p = dP - r x Bp</t>
  </si>
  <si>
    <t>dN: fuel-intensity term in CBAM intensity</t>
  </si>
  <si>
    <t>pts</t>
  </si>
  <si>
    <t>Check: kernel N rebuilt from this table - Table2 N</t>
  </si>
  <si>
    <t>small (&lt;0.2 pt): unscaled block, output rows</t>
  </si>
  <si>
    <t>CPAT dGHG of the run</t>
  </si>
  <si>
    <t>CPAT carbon-tax receipts of the run</t>
  </si>
  <si>
    <t>CPAT deaths avoided of the run</t>
  </si>
  <si>
    <t>CPAT dEnergy CO2 of the run</t>
  </si>
  <si>
    <t>Kernel block process revenue</t>
  </si>
  <si>
    <t>Kernel output-based rebate (3B)</t>
  </si>
  <si>
    <t>Kernel abatement fund (3C)</t>
  </si>
  <si>
    <t>Kernel N (CBAM intensity)</t>
  </si>
  <si>
    <t>Kernel O, FULL</t>
  </si>
  <si>
    <t>Kernel M (CBAM coverage)</t>
  </si>
  <si>
    <t>E. Table 2 columns, active bundle</t>
  </si>
  <si>
    <t>All sectors: energy CO2; Industry only: kappa x IND0; plus block process where charged</t>
  </si>
  <si>
    <t>[K] Emission cut, MtCO2e</t>
  </si>
  <si>
    <t>[L] Cut, % of GHG</t>
  </si>
  <si>
    <t>[N] CBAM intensity, %</t>
  </si>
  <si>
    <t>kernel N + dN</t>
  </si>
  <si>
    <t>kernel O FULL + credit x dN</t>
  </si>
  <si>
    <t>memo: [O] NOPHASE</t>
  </si>
  <si>
    <t>v0.16 NOPHASE O + credit x dN</t>
  </si>
  <si>
    <t>CBAM block emissions change, %</t>
  </si>
  <si>
    <t>Onp</t>
  </si>
  <si>
    <t>live - stored (active bundle)</t>
  </si>
  <si>
    <t>Max |live - stored| (&lt; 0.01 expected: kappa 0.537 rounded in the script)</t>
  </si>
  <si>
    <t>v0.17: CBAM carve-out (sheet CarveOut_Table2)</t>
  </si>
  <si>
    <t>Max |live - stored carve-out Table 2| (active bundle; n/a for LEGACY)</t>
  </si>
  <si>
    <t>Kernel N rebuilt from the carve-out block table - Table2 N (pts; &lt; 0.2 expected)</t>
  </si>
  <si>
    <t>FINAL Table 2 = CBAM carve-out v0.3 (sheet CarveOut_Table2): CPAT runs + block rebuilt; O on FULL. Section E above is the prototype (kernel-composition) Table 2, kept for reference.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</si>
  <si>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 v0.13: Task G section (row 1831). v0.14: Task M section (row 1861). v0.15: T1/T5 section (row 1881). v0.16: v0.16 section (row 1907). v0.17: carve-out section (row 1919).</t>
  </si>
  <si>
    <t>v0.17</t>
  </si>
  <si>
    <t>Final Table 2: sheet CarveOut_Table2 = CBAM carve-out v0.3 in live formulas (active bundle) + stored 6-bundle snapshot; O on FULL, NOPHASE memo. No other formulas changed. Check row 1919. 2030 K: 1A -37.4, 2A -33.1, 2B -34.8, 3A -22.8, 3B -19.1, 3C -33.0.</t>
  </si>
  <si>
    <t>v1.0</t>
  </si>
  <si>
    <t>Final release: v0.17 relabelled, no formula or value changes. Final Table 2 = sheet CarveOut_Table2 (CBAM carve-out). 2030 K: 1A -37.4, 2A -33.1, 2B -34.8, 3A -22.8, 3B -19.1, 3C -33.0.</t>
  </si>
  <si>
    <t>Set the bundle in Settings!B10 (1A, 2A, 2B, 3A, 3B, 3C). Year 2030 = column T of the source sheets. Green = hard input. Reference implementation: egypt+mitigation/Old/AdHocRebuild/make_carveout_v0_3.py; method: EGYPT_Methodology_v1.3 section 4.5.</t>
  </si>
  <si>
    <t>memo: O deduction-based, FULL (not Table 2 O; see M80:M85)</t>
  </si>
  <si>
    <t>O (Table 2, intensity-only)</t>
  </si>
  <si>
    <t>Column M: export-weighted change in embedded emissions per t (no deduction); from EGYPT_Table2_Final_CBAMcalc_v1.3</t>
  </si>
  <si>
    <t>CBAM product market data (Task T3, v1.4)</t>
  </si>
  <si>
    <t>2024 production, growth, EU exports and pre-policy price, entered once and linked from both scenario blocks of Mitigation_Industry (F:G, I of rows 276-283 / 675-682; G of rows 288-295 / 687-694). Values are the v0.7 ad hoc assumptions (Low confidence).</t>
  </si>
  <si>
    <t>2024 production (kt)</t>
  </si>
  <si>
    <t>Production growth (%/yr)</t>
  </si>
  <si>
    <t>2024 total exports (kt) - placeholder, not linked</t>
  </si>
  <si>
    <t>2024 EU exports (kt)</t>
  </si>
  <si>
    <t>Codes</t>
  </si>
  <si>
    <t>egy.in.prod.stl.drg | egy.in.prodg.stl.drg | egy.in.expeu.stl.drg | all.in.ppx.stl.drg.---</t>
  </si>
  <si>
    <t>v0.7 ad hoc assumption (EgyptResultsInitial / AdHocCalculations), unsourced. Replace with CAPMAS / UN Comtrade (CN codes in Mitigation_Industry rows 288-295 labels).</t>
  </si>
  <si>
    <t>egy.in.prod.stl.scr | egy.in.prodg.stl.scr | egy.in.expeu.stl.scr | all.in.ppx.stl.scr.---</t>
  </si>
  <si>
    <t>egy.in.prod.stl.bof | egy.in.prodg.stl.bof | egy.in.expeu.stl.bof | all.in.ppx.stl.bof.---</t>
  </si>
  <si>
    <t>egy.in.prod.cmt.dry | egy.in.prodg.cmt.dry | egy.in.expeu.cmt.dry | all.in.ppx.cmt.dry.---</t>
  </si>
  <si>
    <t>egy.in.prod.frt.amc | egy.in.prodg.frt.amc | egy.in.expeu.frt.amc | all.in.ppx.frt.amc.---</t>
  </si>
  <si>
    <t>egy.in.prod.frt.ure | egy.in.prodg.frt.ure | egy.in.expeu.frt.ure | all.in.ppx.frt.ure.---</t>
  </si>
  <si>
    <t>egy.in.prod.frt.nit | egy.in.prodg.frt.nit | egy.in.expeu.frt.nit | all.in.ppx.frt.nit.---</t>
  </si>
  <si>
    <t>egy.in.prod.alu.prp | egy.in.prodg.alu.prp | egy.in.expeu.alu.prp | all.in.ppx.alu.prp.---</t>
  </si>
  <si>
    <t>v1.4: CBAM market data moved to Manual inputs (Task T3)</t>
  </si>
  <si>
    <t>T3: numeric literals left in Mitigation_Industry F:G, I rows 276-283 / 675-682 and G rows 288-295 / 687-694 (count; expected 0)</t>
  </si>
  <si>
    <t>v1.4</t>
  </si>
  <si>
    <t>2026-10-04</t>
  </si>
  <si>
    <t>T3: CBAM 2024 production, growth, EU exports and pre-policy prices moved from Mitigation_Industry (both blocks) to Manual inputs rows 98-108 and linked. No value changes: max abs difference over all pre-existing cells = 0. Check row 1924 (literal count, expected 0).</t>
  </si>
  <si>
    <t>Final Table 2 conventions (v1.5)</t>
  </si>
  <si>
    <t>3B output-based rebate also covers non-CBAM covered industry (1 = all covered industry; 0 = CBAM block only)</t>
  </si>
  <si>
    <t>Decision 2026-10-04 (CAVEATS): rebate to all covered industry; same switch as ThetaOther in the AdHoc rebuild. Used by CarveOut_Table2 section G (3B only).</t>
  </si>
  <si>
    <t>egy.in.thetao.---</t>
  </si>
  <si>
    <t>CBAM obligation conventions (rows 76-82) stay a memo: FULL = 2030 phase-in (CBAM factor 0.485), NOPHASE = no phase-in (factor 1). Table 2 row O is the CBAM-product intensity change and does not depend on them.</t>
  </si>
  <si>
    <t>G. 3B rebate of all covered industry (decision 2026-10-04; switch 'Manual inputs'!E112); 0 for other scenarios</t>
  </si>
  <si>
    <t>Active (3B and switch = 1)</t>
  </si>
  <si>
    <t>dIPPU of the run (CPAT)</t>
  </si>
  <si>
    <t>NB: CPAT response of non-block industry (fuel + proportional IPPU) = dInd + dIPPU - r x (Bf + Bp)</t>
  </si>
  <si>
    <t>D_nb: output share removed = -(1 - s_int) x NB (added to K)</t>
  </si>
  <si>
    <t>D_nb_f: fuel part of D_nb = -(1 - s_int) x (dInd - r x Bf) (added to the energy-CO2 adjustment for deaths)</t>
  </si>
  <si>
    <t>Rebate to non-block covered industry = tau x (kappa x IND1 - block post-policy fuel CO2) / 1000 (deducted from P)</t>
  </si>
  <si>
    <t>CPAT dGHG + adj_f + adj_p (+ D_nb, 3B)</t>
  </si>
  <si>
    <t>CPAT receipts + tau x adj_f + process fees - rebate - fund (- rebate to non-block industry, 3B)</t>
  </si>
  <si>
    <t>CPAT deaths x (dEnergy + adj_f (+ D_nb_f, 3B))/dEnergy</t>
  </si>
  <si>
    <t>Table 2 (2030), final v1.5: CPAT results with a CBAM carve-out. Live for the active scenario. Table 2 O = intensity-only (stored in M80:M85; live in EGYPT_Table2_Final_CBAMcalc_v1.3.xlsx); rows 71-72 are deduction-based memos</t>
  </si>
  <si>
    <t>Not re-solved: the 3C fund and the 3B rebate to the block are kernel values (block fuel-payment change &lt; $0.05bn); the 3B rebate to non-block industry is section G</t>
  </si>
  <si>
    <t>F. Stored 2030 snapshot, all bundles (make_carveout_v0_4.py; row 84 (3B) refreshed in v1.5 from the live sheet; = EGYPT_CarveOut_Table2_v1.5)</t>
  </si>
  <si>
    <t>Table 2 (2030), final v1.5: confirmation of the final numbers in one workbook</t>
  </si>
  <si>
    <t>Section A is the final Table 2 (stored 2030 snapshot of CarveOut_Table2, which is computed line by line from CPAT runs and this kernel's CBAM block). B is the figure printed in the final documents. C is the difference at the printed precision (must be 0). D is the deduction-based obligation memo. E recomputes row O live for the scenario active in Settings!B10.</t>
  </si>
  <si>
    <t>A. Final Table 2, 2030 (stored snapshot of CarveOut_Table2, rows 80-85)</t>
  </si>
  <si>
    <t>Metric</t>
  </si>
  <si>
    <t>J  Coverage of national GHG</t>
  </si>
  <si>
    <t>P  Carbon revenue</t>
  </si>
  <si>
    <t>USD bn</t>
  </si>
  <si>
    <t>K  Emission cut vs baseline</t>
  </si>
  <si>
    <t>L  Cut, % of national GHG</t>
  </si>
  <si>
    <t>M  CBAM coverage</t>
  </si>
  <si>
    <t>N  CBAM-sector emission intensity change</t>
  </si>
  <si>
    <t>O  CBAM obligations (CBAM-product intensity change, no deduction)</t>
  </si>
  <si>
    <t>T  CBAM block emissions change</t>
  </si>
  <si>
    <t>Q  Premature deaths avoided</t>
  </si>
  <si>
    <t>CarveOut_Table2 stored snapshot (live-vs-stored checked below and on Check)</t>
  </si>
  <si>
    <t>B. As printed in the final documents (typed): EGYPT_CarveOut_Table2_v1.5, results text v1.5 Table 2</t>
  </si>
  <si>
    <t>C. Difference at printed precision: ROUND(A, dp) - B (must be 0)</t>
  </si>
  <si>
    <t>dp = 0</t>
  </si>
  <si>
    <t>dp = 1</t>
  </si>
  <si>
    <t>Mismatches (count of non-zero differences; expected 0)</t>
  </si>
  <si>
    <t>D. Memo, not Table 2: obligation net of the Egyptian carbon price (deduction-based, Task L), stored snapshot</t>
  </si>
  <si>
    <t>Obligation, 2030 phase-in (FULL: CBAM factor 0.485)</t>
  </si>
  <si>
    <t>Obligation, no phase-in (NOPHASE: CBAM factor 1)</t>
  </si>
  <si>
    <t>Row O of Table 2 is the CBAM-product intensity change (section A); the EU price and phase-in cancel out, so it does not depend on these conventions.</t>
  </si>
  <si>
    <t>E. Live recomputation of row O for the active scenario (Settings!B10 = bundle)</t>
  </si>
  <si>
    <t>EU exports 2024 (kt)</t>
  </si>
  <si>
    <t>Output 2030 (kt)</t>
  </si>
  <si>
    <t>Baseline fuel EI (t/t)</t>
  </si>
  <si>
    <t>Baseline process EI (t/t)</t>
  </si>
  <si>
    <t>Extra fuel abatement (t/t)</t>
  </si>
  <si>
    <t>Policy process EI (t/t)</t>
  </si>
  <si>
    <t>Baseline EI</t>
  </si>
  <si>
    <t>Policy EI</t>
  </si>
  <si>
    <t>X x baseline EI</t>
  </si>
  <si>
    <t>X x policy EI</t>
  </si>
  <si>
    <t>O live = 100 x (sum X x policy EI / sum X x baseline EI - 1)</t>
  </si>
  <si>
    <t>O stored (active scenario)</t>
  </si>
  <si>
    <t>Live - stored (stored value is rounded to 2 decimals; |diff| &lt; 0.02 expected)</t>
  </si>
  <si>
    <t>v1.5: final Table 2 confirmation (sheet Table2_Final) and 3B rebate decision</t>
  </si>
  <si>
    <t>Table2_Final: figures printed in the final documents differ from the workbook (count; expected 0)</t>
  </si>
  <si>
    <t>Table2_Final: live row O - stored row O, active scenario (n/a for LEGACY; |diff| &lt; 0.02 expected)</t>
  </si>
  <si>
    <t>CarveOut_Table2: max |live - stored|, active scenario (n/a for LEGACY; &lt; 0.01 expected)</t>
  </si>
  <si>
    <t>3B rebate switch 'Manual inputs'!E112 (1 = all covered industry)</t>
  </si>
  <si>
    <t>CPAT industry kernel - Egypt, final v1.5</t>
  </si>
  <si>
    <t>v1.5</t>
  </si>
  <si>
    <t>3B rebate to all covered industry (Manual inputs E112; CarveOut_Table2 section G rows 92-98; K, P, Q for 3B only). New sheet Table2_Final: final Table 2, figures as printed in the documents, differences (count 0), obligation memo, live row O. Max abs diff over all other pre-existing cells = 0. Check row 1928. v1.1-v1.3 were relabels of the Egypt deliverable set (no kernel change).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</si>
</sst>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  <numFmt numFmtId="179" formatCode="#,##0.000"/>
  </numFmts>
  <fonts count="27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169" fontId="21" fillId="12" borderId="0" xfId="0" applyNumberFormat="1" applyFont="1" applyFill="1"/>
    <xf numFmtId="0" fontId="21" fillId="12" borderId="0" xfId="0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3" fillId="12" borderId="0" xfId="0" applyFont="1" applyFill="1"/>
    <xf numFmtId="165" fontId="23" fillId="0" borderId="0" xfId="0" applyNumberFormat="1" applyFont="1"/>
    <xf numFmtId="166" fontId="22" fillId="0" borderId="0" xfId="0" applyNumberFormat="1" applyFont="1"/>
    <xf numFmtId="166" fontId="0" fillId="0" borderId="0" xfId="0" applyNumberFormat="1"/>
    <xf numFmtId="179" fontId="22" fillId="7" borderId="0" xfId="0" applyNumberFormat="1" applyFont="1" applyFill="1"/>
    <xf numFmtId="0" fontId="22" fillId="13" borderId="0" xfId="0" applyFont="1" applyFill="1"/>
    <xf numFmtId="0" fontId="22" fillId="0" borderId="0" xfId="0" quotePrefix="1" applyFont="1"/>
    <xf numFmtId="179" fontId="2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2" fontId="22" fillId="0" borderId="0" xfId="0" applyNumberFormat="1" applyFont="1"/>
    <xf numFmtId="170" fontId="23" fillId="0" borderId="0" xfId="0" applyNumberFormat="1" applyFont="1"/>
    <xf numFmtId="2" fontId="23" fillId="0" borderId="0" xfId="0" applyNumberFormat="1" applyFont="1"/>
    <xf numFmtId="3" fontId="23" fillId="0" borderId="0" xfId="0" applyNumberFormat="1" applyFont="1"/>
    <xf numFmtId="170" fontId="22" fillId="7" borderId="0" xfId="0" applyNumberFormat="1" applyFont="1" applyFill="1"/>
    <xf numFmtId="2" fontId="22" fillId="7" borderId="0" xfId="0" applyNumberFormat="1" applyFont="1" applyFill="1"/>
    <xf numFmtId="3" fontId="22" fillId="7" borderId="0" xfId="0" applyNumberFormat="1" applyFont="1" applyFill="1"/>
    <xf numFmtId="1" fontId="18" fillId="7" borderId="0" xfId="0" applyNumberFormat="1" applyFont="1" applyFill="1"/>
    <xf numFmtId="2" fontId="0" fillId="14" borderId="0" xfId="0" applyNumberFormat="1" applyFill="1" applyAlignment="1">
      <alignment horizontal="right"/>
    </xf>
    <xf numFmtId="0" fontId="25" fillId="0" borderId="0" xfId="0" applyFont="1"/>
    <xf numFmtId="49" fontId="0" fillId="0" borderId="0" xfId="0" applyNumberFormat="1"/>
    <xf numFmtId="166" fontId="0" fillId="7" borderId="0" xfId="0" applyNumberFormat="1" applyFill="1"/>
    <xf numFmtId="0" fontId="17" fillId="0" borderId="0" xfId="0" applyFont="1" applyAlignment="1">
      <alignment wrapText="1"/>
    </xf>
    <xf numFmtId="1" fontId="0" fillId="14" borderId="0" xfId="0" applyNumberFormat="1" applyFill="1"/>
    <xf numFmtId="170" fontId="0" fillId="0" borderId="0" xfId="0" applyNumberFormat="1"/>
    <xf numFmtId="170" fontId="0" fillId="14" borderId="0" xfId="0" applyNumberFormat="1" applyFill="1"/>
    <xf numFmtId="14" fontId="0" fillId="0" borderId="0" xfId="0" quotePrefix="1" applyNumberFormat="1"/>
    <xf numFmtId="3" fontId="18" fillId="13" borderId="0" xfId="0" applyNumberFormat="1" applyFont="1" applyFill="1"/>
    <xf numFmtId="0" fontId="18" fillId="14" borderId="0" xfId="0" applyFont="1" applyFill="1"/>
    <xf numFmtId="3" fontId="21" fillId="13" borderId="0" xfId="0" applyNumberFormat="1" applyFont="1" applyFill="1"/>
    <xf numFmtId="175" fontId="21" fillId="13" borderId="0" xfId="0" applyNumberFormat="1" applyFont="1" applyFill="1"/>
    <xf numFmtId="0" fontId="0" fillId="13" borderId="0" xfId="0" applyFill="1"/>
    <xf numFmtId="0" fontId="26" fillId="0" borderId="0" xfId="0" applyFont="1"/>
    <xf numFmtId="0" fontId="17" fillId="5" borderId="0" xfId="0" applyFont="1" applyFill="1"/>
    <xf numFmtId="3" fontId="0" fillId="13" borderId="0" xfId="0" applyNumberFormat="1" applyFill="1"/>
    <xf numFmtId="170" fontId="0" fillId="13" borderId="0" xfId="0" applyNumberFormat="1" applyFill="1"/>
    <xf numFmtId="3" fontId="0" fillId="14" borderId="0" xfId="0" applyNumberFormat="1" applyFill="1"/>
    <xf numFmtId="43" fontId="0" fillId="13" borderId="0" xfId="0" applyNumberFormat="1" applyFill="1"/>
    <xf numFmtId="165" fontId="0" fillId="13" borderId="0" xfId="0" applyNumberFormat="1" applyFill="1"/>
    <xf numFmtId="166" fontId="0" fillId="14" borderId="0" xfId="0" applyNumberForma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18" zoomScaleNormal="100" workbookViewId="0">
      <selection activeCell="A47" sqref="A47:XFD47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3875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1816</v>
      </c>
      <c r="B10" s="43" t="s">
        <v>1737</v>
      </c>
      <c r="C10" t="s">
        <v>1817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1696</v>
      </c>
      <c r="C17" t="s">
        <v>1697</v>
      </c>
    </row>
    <row r="18" spans="1:3" x14ac:dyDescent="0.45">
      <c r="A18" s="2" t="s">
        <v>1772</v>
      </c>
      <c r="C18" t="s">
        <v>1818</v>
      </c>
    </row>
    <row r="19" spans="1:3" x14ac:dyDescent="0.45">
      <c r="A19" s="5" t="s">
        <v>21</v>
      </c>
      <c r="C19" s="3" t="s">
        <v>1698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1819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3784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1699</v>
      </c>
      <c r="C30" t="s">
        <v>1700</v>
      </c>
    </row>
    <row r="31" spans="1:3" x14ac:dyDescent="0.45">
      <c r="A31" t="s">
        <v>1820</v>
      </c>
      <c r="B31" s="92" t="s">
        <v>1821</v>
      </c>
      <c r="C31" t="s">
        <v>1822</v>
      </c>
    </row>
    <row r="32" spans="1:3" x14ac:dyDescent="0.45">
      <c r="A32" t="s">
        <v>1866</v>
      </c>
      <c r="B32" s="92" t="s">
        <v>1821</v>
      </c>
      <c r="C32" t="s">
        <v>1867</v>
      </c>
    </row>
    <row r="33" spans="1:3" x14ac:dyDescent="0.45">
      <c r="A33" t="s">
        <v>1895</v>
      </c>
      <c r="B33" s="92" t="s">
        <v>1821</v>
      </c>
      <c r="C33" t="s">
        <v>1896</v>
      </c>
    </row>
    <row r="34" spans="1:3" x14ac:dyDescent="0.45">
      <c r="A34" t="s">
        <v>1908</v>
      </c>
      <c r="B34" s="92" t="s">
        <v>1821</v>
      </c>
      <c r="C34" t="s">
        <v>1909</v>
      </c>
    </row>
    <row r="35" spans="1:3" x14ac:dyDescent="0.45">
      <c r="A35" t="s">
        <v>1925</v>
      </c>
      <c r="B35" s="92" t="s">
        <v>1821</v>
      </c>
      <c r="C35" t="s">
        <v>1926</v>
      </c>
    </row>
    <row r="36" spans="1:3" x14ac:dyDescent="0.45">
      <c r="A36" t="s">
        <v>1967</v>
      </c>
      <c r="B36" s="92" t="s">
        <v>1821</v>
      </c>
      <c r="C36" t="s">
        <v>1968</v>
      </c>
    </row>
    <row r="37" spans="1:3" x14ac:dyDescent="0.45">
      <c r="A37" t="s">
        <v>1996</v>
      </c>
      <c r="B37" s="92" t="s">
        <v>1821</v>
      </c>
      <c r="C37" t="s">
        <v>1997</v>
      </c>
    </row>
    <row r="38" spans="1:3" x14ac:dyDescent="0.45">
      <c r="A38" t="s">
        <v>2026</v>
      </c>
      <c r="B38" s="92" t="s">
        <v>1821</v>
      </c>
      <c r="C38" t="s">
        <v>2027</v>
      </c>
    </row>
    <row r="39" spans="1:3" x14ac:dyDescent="0.45">
      <c r="A39" t="s">
        <v>3106</v>
      </c>
      <c r="B39" s="92" t="s">
        <v>1821</v>
      </c>
      <c r="C39" t="s">
        <v>3107</v>
      </c>
    </row>
    <row r="40" spans="1:3" x14ac:dyDescent="0.45">
      <c r="A40" t="s">
        <v>3253</v>
      </c>
      <c r="B40" s="92" t="s">
        <v>1821</v>
      </c>
      <c r="C40" t="s">
        <v>3254</v>
      </c>
    </row>
    <row r="41" spans="1:3" x14ac:dyDescent="0.45">
      <c r="A41" t="s">
        <v>3599</v>
      </c>
      <c r="B41" s="92" t="s">
        <v>1821</v>
      </c>
      <c r="C41" t="s">
        <v>3600</v>
      </c>
    </row>
    <row r="42" spans="1:3" x14ac:dyDescent="0.45">
      <c r="A42" t="s">
        <v>3639</v>
      </c>
      <c r="B42" s="92" t="s">
        <v>1821</v>
      </c>
      <c r="C42" t="s">
        <v>3640</v>
      </c>
    </row>
    <row r="43" spans="1:3" x14ac:dyDescent="0.45">
      <c r="A43" t="s">
        <v>3686</v>
      </c>
      <c r="B43" s="92" t="s">
        <v>1821</v>
      </c>
      <c r="C43" t="s">
        <v>3687</v>
      </c>
    </row>
    <row r="44" spans="1:3" x14ac:dyDescent="0.45">
      <c r="A44" t="s">
        <v>3785</v>
      </c>
      <c r="B44" s="92" t="s">
        <v>1821</v>
      </c>
      <c r="C44" t="s">
        <v>3786</v>
      </c>
    </row>
    <row r="45" spans="1:3" x14ac:dyDescent="0.45">
      <c r="A45" t="s">
        <v>3787</v>
      </c>
      <c r="B45" s="171">
        <v>46299</v>
      </c>
      <c r="C45" t="s">
        <v>3788</v>
      </c>
    </row>
    <row r="46" spans="1:3" x14ac:dyDescent="0.45">
      <c r="A46" t="s">
        <v>3811</v>
      </c>
      <c r="B46" s="171" t="s">
        <v>3812</v>
      </c>
      <c r="C46" t="s">
        <v>3813</v>
      </c>
    </row>
    <row r="47" spans="1:3" x14ac:dyDescent="0.45">
      <c r="A47" t="s">
        <v>3876</v>
      </c>
      <c r="B47" s="171" t="s">
        <v>3812</v>
      </c>
      <c r="C47" s="185" t="s">
        <v>3877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113"/>
  <sheetViews>
    <sheetView topLeftCell="A66" workbookViewId="0">
      <selection activeCell="A95" sqref="A95:XFD95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1847</v>
      </c>
      <c r="E21" s="90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7" spans="1:31" x14ac:dyDescent="0.35">
      <c r="S27" s="53" t="s">
        <v>3617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0.17797725</v>
      </c>
      <c r="I30" s="65">
        <v>0.39301352000000001</v>
      </c>
      <c r="J30" s="65">
        <v>3.7901020000000001E-2</v>
      </c>
      <c r="K30" s="65">
        <v>0</v>
      </c>
      <c r="L30" s="59">
        <f t="shared" ref="L30:L37" si="0">SUM(H30:K30)</f>
        <v>0.60889178999999993</v>
      </c>
      <c r="M30" s="65">
        <v>0</v>
      </c>
      <c r="N30" s="59">
        <f t="shared" ref="N30:N37" si="1">L30+M30</f>
        <v>0.60889178999999993</v>
      </c>
      <c r="O30" s="65">
        <v>0.25</v>
      </c>
      <c r="P30" s="66">
        <v>0</v>
      </c>
      <c r="Q30" s="59">
        <f t="shared" ref="Q30:Q37" si="2">N30+O30</f>
        <v>0.85889178999999993</v>
      </c>
      <c r="R30" s="60">
        <f t="shared" ref="R30:R37" si="3">N30+O30*P30</f>
        <v>0.60889178999999993</v>
      </c>
      <c r="S30" s="67">
        <v>3.1720000000000002</v>
      </c>
      <c r="T30" s="67">
        <v>56.1</v>
      </c>
      <c r="U30" s="67">
        <v>7.0060000000000002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-1.3931082100000003</v>
      </c>
      <c r="AB30" s="61">
        <f t="shared" ref="AB30:AB37" si="6">R30-Z30</f>
        <v>0.12789178999999995</v>
      </c>
      <c r="AC30" s="53" t="s">
        <v>1354</v>
      </c>
      <c r="AD30" s="56" t="s">
        <v>3601</v>
      </c>
      <c r="AE30" s="56" t="s">
        <v>3602</v>
      </c>
    </row>
    <row r="31" spans="1:31" ht="13.15" x14ac:dyDescent="0.4">
      <c r="D31" s="56" t="s">
        <v>1355</v>
      </c>
      <c r="E31" s="53" t="s">
        <v>1351</v>
      </c>
      <c r="F31" s="53" t="s">
        <v>1356</v>
      </c>
      <c r="G31" s="53" t="s">
        <v>1357</v>
      </c>
      <c r="H31" s="65">
        <v>4.4880000000000003E-2</v>
      </c>
      <c r="I31" s="65">
        <v>0</v>
      </c>
      <c r="J31" s="65">
        <v>4.3981149999999997E-2</v>
      </c>
      <c r="K31" s="65">
        <v>0</v>
      </c>
      <c r="L31" s="59">
        <f t="shared" si="0"/>
        <v>8.886115E-2</v>
      </c>
      <c r="M31" s="65">
        <v>0</v>
      </c>
      <c r="N31" s="59">
        <f t="shared" si="1"/>
        <v>8.886115E-2</v>
      </c>
      <c r="O31" s="65">
        <v>0.25</v>
      </c>
      <c r="P31" s="66">
        <v>0</v>
      </c>
      <c r="Q31" s="59">
        <f t="shared" si="2"/>
        <v>0.33886115</v>
      </c>
      <c r="R31" s="60">
        <f t="shared" si="3"/>
        <v>8.886115E-2</v>
      </c>
      <c r="S31" s="67">
        <v>0.8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-0.70313884999999998</v>
      </c>
      <c r="AB31" s="61">
        <f t="shared" si="6"/>
        <v>1.6861150000000005E-2</v>
      </c>
      <c r="AC31" s="53" t="s">
        <v>1358</v>
      </c>
      <c r="AD31" s="56" t="s">
        <v>3603</v>
      </c>
      <c r="AE31" s="56" t="s">
        <v>3604</v>
      </c>
    </row>
    <row r="32" spans="1:31" ht="13.15" x14ac:dyDescent="0.4">
      <c r="D32" s="56" t="s">
        <v>1359</v>
      </c>
      <c r="E32" s="53" t="s">
        <v>1351</v>
      </c>
      <c r="F32" s="53" t="s">
        <v>1360</v>
      </c>
      <c r="G32" s="53" t="s">
        <v>1361</v>
      </c>
      <c r="H32" s="65">
        <v>0.16830000000000001</v>
      </c>
      <c r="I32" s="65">
        <v>1.2566802699999999</v>
      </c>
      <c r="J32" s="65">
        <v>5.276542E-2</v>
      </c>
      <c r="K32" s="65">
        <v>0</v>
      </c>
      <c r="L32" s="59">
        <f t="shared" si="0"/>
        <v>1.4777456899999999</v>
      </c>
      <c r="M32" s="65">
        <v>0</v>
      </c>
      <c r="N32" s="59">
        <f t="shared" si="1"/>
        <v>1.4777456899999999</v>
      </c>
      <c r="O32" s="65">
        <v>0.1875</v>
      </c>
      <c r="P32" s="66">
        <v>0</v>
      </c>
      <c r="Q32" s="59">
        <f t="shared" si="2"/>
        <v>1.6652456899999999</v>
      </c>
      <c r="R32" s="60">
        <f t="shared" si="3"/>
        <v>1.4777456899999999</v>
      </c>
      <c r="S32" s="67">
        <v>1.7509999999999999</v>
      </c>
      <c r="T32" s="67">
        <v>96.1</v>
      </c>
      <c r="U32" s="67">
        <v>13.077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-1.6022543100000002</v>
      </c>
      <c r="AB32" s="61">
        <f t="shared" si="6"/>
        <v>0.10774568999999978</v>
      </c>
      <c r="AC32" s="53" t="s">
        <v>1362</v>
      </c>
      <c r="AD32" s="56" t="s">
        <v>3605</v>
      </c>
      <c r="AE32" s="56" t="s">
        <v>3606</v>
      </c>
    </row>
    <row r="33" spans="1:31" ht="13.15" x14ac:dyDescent="0.4">
      <c r="D33" s="56" t="s">
        <v>1363</v>
      </c>
      <c r="E33" s="53" t="s">
        <v>1364</v>
      </c>
      <c r="F33" s="53" t="s">
        <v>1365</v>
      </c>
      <c r="G33" s="53" t="s">
        <v>1366</v>
      </c>
      <c r="H33" s="65">
        <v>0.31356849999999997</v>
      </c>
      <c r="I33" s="65">
        <v>0</v>
      </c>
      <c r="J33" s="65">
        <v>0.53702616000000003</v>
      </c>
      <c r="K33" s="65">
        <v>0</v>
      </c>
      <c r="L33" s="59">
        <f t="shared" si="0"/>
        <v>0.85059466000000006</v>
      </c>
      <c r="M33" s="65">
        <v>0</v>
      </c>
      <c r="N33" s="59">
        <f t="shared" si="1"/>
        <v>0.85059466000000006</v>
      </c>
      <c r="O33" s="65">
        <v>5.6250000000000001E-2</v>
      </c>
      <c r="P33" s="66">
        <v>1</v>
      </c>
      <c r="Q33" s="59">
        <f t="shared" si="2"/>
        <v>0.90684466000000008</v>
      </c>
      <c r="R33" s="60">
        <f t="shared" si="3"/>
        <v>0.90684466000000008</v>
      </c>
      <c r="S33" s="67">
        <v>3.2629999999999999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-0.83115534000000013</v>
      </c>
      <c r="AB33" s="61">
        <f t="shared" si="6"/>
        <v>0.24084466000000004</v>
      </c>
      <c r="AC33" s="53" t="s">
        <v>1367</v>
      </c>
      <c r="AD33" s="56" t="s">
        <v>3607</v>
      </c>
      <c r="AE33" s="56" t="s">
        <v>3608</v>
      </c>
    </row>
    <row r="34" spans="1:31" ht="13.15" x14ac:dyDescent="0.4">
      <c r="D34" s="56" t="s">
        <v>1368</v>
      </c>
      <c r="E34" s="53" t="s">
        <v>1369</v>
      </c>
      <c r="F34" s="53" t="s">
        <v>1370</v>
      </c>
      <c r="G34" s="53" t="s">
        <v>1371</v>
      </c>
      <c r="H34" s="65">
        <v>0.71247000000000005</v>
      </c>
      <c r="I34" s="65">
        <v>1.2622500000000001</v>
      </c>
      <c r="J34" s="65">
        <v>0</v>
      </c>
      <c r="K34" s="65">
        <v>0</v>
      </c>
      <c r="L34" s="59">
        <f t="shared" si="0"/>
        <v>1.97472</v>
      </c>
      <c r="M34" s="65">
        <v>0</v>
      </c>
      <c r="N34" s="59">
        <f t="shared" si="1"/>
        <v>1.97472</v>
      </c>
      <c r="O34" s="65">
        <v>3.7499999999999999E-2</v>
      </c>
      <c r="P34" s="66">
        <v>1</v>
      </c>
      <c r="Q34" s="59">
        <f t="shared" si="2"/>
        <v>2.0122200000000001</v>
      </c>
      <c r="R34" s="60">
        <f t="shared" si="3"/>
        <v>2.0122200000000001</v>
      </c>
      <c r="S34" s="67">
        <v>12.7</v>
      </c>
      <c r="T34" s="67">
        <v>56.1</v>
      </c>
      <c r="U34" s="67">
        <v>22.5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-5.8279999999999887E-2</v>
      </c>
      <c r="AB34" s="61">
        <f t="shared" si="6"/>
        <v>0.52822000000000013</v>
      </c>
      <c r="AC34" s="53" t="s">
        <v>1372</v>
      </c>
      <c r="AD34" s="56" t="s">
        <v>3609</v>
      </c>
      <c r="AE34" s="56" t="s">
        <v>3610</v>
      </c>
    </row>
    <row r="35" spans="1:31" ht="13.15" x14ac:dyDescent="0.4">
      <c r="D35" s="56" t="s">
        <v>1373</v>
      </c>
      <c r="E35" s="53" t="s">
        <v>1374</v>
      </c>
      <c r="F35" s="53" t="s">
        <v>1375</v>
      </c>
      <c r="G35" s="53" t="s">
        <v>1376</v>
      </c>
      <c r="H35" s="65">
        <v>0.11219999999999999</v>
      </c>
      <c r="I35" s="65">
        <v>0</v>
      </c>
      <c r="J35" s="65">
        <v>0</v>
      </c>
      <c r="K35" s="65">
        <v>0</v>
      </c>
      <c r="L35" s="59">
        <f t="shared" si="0"/>
        <v>0.11219999999999999</v>
      </c>
      <c r="M35" s="65">
        <v>1.1255904000000001</v>
      </c>
      <c r="N35" s="59">
        <f t="shared" si="1"/>
        <v>1.2377904000000002</v>
      </c>
      <c r="O35" s="65">
        <v>3.7499999999999999E-2</v>
      </c>
      <c r="P35" s="66">
        <v>1</v>
      </c>
      <c r="Q35" s="59">
        <f t="shared" si="2"/>
        <v>1.2752904000000003</v>
      </c>
      <c r="R35" s="60">
        <f t="shared" si="3"/>
        <v>1.2752904000000003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-0.12860959999999966</v>
      </c>
      <c r="AB35" s="61">
        <f t="shared" si="6"/>
        <v>0.37329040000000024</v>
      </c>
      <c r="AC35" s="53" t="s">
        <v>1377</v>
      </c>
      <c r="AD35" s="56" t="s">
        <v>3611</v>
      </c>
      <c r="AE35" s="56" t="s">
        <v>3612</v>
      </c>
    </row>
    <row r="36" spans="1:31" ht="13.15" x14ac:dyDescent="0.4">
      <c r="D36" s="56" t="s">
        <v>1378</v>
      </c>
      <c r="E36" s="53" t="s">
        <v>1379</v>
      </c>
      <c r="F36" s="53" t="s">
        <v>1380</v>
      </c>
      <c r="G36" s="53" t="s">
        <v>1381</v>
      </c>
      <c r="H36" s="65">
        <v>0.11219999999999999</v>
      </c>
      <c r="I36" s="65">
        <v>0</v>
      </c>
      <c r="J36" s="65">
        <v>0</v>
      </c>
      <c r="K36" s="65">
        <v>0.99441250000000003</v>
      </c>
      <c r="L36" s="59">
        <f t="shared" si="0"/>
        <v>1.1066125</v>
      </c>
      <c r="M36" s="65">
        <v>0.84621219999999997</v>
      </c>
      <c r="N36" s="59">
        <f t="shared" si="1"/>
        <v>1.9528246999999999</v>
      </c>
      <c r="O36" s="65">
        <v>4.3749999999999997E-2</v>
      </c>
      <c r="P36" s="66">
        <v>1</v>
      </c>
      <c r="Q36" s="59">
        <f t="shared" si="2"/>
        <v>1.9965746999999998</v>
      </c>
      <c r="R36" s="60">
        <f t="shared" si="3"/>
        <v>1.9965746999999998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-0.66982530000000051</v>
      </c>
      <c r="AB36" s="61">
        <f t="shared" si="6"/>
        <v>1.6945746999999998</v>
      </c>
      <c r="AC36" s="53" t="s">
        <v>1382</v>
      </c>
      <c r="AD36" s="56" t="s">
        <v>3613</v>
      </c>
      <c r="AE36" s="56" t="s">
        <v>3614</v>
      </c>
    </row>
    <row r="37" spans="1:31" ht="13.15" x14ac:dyDescent="0.4">
      <c r="D37" s="56" t="s">
        <v>1383</v>
      </c>
      <c r="E37" s="53" t="s">
        <v>1384</v>
      </c>
      <c r="F37" s="53" t="s">
        <v>1385</v>
      </c>
      <c r="G37" s="53" t="s">
        <v>1386</v>
      </c>
      <c r="H37" s="65">
        <v>0.12342</v>
      </c>
      <c r="I37" s="65">
        <v>0</v>
      </c>
      <c r="J37" s="65">
        <v>1.6234930400000001</v>
      </c>
      <c r="K37" s="65">
        <v>0.77400000000000002</v>
      </c>
      <c r="L37" s="59">
        <f t="shared" si="0"/>
        <v>2.5209130399999999</v>
      </c>
      <c r="M37" s="65">
        <v>0</v>
      </c>
      <c r="N37" s="59">
        <f t="shared" si="1"/>
        <v>2.5209130399999999</v>
      </c>
      <c r="O37" s="65">
        <v>6.75</v>
      </c>
      <c r="P37" s="66">
        <v>0</v>
      </c>
      <c r="Q37" s="59">
        <f t="shared" si="2"/>
        <v>9.2709130399999999</v>
      </c>
      <c r="R37" s="60">
        <f t="shared" si="3"/>
        <v>2.5209130399999999</v>
      </c>
      <c r="S37" s="67">
        <v>1.5820000000000001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0.25491303999999948</v>
      </c>
      <c r="AB37" s="61">
        <f t="shared" si="6"/>
        <v>1.0979130399999999</v>
      </c>
      <c r="AC37" s="53" t="s">
        <v>1387</v>
      </c>
      <c r="AD37" s="56" t="s">
        <v>3615</v>
      </c>
      <c r="AE37" s="56" t="s">
        <v>3616</v>
      </c>
    </row>
    <row r="38" spans="1:31" ht="13.15" x14ac:dyDescent="0.4">
      <c r="A38" s="56"/>
      <c r="B38" s="56" t="s">
        <v>1927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1388</v>
      </c>
      <c r="E39" s="56" t="s">
        <v>1389</v>
      </c>
      <c r="F39" s="53" t="s">
        <v>1390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1355</v>
      </c>
      <c r="E41" s="69">
        <v>2.0202707317519501E-4</v>
      </c>
      <c r="F41" s="68">
        <v>0.02</v>
      </c>
    </row>
    <row r="42" spans="1:31" ht="13.15" x14ac:dyDescent="0.4">
      <c r="D42" s="56" t="s">
        <v>1391</v>
      </c>
      <c r="E42" s="69">
        <v>5.1293294387550598E-4</v>
      </c>
      <c r="F42" s="68">
        <v>0.05</v>
      </c>
    </row>
    <row r="43" spans="1:31" ht="13.15" x14ac:dyDescent="0.4">
      <c r="D43" s="56" t="s">
        <v>1392</v>
      </c>
      <c r="E43" s="69">
        <v>8.3381608939051E-4</v>
      </c>
      <c r="F43" s="68">
        <v>0.08</v>
      </c>
    </row>
    <row r="44" spans="1:31" ht="13.15" x14ac:dyDescent="0.4">
      <c r="D44" s="56" t="s">
        <v>1393</v>
      </c>
      <c r="E44" s="69">
        <v>1.98450938723838E-3</v>
      </c>
      <c r="F44" s="68">
        <v>0.18</v>
      </c>
    </row>
    <row r="45" spans="1:31" ht="13.15" x14ac:dyDescent="0.4">
      <c r="D45" s="56" t="s">
        <v>1373</v>
      </c>
      <c r="E45" s="69">
        <v>0</v>
      </c>
      <c r="F45" s="68">
        <v>0</v>
      </c>
    </row>
    <row r="46" spans="1:31" ht="13.15" x14ac:dyDescent="0.4">
      <c r="D46" s="56" t="s">
        <v>1394</v>
      </c>
      <c r="E46" s="69">
        <v>1.04982212449868E-2</v>
      </c>
      <c r="F46" s="68">
        <v>0.65</v>
      </c>
    </row>
    <row r="47" spans="1:31" ht="13.15" x14ac:dyDescent="0.4">
      <c r="D47" s="56" t="s">
        <v>1383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1928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1929</v>
      </c>
      <c r="E50" s="90" t="s">
        <v>1930</v>
      </c>
      <c r="F50" s="53" t="s">
        <v>1931</v>
      </c>
    </row>
    <row r="51" spans="1:31" x14ac:dyDescent="0.35">
      <c r="D51" s="53" t="s">
        <v>1932</v>
      </c>
    </row>
    <row r="52" spans="1:31" ht="38.65" x14ac:dyDescent="0.4">
      <c r="D52" s="58" t="s">
        <v>1323</v>
      </c>
      <c r="E52" s="58" t="s">
        <v>1933</v>
      </c>
      <c r="F52" s="99" t="s">
        <v>1934</v>
      </c>
      <c r="G52" s="99" t="s">
        <v>1935</v>
      </c>
      <c r="H52" s="99" t="s">
        <v>1936</v>
      </c>
      <c r="I52" s="99" t="s">
        <v>1937</v>
      </c>
      <c r="J52" s="99" t="s">
        <v>1938</v>
      </c>
      <c r="K52" s="99" t="s">
        <v>1939</v>
      </c>
      <c r="L52" s="99" t="s">
        <v>1940</v>
      </c>
      <c r="M52" s="99" t="s">
        <v>1941</v>
      </c>
      <c r="N52" s="99" t="s">
        <v>1942</v>
      </c>
      <c r="O52" s="99" t="s">
        <v>1943</v>
      </c>
      <c r="P52" s="99" t="s">
        <v>1944</v>
      </c>
      <c r="Q52" s="99" t="s">
        <v>1945</v>
      </c>
      <c r="R52" s="99" t="s">
        <v>1946</v>
      </c>
      <c r="S52" s="99" t="s">
        <v>1947</v>
      </c>
      <c r="T52" s="104" t="s">
        <v>1948</v>
      </c>
      <c r="U52" s="104" t="s">
        <v>1949</v>
      </c>
      <c r="V52" s="104" t="s">
        <v>1950</v>
      </c>
      <c r="W52" s="104" t="s">
        <v>1951</v>
      </c>
    </row>
    <row r="53" spans="1:31" ht="13.15" x14ac:dyDescent="0.4">
      <c r="D53" s="56" t="s">
        <v>1350</v>
      </c>
      <c r="E53" s="68">
        <v>1</v>
      </c>
      <c r="F53" s="162">
        <v>122</v>
      </c>
      <c r="G53" s="68">
        <v>0.34329999999999999</v>
      </c>
      <c r="H53" s="102">
        <f t="shared" ref="H53:H60" si="7">IF(OR(E53=0,G53=0),0,-LN(1-G53/E53)/F53)</f>
        <v>3.4469507031574592E-3</v>
      </c>
      <c r="I53" s="68">
        <v>0</v>
      </c>
      <c r="J53" s="162">
        <v>122</v>
      </c>
      <c r="K53" s="68">
        <v>0</v>
      </c>
      <c r="L53" s="102">
        <f t="shared" ref="L53:L60" si="8">IF(OR(I53=0,K53=0),0,-LN(1-K53/I53)/J53)</f>
        <v>0</v>
      </c>
      <c r="M53" s="103">
        <f t="shared" ref="M53:M60" si="9">E53*H53</f>
        <v>3.4469507031574592E-3</v>
      </c>
      <c r="N53" s="103">
        <f t="shared" ref="N53:N60" si="10">I53*L53</f>
        <v>0</v>
      </c>
      <c r="O53" s="100">
        <f t="shared" ref="O53:O60" si="11">E53*(1-EXP(-H53*20))</f>
        <v>6.6616398384136577E-2</v>
      </c>
      <c r="P53" s="100">
        <f t="shared" ref="P53:P60" si="12">I53*(1-EXP(-L53*20))</f>
        <v>0</v>
      </c>
      <c r="Q53" s="62" t="s">
        <v>3641</v>
      </c>
      <c r="R53" s="62" t="s">
        <v>3618</v>
      </c>
      <c r="S53" s="62" t="s">
        <v>3619</v>
      </c>
      <c r="T53" s="105">
        <f>IF($E$50="ADHOC",$E$40,H53)</f>
        <v>3.4469507031574592E-3</v>
      </c>
      <c r="U53" s="106">
        <f t="shared" ref="U53:U60" si="13">IF($E$50="ADHOC",1,E53)</f>
        <v>1</v>
      </c>
      <c r="V53" s="105">
        <f>IF($E$50="ADHOC",$E$40,L53)</f>
        <v>0</v>
      </c>
      <c r="W53" s="106">
        <f t="shared" ref="W53:W60" si="14">IF($E$50="ADHOC",1,I53)</f>
        <v>0</v>
      </c>
    </row>
    <row r="54" spans="1:31" ht="13.15" x14ac:dyDescent="0.4">
      <c r="D54" s="56" t="s">
        <v>1355</v>
      </c>
      <c r="E54" s="68">
        <v>1</v>
      </c>
      <c r="F54" s="162">
        <v>122</v>
      </c>
      <c r="G54" s="68">
        <v>0.18099999999999999</v>
      </c>
      <c r="H54" s="102">
        <f t="shared" si="7"/>
        <v>1.6366491404021942E-3</v>
      </c>
      <c r="I54" s="68">
        <v>0</v>
      </c>
      <c r="J54" s="162">
        <v>122</v>
      </c>
      <c r="K54" s="68">
        <v>0</v>
      </c>
      <c r="L54" s="102">
        <f t="shared" si="8"/>
        <v>0</v>
      </c>
      <c r="M54" s="103">
        <f t="shared" si="9"/>
        <v>1.6366491404021942E-3</v>
      </c>
      <c r="N54" s="103">
        <f t="shared" si="10"/>
        <v>0</v>
      </c>
      <c r="O54" s="100">
        <f t="shared" si="11"/>
        <v>3.2203056486737491E-2</v>
      </c>
      <c r="P54" s="100">
        <f t="shared" si="12"/>
        <v>0</v>
      </c>
      <c r="Q54" s="62" t="s">
        <v>3642</v>
      </c>
      <c r="R54" s="62" t="s">
        <v>3618</v>
      </c>
      <c r="S54" s="62" t="s">
        <v>3620</v>
      </c>
      <c r="T54" s="105">
        <f>IF($E$50="ADHOC",$E$41,H54)</f>
        <v>1.6366491404021942E-3</v>
      </c>
      <c r="U54" s="106">
        <f t="shared" si="13"/>
        <v>1</v>
      </c>
      <c r="V54" s="105">
        <f>IF($E$50="ADHOC",$E$41,L54)</f>
        <v>0</v>
      </c>
      <c r="W54" s="106">
        <f t="shared" si="14"/>
        <v>0</v>
      </c>
    </row>
    <row r="55" spans="1:31" ht="13.15" x14ac:dyDescent="0.4">
      <c r="D55" s="56" t="s">
        <v>1359</v>
      </c>
      <c r="E55" s="68">
        <v>1</v>
      </c>
      <c r="F55" s="162">
        <v>122</v>
      </c>
      <c r="G55" s="68">
        <v>0.28029999999999999</v>
      </c>
      <c r="H55" s="102">
        <f t="shared" si="7"/>
        <v>2.6960722989211347E-3</v>
      </c>
      <c r="I55" s="68">
        <v>0</v>
      </c>
      <c r="J55" s="162">
        <v>122</v>
      </c>
      <c r="K55" s="68">
        <v>0</v>
      </c>
      <c r="L55" s="102">
        <f t="shared" si="8"/>
        <v>0</v>
      </c>
      <c r="M55" s="103">
        <f t="shared" si="9"/>
        <v>2.6960722989211347E-3</v>
      </c>
      <c r="N55" s="103">
        <f t="shared" si="10"/>
        <v>0</v>
      </c>
      <c r="O55" s="100">
        <f t="shared" si="11"/>
        <v>5.2493465972812126E-2</v>
      </c>
      <c r="P55" s="100">
        <f t="shared" si="12"/>
        <v>0</v>
      </c>
      <c r="Q55" s="62" t="s">
        <v>3643</v>
      </c>
      <c r="R55" s="62" t="s">
        <v>3618</v>
      </c>
      <c r="S55" s="62" t="s">
        <v>3619</v>
      </c>
      <c r="T55" s="105">
        <f>IF($E$50="ADHOC",$E$42,H55)</f>
        <v>2.6960722989211347E-3</v>
      </c>
      <c r="U55" s="106">
        <f t="shared" si="13"/>
        <v>1</v>
      </c>
      <c r="V55" s="105">
        <f>IF($E$50="ADHOC",$E$42,L55)</f>
        <v>0</v>
      </c>
      <c r="W55" s="106">
        <f t="shared" si="14"/>
        <v>0</v>
      </c>
    </row>
    <row r="56" spans="1:31" ht="13.15" x14ac:dyDescent="0.4">
      <c r="D56" s="56" t="s">
        <v>1363</v>
      </c>
      <c r="E56" s="68">
        <v>1</v>
      </c>
      <c r="F56" s="162">
        <v>122</v>
      </c>
      <c r="G56" s="68">
        <v>0.3352</v>
      </c>
      <c r="H56" s="102">
        <f t="shared" si="7"/>
        <v>3.3464675036139224E-3</v>
      </c>
      <c r="I56" s="68">
        <v>0</v>
      </c>
      <c r="J56" s="162">
        <v>122</v>
      </c>
      <c r="K56" s="68">
        <v>0</v>
      </c>
      <c r="L56" s="102">
        <f t="shared" si="8"/>
        <v>0</v>
      </c>
      <c r="M56" s="103">
        <f t="shared" si="9"/>
        <v>3.3464675036139224E-3</v>
      </c>
      <c r="N56" s="103">
        <f t="shared" si="10"/>
        <v>0</v>
      </c>
      <c r="O56" s="100">
        <f t="shared" si="11"/>
        <v>6.473872485581611E-2</v>
      </c>
      <c r="P56" s="100">
        <f t="shared" si="12"/>
        <v>0</v>
      </c>
      <c r="Q56" s="62" t="s">
        <v>3644</v>
      </c>
      <c r="R56" s="62" t="s">
        <v>3618</v>
      </c>
      <c r="S56" s="62" t="s">
        <v>3619</v>
      </c>
      <c r="T56" s="105">
        <f>IF($E$50="ADHOC",$E$43,H56)</f>
        <v>3.3464675036139224E-3</v>
      </c>
      <c r="U56" s="106">
        <f t="shared" si="13"/>
        <v>1</v>
      </c>
      <c r="V56" s="105">
        <f>IF($E$50="ADHOC",$E$43,L56)</f>
        <v>0</v>
      </c>
      <c r="W56" s="106">
        <f t="shared" si="14"/>
        <v>0</v>
      </c>
    </row>
    <row r="57" spans="1:31" ht="13.15" x14ac:dyDescent="0.4">
      <c r="D57" s="56" t="s">
        <v>1368</v>
      </c>
      <c r="E57" s="68">
        <v>0</v>
      </c>
      <c r="F57" s="162">
        <v>122</v>
      </c>
      <c r="G57" s="68">
        <v>0</v>
      </c>
      <c r="H57" s="102">
        <f t="shared" si="7"/>
        <v>0</v>
      </c>
      <c r="I57" s="68">
        <v>0</v>
      </c>
      <c r="J57" s="162">
        <v>122</v>
      </c>
      <c r="K57" s="68">
        <v>0</v>
      </c>
      <c r="L57" s="102">
        <f t="shared" si="8"/>
        <v>0</v>
      </c>
      <c r="M57" s="103">
        <f t="shared" si="9"/>
        <v>0</v>
      </c>
      <c r="N57" s="103">
        <f t="shared" si="10"/>
        <v>0</v>
      </c>
      <c r="O57" s="100">
        <f t="shared" si="11"/>
        <v>0</v>
      </c>
      <c r="P57" s="100">
        <f t="shared" si="12"/>
        <v>0</v>
      </c>
      <c r="Q57" s="62" t="s">
        <v>3621</v>
      </c>
      <c r="R57" s="62" t="s">
        <v>3618</v>
      </c>
      <c r="S57" s="62" t="s">
        <v>3620</v>
      </c>
      <c r="T57" s="105">
        <f>IF($E$50="ADHOC",$E$44,H57)</f>
        <v>0</v>
      </c>
      <c r="U57" s="106">
        <f t="shared" si="13"/>
        <v>0</v>
      </c>
      <c r="V57" s="105">
        <f>IF($E$50="ADHOC",$E$44,L57)</f>
        <v>0</v>
      </c>
      <c r="W57" s="106">
        <f t="shared" si="14"/>
        <v>0</v>
      </c>
    </row>
    <row r="58" spans="1:31" ht="13.15" x14ac:dyDescent="0.4">
      <c r="D58" s="56" t="s">
        <v>1373</v>
      </c>
      <c r="E58" s="68">
        <v>0</v>
      </c>
      <c r="F58" s="162">
        <v>122</v>
      </c>
      <c r="G58" s="68">
        <v>0</v>
      </c>
      <c r="H58" s="102">
        <f t="shared" si="7"/>
        <v>0</v>
      </c>
      <c r="I58" s="68">
        <v>0</v>
      </c>
      <c r="J58" s="162">
        <v>122</v>
      </c>
      <c r="K58" s="68">
        <v>0</v>
      </c>
      <c r="L58" s="102">
        <f t="shared" si="8"/>
        <v>0</v>
      </c>
      <c r="M58" s="103">
        <f t="shared" si="9"/>
        <v>0</v>
      </c>
      <c r="N58" s="103">
        <f t="shared" si="10"/>
        <v>0</v>
      </c>
      <c r="O58" s="100">
        <f t="shared" si="11"/>
        <v>0</v>
      </c>
      <c r="P58" s="100">
        <f t="shared" si="12"/>
        <v>0</v>
      </c>
      <c r="Q58" s="62" t="s">
        <v>3622</v>
      </c>
      <c r="R58" s="62" t="s">
        <v>3618</v>
      </c>
      <c r="S58" s="62" t="s">
        <v>3620</v>
      </c>
      <c r="T58" s="105">
        <f>IF($E$50="ADHOC",$E$45,H58)</f>
        <v>0</v>
      </c>
      <c r="U58" s="106">
        <f t="shared" si="13"/>
        <v>0</v>
      </c>
      <c r="V58" s="105">
        <f>IF($E$50="ADHOC",$E$45,L58)</f>
        <v>0</v>
      </c>
      <c r="W58" s="106">
        <f t="shared" si="14"/>
        <v>0</v>
      </c>
    </row>
    <row r="59" spans="1:31" ht="13.15" x14ac:dyDescent="0.4">
      <c r="D59" s="56" t="s">
        <v>1378</v>
      </c>
      <c r="E59" s="68">
        <v>0</v>
      </c>
      <c r="F59" s="162">
        <v>122</v>
      </c>
      <c r="G59" s="68">
        <v>0</v>
      </c>
      <c r="H59" s="102">
        <f t="shared" si="7"/>
        <v>0</v>
      </c>
      <c r="I59" s="68">
        <v>1</v>
      </c>
      <c r="J59" s="162">
        <v>122</v>
      </c>
      <c r="K59" s="68">
        <v>0.6179</v>
      </c>
      <c r="L59" s="102">
        <f t="shared" si="8"/>
        <v>7.8858436436826454E-3</v>
      </c>
      <c r="M59" s="103">
        <f t="shared" si="9"/>
        <v>0</v>
      </c>
      <c r="N59" s="103">
        <f t="shared" si="10"/>
        <v>7.8858436436826454E-3</v>
      </c>
      <c r="O59" s="100">
        <f t="shared" si="11"/>
        <v>0</v>
      </c>
      <c r="P59" s="100">
        <f t="shared" si="12"/>
        <v>0.14590843577047419</v>
      </c>
      <c r="Q59" s="62" t="s">
        <v>3623</v>
      </c>
      <c r="R59" s="62" t="s">
        <v>3645</v>
      </c>
      <c r="S59" s="62" t="s">
        <v>3619</v>
      </c>
      <c r="T59" s="105">
        <f>IF($E$50="ADHOC",$E$46,H59)</f>
        <v>0</v>
      </c>
      <c r="U59" s="106">
        <f t="shared" si="13"/>
        <v>0</v>
      </c>
      <c r="V59" s="105">
        <f>IF($E$50="ADHOC",$E$46,L59)</f>
        <v>7.8858436436826454E-3</v>
      </c>
      <c r="W59" s="106">
        <f t="shared" si="14"/>
        <v>1</v>
      </c>
    </row>
    <row r="60" spans="1:31" ht="13.15" x14ac:dyDescent="0.4">
      <c r="D60" s="56" t="s">
        <v>1383</v>
      </c>
      <c r="E60" s="68">
        <v>1</v>
      </c>
      <c r="F60" s="162">
        <v>122</v>
      </c>
      <c r="G60" s="68">
        <v>0.21640000000000001</v>
      </c>
      <c r="H60" s="102">
        <f t="shared" si="7"/>
        <v>1.9988245320635362E-3</v>
      </c>
      <c r="I60" s="68">
        <v>1</v>
      </c>
      <c r="J60" s="162">
        <v>122</v>
      </c>
      <c r="K60" s="68">
        <v>0.21640000000000001</v>
      </c>
      <c r="L60" s="102">
        <f t="shared" si="8"/>
        <v>1.9988245320635362E-3</v>
      </c>
      <c r="M60" s="103">
        <f t="shared" si="9"/>
        <v>1.9988245320635362E-3</v>
      </c>
      <c r="N60" s="103">
        <f t="shared" si="10"/>
        <v>1.9988245320635362E-3</v>
      </c>
      <c r="O60" s="100">
        <f t="shared" si="11"/>
        <v>3.9187973038577018E-2</v>
      </c>
      <c r="P60" s="100">
        <f t="shared" si="12"/>
        <v>3.9187973038577018E-2</v>
      </c>
      <c r="Q60" s="62" t="s">
        <v>3646</v>
      </c>
      <c r="R60" s="62" t="s">
        <v>3647</v>
      </c>
      <c r="S60" s="62" t="s">
        <v>3620</v>
      </c>
      <c r="T60" s="105">
        <f>IF($E$50="ADHOC",$E$47,H60)</f>
        <v>1.9988245320635362E-3</v>
      </c>
      <c r="U60" s="106">
        <f t="shared" si="13"/>
        <v>1</v>
      </c>
      <c r="V60" s="105">
        <f>IF($E$50="ADHOC",$E$47,L60)</f>
        <v>1.9988245320635362E-3</v>
      </c>
      <c r="W60" s="106">
        <f t="shared" si="14"/>
        <v>1</v>
      </c>
    </row>
    <row r="62" spans="1:31" ht="13.15" x14ac:dyDescent="0.4">
      <c r="A62" s="56"/>
      <c r="B62" s="56" t="s">
        <v>1969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1970</v>
      </c>
      <c r="E63" s="90" t="s">
        <v>1971</v>
      </c>
      <c r="F63" s="53" t="s">
        <v>1972</v>
      </c>
    </row>
    <row r="64" spans="1:31" x14ac:dyDescent="0.35">
      <c r="D64" s="53" t="s">
        <v>1973</v>
      </c>
    </row>
    <row r="65" spans="1:31" ht="13.15" x14ac:dyDescent="0.4">
      <c r="D65" s="58" t="s">
        <v>1323</v>
      </c>
      <c r="E65" s="58" t="s">
        <v>1974</v>
      </c>
      <c r="F65" s="99" t="s">
        <v>1975</v>
      </c>
      <c r="G65" s="99" t="s">
        <v>1947</v>
      </c>
      <c r="H65" s="99"/>
      <c r="I65" s="99"/>
      <c r="J65" s="99"/>
      <c r="K65" s="104" t="s">
        <v>1976</v>
      </c>
    </row>
    <row r="66" spans="1:31" ht="13.15" x14ac:dyDescent="0.4">
      <c r="D66" s="56" t="s">
        <v>1350</v>
      </c>
      <c r="E66" s="107">
        <v>-0.5</v>
      </c>
      <c r="F66" s="100" t="s">
        <v>1977</v>
      </c>
      <c r="G66" s="53" t="s">
        <v>1952</v>
      </c>
      <c r="K66" s="108">
        <f>IF(AND($E$63="ON",Settings!$B$10&lt;&gt;"LEGACY"),E66,0)</f>
        <v>0</v>
      </c>
    </row>
    <row r="67" spans="1:31" ht="13.15" x14ac:dyDescent="0.4">
      <c r="D67" s="56" t="s">
        <v>1355</v>
      </c>
      <c r="E67" s="107">
        <v>-0.5</v>
      </c>
      <c r="F67" s="100" t="s">
        <v>1977</v>
      </c>
      <c r="G67" s="53" t="s">
        <v>1952</v>
      </c>
      <c r="K67" s="108">
        <f>IF(AND($E$63="ON",Settings!$B$10&lt;&gt;"LEGACY"),E67,0)</f>
        <v>0</v>
      </c>
    </row>
    <row r="68" spans="1:31" ht="13.15" x14ac:dyDescent="0.4">
      <c r="D68" s="56" t="s">
        <v>1359</v>
      </c>
      <c r="E68" s="107">
        <v>-0.5</v>
      </c>
      <c r="F68" s="100" t="s">
        <v>1977</v>
      </c>
      <c r="G68" s="53" t="s">
        <v>1952</v>
      </c>
      <c r="K68" s="108">
        <f>IF(AND($E$63="ON",Settings!$B$10&lt;&gt;"LEGACY"),E68,0)</f>
        <v>0</v>
      </c>
    </row>
    <row r="69" spans="1:31" ht="13.15" x14ac:dyDescent="0.4">
      <c r="D69" s="56" t="s">
        <v>1363</v>
      </c>
      <c r="E69" s="107">
        <v>-0.5</v>
      </c>
      <c r="F69" s="100" t="s">
        <v>1977</v>
      </c>
      <c r="G69" s="53" t="s">
        <v>1952</v>
      </c>
      <c r="K69" s="108">
        <f>IF(AND($E$63="ON",Settings!$B$10&lt;&gt;"LEGACY"),E69,0)</f>
        <v>0</v>
      </c>
    </row>
    <row r="70" spans="1:31" ht="13.15" x14ac:dyDescent="0.4">
      <c r="D70" s="56" t="s">
        <v>1368</v>
      </c>
      <c r="E70" s="107">
        <v>-0.5</v>
      </c>
      <c r="F70" s="100" t="s">
        <v>1977</v>
      </c>
      <c r="G70" s="53" t="s">
        <v>1952</v>
      </c>
      <c r="K70" s="108">
        <f>IF(AND($E$63="ON",Settings!$B$10&lt;&gt;"LEGACY"),E70,0)</f>
        <v>0</v>
      </c>
    </row>
    <row r="71" spans="1:31" ht="13.15" x14ac:dyDescent="0.4">
      <c r="D71" s="56" t="s">
        <v>1373</v>
      </c>
      <c r="E71" s="107">
        <v>-0.5</v>
      </c>
      <c r="F71" s="100" t="s">
        <v>1977</v>
      </c>
      <c r="G71" s="53" t="s">
        <v>1952</v>
      </c>
      <c r="K71" s="108">
        <f>IF(AND($E$63="ON",Settings!$B$10&lt;&gt;"LEGACY"),E71,0)</f>
        <v>0</v>
      </c>
    </row>
    <row r="72" spans="1:31" ht="13.15" x14ac:dyDescent="0.4">
      <c r="D72" s="56" t="s">
        <v>1378</v>
      </c>
      <c r="E72" s="107">
        <v>-0.5</v>
      </c>
      <c r="F72" s="100" t="s">
        <v>1977</v>
      </c>
      <c r="G72" s="53" t="s">
        <v>1952</v>
      </c>
      <c r="K72" s="108">
        <f>IF(AND($E$63="ON",Settings!$B$10&lt;&gt;"LEGACY"),E72,0)</f>
        <v>0</v>
      </c>
    </row>
    <row r="73" spans="1:31" ht="13.15" x14ac:dyDescent="0.4">
      <c r="D73" s="56" t="s">
        <v>1383</v>
      </c>
      <c r="E73" s="107">
        <v>-0.5</v>
      </c>
      <c r="F73" s="100" t="s">
        <v>1977</v>
      </c>
      <c r="G73" s="53" t="s">
        <v>1952</v>
      </c>
      <c r="K73" s="108">
        <f>IF(AND($E$63="ON",Settings!$B$10&lt;&gt;"LEGACY"),E73,0)</f>
        <v>0</v>
      </c>
    </row>
    <row r="75" spans="1:31" ht="13.15" x14ac:dyDescent="0.4">
      <c r="A75" s="56"/>
      <c r="B75" s="56" t="s">
        <v>1998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1999</v>
      </c>
      <c r="E76" s="90" t="s">
        <v>2000</v>
      </c>
      <c r="F76" s="53" t="s">
        <v>2001</v>
      </c>
    </row>
    <row r="77" spans="1:31" x14ac:dyDescent="0.35">
      <c r="D77" s="53" t="s">
        <v>2002</v>
      </c>
    </row>
    <row r="78" spans="1:31" ht="13.15" x14ac:dyDescent="0.4">
      <c r="D78" s="58" t="s">
        <v>1156</v>
      </c>
      <c r="E78" s="58" t="s">
        <v>35</v>
      </c>
      <c r="F78" s="99" t="s">
        <v>36</v>
      </c>
      <c r="G78" s="99"/>
      <c r="H78" s="99"/>
      <c r="I78" s="99"/>
      <c r="J78" s="99"/>
      <c r="K78" s="104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56" t="s">
        <v>2003</v>
      </c>
      <c r="E79" s="110" t="s">
        <v>2004</v>
      </c>
      <c r="F79" s="100" t="s">
        <v>2005</v>
      </c>
      <c r="K79" s="110"/>
      <c r="L79" s="101">
        <v>100</v>
      </c>
      <c r="M79" s="101">
        <v>100</v>
      </c>
      <c r="N79" s="101">
        <v>100</v>
      </c>
      <c r="O79" s="101">
        <v>100</v>
      </c>
      <c r="P79" s="101">
        <v>100</v>
      </c>
      <c r="Q79" s="101">
        <v>100</v>
      </c>
      <c r="R79" s="101">
        <v>100</v>
      </c>
      <c r="S79" s="101">
        <v>100</v>
      </c>
      <c r="T79" s="101">
        <v>100</v>
      </c>
      <c r="U79" s="101">
        <v>100</v>
      </c>
      <c r="V79" s="101">
        <v>100</v>
      </c>
      <c r="W79" s="101">
        <v>100</v>
      </c>
      <c r="X79" s="101">
        <v>100</v>
      </c>
      <c r="Y79" s="101">
        <v>100</v>
      </c>
      <c r="Z79" s="101">
        <v>100</v>
      </c>
      <c r="AA79" s="101">
        <v>100</v>
      </c>
      <c r="AB79" s="101">
        <v>100</v>
      </c>
      <c r="AC79" s="101">
        <v>100</v>
      </c>
      <c r="AD79" s="101">
        <v>100</v>
      </c>
      <c r="AE79" s="101">
        <v>100</v>
      </c>
    </row>
    <row r="80" spans="1:31" ht="13.15" x14ac:dyDescent="0.4">
      <c r="D80" s="56" t="s">
        <v>2006</v>
      </c>
      <c r="E80" s="110" t="s">
        <v>79</v>
      </c>
      <c r="F80" s="100" t="s">
        <v>2007</v>
      </c>
      <c r="K80" s="110"/>
      <c r="L80" s="111">
        <v>0</v>
      </c>
      <c r="M80" s="111">
        <v>0</v>
      </c>
      <c r="N80" s="111">
        <v>0</v>
      </c>
      <c r="O80" s="111">
        <v>0</v>
      </c>
      <c r="P80" s="111">
        <v>2.5000000000000001E-2</v>
      </c>
      <c r="Q80" s="111">
        <v>0.05</v>
      </c>
      <c r="R80" s="111">
        <v>0.1</v>
      </c>
      <c r="S80" s="111">
        <v>0.22500000000000001</v>
      </c>
      <c r="T80" s="111">
        <v>0.48499999999999999</v>
      </c>
      <c r="U80" s="111">
        <v>0.61</v>
      </c>
      <c r="V80" s="111">
        <v>0.73499999999999999</v>
      </c>
      <c r="W80" s="111">
        <v>0.86</v>
      </c>
      <c r="X80" s="111">
        <v>1</v>
      </c>
      <c r="Y80" s="111">
        <v>1</v>
      </c>
      <c r="Z80" s="111">
        <v>1</v>
      </c>
      <c r="AA80" s="111">
        <v>1</v>
      </c>
      <c r="AB80" s="111">
        <v>1</v>
      </c>
      <c r="AC80" s="111">
        <v>1</v>
      </c>
      <c r="AD80" s="111">
        <v>1</v>
      </c>
      <c r="AE80" s="111">
        <v>1</v>
      </c>
    </row>
    <row r="81" spans="1:31" ht="13.15" x14ac:dyDescent="0.4">
      <c r="D81" s="56" t="s">
        <v>2008</v>
      </c>
      <c r="E81" s="110" t="s">
        <v>79</v>
      </c>
      <c r="F81" s="100" t="s">
        <v>2009</v>
      </c>
      <c r="K81" s="110"/>
      <c r="L81" s="111">
        <f t="shared" ref="L81:AE81" si="15">IF($E$76="NOPHASE",1,L80)</f>
        <v>0</v>
      </c>
      <c r="M81" s="111">
        <f t="shared" si="15"/>
        <v>0</v>
      </c>
      <c r="N81" s="111">
        <f t="shared" si="15"/>
        <v>0</v>
      </c>
      <c r="O81" s="111">
        <f t="shared" si="15"/>
        <v>0</v>
      </c>
      <c r="P81" s="111">
        <f t="shared" si="15"/>
        <v>2.5000000000000001E-2</v>
      </c>
      <c r="Q81" s="111">
        <f t="shared" si="15"/>
        <v>0.05</v>
      </c>
      <c r="R81" s="111">
        <f t="shared" si="15"/>
        <v>0.1</v>
      </c>
      <c r="S81" s="111">
        <f t="shared" si="15"/>
        <v>0.22500000000000001</v>
      </c>
      <c r="T81" s="111">
        <f t="shared" si="15"/>
        <v>0.48499999999999999</v>
      </c>
      <c r="U81" s="111">
        <f t="shared" si="15"/>
        <v>0.61</v>
      </c>
      <c r="V81" s="111">
        <f t="shared" si="15"/>
        <v>0.73499999999999999</v>
      </c>
      <c r="W81" s="111">
        <f t="shared" si="15"/>
        <v>0.86</v>
      </c>
      <c r="X81" s="111">
        <f t="shared" si="15"/>
        <v>1</v>
      </c>
      <c r="Y81" s="111">
        <f t="shared" si="15"/>
        <v>1</v>
      </c>
      <c r="Z81" s="111">
        <f t="shared" si="15"/>
        <v>1</v>
      </c>
      <c r="AA81" s="111">
        <f t="shared" si="15"/>
        <v>1</v>
      </c>
      <c r="AB81" s="111">
        <f t="shared" si="15"/>
        <v>1</v>
      </c>
      <c r="AC81" s="111">
        <f t="shared" si="15"/>
        <v>1</v>
      </c>
      <c r="AD81" s="111">
        <f t="shared" si="15"/>
        <v>1</v>
      </c>
      <c r="AE81" s="111">
        <f t="shared" si="15"/>
        <v>1</v>
      </c>
    </row>
    <row r="82" spans="1:31" ht="13.15" x14ac:dyDescent="0.4">
      <c r="D82" s="56" t="s">
        <v>2010</v>
      </c>
      <c r="E82" s="110" t="s">
        <v>79</v>
      </c>
      <c r="F82" s="100" t="s">
        <v>2011</v>
      </c>
      <c r="K82" s="110"/>
      <c r="L82" s="111">
        <f t="shared" ref="L82:AE82" si="16">IF($E$76="SCALED",L81,1)</f>
        <v>1</v>
      </c>
      <c r="M82" s="111">
        <f t="shared" si="16"/>
        <v>1</v>
      </c>
      <c r="N82" s="111">
        <f t="shared" si="16"/>
        <v>1</v>
      </c>
      <c r="O82" s="111">
        <f t="shared" si="16"/>
        <v>1</v>
      </c>
      <c r="P82" s="111">
        <f t="shared" si="16"/>
        <v>1</v>
      </c>
      <c r="Q82" s="111">
        <f t="shared" si="16"/>
        <v>1</v>
      </c>
      <c r="R82" s="111">
        <f t="shared" si="16"/>
        <v>1</v>
      </c>
      <c r="S82" s="111">
        <f t="shared" si="16"/>
        <v>1</v>
      </c>
      <c r="T82" s="111">
        <f t="shared" si="16"/>
        <v>1</v>
      </c>
      <c r="U82" s="111">
        <f t="shared" si="16"/>
        <v>1</v>
      </c>
      <c r="V82" s="111">
        <f t="shared" si="16"/>
        <v>1</v>
      </c>
      <c r="W82" s="111">
        <f t="shared" si="16"/>
        <v>1</v>
      </c>
      <c r="X82" s="111">
        <f t="shared" si="16"/>
        <v>1</v>
      </c>
      <c r="Y82" s="111">
        <f t="shared" si="16"/>
        <v>1</v>
      </c>
      <c r="Z82" s="111">
        <f t="shared" si="16"/>
        <v>1</v>
      </c>
      <c r="AA82" s="111">
        <f t="shared" si="16"/>
        <v>1</v>
      </c>
      <c r="AB82" s="111">
        <f t="shared" si="16"/>
        <v>1</v>
      </c>
      <c r="AC82" s="111">
        <f t="shared" si="16"/>
        <v>1</v>
      </c>
      <c r="AD82" s="111">
        <f t="shared" si="16"/>
        <v>1</v>
      </c>
      <c r="AE82" s="111">
        <f t="shared" si="16"/>
        <v>1</v>
      </c>
    </row>
    <row r="84" spans="1:31" ht="13.15" x14ac:dyDescent="0.4">
      <c r="A84" s="56"/>
      <c r="B84" s="56" t="s">
        <v>3108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1:31" x14ac:dyDescent="0.35">
      <c r="D85" s="53" t="s">
        <v>3109</v>
      </c>
      <c r="E85" s="90" t="s">
        <v>3110</v>
      </c>
      <c r="F85" s="53" t="s">
        <v>3111</v>
      </c>
    </row>
    <row r="86" spans="1:31" x14ac:dyDescent="0.35">
      <c r="D86" s="53" t="s">
        <v>3112</v>
      </c>
    </row>
    <row r="87" spans="1:31" ht="13.15" x14ac:dyDescent="0.4">
      <c r="D87" s="58" t="s">
        <v>1323</v>
      </c>
      <c r="E87" s="58" t="s">
        <v>3113</v>
      </c>
      <c r="F87" s="99" t="s">
        <v>1975</v>
      </c>
      <c r="G87" s="99" t="s">
        <v>1947</v>
      </c>
      <c r="H87" s="99" t="s">
        <v>929</v>
      </c>
      <c r="I87" s="99"/>
      <c r="J87" s="99"/>
      <c r="K87" s="104"/>
    </row>
    <row r="88" spans="1:31" ht="13.15" x14ac:dyDescent="0.4">
      <c r="D88" s="56" t="s">
        <v>1350</v>
      </c>
      <c r="E88" s="108">
        <v>0</v>
      </c>
      <c r="F88" s="100" t="s">
        <v>3114</v>
      </c>
      <c r="G88" s="53" t="s">
        <v>3115</v>
      </c>
      <c r="H88" s="91" t="s">
        <v>3116</v>
      </c>
      <c r="K88" s="108"/>
    </row>
    <row r="89" spans="1:31" ht="13.15" x14ac:dyDescent="0.4">
      <c r="D89" s="56" t="s">
        <v>1355</v>
      </c>
      <c r="E89" s="108">
        <v>0</v>
      </c>
      <c r="F89" s="100" t="s">
        <v>3117</v>
      </c>
      <c r="G89" s="53" t="s">
        <v>3115</v>
      </c>
      <c r="H89" s="91" t="s">
        <v>3118</v>
      </c>
      <c r="K89" s="108"/>
    </row>
    <row r="90" spans="1:31" ht="13.15" x14ac:dyDescent="0.4">
      <c r="D90" s="56" t="s">
        <v>1359</v>
      </c>
      <c r="E90" s="108">
        <v>0</v>
      </c>
      <c r="F90" s="100" t="s">
        <v>3119</v>
      </c>
      <c r="G90" s="53" t="s">
        <v>3115</v>
      </c>
      <c r="H90" s="91" t="s">
        <v>3120</v>
      </c>
      <c r="K90" s="108"/>
    </row>
    <row r="91" spans="1:31" ht="13.15" x14ac:dyDescent="0.4">
      <c r="D91" s="56" t="s">
        <v>1363</v>
      </c>
      <c r="E91" s="108">
        <v>0</v>
      </c>
      <c r="F91" s="100" t="s">
        <v>3117</v>
      </c>
      <c r="G91" s="53" t="s">
        <v>3115</v>
      </c>
      <c r="H91" s="91" t="s">
        <v>3121</v>
      </c>
      <c r="K91" s="108"/>
    </row>
    <row r="92" spans="1:31" ht="13.15" x14ac:dyDescent="0.4">
      <c r="D92" s="56" t="s">
        <v>1368</v>
      </c>
      <c r="E92" s="108">
        <v>1</v>
      </c>
      <c r="F92" s="100" t="s">
        <v>3122</v>
      </c>
      <c r="G92" s="53" t="s">
        <v>3115</v>
      </c>
      <c r="H92" s="91" t="s">
        <v>3123</v>
      </c>
      <c r="K92" s="108"/>
    </row>
    <row r="93" spans="1:31" ht="13.15" x14ac:dyDescent="0.4">
      <c r="D93" s="56" t="s">
        <v>1373</v>
      </c>
      <c r="E93" s="108">
        <v>0</v>
      </c>
      <c r="F93" s="100" t="s">
        <v>3117</v>
      </c>
      <c r="G93" s="53" t="s">
        <v>3115</v>
      </c>
      <c r="H93" s="91" t="s">
        <v>3124</v>
      </c>
      <c r="K93" s="108"/>
    </row>
    <row r="94" spans="1:31" ht="13.15" x14ac:dyDescent="0.4">
      <c r="D94" s="56" t="s">
        <v>1378</v>
      </c>
      <c r="E94" s="108">
        <v>0</v>
      </c>
      <c r="F94" s="100" t="s">
        <v>3117</v>
      </c>
      <c r="G94" s="53" t="s">
        <v>3115</v>
      </c>
      <c r="H94" s="91" t="s">
        <v>3125</v>
      </c>
      <c r="K94" s="108"/>
    </row>
    <row r="95" spans="1:31" ht="13.15" x14ac:dyDescent="0.4">
      <c r="D95" s="56" t="s">
        <v>1383</v>
      </c>
      <c r="E95" s="108">
        <v>0</v>
      </c>
      <c r="F95" s="100" t="s">
        <v>3117</v>
      </c>
      <c r="G95" s="53" t="s">
        <v>3115</v>
      </c>
      <c r="H95" s="91" t="s">
        <v>3126</v>
      </c>
      <c r="K95" s="108"/>
    </row>
    <row r="98" spans="2:12" ht="13.15" x14ac:dyDescent="0.4">
      <c r="B98" s="56" t="s">
        <v>3793</v>
      </c>
    </row>
    <row r="99" spans="2:12" x14ac:dyDescent="0.35">
      <c r="D99" s="53" t="s">
        <v>3794</v>
      </c>
    </row>
    <row r="100" spans="2:12" ht="13.15" x14ac:dyDescent="0.4">
      <c r="D100" s="56" t="s">
        <v>1323</v>
      </c>
      <c r="E100" s="56" t="s">
        <v>3795</v>
      </c>
      <c r="F100" s="56" t="s">
        <v>3796</v>
      </c>
      <c r="G100" s="56" t="s">
        <v>3797</v>
      </c>
      <c r="H100" s="56" t="s">
        <v>3798</v>
      </c>
      <c r="I100" s="56" t="s">
        <v>1432</v>
      </c>
      <c r="J100" s="56" t="s">
        <v>3799</v>
      </c>
      <c r="K100" s="56" t="s">
        <v>1975</v>
      </c>
      <c r="L100" s="56" t="s">
        <v>1947</v>
      </c>
    </row>
    <row r="101" spans="2:12" x14ac:dyDescent="0.35">
      <c r="D101" s="53" t="s">
        <v>1350</v>
      </c>
      <c r="E101" s="172">
        <v>5100</v>
      </c>
      <c r="F101" s="111">
        <v>4.3999999999999997E-2</v>
      </c>
      <c r="G101" s="172"/>
      <c r="H101" s="172">
        <v>580</v>
      </c>
      <c r="I101" s="172">
        <v>750</v>
      </c>
      <c r="J101" s="53" t="s">
        <v>3800</v>
      </c>
      <c r="K101" s="53" t="s">
        <v>3801</v>
      </c>
      <c r="L101" s="173" t="s">
        <v>3620</v>
      </c>
    </row>
    <row r="102" spans="2:12" x14ac:dyDescent="0.35">
      <c r="D102" s="53" t="s">
        <v>1355</v>
      </c>
      <c r="E102" s="172">
        <v>4800</v>
      </c>
      <c r="F102" s="111">
        <v>4.3999999999999997E-2</v>
      </c>
      <c r="G102" s="172"/>
      <c r="H102" s="172">
        <v>300</v>
      </c>
      <c r="I102" s="172">
        <v>680</v>
      </c>
      <c r="J102" s="53" t="s">
        <v>3802</v>
      </c>
      <c r="K102" s="53" t="s">
        <v>3801</v>
      </c>
      <c r="L102" s="173" t="s">
        <v>3620</v>
      </c>
    </row>
    <row r="103" spans="2:12" x14ac:dyDescent="0.35">
      <c r="D103" s="53" t="s">
        <v>1359</v>
      </c>
      <c r="E103" s="172">
        <v>0</v>
      </c>
      <c r="F103" s="111">
        <v>0</v>
      </c>
      <c r="G103" s="172"/>
      <c r="H103" s="172">
        <v>0</v>
      </c>
      <c r="I103" s="172">
        <v>620</v>
      </c>
      <c r="J103" s="53" t="s">
        <v>3803</v>
      </c>
      <c r="K103" s="53" t="s">
        <v>3801</v>
      </c>
      <c r="L103" s="173" t="s">
        <v>3620</v>
      </c>
    </row>
    <row r="104" spans="2:12" x14ac:dyDescent="0.35">
      <c r="D104" s="53" t="s">
        <v>1363</v>
      </c>
      <c r="E104" s="172">
        <v>50000</v>
      </c>
      <c r="F104" s="111">
        <v>3.3000000000000002E-2</v>
      </c>
      <c r="G104" s="172"/>
      <c r="H104" s="172">
        <v>800</v>
      </c>
      <c r="I104" s="172">
        <v>110</v>
      </c>
      <c r="J104" s="53" t="s">
        <v>3804</v>
      </c>
      <c r="K104" s="53" t="s">
        <v>3801</v>
      </c>
      <c r="L104" s="173" t="s">
        <v>3620</v>
      </c>
    </row>
    <row r="105" spans="2:12" x14ac:dyDescent="0.35">
      <c r="D105" s="53" t="s">
        <v>1368</v>
      </c>
      <c r="E105" s="172">
        <v>1785</v>
      </c>
      <c r="F105" s="111">
        <v>2.1999999999999999E-2</v>
      </c>
      <c r="G105" s="172"/>
      <c r="H105" s="172">
        <v>120</v>
      </c>
      <c r="I105" s="172">
        <v>450</v>
      </c>
      <c r="J105" s="53" t="s">
        <v>3805</v>
      </c>
      <c r="K105" s="53" t="s">
        <v>3801</v>
      </c>
      <c r="L105" s="173" t="s">
        <v>3620</v>
      </c>
    </row>
    <row r="106" spans="2:12" x14ac:dyDescent="0.35">
      <c r="D106" s="53" t="s">
        <v>1373</v>
      </c>
      <c r="E106" s="172">
        <v>2800</v>
      </c>
      <c r="F106" s="111">
        <v>2.1999999999999999E-2</v>
      </c>
      <c r="G106" s="172"/>
      <c r="H106" s="172">
        <v>1600</v>
      </c>
      <c r="I106" s="172">
        <v>380</v>
      </c>
      <c r="J106" s="53" t="s">
        <v>3806</v>
      </c>
      <c r="K106" s="53" t="s">
        <v>3801</v>
      </c>
      <c r="L106" s="173" t="s">
        <v>3620</v>
      </c>
    </row>
    <row r="107" spans="2:12" x14ac:dyDescent="0.35">
      <c r="D107" s="53" t="s">
        <v>1378</v>
      </c>
      <c r="E107" s="172">
        <v>600</v>
      </c>
      <c r="F107" s="111">
        <v>2.1999999999999999E-2</v>
      </c>
      <c r="G107" s="172"/>
      <c r="H107" s="172">
        <v>80</v>
      </c>
      <c r="I107" s="172">
        <v>320</v>
      </c>
      <c r="J107" s="53" t="s">
        <v>3807</v>
      </c>
      <c r="K107" s="53" t="s">
        <v>3801</v>
      </c>
      <c r="L107" s="173" t="s">
        <v>3620</v>
      </c>
    </row>
    <row r="108" spans="2:12" x14ac:dyDescent="0.35">
      <c r="D108" s="53" t="s">
        <v>1383</v>
      </c>
      <c r="E108" s="172">
        <v>300</v>
      </c>
      <c r="F108" s="111">
        <v>5.5E-2</v>
      </c>
      <c r="G108" s="172"/>
      <c r="H108" s="172">
        <v>167</v>
      </c>
      <c r="I108" s="172">
        <v>2400</v>
      </c>
      <c r="J108" s="53" t="s">
        <v>3808</v>
      </c>
      <c r="K108" s="53" t="s">
        <v>3801</v>
      </c>
      <c r="L108" s="173" t="s">
        <v>3620</v>
      </c>
    </row>
    <row r="111" spans="2:12" ht="13.15" x14ac:dyDescent="0.4">
      <c r="B111" s="56" t="s">
        <v>3814</v>
      </c>
    </row>
    <row r="112" spans="2:12" x14ac:dyDescent="0.35">
      <c r="D112" s="53" t="s">
        <v>3815</v>
      </c>
      <c r="E112" s="90">
        <v>1</v>
      </c>
      <c r="F112" s="53" t="s">
        <v>3816</v>
      </c>
      <c r="G112" s="53" t="s">
        <v>3619</v>
      </c>
      <c r="H112" s="53" t="s">
        <v>3817</v>
      </c>
    </row>
    <row r="113" spans="4:4" x14ac:dyDescent="0.35">
      <c r="D113" s="53" t="s">
        <v>3818</v>
      </c>
    </row>
  </sheetData>
  <dataValidations count="4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  <dataValidation type="list" allowBlank="1" showInputMessage="1" showErrorMessage="1" sqref="E85" xr:uid="{11FDC578-1976-4885-8C9D-ECFCFC66740E}">
      <formula1>"NONE,CPAT"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82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1701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1702</v>
      </c>
    </row>
    <row r="3" spans="1:35" x14ac:dyDescent="0.35">
      <c r="B3" s="53" t="s">
        <v>1703</v>
      </c>
    </row>
    <row r="5" spans="1:35" ht="13.15" x14ac:dyDescent="0.4">
      <c r="A5" s="63">
        <v>1</v>
      </c>
      <c r="B5" s="63" t="s">
        <v>1704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1705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1706</v>
      </c>
      <c r="C7" s="53" t="s">
        <v>1707</v>
      </c>
      <c r="D7" s="53" t="s">
        <v>1708</v>
      </c>
      <c r="I7" s="53" t="s">
        <v>1398</v>
      </c>
      <c r="J7" s="53" t="s">
        <v>1709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1710</v>
      </c>
      <c r="C8" s="53" t="s">
        <v>1711</v>
      </c>
      <c r="D8" s="53" t="s">
        <v>1712</v>
      </c>
      <c r="I8" s="53" t="s">
        <v>1398</v>
      </c>
      <c r="J8" s="53" t="s">
        <v>1709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1713</v>
      </c>
      <c r="C9" s="53" t="s">
        <v>1714</v>
      </c>
      <c r="D9" s="53" t="s">
        <v>77</v>
      </c>
      <c r="I9" s="53" t="s">
        <v>1398</v>
      </c>
      <c r="J9" s="53" t="s">
        <v>1709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1715</v>
      </c>
      <c r="C10" s="53" t="s">
        <v>1716</v>
      </c>
      <c r="D10" s="53" t="s">
        <v>1717</v>
      </c>
      <c r="I10" s="53" t="s">
        <v>1398</v>
      </c>
      <c r="J10" s="53" t="s">
        <v>1709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1718</v>
      </c>
      <c r="C11" s="53" t="s">
        <v>1719</v>
      </c>
      <c r="D11" s="53" t="s">
        <v>1720</v>
      </c>
      <c r="I11" s="53" t="s">
        <v>1398</v>
      </c>
      <c r="J11" s="53" t="s">
        <v>1709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1721</v>
      </c>
      <c r="C12" s="53" t="s">
        <v>1722</v>
      </c>
      <c r="D12" s="53" t="s">
        <v>1723</v>
      </c>
      <c r="I12" s="53" t="s">
        <v>1398</v>
      </c>
      <c r="J12" s="53" t="s">
        <v>1709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1724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1725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1726</v>
      </c>
      <c r="C16" s="58" t="s">
        <v>1727</v>
      </c>
      <c r="D16" s="58" t="s">
        <v>1728</v>
      </c>
      <c r="E16" s="58" t="s">
        <v>1729</v>
      </c>
      <c r="F16" s="58" t="s">
        <v>1730</v>
      </c>
      <c r="G16" s="58" t="s">
        <v>1731</v>
      </c>
      <c r="H16" s="58" t="s">
        <v>1732</v>
      </c>
      <c r="I16" s="58" t="s">
        <v>1733</v>
      </c>
      <c r="J16" s="58" t="s">
        <v>1734</v>
      </c>
      <c r="K16" s="58" t="s">
        <v>1735</v>
      </c>
      <c r="L16" s="58" t="s">
        <v>1736</v>
      </c>
      <c r="M16" s="58" t="s">
        <v>1868</v>
      </c>
      <c r="N16" s="58" t="s">
        <v>1869</v>
      </c>
      <c r="O16" s="58" t="s">
        <v>1870</v>
      </c>
      <c r="P16" s="58" t="s">
        <v>1871</v>
      </c>
    </row>
    <row r="17" spans="1:35" ht="13.15" x14ac:dyDescent="0.4">
      <c r="A17" s="56"/>
      <c r="B17" s="53" t="s">
        <v>1737</v>
      </c>
      <c r="C17" s="62" t="s">
        <v>1738</v>
      </c>
      <c r="D17" s="62" t="s">
        <v>1706</v>
      </c>
      <c r="E17" s="62" t="s">
        <v>1710</v>
      </c>
      <c r="F17" s="62">
        <v>1</v>
      </c>
      <c r="G17" s="62">
        <v>0</v>
      </c>
      <c r="H17" s="62" t="s">
        <v>1706</v>
      </c>
      <c r="I17" s="62">
        <v>0</v>
      </c>
      <c r="J17" s="62">
        <v>0</v>
      </c>
      <c r="K17" s="62" t="s">
        <v>1739</v>
      </c>
      <c r="L17" s="62" t="s">
        <v>1740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1741</v>
      </c>
      <c r="C18" s="62" t="s">
        <v>1742</v>
      </c>
      <c r="D18" s="62" t="s">
        <v>1715</v>
      </c>
      <c r="E18" s="62" t="s">
        <v>1713</v>
      </c>
      <c r="F18" s="62">
        <v>1</v>
      </c>
      <c r="G18" s="62">
        <v>1</v>
      </c>
      <c r="H18" s="62" t="s">
        <v>1715</v>
      </c>
      <c r="I18" s="62">
        <v>0</v>
      </c>
      <c r="J18" s="62">
        <v>0</v>
      </c>
      <c r="K18" s="62" t="s">
        <v>1743</v>
      </c>
      <c r="L18" s="62" t="s">
        <v>1740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1744</v>
      </c>
      <c r="C19" s="62" t="s">
        <v>1745</v>
      </c>
      <c r="D19" s="62" t="s">
        <v>1715</v>
      </c>
      <c r="E19" s="62" t="s">
        <v>1713</v>
      </c>
      <c r="F19" s="62">
        <v>1</v>
      </c>
      <c r="G19" s="62">
        <v>0</v>
      </c>
      <c r="H19" s="62" t="s">
        <v>1715</v>
      </c>
      <c r="I19" s="62">
        <v>0</v>
      </c>
      <c r="J19" s="62">
        <v>0</v>
      </c>
      <c r="K19" s="62" t="s">
        <v>1743</v>
      </c>
      <c r="L19" s="62" t="s">
        <v>1740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1746</v>
      </c>
      <c r="C20" s="62" t="s">
        <v>1747</v>
      </c>
      <c r="D20" s="62" t="s">
        <v>1715</v>
      </c>
      <c r="E20" s="62" t="s">
        <v>1713</v>
      </c>
      <c r="F20" s="62">
        <v>1</v>
      </c>
      <c r="G20" s="62">
        <v>0</v>
      </c>
      <c r="H20" s="62" t="s">
        <v>1715</v>
      </c>
      <c r="I20" s="62">
        <v>0</v>
      </c>
      <c r="J20" s="62">
        <v>0</v>
      </c>
      <c r="K20" s="62" t="s">
        <v>1748</v>
      </c>
      <c r="L20" s="62" t="s">
        <v>1740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1749</v>
      </c>
      <c r="C21" s="62" t="s">
        <v>1750</v>
      </c>
      <c r="D21" s="62" t="s">
        <v>1718</v>
      </c>
      <c r="E21" s="62" t="s">
        <v>1713</v>
      </c>
      <c r="F21" s="62">
        <v>1</v>
      </c>
      <c r="G21" s="62">
        <v>1</v>
      </c>
      <c r="H21" s="62" t="s">
        <v>1718</v>
      </c>
      <c r="I21" s="62">
        <v>0</v>
      </c>
      <c r="J21" s="62">
        <v>0</v>
      </c>
      <c r="K21" s="62" t="s">
        <v>1748</v>
      </c>
      <c r="L21" s="62" t="s">
        <v>1751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1752</v>
      </c>
      <c r="C22" s="62" t="s">
        <v>1753</v>
      </c>
      <c r="D22" s="62" t="s">
        <v>1718</v>
      </c>
      <c r="E22" s="62" t="s">
        <v>1713</v>
      </c>
      <c r="F22" s="62">
        <v>1</v>
      </c>
      <c r="G22" s="62">
        <v>1</v>
      </c>
      <c r="H22" s="62" t="s">
        <v>1718</v>
      </c>
      <c r="I22" s="62">
        <v>1</v>
      </c>
      <c r="J22" s="62">
        <v>0</v>
      </c>
      <c r="K22" s="62" t="s">
        <v>1754</v>
      </c>
      <c r="L22" s="62" t="s">
        <v>1751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1755</v>
      </c>
      <c r="C23" s="62" t="s">
        <v>1756</v>
      </c>
      <c r="D23" s="62" t="s">
        <v>1718</v>
      </c>
      <c r="E23" s="62" t="s">
        <v>1713</v>
      </c>
      <c r="F23" s="62">
        <v>1</v>
      </c>
      <c r="G23" s="62">
        <v>1</v>
      </c>
      <c r="H23" s="62" t="s">
        <v>1718</v>
      </c>
      <c r="I23" s="62">
        <v>0</v>
      </c>
      <c r="J23" s="62">
        <v>1</v>
      </c>
      <c r="K23" s="62" t="s">
        <v>1757</v>
      </c>
      <c r="L23" s="62" t="s">
        <v>1751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1758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1726</v>
      </c>
      <c r="C26" s="56" t="s">
        <v>1727</v>
      </c>
      <c r="D26" s="56" t="s">
        <v>1728</v>
      </c>
      <c r="E26" s="56" t="s">
        <v>1729</v>
      </c>
      <c r="F26" s="56" t="s">
        <v>1730</v>
      </c>
      <c r="G26" s="56" t="s">
        <v>1731</v>
      </c>
      <c r="H26" s="56" t="s">
        <v>1732</v>
      </c>
      <c r="I26" s="56" t="s">
        <v>1733</v>
      </c>
      <c r="J26" s="56" t="s">
        <v>1734</v>
      </c>
      <c r="K26" s="56" t="s">
        <v>1735</v>
      </c>
      <c r="L26" s="56" t="s">
        <v>1736</v>
      </c>
      <c r="M26" s="56" t="s">
        <v>1868</v>
      </c>
      <c r="N26" s="56" t="s">
        <v>1869</v>
      </c>
      <c r="O26" s="56" t="s">
        <v>1870</v>
      </c>
      <c r="P26" s="56" t="s">
        <v>1871</v>
      </c>
    </row>
    <row r="27" spans="1:35" ht="13.15" x14ac:dyDescent="0.4">
      <c r="A27" s="56"/>
      <c r="B27" s="90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1759</v>
      </c>
      <c r="D29" s="56"/>
      <c r="E29" s="56" t="s">
        <v>1760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1761</v>
      </c>
      <c r="E30" s="62">
        <v>0.1</v>
      </c>
      <c r="I30" s="53" t="s">
        <v>1762</v>
      </c>
      <c r="J30" s="53" t="s">
        <v>1763</v>
      </c>
    </row>
    <row r="31" spans="1:35" ht="13.15" x14ac:dyDescent="0.4">
      <c r="A31" s="56"/>
      <c r="B31" s="53" t="s">
        <v>53</v>
      </c>
      <c r="C31" s="53" t="s">
        <v>1761</v>
      </c>
      <c r="E31" s="62">
        <v>5.5800000000000002E-2</v>
      </c>
      <c r="I31" s="53" t="s">
        <v>1762</v>
      </c>
      <c r="J31" s="53" t="s">
        <v>1763</v>
      </c>
    </row>
    <row r="32" spans="1:35" ht="13.15" x14ac:dyDescent="0.4">
      <c r="A32" s="56"/>
      <c r="B32" s="53" t="s">
        <v>55</v>
      </c>
      <c r="C32" s="53" t="s">
        <v>1761</v>
      </c>
      <c r="E32" s="62">
        <v>2.3142274537200002E-3</v>
      </c>
      <c r="I32" s="53" t="s">
        <v>1764</v>
      </c>
      <c r="J32" s="53" t="s">
        <v>1763</v>
      </c>
    </row>
    <row r="33" spans="1:35" ht="13.15" x14ac:dyDescent="0.4">
      <c r="A33" s="56"/>
      <c r="B33" s="53" t="s">
        <v>58</v>
      </c>
      <c r="C33" s="53" t="s">
        <v>1761</v>
      </c>
      <c r="E33" s="62">
        <v>2.64083510871E-3</v>
      </c>
      <c r="I33" s="53" t="s">
        <v>1764</v>
      </c>
      <c r="J33" s="53" t="s">
        <v>1763</v>
      </c>
    </row>
    <row r="34" spans="1:35" ht="13.15" x14ac:dyDescent="0.4">
      <c r="A34" s="56"/>
      <c r="B34" s="53" t="s">
        <v>60</v>
      </c>
      <c r="C34" s="53" t="s">
        <v>1761</v>
      </c>
      <c r="E34" s="62">
        <v>1.7684866341836534E-3</v>
      </c>
      <c r="I34" s="53" t="s">
        <v>1764</v>
      </c>
      <c r="J34" s="53" t="s">
        <v>1763</v>
      </c>
    </row>
    <row r="35" spans="1:35" ht="13.15" x14ac:dyDescent="0.4">
      <c r="A35" s="56"/>
      <c r="B35" s="53" t="s">
        <v>62</v>
      </c>
      <c r="C35" s="53" t="s">
        <v>1761</v>
      </c>
      <c r="E35" s="62">
        <v>2.5591064088086772E-3</v>
      </c>
      <c r="I35" s="53" t="s">
        <v>1764</v>
      </c>
      <c r="J35" s="53" t="s">
        <v>1763</v>
      </c>
    </row>
    <row r="36" spans="1:35" ht="13.15" x14ac:dyDescent="0.4">
      <c r="A36" s="56"/>
      <c r="B36" s="53" t="s">
        <v>64</v>
      </c>
      <c r="C36" s="53" t="s">
        <v>1761</v>
      </c>
      <c r="E36" s="62">
        <v>0.46940399999999999</v>
      </c>
      <c r="I36" s="53" t="s">
        <v>1765</v>
      </c>
      <c r="J36" s="53" t="s">
        <v>1763</v>
      </c>
    </row>
    <row r="37" spans="1:35" ht="13.15" x14ac:dyDescent="0.4">
      <c r="A37" s="56"/>
      <c r="B37" s="53" t="s">
        <v>67</v>
      </c>
      <c r="C37" s="53" t="s">
        <v>1761</v>
      </c>
      <c r="E37" s="62">
        <v>0</v>
      </c>
      <c r="I37" s="53" t="s">
        <v>1762</v>
      </c>
      <c r="J37" s="53" t="s">
        <v>1763</v>
      </c>
    </row>
    <row r="38" spans="1:35" ht="13.15" x14ac:dyDescent="0.4">
      <c r="A38" s="56"/>
      <c r="B38" s="53" t="s">
        <v>69</v>
      </c>
      <c r="C38" s="53" t="s">
        <v>1761</v>
      </c>
      <c r="E38" s="62">
        <v>0</v>
      </c>
      <c r="I38" s="53" t="s">
        <v>1766</v>
      </c>
      <c r="J38" s="53" t="s">
        <v>1763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1767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1768</v>
      </c>
      <c r="E41" s="56" t="s">
        <v>35</v>
      </c>
      <c r="F41" s="56" t="s">
        <v>36</v>
      </c>
      <c r="G41" s="56" t="s">
        <v>37</v>
      </c>
      <c r="H41" s="56" t="s">
        <v>1769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1397</v>
      </c>
      <c r="C42" s="53" t="s">
        <v>1770</v>
      </c>
      <c r="D42" s="53" t="s">
        <v>1771</v>
      </c>
      <c r="E42" s="53" t="s">
        <v>1398</v>
      </c>
      <c r="F42" s="53" t="s">
        <v>1772</v>
      </c>
      <c r="G42" s="91" t="s">
        <v>1403</v>
      </c>
      <c r="H42" s="53" t="s">
        <v>1897</v>
      </c>
      <c r="J42" s="53" t="s">
        <v>1709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1401</v>
      </c>
      <c r="C43" s="53" t="s">
        <v>1773</v>
      </c>
      <c r="D43" s="53" t="s">
        <v>1771</v>
      </c>
      <c r="E43" s="53" t="s">
        <v>1398</v>
      </c>
      <c r="F43" s="53" t="s">
        <v>1772</v>
      </c>
      <c r="G43" s="91" t="s">
        <v>1404</v>
      </c>
      <c r="H43" s="53" t="s">
        <v>1774</v>
      </c>
      <c r="J43" s="53" t="s">
        <v>1709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1775</v>
      </c>
      <c r="C44" s="53" t="s">
        <v>1776</v>
      </c>
      <c r="D44" s="53" t="s">
        <v>1771</v>
      </c>
      <c r="E44" s="53" t="s">
        <v>1398</v>
      </c>
      <c r="F44" s="53" t="s">
        <v>1772</v>
      </c>
      <c r="G44" s="91" t="s">
        <v>1777</v>
      </c>
      <c r="H44" s="53" t="s">
        <v>1898</v>
      </c>
      <c r="J44" s="53" t="s">
        <v>1709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1778</v>
      </c>
      <c r="C45" s="53" t="s">
        <v>1779</v>
      </c>
      <c r="D45" s="53" t="s">
        <v>1771</v>
      </c>
      <c r="E45" s="53" t="s">
        <v>79</v>
      </c>
      <c r="F45" s="53" t="s">
        <v>1772</v>
      </c>
      <c r="G45" s="91" t="s">
        <v>1780</v>
      </c>
      <c r="H45" s="53" t="s">
        <v>1781</v>
      </c>
      <c r="J45" s="53" t="s">
        <v>1709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1782</v>
      </c>
      <c r="C46" s="53" t="s">
        <v>1783</v>
      </c>
      <c r="D46" s="53" t="s">
        <v>1784</v>
      </c>
      <c r="E46" s="53" t="s">
        <v>79</v>
      </c>
      <c r="F46" s="53" t="s">
        <v>1772</v>
      </c>
      <c r="G46" s="91" t="s">
        <v>1785</v>
      </c>
      <c r="H46" s="53" t="s">
        <v>2427</v>
      </c>
      <c r="J46" s="53" t="s">
        <v>1709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1786</v>
      </c>
      <c r="C47" s="53" t="s">
        <v>1787</v>
      </c>
      <c r="D47" s="53" t="s">
        <v>1784</v>
      </c>
      <c r="E47" s="53" t="s">
        <v>1398</v>
      </c>
      <c r="F47" s="53" t="s">
        <v>1772</v>
      </c>
      <c r="G47" s="91" t="s">
        <v>1788</v>
      </c>
      <c r="H47" s="53" t="s">
        <v>2428</v>
      </c>
      <c r="J47" s="53" t="s">
        <v>1709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1789</v>
      </c>
      <c r="C48" s="53" t="s">
        <v>1790</v>
      </c>
      <c r="D48" s="53" t="s">
        <v>1791</v>
      </c>
      <c r="E48" s="53" t="s">
        <v>79</v>
      </c>
      <c r="F48" s="53" t="s">
        <v>1772</v>
      </c>
      <c r="G48" s="91" t="s">
        <v>1792</v>
      </c>
      <c r="H48" s="53" t="s">
        <v>2881</v>
      </c>
      <c r="J48" s="53" t="s">
        <v>1709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1793</v>
      </c>
      <c r="C49" s="53" t="s">
        <v>2879</v>
      </c>
      <c r="D49" s="53" t="s">
        <v>1795</v>
      </c>
      <c r="E49" s="53" t="s">
        <v>1398</v>
      </c>
      <c r="F49" s="53" t="s">
        <v>1772</v>
      </c>
      <c r="G49" s="91" t="s">
        <v>1796</v>
      </c>
      <c r="H49" s="53" t="s">
        <v>2880</v>
      </c>
      <c r="J49" s="53" t="s">
        <v>1709</v>
      </c>
      <c r="K49" s="59">
        <v>0</v>
      </c>
      <c r="L49" s="59">
        <f>Fund_Industry!L$397</f>
        <v>0</v>
      </c>
      <c r="M49" s="59">
        <f>Fund_Industry!M$397</f>
        <v>0</v>
      </c>
      <c r="N49" s="59">
        <f>Fund_Industry!N$397</f>
        <v>0</v>
      </c>
      <c r="O49" s="59">
        <f>Fund_Industry!O$397</f>
        <v>0</v>
      </c>
      <c r="P49" s="59">
        <f>Fund_Industry!P$397</f>
        <v>0</v>
      </c>
      <c r="Q49" s="59">
        <f>Fund_Industry!Q$397</f>
        <v>0</v>
      </c>
      <c r="R49" s="59">
        <f>Fund_Industry!R$397</f>
        <v>0</v>
      </c>
      <c r="S49" s="59">
        <f>Fund_Industry!S$397</f>
        <v>0</v>
      </c>
      <c r="T49" s="59">
        <f>Fund_Industry!T$397</f>
        <v>0</v>
      </c>
      <c r="U49" s="59">
        <f>Fund_Industry!U$397</f>
        <v>0</v>
      </c>
      <c r="V49" s="59">
        <f>Fund_Industry!V$397</f>
        <v>0</v>
      </c>
      <c r="W49" s="59">
        <f>Fund_Industry!W$397</f>
        <v>0</v>
      </c>
      <c r="X49" s="59">
        <f>Fund_Industry!X$397</f>
        <v>0</v>
      </c>
      <c r="Y49" s="59">
        <f>Fund_Industry!Y$397</f>
        <v>0</v>
      </c>
      <c r="Z49" s="59">
        <f>Fund_Industry!Z$397</f>
        <v>0</v>
      </c>
      <c r="AA49" s="59">
        <f>Fund_Industry!AA$397</f>
        <v>0</v>
      </c>
      <c r="AB49" s="59">
        <f>Fund_Industry!AB$397</f>
        <v>0</v>
      </c>
      <c r="AC49" s="59">
        <f>Fund_Industry!AC$397</f>
        <v>0</v>
      </c>
      <c r="AD49" s="59">
        <f>Fund_Industry!AD$397</f>
        <v>0</v>
      </c>
      <c r="AE49" s="59">
        <f>Fund_Industry!AE$397</f>
        <v>0</v>
      </c>
      <c r="AF49" s="59">
        <v>0</v>
      </c>
      <c r="AG49" s="59">
        <v>0</v>
      </c>
      <c r="AH49" s="59">
        <v>0</v>
      </c>
      <c r="AI49" s="59">
        <v>0</v>
      </c>
    </row>
    <row r="50" spans="1:35" ht="13.15" x14ac:dyDescent="0.4">
      <c r="A50" s="56"/>
      <c r="B50" s="53" t="s">
        <v>938</v>
      </c>
      <c r="C50" s="53" t="s">
        <v>1797</v>
      </c>
      <c r="D50" s="53" t="s">
        <v>1771</v>
      </c>
      <c r="E50" s="53" t="s">
        <v>51</v>
      </c>
      <c r="F50" s="53" t="s">
        <v>1772</v>
      </c>
      <c r="G50" s="91" t="s">
        <v>1023</v>
      </c>
      <c r="H50" s="53" t="s">
        <v>1798</v>
      </c>
      <c r="J50" s="53" t="s">
        <v>1709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1799</v>
      </c>
      <c r="D51" s="53" t="s">
        <v>1771</v>
      </c>
      <c r="E51" s="53" t="s">
        <v>51</v>
      </c>
      <c r="F51" s="53" t="s">
        <v>1772</v>
      </c>
      <c r="G51" s="91" t="s">
        <v>1025</v>
      </c>
      <c r="H51" s="53" t="s">
        <v>1798</v>
      </c>
      <c r="J51" s="53" t="s">
        <v>1709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1800</v>
      </c>
      <c r="D52" s="53" t="s">
        <v>1771</v>
      </c>
      <c r="E52" s="53" t="s">
        <v>57</v>
      </c>
      <c r="F52" s="53" t="s">
        <v>1772</v>
      </c>
      <c r="G52" s="91" t="s">
        <v>1028</v>
      </c>
      <c r="H52" s="53" t="s">
        <v>1798</v>
      </c>
      <c r="J52" s="53" t="s">
        <v>1709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1801</v>
      </c>
      <c r="D53" s="53" t="s">
        <v>1771</v>
      </c>
      <c r="E53" s="53" t="s">
        <v>57</v>
      </c>
      <c r="F53" s="53" t="s">
        <v>1772</v>
      </c>
      <c r="G53" s="91" t="s">
        <v>1032</v>
      </c>
      <c r="H53" s="53" t="s">
        <v>1798</v>
      </c>
      <c r="J53" s="53" t="s">
        <v>1709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1802</v>
      </c>
      <c r="D54" s="53" t="s">
        <v>1771</v>
      </c>
      <c r="E54" s="53" t="s">
        <v>57</v>
      </c>
      <c r="F54" s="53" t="s">
        <v>1772</v>
      </c>
      <c r="G54" s="91" t="s">
        <v>1036</v>
      </c>
      <c r="H54" s="53" t="s">
        <v>1798</v>
      </c>
      <c r="J54" s="53" t="s">
        <v>1709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1803</v>
      </c>
      <c r="D55" s="53" t="s">
        <v>1771</v>
      </c>
      <c r="E55" s="53" t="s">
        <v>57</v>
      </c>
      <c r="F55" s="53" t="s">
        <v>1772</v>
      </c>
      <c r="G55" s="91" t="s">
        <v>1040</v>
      </c>
      <c r="H55" s="53" t="s">
        <v>1798</v>
      </c>
      <c r="J55" s="53" t="s">
        <v>1709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1804</v>
      </c>
      <c r="D56" s="53" t="s">
        <v>1771</v>
      </c>
      <c r="E56" s="53" t="s">
        <v>66</v>
      </c>
      <c r="F56" s="53" t="s">
        <v>1772</v>
      </c>
      <c r="G56" s="91" t="s">
        <v>1044</v>
      </c>
      <c r="H56" s="53" t="s">
        <v>1798</v>
      </c>
      <c r="J56" s="53" t="s">
        <v>1709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1805</v>
      </c>
      <c r="D57" s="53" t="s">
        <v>1771</v>
      </c>
      <c r="E57" s="53" t="s">
        <v>51</v>
      </c>
      <c r="F57" s="53" t="s">
        <v>1772</v>
      </c>
      <c r="G57" s="91" t="s">
        <v>1048</v>
      </c>
      <c r="H57" s="53" t="s">
        <v>1798</v>
      </c>
      <c r="J57" s="53" t="s">
        <v>1709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1806</v>
      </c>
      <c r="D58" s="53" t="s">
        <v>1771</v>
      </c>
      <c r="E58" s="53" t="s">
        <v>71</v>
      </c>
      <c r="F58" s="53" t="s">
        <v>1772</v>
      </c>
      <c r="G58" s="91" t="s">
        <v>1052</v>
      </c>
      <c r="H58" s="53" t="s">
        <v>1798</v>
      </c>
      <c r="J58" s="53" t="s">
        <v>1709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1807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1808</v>
      </c>
    </row>
    <row r="62" spans="1:35" ht="13.15" x14ac:dyDescent="0.4">
      <c r="A62" s="56"/>
      <c r="B62" s="53" t="s">
        <v>1809</v>
      </c>
    </row>
    <row r="63" spans="1:35" ht="13.15" x14ac:dyDescent="0.4">
      <c r="A63" s="56"/>
      <c r="B63" s="53" t="s">
        <v>1810</v>
      </c>
    </row>
    <row r="64" spans="1:35" ht="13.15" x14ac:dyDescent="0.4">
      <c r="A64" s="56"/>
      <c r="B64" s="53" t="s">
        <v>1811</v>
      </c>
    </row>
    <row r="65" spans="1:2" ht="13.15" x14ac:dyDescent="0.4">
      <c r="A65" s="56"/>
      <c r="B65" s="53" t="s">
        <v>1812</v>
      </c>
    </row>
    <row r="66" spans="1:2" ht="13.15" x14ac:dyDescent="0.4">
      <c r="A66" s="56"/>
      <c r="B66" s="53" t="s">
        <v>1813</v>
      </c>
    </row>
    <row r="67" spans="1:2" ht="13.15" x14ac:dyDescent="0.4">
      <c r="A67" s="56"/>
      <c r="B67" s="53" t="s">
        <v>1814</v>
      </c>
    </row>
    <row r="68" spans="1:2" ht="13.15" x14ac:dyDescent="0.4">
      <c r="A68" s="56"/>
      <c r="B68" s="53" t="s">
        <v>1815</v>
      </c>
    </row>
    <row r="69" spans="1:2" x14ac:dyDescent="0.35">
      <c r="B69" s="53" t="s">
        <v>1857</v>
      </c>
    </row>
    <row r="70" spans="1:2" x14ac:dyDescent="0.35">
      <c r="B70" s="53" t="s">
        <v>1872</v>
      </c>
    </row>
    <row r="71" spans="1:2" x14ac:dyDescent="0.35">
      <c r="B71" s="53" t="s">
        <v>1899</v>
      </c>
    </row>
    <row r="72" spans="1:2" x14ac:dyDescent="0.35">
      <c r="B72" s="53" t="s">
        <v>1910</v>
      </c>
    </row>
    <row r="73" spans="1:2" x14ac:dyDescent="0.35">
      <c r="B73" s="53" t="s">
        <v>1966</v>
      </c>
    </row>
    <row r="74" spans="1:2" x14ac:dyDescent="0.35">
      <c r="B74" s="53" t="s">
        <v>1995</v>
      </c>
    </row>
    <row r="75" spans="1:2" x14ac:dyDescent="0.35">
      <c r="B75" s="53" t="s">
        <v>2025</v>
      </c>
    </row>
    <row r="76" spans="1:2" x14ac:dyDescent="0.35">
      <c r="B76" s="53" t="s">
        <v>2143</v>
      </c>
    </row>
    <row r="77" spans="1:2" x14ac:dyDescent="0.35">
      <c r="B77" s="53" t="s">
        <v>2429</v>
      </c>
    </row>
    <row r="78" spans="1:2" x14ac:dyDescent="0.35">
      <c r="B78" s="53" t="s">
        <v>2882</v>
      </c>
    </row>
    <row r="79" spans="1:2" x14ac:dyDescent="0.35">
      <c r="B79" s="53" t="s">
        <v>3252</v>
      </c>
    </row>
    <row r="80" spans="1:2" x14ac:dyDescent="0.35">
      <c r="B80" s="53" t="s">
        <v>3598</v>
      </c>
    </row>
    <row r="81" spans="2:2" x14ac:dyDescent="0.35">
      <c r="B81" s="53" t="s">
        <v>3638</v>
      </c>
    </row>
    <row r="82" spans="2:2" x14ac:dyDescent="0.35">
      <c r="B82" s="53" t="s">
        <v>3685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2355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2356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2357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2358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2359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2360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2361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2362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2363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2364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2365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2366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2367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2368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2369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2370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2371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2372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2373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2374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2375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2376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2377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2378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2379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2380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2381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2382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2383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2384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2385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2386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2387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2388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2389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2390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1405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1406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1407</v>
      </c>
      <c r="E247" s="71" t="s">
        <v>1398</v>
      </c>
      <c r="F247" s="71" t="s">
        <v>26</v>
      </c>
      <c r="G247" s="85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1408</v>
      </c>
      <c r="E248" s="70" t="s">
        <v>1398</v>
      </c>
      <c r="F248" s="70" t="s">
        <v>26</v>
      </c>
      <c r="G248" s="86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1409</v>
      </c>
      <c r="E249" s="70" t="s">
        <v>1410</v>
      </c>
      <c r="F249" s="70" t="s">
        <v>26</v>
      </c>
      <c r="G249" s="86" t="str">
        <f>Settings!$B$3&amp;".mit.fundsp."&amp;$J$5</f>
        <v>egy.mit.fundsp.1</v>
      </c>
      <c r="H249" s="70"/>
      <c r="I249" s="70" t="s">
        <v>2884</v>
      </c>
      <c r="J249" s="70"/>
      <c r="K249" s="70"/>
      <c r="L249" s="93">
        <f>INDEX(Data_Prices!L:L,MATCH($G249,Data_Prices!$A:$A,0))</f>
        <v>0</v>
      </c>
      <c r="M249" s="93">
        <f>INDEX(Data_Prices!M:M,MATCH($G249,Data_Prices!$A:$A,0))</f>
        <v>0</v>
      </c>
      <c r="N249" s="93">
        <f>INDEX(Data_Prices!N:N,MATCH($G249,Data_Prices!$A:$A,0))</f>
        <v>0</v>
      </c>
      <c r="O249" s="93">
        <f>INDEX(Data_Prices!O:O,MATCH($G249,Data_Prices!$A:$A,0))</f>
        <v>0</v>
      </c>
      <c r="P249" s="93">
        <f>INDEX(Data_Prices!P:P,MATCH($G249,Data_Prices!$A:$A,0))</f>
        <v>0</v>
      </c>
      <c r="Q249" s="93">
        <f>INDEX(Data_Prices!Q:Q,MATCH($G249,Data_Prices!$A:$A,0))</f>
        <v>0</v>
      </c>
      <c r="R249" s="93">
        <f>INDEX(Data_Prices!R:R,MATCH($G249,Data_Prices!$A:$A,0))</f>
        <v>0</v>
      </c>
      <c r="S249" s="93">
        <f>INDEX(Data_Prices!S:S,MATCH($G249,Data_Prices!$A:$A,0))</f>
        <v>0</v>
      </c>
      <c r="T249" s="93">
        <f>INDEX(Data_Prices!T:T,MATCH($G249,Data_Prices!$A:$A,0))</f>
        <v>0</v>
      </c>
      <c r="U249" s="93">
        <f>INDEX(Data_Prices!U:U,MATCH($G249,Data_Prices!$A:$A,0))</f>
        <v>0</v>
      </c>
      <c r="V249" s="93">
        <f>INDEX(Data_Prices!V:V,MATCH($G249,Data_Prices!$A:$A,0))</f>
        <v>0</v>
      </c>
      <c r="W249" s="93">
        <f>INDEX(Data_Prices!W:W,MATCH($G249,Data_Prices!$A:$A,0))</f>
        <v>0</v>
      </c>
      <c r="X249" s="93">
        <f>INDEX(Data_Prices!X:X,MATCH($G249,Data_Prices!$A:$A,0))</f>
        <v>0</v>
      </c>
      <c r="Y249" s="93">
        <f>INDEX(Data_Prices!Y:Y,MATCH($G249,Data_Prices!$A:$A,0))</f>
        <v>0</v>
      </c>
      <c r="Z249" s="93">
        <f>INDEX(Data_Prices!Z:Z,MATCH($G249,Data_Prices!$A:$A,0))</f>
        <v>0</v>
      </c>
      <c r="AA249" s="93">
        <f>INDEX(Data_Prices!AA:AA,MATCH($G249,Data_Prices!$A:$A,0))</f>
        <v>0</v>
      </c>
      <c r="AB249" s="93">
        <f>INDEX(Data_Prices!AB:AB,MATCH($G249,Data_Prices!$A:$A,0))</f>
        <v>0</v>
      </c>
      <c r="AC249" s="93">
        <f>INDEX(Data_Prices!AC:AC,MATCH($G249,Data_Prices!$A:$A,0))</f>
        <v>0</v>
      </c>
      <c r="AD249" s="93">
        <f>INDEX(Data_Prices!AD:AD,MATCH($G249,Data_Prices!$A:$A,0))</f>
        <v>0</v>
      </c>
      <c r="AE249" s="93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1411</v>
      </c>
      <c r="E250" s="70" t="s">
        <v>1844</v>
      </c>
      <c r="F250" s="70" t="s">
        <v>26</v>
      </c>
      <c r="G250" s="86" t="str">
        <f>Settings!$B$3&amp;".mit.fundsh."&amp;$J$5</f>
        <v>egy.mit.fundsh.1</v>
      </c>
      <c r="H250" s="70"/>
      <c r="I250" s="70" t="s">
        <v>2883</v>
      </c>
      <c r="J250" s="70"/>
      <c r="K250" s="70"/>
      <c r="L250" s="109">
        <f>Fund_Industry!L$122</f>
        <v>0</v>
      </c>
      <c r="M250" s="109">
        <f>Fund_Industry!M$122</f>
        <v>0</v>
      </c>
      <c r="N250" s="109">
        <f>Fund_Industry!N$122</f>
        <v>0</v>
      </c>
      <c r="O250" s="109">
        <f>Fund_Industry!O$122</f>
        <v>0</v>
      </c>
      <c r="P250" s="109">
        <f>Fund_Industry!P$122</f>
        <v>0</v>
      </c>
      <c r="Q250" s="109">
        <f>Fund_Industry!Q$122</f>
        <v>0</v>
      </c>
      <c r="R250" s="109">
        <f>Fund_Industry!R$122</f>
        <v>0</v>
      </c>
      <c r="S250" s="109">
        <f>Fund_Industry!S$122</f>
        <v>0</v>
      </c>
      <c r="T250" s="109">
        <f>Fund_Industry!T$122</f>
        <v>0</v>
      </c>
      <c r="U250" s="109">
        <f>Fund_Industry!U$122</f>
        <v>0</v>
      </c>
      <c r="V250" s="109">
        <f>Fund_Industry!V$122</f>
        <v>0</v>
      </c>
      <c r="W250" s="109">
        <f>Fund_Industry!W$122</f>
        <v>0</v>
      </c>
      <c r="X250" s="109">
        <f>Fund_Industry!X$122</f>
        <v>0</v>
      </c>
      <c r="Y250" s="109">
        <f>Fund_Industry!Y$122</f>
        <v>0</v>
      </c>
      <c r="Z250" s="109">
        <f>Fund_Industry!Z$122</f>
        <v>0</v>
      </c>
      <c r="AA250" s="109">
        <f>Fund_Industry!AA$122</f>
        <v>0</v>
      </c>
      <c r="AB250" s="109">
        <f>Fund_Industry!AB$122</f>
        <v>0</v>
      </c>
      <c r="AC250" s="109">
        <f>Fund_Industry!AC$122</f>
        <v>0</v>
      </c>
      <c r="AD250" s="109">
        <f>Fund_Industry!AD$122</f>
        <v>0</v>
      </c>
      <c r="AE250" s="109">
        <f>Fund_Industry!AE$122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1845</v>
      </c>
      <c r="E251" s="70" t="s">
        <v>1398</v>
      </c>
      <c r="F251" s="70" t="s">
        <v>26</v>
      </c>
      <c r="G251" s="86" t="str">
        <f>Settings!$B$3&amp;".mit.obrrb."&amp;$J$5</f>
        <v>egy.mit.obrrb.1</v>
      </c>
      <c r="H251" s="70"/>
      <c r="I251" s="70" t="s">
        <v>1846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1412</v>
      </c>
      <c r="D252" s="73"/>
      <c r="E252" s="71" t="s">
        <v>1413</v>
      </c>
      <c r="F252" s="71" t="s">
        <v>1414</v>
      </c>
      <c r="G252" s="71" t="s">
        <v>1388</v>
      </c>
      <c r="H252" s="71" t="s">
        <v>1415</v>
      </c>
      <c r="I252" s="71" t="s">
        <v>1416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1884</v>
      </c>
      <c r="D258" s="72" t="s">
        <v>1885</v>
      </c>
      <c r="E258" s="72" t="s">
        <v>1852</v>
      </c>
      <c r="F258" s="72"/>
      <c r="G258" s="70" t="s">
        <v>1475</v>
      </c>
      <c r="H258" s="86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17.33923534589551</v>
      </c>
      <c r="M258" s="72">
        <f t="shared" si="25"/>
        <v>17.906085636678021</v>
      </c>
      <c r="N258" s="72">
        <f t="shared" si="25"/>
        <v>18.491797925</v>
      </c>
      <c r="O258" s="72">
        <f t="shared" si="25"/>
        <v>19.097010387799997</v>
      </c>
      <c r="P258" s="72">
        <f t="shared" si="25"/>
        <v>19.722383163766395</v>
      </c>
      <c r="Q258" s="72">
        <f t="shared" si="25"/>
        <v>20.368599123177255</v>
      </c>
      <c r="R258" s="72">
        <f t="shared" si="25"/>
        <v>21.036364665292766</v>
      </c>
      <c r="S258" s="72">
        <f t="shared" si="25"/>
        <v>21.726410544310145</v>
      </c>
      <c r="T258" s="72">
        <f t="shared" si="25"/>
        <v>22.439492724928552</v>
      </c>
      <c r="U258" s="72">
        <f t="shared" si="25"/>
        <v>23.176393268611605</v>
      </c>
      <c r="V258" s="72">
        <f t="shared" si="25"/>
        <v>23.937921251675412</v>
      </c>
      <c r="W258" s="72">
        <f t="shared" si="25"/>
        <v>24.724913716373393</v>
      </c>
      <c r="X258" s="72">
        <f t="shared" si="25"/>
        <v>25.538236656192712</v>
      </c>
      <c r="Y258" s="72">
        <f t="shared" si="25"/>
        <v>26.37878603662384</v>
      </c>
      <c r="Z258" s="72">
        <f t="shared" si="25"/>
        <v>27.247488852711776</v>
      </c>
      <c r="AA258" s="72">
        <f t="shared" si="25"/>
        <v>28.145304224748109</v>
      </c>
      <c r="AB258" s="72">
        <f t="shared" si="25"/>
        <v>29.073224533513493</v>
      </c>
      <c r="AC258" s="72">
        <f t="shared" si="25"/>
        <v>30.032276596534963</v>
      </c>
      <c r="AD258" s="72">
        <f t="shared" si="25"/>
        <v>31.023522886877181</v>
      </c>
      <c r="AE258" s="72">
        <f t="shared" si="25"/>
        <v>32.04806279604545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1886</v>
      </c>
      <c r="E259" s="72" t="s">
        <v>1852</v>
      </c>
      <c r="F259" s="72"/>
      <c r="G259" s="70" t="s">
        <v>1475</v>
      </c>
      <c r="H259" s="86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3.9961358410604224</v>
      </c>
      <c r="M259" s="72">
        <f t="shared" si="26"/>
        <v>4.1245083582113056</v>
      </c>
      <c r="N259" s="72">
        <f t="shared" si="26"/>
        <v>4.2574852019999998</v>
      </c>
      <c r="O259" s="72">
        <f t="shared" si="26"/>
        <v>4.3952459933880004</v>
      </c>
      <c r="P259" s="72">
        <f t="shared" si="26"/>
        <v>4.5379777513320727</v>
      </c>
      <c r="Q259" s="72">
        <f t="shared" si="26"/>
        <v>4.685875207178853</v>
      </c>
      <c r="R259" s="72">
        <f t="shared" si="26"/>
        <v>4.8391411326482334</v>
      </c>
      <c r="S259" s="72">
        <f t="shared" si="26"/>
        <v>4.9979866819980412</v>
      </c>
      <c r="T259" s="72">
        <f t="shared" si="26"/>
        <v>5.1626317489885354</v>
      </c>
      <c r="U259" s="72">
        <f t="shared" si="26"/>
        <v>5.3333053392922274</v>
      </c>
      <c r="V259" s="72">
        <f t="shared" si="26"/>
        <v>5.5102459590229422</v>
      </c>
      <c r="W259" s="72">
        <f t="shared" si="26"/>
        <v>5.6937020200874482</v>
      </c>
      <c r="X259" s="72">
        <f t="shared" si="26"/>
        <v>5.8839322630938788</v>
      </c>
      <c r="Y259" s="72">
        <f t="shared" si="26"/>
        <v>6.0812061985832875</v>
      </c>
      <c r="Z259" s="72">
        <f t="shared" si="26"/>
        <v>6.2858045673843232</v>
      </c>
      <c r="AA259" s="72">
        <f t="shared" si="26"/>
        <v>6.4980198209259985</v>
      </c>
      <c r="AB259" s="72">
        <f t="shared" si="26"/>
        <v>6.7181566223801967</v>
      </c>
      <c r="AC259" s="72">
        <f t="shared" si="26"/>
        <v>6.946532369543716</v>
      </c>
      <c r="AD259" s="72">
        <f t="shared" si="26"/>
        <v>7.183477740409562</v>
      </c>
      <c r="AE259" s="72">
        <f t="shared" si="26"/>
        <v>7.4293372624188372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1887</v>
      </c>
      <c r="E260" s="72" t="s">
        <v>1852</v>
      </c>
      <c r="F260" s="72"/>
      <c r="G260" s="70" t="s">
        <v>1475</v>
      </c>
      <c r="H260" s="86" t="str">
        <f>Settings!$B$3&amp;".mit.emisnp."&amp;$G260&amp;"."&amp;$J$5</f>
        <v>egy.mit.emisnp.cbam.tot.1</v>
      </c>
      <c r="I260" s="72" t="s">
        <v>2886</v>
      </c>
      <c r="J260" s="72"/>
      <c r="K260" s="72"/>
      <c r="L260" s="72">
        <f t="shared" ref="L260:AE260" si="27">SUMPRODUCT(L$276:L$283*($J$264:$J$271&gt;0)*$J$264:$J$271*(1-$J$273*$F$363:$F$370*(1-EXP(-$E$363:$E$370*($F$310:$F$317*L$308+$G$310:$G$317*L$248+L$249)))))/1000</f>
        <v>25.971762885046314</v>
      </c>
      <c r="M260" s="72">
        <f t="shared" si="27"/>
        <v>26.842539414672931</v>
      </c>
      <c r="N260" s="72">
        <f t="shared" si="27"/>
        <v>27.742760634</v>
      </c>
      <c r="O260" s="72">
        <f t="shared" si="27"/>
        <v>28.673435240928001</v>
      </c>
      <c r="P260" s="72">
        <f t="shared" si="27"/>
        <v>29.635607169743587</v>
      </c>
      <c r="Q260" s="72">
        <f t="shared" si="27"/>
        <v>30.630356857310563</v>
      </c>
      <c r="R260" s="72">
        <f t="shared" si="27"/>
        <v>31.658802556563273</v>
      </c>
      <c r="S260" s="72">
        <f t="shared" si="27"/>
        <v>32.722101699159616</v>
      </c>
      <c r="T260" s="72">
        <f t="shared" si="27"/>
        <v>33.821452309227929</v>
      </c>
      <c r="U260" s="72">
        <f t="shared" si="27"/>
        <v>34.958094470222733</v>
      </c>
      <c r="V260" s="72">
        <f t="shared" si="27"/>
        <v>36.133311846988548</v>
      </c>
      <c r="W260" s="72">
        <f t="shared" si="27"/>
        <v>37.348433265219015</v>
      </c>
      <c r="X260" s="72">
        <f t="shared" si="27"/>
        <v>38.60483435059016</v>
      </c>
      <c r="Y260" s="72">
        <f t="shared" si="27"/>
        <v>39.903939229943205</v>
      </c>
      <c r="Z260" s="72">
        <f t="shared" si="27"/>
        <v>41.247222296991801</v>
      </c>
      <c r="AA260" s="72">
        <f t="shared" si="27"/>
        <v>42.636210045134121</v>
      </c>
      <c r="AB260" s="72">
        <f t="shared" si="27"/>
        <v>44.072482970059113</v>
      </c>
      <c r="AC260" s="72">
        <f t="shared" si="27"/>
        <v>45.557677544951083</v>
      </c>
      <c r="AD260" s="72">
        <f t="shared" si="27"/>
        <v>47.09348827121579</v>
      </c>
      <c r="AE260" s="72">
        <f t="shared" si="27"/>
        <v>48.681669807777041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1888</v>
      </c>
      <c r="E261" s="72" t="s">
        <v>1852</v>
      </c>
      <c r="F261" s="72"/>
      <c r="G261" s="70" t="s">
        <v>1475</v>
      </c>
      <c r="H261" s="86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28">SUMPRODUCT(L$276:L$283*($K$264:$K$271&gt;0)*$K$264:$K$271*(1-$K$273*$H$363:$H$370*(1-EXP(-$G$363:$G$370*($F$310:$F$317*L$308+$G$310:$G$317*L$248+L$249)))))/1000</f>
        <v>0.77985726154224555</v>
      </c>
      <c r="M261" s="72">
        <f t="shared" si="28"/>
        <v>0.80389860277682457</v>
      </c>
      <c r="N261" s="72">
        <f t="shared" si="28"/>
        <v>0.82884750000000007</v>
      </c>
      <c r="O261" s="72">
        <f t="shared" si="28"/>
        <v>0.85474474500000008</v>
      </c>
      <c r="P261" s="72">
        <f t="shared" si="28"/>
        <v>0.88163317238999994</v>
      </c>
      <c r="Q261" s="72">
        <f t="shared" si="28"/>
        <v>0.90955776754758011</v>
      </c>
      <c r="R261" s="72">
        <f t="shared" si="28"/>
        <v>0.93856578039370175</v>
      </c>
      <c r="S261" s="72">
        <f t="shared" si="28"/>
        <v>0.96870684533024232</v>
      </c>
      <c r="T261" s="72">
        <f t="shared" si="28"/>
        <v>1.0000331076726199</v>
      </c>
      <c r="U261" s="72">
        <f t="shared" si="28"/>
        <v>1.0325993569325114</v>
      </c>
      <c r="V261" s="72">
        <f t="shared" si="28"/>
        <v>1.0664631673251306</v>
      </c>
      <c r="W261" s="72">
        <f t="shared" si="28"/>
        <v>1.1016850458960927</v>
      </c>
      <c r="X261" s="72">
        <f t="shared" si="28"/>
        <v>1.138328588684556</v>
      </c>
      <c r="Y261" s="72">
        <f t="shared" si="28"/>
        <v>1.1764606453621964</v>
      </c>
      <c r="Z261" s="72">
        <f t="shared" si="28"/>
        <v>1.216151492811707</v>
      </c>
      <c r="AA261" s="72">
        <f t="shared" si="28"/>
        <v>1.2574750181339414</v>
      </c>
      <c r="AB261" s="72">
        <f t="shared" si="28"/>
        <v>1.3005089115996857</v>
      </c>
      <c r="AC261" s="72">
        <f t="shared" si="28"/>
        <v>1.3453348700903502</v>
      </c>
      <c r="AD261" s="72">
        <f t="shared" si="28"/>
        <v>1.3920388116017608</v>
      </c>
      <c r="AE261" s="72">
        <f t="shared" si="28"/>
        <v>1.4407111014167402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88" t="s">
        <v>1331</v>
      </c>
      <c r="N263" s="88" t="s">
        <v>1332</v>
      </c>
      <c r="O263" s="70" t="s">
        <v>1333</v>
      </c>
      <c r="P263" s="88" t="s">
        <v>1334</v>
      </c>
      <c r="Q263" s="88" t="s">
        <v>1335</v>
      </c>
      <c r="R263" s="88" t="s">
        <v>1336</v>
      </c>
      <c r="S263" s="88" t="s">
        <v>1337</v>
      </c>
      <c r="T263" s="88" t="s">
        <v>1338</v>
      </c>
      <c r="U263" s="88" t="s">
        <v>1339</v>
      </c>
      <c r="V263" s="88" t="s">
        <v>1340</v>
      </c>
      <c r="W263" s="88" t="s">
        <v>1341</v>
      </c>
      <c r="X263" s="88" t="s">
        <v>1342</v>
      </c>
      <c r="Y263" s="88" t="s">
        <v>1343</v>
      </c>
      <c r="Z263" s="88" t="s">
        <v>1344</v>
      </c>
      <c r="AA263" s="88" t="s">
        <v>1345</v>
      </c>
      <c r="AB263" s="88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0.17797725</v>
      </c>
      <c r="I264" s="76">
        <f>'Manual inputs'!I$30</f>
        <v>0.39301352000000001</v>
      </c>
      <c r="J264" s="76">
        <f>'Manual inputs'!J$30</f>
        <v>3.7901020000000001E-2</v>
      </c>
      <c r="K264" s="76">
        <f>'Manual inputs'!K$30</f>
        <v>0</v>
      </c>
      <c r="L264" s="76">
        <f t="shared" ref="L264:L271" si="29">SUM(H264:K264)</f>
        <v>0.60889178999999993</v>
      </c>
      <c r="M264" s="76">
        <f>'Manual inputs'!M$30</f>
        <v>0</v>
      </c>
      <c r="N264" s="76">
        <f>'Manual inputs'!N$30</f>
        <v>0.60889178999999993</v>
      </c>
      <c r="O264" s="76">
        <f>'Manual inputs'!O$30</f>
        <v>0.25</v>
      </c>
      <c r="P264" s="70">
        <f>'Manual inputs'!P$30</f>
        <v>0</v>
      </c>
      <c r="Q264" s="76">
        <f t="shared" ref="Q264:Q271" si="30">N264+O264</f>
        <v>0.85889178999999993</v>
      </c>
      <c r="R264" s="76">
        <f t="shared" ref="R264:R271" si="31">N264+O264*P264</f>
        <v>0.60889178999999993</v>
      </c>
      <c r="S264" s="77">
        <f>'Manual inputs'!S$30</f>
        <v>3.1720000000000002</v>
      </c>
      <c r="T264" s="77">
        <f>'Manual inputs'!T$30</f>
        <v>56.1</v>
      </c>
      <c r="U264" s="77">
        <f>'Manual inputs'!U$30</f>
        <v>7.0060000000000002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-1.3931082100000003</v>
      </c>
      <c r="AB264" s="79">
        <f>'Manual inputs'!AB$30</f>
        <v>0.12789178999999995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264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1355</v>
      </c>
      <c r="E265" s="70" t="s">
        <v>1351</v>
      </c>
      <c r="F265" s="70" t="s">
        <v>1356</v>
      </c>
      <c r="G265" s="70" t="s">
        <v>1357</v>
      </c>
      <c r="H265" s="76">
        <f>'Manual inputs'!H$31</f>
        <v>4.4880000000000003E-2</v>
      </c>
      <c r="I265" s="76">
        <f>'Manual inputs'!I$31</f>
        <v>0</v>
      </c>
      <c r="J265" s="76">
        <f>'Manual inputs'!J$31</f>
        <v>4.3981149999999997E-2</v>
      </c>
      <c r="K265" s="76">
        <f>'Manual inputs'!K$31</f>
        <v>0</v>
      </c>
      <c r="L265" s="76">
        <f t="shared" si="29"/>
        <v>8.886115E-2</v>
      </c>
      <c r="M265" s="76">
        <f>'Manual inputs'!M$31</f>
        <v>0</v>
      </c>
      <c r="N265" s="76">
        <f>'Manual inputs'!N$31</f>
        <v>8.886115E-2</v>
      </c>
      <c r="O265" s="76">
        <f>'Manual inputs'!O$31</f>
        <v>0.25</v>
      </c>
      <c r="P265" s="70">
        <f>'Manual inputs'!P$31</f>
        <v>0</v>
      </c>
      <c r="Q265" s="76">
        <f t="shared" si="30"/>
        <v>0.33886115</v>
      </c>
      <c r="R265" s="76">
        <f t="shared" si="31"/>
        <v>8.886115E-2</v>
      </c>
      <c r="S265" s="77">
        <f>'Manual inputs'!S$31</f>
        <v>0.8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-0.70313884999999998</v>
      </c>
      <c r="AB265" s="79">
        <f>'Manual inputs'!AB$31</f>
        <v>1.6861150000000005E-2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265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1359</v>
      </c>
      <c r="E266" s="70" t="s">
        <v>1351</v>
      </c>
      <c r="F266" s="70" t="s">
        <v>1360</v>
      </c>
      <c r="G266" s="70" t="s">
        <v>1361</v>
      </c>
      <c r="H266" s="76">
        <f>'Manual inputs'!H$32</f>
        <v>0.16830000000000001</v>
      </c>
      <c r="I266" s="76">
        <f>'Manual inputs'!I$32</f>
        <v>1.2566802699999999</v>
      </c>
      <c r="J266" s="76">
        <f>'Manual inputs'!J$32</f>
        <v>5.276542E-2</v>
      </c>
      <c r="K266" s="76">
        <f>'Manual inputs'!K$32</f>
        <v>0</v>
      </c>
      <c r="L266" s="76">
        <f t="shared" si="29"/>
        <v>1.4777456899999999</v>
      </c>
      <c r="M266" s="76">
        <f>'Manual inputs'!M$32</f>
        <v>0</v>
      </c>
      <c r="N266" s="76">
        <f>'Manual inputs'!N$32</f>
        <v>1.4777456899999999</v>
      </c>
      <c r="O266" s="76">
        <f>'Manual inputs'!O$32</f>
        <v>0.1875</v>
      </c>
      <c r="P266" s="70">
        <f>'Manual inputs'!P$32</f>
        <v>0</v>
      </c>
      <c r="Q266" s="76">
        <f t="shared" si="30"/>
        <v>1.6652456899999999</v>
      </c>
      <c r="R266" s="76">
        <f t="shared" si="31"/>
        <v>1.4777456899999999</v>
      </c>
      <c r="S266" s="77">
        <f>'Manual inputs'!S$32</f>
        <v>1.7509999999999999</v>
      </c>
      <c r="T266" s="77">
        <f>'Manual inputs'!T$32</f>
        <v>96.1</v>
      </c>
      <c r="U266" s="77">
        <f>'Manual inputs'!U$32</f>
        <v>13.077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-1.6022543100000002</v>
      </c>
      <c r="AB266" s="79">
        <f>'Manual inputs'!AB$32</f>
        <v>0.10774568999999978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266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1363</v>
      </c>
      <c r="E267" s="70" t="s">
        <v>1364</v>
      </c>
      <c r="F267" s="70" t="s">
        <v>1365</v>
      </c>
      <c r="G267" s="70" t="s">
        <v>1366</v>
      </c>
      <c r="H267" s="76">
        <f>'Manual inputs'!H$33</f>
        <v>0.31356849999999997</v>
      </c>
      <c r="I267" s="76">
        <f>'Manual inputs'!I$33</f>
        <v>0</v>
      </c>
      <c r="J267" s="76">
        <f>'Manual inputs'!J$33</f>
        <v>0.53702616000000003</v>
      </c>
      <c r="K267" s="76">
        <f>'Manual inputs'!K$33</f>
        <v>0</v>
      </c>
      <c r="L267" s="76">
        <f t="shared" si="29"/>
        <v>0.85059466000000006</v>
      </c>
      <c r="M267" s="76">
        <f>'Manual inputs'!M$33</f>
        <v>0</v>
      </c>
      <c r="N267" s="76">
        <f>'Manual inputs'!N$33</f>
        <v>0.85059466000000006</v>
      </c>
      <c r="O267" s="76">
        <f>'Manual inputs'!O$33</f>
        <v>5.6250000000000001E-2</v>
      </c>
      <c r="P267" s="70">
        <f>'Manual inputs'!P$33</f>
        <v>1</v>
      </c>
      <c r="Q267" s="76">
        <f t="shared" si="30"/>
        <v>0.90684466000000008</v>
      </c>
      <c r="R267" s="76">
        <f t="shared" si="31"/>
        <v>0.90684466000000008</v>
      </c>
      <c r="S267" s="77">
        <f>'Manual inputs'!S$33</f>
        <v>3.2629999999999999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-0.83115534000000013</v>
      </c>
      <c r="AB267" s="79">
        <f>'Manual inputs'!AB$33</f>
        <v>0.24084466000000004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267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1368</v>
      </c>
      <c r="E268" s="70" t="s">
        <v>1369</v>
      </c>
      <c r="F268" s="70" t="s">
        <v>1370</v>
      </c>
      <c r="G268" s="70" t="s">
        <v>1371</v>
      </c>
      <c r="H268" s="76">
        <f>'Manual inputs'!H$34</f>
        <v>0.71247000000000005</v>
      </c>
      <c r="I268" s="76">
        <f>'Manual inputs'!I$34</f>
        <v>1.2622500000000001</v>
      </c>
      <c r="J268" s="76">
        <f>'Manual inputs'!J$34</f>
        <v>0</v>
      </c>
      <c r="K268" s="76">
        <f>'Manual inputs'!K$34</f>
        <v>0</v>
      </c>
      <c r="L268" s="76">
        <f t="shared" si="29"/>
        <v>1.97472</v>
      </c>
      <c r="M268" s="76">
        <f>'Manual inputs'!M$34</f>
        <v>0</v>
      </c>
      <c r="N268" s="76">
        <f>'Manual inputs'!N$34</f>
        <v>1.97472</v>
      </c>
      <c r="O268" s="76">
        <f>'Manual inputs'!O$34</f>
        <v>3.7499999999999999E-2</v>
      </c>
      <c r="P268" s="70">
        <f>'Manual inputs'!P$34</f>
        <v>1</v>
      </c>
      <c r="Q268" s="76">
        <f t="shared" si="30"/>
        <v>2.0122200000000001</v>
      </c>
      <c r="R268" s="76">
        <f t="shared" si="31"/>
        <v>2.0122200000000001</v>
      </c>
      <c r="S268" s="77">
        <f>'Manual inputs'!S$34</f>
        <v>12.7</v>
      </c>
      <c r="T268" s="77">
        <f>'Manual inputs'!T$34</f>
        <v>56.1</v>
      </c>
      <c r="U268" s="77">
        <f>'Manual inputs'!U$34</f>
        <v>22.5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-5.8279999999999887E-2</v>
      </c>
      <c r="AB268" s="79">
        <f>'Manual inputs'!AB$34</f>
        <v>0.52822000000000013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268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1373</v>
      </c>
      <c r="E269" s="70" t="s">
        <v>1374</v>
      </c>
      <c r="F269" s="70" t="s">
        <v>1375</v>
      </c>
      <c r="G269" s="70" t="s">
        <v>1376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0</v>
      </c>
      <c r="K269" s="76">
        <f>'Manual inputs'!K$35</f>
        <v>0</v>
      </c>
      <c r="L269" s="76">
        <f t="shared" si="29"/>
        <v>0.11219999999999999</v>
      </c>
      <c r="M269" s="76">
        <f>'Manual inputs'!M$35</f>
        <v>1.1255904000000001</v>
      </c>
      <c r="N269" s="76">
        <f>'Manual inputs'!N$35</f>
        <v>1.2377904000000002</v>
      </c>
      <c r="O269" s="76">
        <f>'Manual inputs'!O$35</f>
        <v>3.7499999999999999E-2</v>
      </c>
      <c r="P269" s="70">
        <f>'Manual inputs'!P$35</f>
        <v>1</v>
      </c>
      <c r="Q269" s="76">
        <f t="shared" si="30"/>
        <v>1.2752904000000003</v>
      </c>
      <c r="R269" s="76">
        <f t="shared" si="31"/>
        <v>1.2752904000000003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-0.12860959999999966</v>
      </c>
      <c r="AB269" s="79">
        <f>'Manual inputs'!AB$35</f>
        <v>0.37329040000000024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269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1378</v>
      </c>
      <c r="E270" s="70" t="s">
        <v>1379</v>
      </c>
      <c r="F270" s="70" t="s">
        <v>1380</v>
      </c>
      <c r="G270" s="70" t="s">
        <v>1381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0.99441250000000003</v>
      </c>
      <c r="L270" s="76">
        <f t="shared" si="29"/>
        <v>1.1066125</v>
      </c>
      <c r="M270" s="76">
        <f>'Manual inputs'!M$36</f>
        <v>0.84621219999999997</v>
      </c>
      <c r="N270" s="76">
        <f>'Manual inputs'!N$36</f>
        <v>1.9528246999999999</v>
      </c>
      <c r="O270" s="76">
        <f>'Manual inputs'!O$36</f>
        <v>4.3749999999999997E-2</v>
      </c>
      <c r="P270" s="70">
        <f>'Manual inputs'!P$36</f>
        <v>1</v>
      </c>
      <c r="Q270" s="76">
        <f t="shared" si="30"/>
        <v>1.9965746999999998</v>
      </c>
      <c r="R270" s="76">
        <f t="shared" si="31"/>
        <v>1.9965746999999998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-0.66982530000000051</v>
      </c>
      <c r="AB270" s="79">
        <f>'Manual inputs'!AB$36</f>
        <v>1.6945746999999998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270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1383</v>
      </c>
      <c r="E271" s="70" t="s">
        <v>1384</v>
      </c>
      <c r="F271" s="70" t="s">
        <v>1385</v>
      </c>
      <c r="G271" s="70" t="s">
        <v>1386</v>
      </c>
      <c r="H271" s="76">
        <f>'Manual inputs'!H$37</f>
        <v>0.12342</v>
      </c>
      <c r="I271" s="76">
        <f>'Manual inputs'!I$37</f>
        <v>0</v>
      </c>
      <c r="J271" s="76">
        <f>'Manual inputs'!J$37</f>
        <v>1.6234930400000001</v>
      </c>
      <c r="K271" s="76">
        <f>'Manual inputs'!K$37</f>
        <v>0.77400000000000002</v>
      </c>
      <c r="L271" s="76">
        <f t="shared" si="29"/>
        <v>2.5209130399999999</v>
      </c>
      <c r="M271" s="76">
        <f>'Manual inputs'!M$37</f>
        <v>0</v>
      </c>
      <c r="N271" s="76">
        <f>'Manual inputs'!N$37</f>
        <v>2.5209130399999999</v>
      </c>
      <c r="O271" s="76">
        <f>'Manual inputs'!O$37</f>
        <v>6.75</v>
      </c>
      <c r="P271" s="70">
        <f>'Manual inputs'!P$37</f>
        <v>0</v>
      </c>
      <c r="Q271" s="76">
        <f t="shared" si="30"/>
        <v>9.2709130399999999</v>
      </c>
      <c r="R271" s="76">
        <f t="shared" si="31"/>
        <v>2.5209130399999999</v>
      </c>
      <c r="S271" s="77">
        <f>'Manual inputs'!S$37</f>
        <v>1.5820000000000001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0.25491303999999948</v>
      </c>
      <c r="AB271" s="79">
        <f>'Manual inputs'!AB$37</f>
        <v>1.0979130399999999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271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1873</v>
      </c>
      <c r="D272" s="73"/>
      <c r="E272" s="71"/>
      <c r="F272" s="71"/>
      <c r="G272" s="71"/>
      <c r="H272" s="71" t="s">
        <v>1875</v>
      </c>
      <c r="I272" s="71" t="s">
        <v>1876</v>
      </c>
      <c r="J272" s="71" t="s">
        <v>1877</v>
      </c>
      <c r="K272" s="71" t="s">
        <v>1878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1874</v>
      </c>
      <c r="E273" s="70"/>
      <c r="F273" s="70"/>
      <c r="G273" s="70"/>
      <c r="H273" s="96">
        <f>IF($J$5&gt;1,INDEX(Scenarios!$B$27:$Z$27,MATCH("fc covered (0/1)",Scenarios!$B$26:$Z$26,0)),1)</f>
        <v>1</v>
      </c>
      <c r="I273" s="96">
        <f>IF($J$5&gt;1,INDEX(Scenarios!$B$27:$Z$27,MATCH("fp covered (0/1)",Scenarios!$B$26:$Z$26,0)),1)</f>
        <v>1</v>
      </c>
      <c r="J273" s="96">
        <f>IF($J$5&gt;1,INDEX(Scenarios!$B$27:$Z$27,MATCH("np covered (0/1)",Scenarios!$B$26:$Z$26,0)),1)</f>
        <v>1</v>
      </c>
      <c r="K273" s="87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1417</v>
      </c>
      <c r="D274" s="73"/>
      <c r="E274" s="70"/>
      <c r="F274" s="70" t="s">
        <v>1418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1419</v>
      </c>
      <c r="G275" s="70" t="s">
        <v>1420</v>
      </c>
      <c r="H275" s="70" t="s">
        <v>1421</v>
      </c>
      <c r="I275" s="70" t="s">
        <v>1422</v>
      </c>
      <c r="J275" s="71" t="s">
        <v>1978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1423</v>
      </c>
      <c r="F276" s="174">
        <f>'Manual inputs'!E101</f>
        <v>5100</v>
      </c>
      <c r="G276" s="175">
        <f>'Manual inputs'!F101</f>
        <v>4.3999999999999997E-2</v>
      </c>
      <c r="H276" s="80"/>
      <c r="I276" s="174">
        <f>'Manual inputs'!H101</f>
        <v>580</v>
      </c>
      <c r="J276" s="109">
        <f>'Manual inputs'!K$66</f>
        <v>0</v>
      </c>
      <c r="K276" s="72"/>
      <c r="L276" s="72">
        <f t="shared" ref="L276:L283" si="32">M276/(1+G276)</f>
        <v>4679.1738230501605</v>
      </c>
      <c r="M276" s="72">
        <f t="shared" ref="M276:M283" si="33">N276/(1+G276)</f>
        <v>4885.0574712643675</v>
      </c>
      <c r="N276" s="87">
        <f>IF(UPPER(Settings!$B$3)="EGY",F276,0)</f>
        <v>5100</v>
      </c>
      <c r="O276" s="72">
        <f t="shared" ref="O276:AE276" si="34">$N276*(1+$G276)^(O$274-$N$274)*(1+O$320)^$J276</f>
        <v>5324.4000000000005</v>
      </c>
      <c r="P276" s="72">
        <f t="shared" si="34"/>
        <v>5558.6736000000001</v>
      </c>
      <c r="Q276" s="72">
        <f t="shared" si="34"/>
        <v>5803.255238400001</v>
      </c>
      <c r="R276" s="72">
        <f t="shared" si="34"/>
        <v>6058.5984688896006</v>
      </c>
      <c r="S276" s="72">
        <f t="shared" si="34"/>
        <v>6325.1768015207426</v>
      </c>
      <c r="T276" s="72">
        <f t="shared" si="34"/>
        <v>6603.4845807876563</v>
      </c>
      <c r="U276" s="72">
        <f t="shared" si="34"/>
        <v>6894.0379023423138</v>
      </c>
      <c r="V276" s="72">
        <f t="shared" si="34"/>
        <v>7197.3755700453748</v>
      </c>
      <c r="W276" s="72">
        <f t="shared" si="34"/>
        <v>7514.0600951273718</v>
      </c>
      <c r="X276" s="72">
        <f t="shared" si="34"/>
        <v>7844.6787393129762</v>
      </c>
      <c r="Y276" s="72">
        <f t="shared" si="34"/>
        <v>8189.8446038427483</v>
      </c>
      <c r="Z276" s="72">
        <f t="shared" si="34"/>
        <v>8550.1977664118276</v>
      </c>
      <c r="AA276" s="72">
        <f t="shared" si="34"/>
        <v>8926.4064681339478</v>
      </c>
      <c r="AB276" s="72">
        <f t="shared" si="34"/>
        <v>9319.1683527318437</v>
      </c>
      <c r="AC276" s="72">
        <f t="shared" si="34"/>
        <v>9729.2117602520448</v>
      </c>
      <c r="AD276" s="72">
        <f t="shared" si="34"/>
        <v>10157.297077703133</v>
      </c>
      <c r="AE276" s="72">
        <f t="shared" si="34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1355</v>
      </c>
      <c r="E277" s="70" t="s">
        <v>1423</v>
      </c>
      <c r="F277" s="174">
        <f>'Manual inputs'!E102</f>
        <v>4800</v>
      </c>
      <c r="G277" s="175">
        <f>'Manual inputs'!F102</f>
        <v>4.3999999999999997E-2</v>
      </c>
      <c r="H277" s="80"/>
      <c r="I277" s="174">
        <f>'Manual inputs'!H102</f>
        <v>300</v>
      </c>
      <c r="J277" s="109">
        <f>'Manual inputs'!K$67</f>
        <v>0</v>
      </c>
      <c r="K277" s="72"/>
      <c r="L277" s="72">
        <f t="shared" si="32"/>
        <v>4403.9283040472101</v>
      </c>
      <c r="M277" s="72">
        <f t="shared" si="33"/>
        <v>4597.7011494252874</v>
      </c>
      <c r="N277" s="87">
        <f>IF(UPPER(Settings!$B$3)="EGY",F277,0)</f>
        <v>4800</v>
      </c>
      <c r="O277" s="72">
        <f t="shared" ref="O277:AE277" si="35">$N277*(1+$G277)^(O$274-$N$274)*(1+O$321)^$J277</f>
        <v>5011.2</v>
      </c>
      <c r="P277" s="72">
        <f t="shared" si="35"/>
        <v>5231.6927999999998</v>
      </c>
      <c r="Q277" s="72">
        <f t="shared" si="35"/>
        <v>5461.8872832000006</v>
      </c>
      <c r="R277" s="72">
        <f t="shared" si="35"/>
        <v>5702.2103236608</v>
      </c>
      <c r="S277" s="72">
        <f t="shared" si="35"/>
        <v>5953.1075779018756</v>
      </c>
      <c r="T277" s="72">
        <f t="shared" si="35"/>
        <v>6215.0443113295587</v>
      </c>
      <c r="U277" s="72">
        <f t="shared" si="35"/>
        <v>6488.5062610280602</v>
      </c>
      <c r="V277" s="72">
        <f t="shared" si="35"/>
        <v>6774.0005365132938</v>
      </c>
      <c r="W277" s="72">
        <f t="shared" si="35"/>
        <v>7072.0565601198796</v>
      </c>
      <c r="X277" s="72">
        <f t="shared" si="35"/>
        <v>7383.227048765154</v>
      </c>
      <c r="Y277" s="72">
        <f t="shared" si="35"/>
        <v>7708.0890389108217</v>
      </c>
      <c r="Z277" s="72">
        <f t="shared" si="35"/>
        <v>8047.244956622897</v>
      </c>
      <c r="AA277" s="72">
        <f t="shared" si="35"/>
        <v>8401.323734714304</v>
      </c>
      <c r="AB277" s="72">
        <f t="shared" si="35"/>
        <v>8770.981979041735</v>
      </c>
      <c r="AC277" s="72">
        <f t="shared" si="35"/>
        <v>9156.9051861195712</v>
      </c>
      <c r="AD277" s="72">
        <f t="shared" si="35"/>
        <v>9559.809014308832</v>
      </c>
      <c r="AE277" s="72">
        <f t="shared" si="35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1359</v>
      </c>
      <c r="E278" s="70" t="s">
        <v>1423</v>
      </c>
      <c r="F278" s="174">
        <f>'Manual inputs'!E103</f>
        <v>0</v>
      </c>
      <c r="G278" s="175">
        <f>'Manual inputs'!F103</f>
        <v>0</v>
      </c>
      <c r="H278" s="80"/>
      <c r="I278" s="174">
        <f>'Manual inputs'!H103</f>
        <v>0</v>
      </c>
      <c r="J278" s="109">
        <f>'Manual inputs'!K$68</f>
        <v>0</v>
      </c>
      <c r="K278" s="72"/>
      <c r="L278" s="72">
        <f t="shared" si="32"/>
        <v>0</v>
      </c>
      <c r="M278" s="72">
        <f t="shared" si="33"/>
        <v>0</v>
      </c>
      <c r="N278" s="87">
        <f>IF(UPPER(Settings!$B$3)="EGY",F278,0)</f>
        <v>0</v>
      </c>
      <c r="O278" s="72">
        <f t="shared" ref="O278:AE278" si="36">$N278*(1+$G278)^(O$274-$N$274)*(1+O$322)^$J278</f>
        <v>0</v>
      </c>
      <c r="P278" s="72">
        <f t="shared" si="36"/>
        <v>0</v>
      </c>
      <c r="Q278" s="72">
        <f t="shared" si="36"/>
        <v>0</v>
      </c>
      <c r="R278" s="72">
        <f t="shared" si="36"/>
        <v>0</v>
      </c>
      <c r="S278" s="72">
        <f t="shared" si="36"/>
        <v>0</v>
      </c>
      <c r="T278" s="72">
        <f t="shared" si="36"/>
        <v>0</v>
      </c>
      <c r="U278" s="72">
        <f t="shared" si="36"/>
        <v>0</v>
      </c>
      <c r="V278" s="72">
        <f t="shared" si="36"/>
        <v>0</v>
      </c>
      <c r="W278" s="72">
        <f t="shared" si="36"/>
        <v>0</v>
      </c>
      <c r="X278" s="72">
        <f t="shared" si="36"/>
        <v>0</v>
      </c>
      <c r="Y278" s="72">
        <f t="shared" si="36"/>
        <v>0</v>
      </c>
      <c r="Z278" s="72">
        <f t="shared" si="36"/>
        <v>0</v>
      </c>
      <c r="AA278" s="72">
        <f t="shared" si="36"/>
        <v>0</v>
      </c>
      <c r="AB278" s="72">
        <f t="shared" si="36"/>
        <v>0</v>
      </c>
      <c r="AC278" s="72">
        <f t="shared" si="36"/>
        <v>0</v>
      </c>
      <c r="AD278" s="72">
        <f t="shared" si="36"/>
        <v>0</v>
      </c>
      <c r="AE278" s="72">
        <f t="shared" si="3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1363</v>
      </c>
      <c r="E279" s="70" t="s">
        <v>1424</v>
      </c>
      <c r="F279" s="174">
        <f>'Manual inputs'!E104</f>
        <v>50000</v>
      </c>
      <c r="G279" s="175">
        <f>'Manual inputs'!F104</f>
        <v>3.3000000000000002E-2</v>
      </c>
      <c r="H279" s="80"/>
      <c r="I279" s="174">
        <f>'Manual inputs'!H104</f>
        <v>800</v>
      </c>
      <c r="J279" s="109">
        <f>'Manual inputs'!K$69</f>
        <v>0</v>
      </c>
      <c r="K279" s="72"/>
      <c r="L279" s="72">
        <f t="shared" si="32"/>
        <v>46856.447775209017</v>
      </c>
      <c r="M279" s="72">
        <f t="shared" si="33"/>
        <v>48402.710551790908</v>
      </c>
      <c r="N279" s="87">
        <f>IF(UPPER(Settings!$B$3)="EGY",F279,0)</f>
        <v>50000</v>
      </c>
      <c r="O279" s="72">
        <f t="shared" ref="O279:AE279" si="37">$N279*(1+$G279)^(O$274-$N$274)*(1+O$323)^$J279</f>
        <v>51649.999999999993</v>
      </c>
      <c r="P279" s="72">
        <f t="shared" si="37"/>
        <v>53354.44999999999</v>
      </c>
      <c r="Q279" s="72">
        <f t="shared" si="37"/>
        <v>55115.146849999983</v>
      </c>
      <c r="R279" s="72">
        <f t="shared" si="37"/>
        <v>56933.946696049978</v>
      </c>
      <c r="S279" s="72">
        <f t="shared" si="37"/>
        <v>58812.766937019624</v>
      </c>
      <c r="T279" s="72">
        <f t="shared" si="37"/>
        <v>60753.588245941261</v>
      </c>
      <c r="U279" s="72">
        <f t="shared" si="37"/>
        <v>62758.456658057316</v>
      </c>
      <c r="V279" s="72">
        <f t="shared" si="37"/>
        <v>64829.485727773194</v>
      </c>
      <c r="W279" s="72">
        <f t="shared" si="37"/>
        <v>66968.858756789705</v>
      </c>
      <c r="X279" s="72">
        <f t="shared" si="37"/>
        <v>69178.831095763744</v>
      </c>
      <c r="Y279" s="72">
        <f t="shared" si="37"/>
        <v>71461.732521923957</v>
      </c>
      <c r="Z279" s="72">
        <f t="shared" si="37"/>
        <v>73819.969695147433</v>
      </c>
      <c r="AA279" s="72">
        <f t="shared" si="37"/>
        <v>76256.028695087298</v>
      </c>
      <c r="AB279" s="72">
        <f t="shared" si="37"/>
        <v>78772.477642025158</v>
      </c>
      <c r="AC279" s="72">
        <f t="shared" si="37"/>
        <v>81371.969404211981</v>
      </c>
      <c r="AD279" s="72">
        <f t="shared" si="37"/>
        <v>84057.244394550973</v>
      </c>
      <c r="AE279" s="72">
        <f t="shared" si="37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1425</v>
      </c>
      <c r="E280" s="70" t="s">
        <v>1426</v>
      </c>
      <c r="F280" s="174">
        <f>'Manual inputs'!E105</f>
        <v>1785</v>
      </c>
      <c r="G280" s="175">
        <f>'Manual inputs'!F105</f>
        <v>2.1999999999999999E-2</v>
      </c>
      <c r="H280" s="80"/>
      <c r="I280" s="174">
        <f>'Manual inputs'!H105</f>
        <v>120</v>
      </c>
      <c r="J280" s="109">
        <f>'Manual inputs'!K$70</f>
        <v>0</v>
      </c>
      <c r="K280" s="72"/>
      <c r="L280" s="72">
        <f t="shared" si="32"/>
        <v>1708.9778302013242</v>
      </c>
      <c r="M280" s="72">
        <f t="shared" si="33"/>
        <v>1746.5753424657535</v>
      </c>
      <c r="N280" s="87">
        <f>IF(UPPER(Settings!$B$3)="EGY",F280,0)</f>
        <v>1785</v>
      </c>
      <c r="O280" s="72">
        <f t="shared" ref="O280:AE280" si="38">$N280*(1+$G280)^(O$274-$N$274)*(1+O$324)^$J280</f>
        <v>1824.27</v>
      </c>
      <c r="P280" s="72">
        <f t="shared" si="38"/>
        <v>1864.4039399999999</v>
      </c>
      <c r="Q280" s="72">
        <f t="shared" si="38"/>
        <v>1905.4208266800001</v>
      </c>
      <c r="R280" s="72">
        <f t="shared" si="38"/>
        <v>1947.3400848669601</v>
      </c>
      <c r="S280" s="72">
        <f t="shared" si="38"/>
        <v>1990.1815667340331</v>
      </c>
      <c r="T280" s="72">
        <f t="shared" si="38"/>
        <v>2033.9655612021818</v>
      </c>
      <c r="U280" s="72">
        <f t="shared" si="38"/>
        <v>2078.7128035486298</v>
      </c>
      <c r="V280" s="72">
        <f t="shared" si="38"/>
        <v>2124.4444852267002</v>
      </c>
      <c r="W280" s="72">
        <f t="shared" si="38"/>
        <v>2171.1822639016873</v>
      </c>
      <c r="X280" s="72">
        <f t="shared" si="38"/>
        <v>2218.9482737075245</v>
      </c>
      <c r="Y280" s="72">
        <f t="shared" si="38"/>
        <v>2267.7651357290902</v>
      </c>
      <c r="Z280" s="72">
        <f t="shared" si="38"/>
        <v>2317.6559687151303</v>
      </c>
      <c r="AA280" s="72">
        <f t="shared" si="38"/>
        <v>2368.644400026863</v>
      </c>
      <c r="AB280" s="72">
        <f t="shared" si="38"/>
        <v>2420.7545768274535</v>
      </c>
      <c r="AC280" s="72">
        <f t="shared" si="38"/>
        <v>2474.0111775176579</v>
      </c>
      <c r="AD280" s="72">
        <f t="shared" si="38"/>
        <v>2528.4394234230463</v>
      </c>
      <c r="AE280" s="72">
        <f t="shared" si="38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1373</v>
      </c>
      <c r="E281" s="70" t="s">
        <v>1427</v>
      </c>
      <c r="F281" s="174">
        <f>'Manual inputs'!E106</f>
        <v>2800</v>
      </c>
      <c r="G281" s="175">
        <f>'Manual inputs'!F106</f>
        <v>2.1999999999999999E-2</v>
      </c>
      <c r="H281" s="80"/>
      <c r="I281" s="174">
        <f>'Manual inputs'!H106</f>
        <v>1600</v>
      </c>
      <c r="J281" s="109">
        <f>'Manual inputs'!K$71</f>
        <v>0</v>
      </c>
      <c r="K281" s="72"/>
      <c r="L281" s="72">
        <f t="shared" si="32"/>
        <v>2680.7495375707044</v>
      </c>
      <c r="M281" s="72">
        <f t="shared" si="33"/>
        <v>2739.7260273972602</v>
      </c>
      <c r="N281" s="87">
        <f>IF(UPPER(Settings!$B$3)="EGY",F281,0)</f>
        <v>2800</v>
      </c>
      <c r="O281" s="72">
        <f t="shared" ref="O281:AE281" si="39">$N281*(1+$G281)^(O$274-$N$274)*(1+O$325)^$J281</f>
        <v>2861.6</v>
      </c>
      <c r="P281" s="72">
        <f t="shared" si="39"/>
        <v>2924.5551999999998</v>
      </c>
      <c r="Q281" s="72">
        <f t="shared" si="39"/>
        <v>2988.8954143999999</v>
      </c>
      <c r="R281" s="72">
        <f t="shared" si="39"/>
        <v>3054.6511135168003</v>
      </c>
      <c r="S281" s="72">
        <f t="shared" si="39"/>
        <v>3121.8534380141696</v>
      </c>
      <c r="T281" s="72">
        <f t="shared" si="39"/>
        <v>3190.534213650481</v>
      </c>
      <c r="U281" s="72">
        <f t="shared" si="39"/>
        <v>3260.7259663507921</v>
      </c>
      <c r="V281" s="72">
        <f t="shared" si="39"/>
        <v>3332.4619376105097</v>
      </c>
      <c r="W281" s="72">
        <f t="shared" si="39"/>
        <v>3405.7761002379407</v>
      </c>
      <c r="X281" s="72">
        <f t="shared" si="39"/>
        <v>3480.7031744431756</v>
      </c>
      <c r="Y281" s="72">
        <f t="shared" si="39"/>
        <v>3557.2786442809256</v>
      </c>
      <c r="Z281" s="72">
        <f t="shared" si="39"/>
        <v>3635.5387744551062</v>
      </c>
      <c r="AA281" s="72">
        <f t="shared" si="39"/>
        <v>3715.5206274931184</v>
      </c>
      <c r="AB281" s="72">
        <f t="shared" si="39"/>
        <v>3797.2620812979667</v>
      </c>
      <c r="AC281" s="72">
        <f t="shared" si="39"/>
        <v>3880.8018470865222</v>
      </c>
      <c r="AD281" s="72">
        <f t="shared" si="39"/>
        <v>3966.1794877224256</v>
      </c>
      <c r="AE281" s="72">
        <f t="shared" si="39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1378</v>
      </c>
      <c r="E282" s="70" t="s">
        <v>1428</v>
      </c>
      <c r="F282" s="174">
        <f>'Manual inputs'!E107</f>
        <v>600</v>
      </c>
      <c r="G282" s="175">
        <f>'Manual inputs'!F107</f>
        <v>2.1999999999999999E-2</v>
      </c>
      <c r="H282" s="80"/>
      <c r="I282" s="174">
        <f>'Manual inputs'!H107</f>
        <v>80</v>
      </c>
      <c r="J282" s="109">
        <f>'Manual inputs'!K$72</f>
        <v>0</v>
      </c>
      <c r="K282" s="72"/>
      <c r="L282" s="72">
        <f t="shared" si="32"/>
        <v>574.44632947943671</v>
      </c>
      <c r="M282" s="72">
        <f t="shared" si="33"/>
        <v>587.08414872798437</v>
      </c>
      <c r="N282" s="87">
        <f>IF(UPPER(Settings!$B$3)="EGY",F282,0)</f>
        <v>600</v>
      </c>
      <c r="O282" s="72">
        <f t="shared" ref="O282:AE282" si="40">$N282*(1+$G282)^(O$274-$N$274)*(1+O$326)^$J282</f>
        <v>613.20000000000005</v>
      </c>
      <c r="P282" s="72">
        <f t="shared" si="40"/>
        <v>626.69039999999995</v>
      </c>
      <c r="Q282" s="72">
        <f t="shared" si="40"/>
        <v>640.47758880000004</v>
      </c>
      <c r="R282" s="72">
        <f t="shared" si="40"/>
        <v>654.56809575360001</v>
      </c>
      <c r="S282" s="72">
        <f t="shared" si="40"/>
        <v>668.96859386017923</v>
      </c>
      <c r="T282" s="72">
        <f t="shared" si="40"/>
        <v>683.68590292510305</v>
      </c>
      <c r="U282" s="72">
        <f t="shared" si="40"/>
        <v>698.72699278945538</v>
      </c>
      <c r="V282" s="72">
        <f t="shared" si="40"/>
        <v>714.09898663082356</v>
      </c>
      <c r="W282" s="72">
        <f t="shared" si="40"/>
        <v>729.80916433670154</v>
      </c>
      <c r="X282" s="72">
        <f t="shared" si="40"/>
        <v>745.86496595210906</v>
      </c>
      <c r="Y282" s="72">
        <f t="shared" si="40"/>
        <v>762.27399520305551</v>
      </c>
      <c r="Z282" s="72">
        <f t="shared" si="40"/>
        <v>779.04402309752277</v>
      </c>
      <c r="AA282" s="72">
        <f t="shared" si="40"/>
        <v>796.18299160566824</v>
      </c>
      <c r="AB282" s="72">
        <f t="shared" si="40"/>
        <v>813.69901742099285</v>
      </c>
      <c r="AC282" s="72">
        <f t="shared" si="40"/>
        <v>831.60039580425473</v>
      </c>
      <c r="AD282" s="72">
        <f t="shared" si="40"/>
        <v>849.89560451194836</v>
      </c>
      <c r="AE282" s="72">
        <f t="shared" si="40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1383</v>
      </c>
      <c r="E283" s="70" t="s">
        <v>1429</v>
      </c>
      <c r="F283" s="174">
        <f>'Manual inputs'!E108</f>
        <v>300</v>
      </c>
      <c r="G283" s="175">
        <f>'Manual inputs'!F108</f>
        <v>5.5E-2</v>
      </c>
      <c r="H283" s="80"/>
      <c r="I283" s="174">
        <f>'Manual inputs'!H108</f>
        <v>167</v>
      </c>
      <c r="J283" s="109">
        <f>'Manual inputs'!K$73</f>
        <v>0</v>
      </c>
      <c r="K283" s="72"/>
      <c r="L283" s="72">
        <f t="shared" si="32"/>
        <v>269.53572471417982</v>
      </c>
      <c r="M283" s="72">
        <f t="shared" si="33"/>
        <v>284.36018957345971</v>
      </c>
      <c r="N283" s="87">
        <f>IF(UPPER(Settings!$B$3)="EGY",F283,0)</f>
        <v>300</v>
      </c>
      <c r="O283" s="72">
        <f t="shared" ref="O283:AE283" si="41">$N283*(1+$G283)^(O$274-$N$274)*(1+O$327)^$J283</f>
        <v>316.5</v>
      </c>
      <c r="P283" s="72">
        <f t="shared" si="41"/>
        <v>333.90749999999997</v>
      </c>
      <c r="Q283" s="72">
        <f t="shared" si="41"/>
        <v>352.27241249999992</v>
      </c>
      <c r="R283" s="72">
        <f t="shared" si="41"/>
        <v>371.64739518749997</v>
      </c>
      <c r="S283" s="72">
        <f t="shared" si="41"/>
        <v>392.0880019228124</v>
      </c>
      <c r="T283" s="72">
        <f t="shared" si="41"/>
        <v>413.65284202856708</v>
      </c>
      <c r="U283" s="72">
        <f t="shared" si="41"/>
        <v>436.40374834013824</v>
      </c>
      <c r="V283" s="72">
        <f t="shared" si="41"/>
        <v>460.40595449884586</v>
      </c>
      <c r="W283" s="72">
        <f t="shared" si="41"/>
        <v>485.72828199628236</v>
      </c>
      <c r="X283" s="72">
        <f t="shared" si="41"/>
        <v>512.44333750607791</v>
      </c>
      <c r="Y283" s="72">
        <f t="shared" si="41"/>
        <v>540.62772106891214</v>
      </c>
      <c r="Z283" s="72">
        <f t="shared" si="41"/>
        <v>570.36224572770232</v>
      </c>
      <c r="AA283" s="72">
        <f t="shared" si="41"/>
        <v>601.73216924272583</v>
      </c>
      <c r="AB283" s="72">
        <f t="shared" si="41"/>
        <v>634.82743855107583</v>
      </c>
      <c r="AC283" s="72">
        <f t="shared" si="41"/>
        <v>669.74294767138485</v>
      </c>
      <c r="AD283" s="72">
        <f t="shared" si="41"/>
        <v>706.57880979331105</v>
      </c>
      <c r="AE283" s="72">
        <f t="shared" si="41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1917</v>
      </c>
      <c r="D284" s="72" t="s">
        <v>1911</v>
      </c>
      <c r="E284" s="72" t="s">
        <v>79</v>
      </c>
      <c r="F284" s="72"/>
      <c r="G284" s="70" t="s">
        <v>1475</v>
      </c>
      <c r="H284" s="86" t="str">
        <f>Settings!$B$3&amp;".mit.cbcov."&amp;$G284&amp;"."&amp;$J$5</f>
        <v>egy.mit.cbcov.cbam.tot.1</v>
      </c>
      <c r="I284" s="72"/>
      <c r="J284" s="72"/>
      <c r="K284" s="72"/>
      <c r="L284" s="98">
        <f t="shared" ref="L284:AE284" si="42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98">
        <f t="shared" si="42"/>
        <v>0</v>
      </c>
      <c r="N284" s="98">
        <f t="shared" si="42"/>
        <v>0</v>
      </c>
      <c r="O284" s="98">
        <f t="shared" si="42"/>
        <v>0</v>
      </c>
      <c r="P284" s="98">
        <f t="shared" si="42"/>
        <v>0</v>
      </c>
      <c r="Q284" s="98">
        <f t="shared" si="42"/>
        <v>0</v>
      </c>
      <c r="R284" s="98">
        <f t="shared" si="42"/>
        <v>0</v>
      </c>
      <c r="S284" s="98">
        <f t="shared" si="42"/>
        <v>0</v>
      </c>
      <c r="T284" s="98">
        <f t="shared" si="42"/>
        <v>0</v>
      </c>
      <c r="U284" s="98">
        <f t="shared" si="42"/>
        <v>0</v>
      </c>
      <c r="V284" s="98">
        <f t="shared" si="42"/>
        <v>0</v>
      </c>
      <c r="W284" s="98">
        <f t="shared" si="42"/>
        <v>0</v>
      </c>
      <c r="X284" s="98">
        <f t="shared" si="42"/>
        <v>0</v>
      </c>
      <c r="Y284" s="98">
        <f t="shared" si="42"/>
        <v>0</v>
      </c>
      <c r="Z284" s="98">
        <f t="shared" si="42"/>
        <v>0</v>
      </c>
      <c r="AA284" s="98">
        <f t="shared" si="42"/>
        <v>0</v>
      </c>
      <c r="AB284" s="98">
        <f t="shared" si="42"/>
        <v>0</v>
      </c>
      <c r="AC284" s="98">
        <f t="shared" si="42"/>
        <v>0</v>
      </c>
      <c r="AD284" s="98">
        <f t="shared" si="42"/>
        <v>0</v>
      </c>
      <c r="AE284" s="98">
        <f t="shared" si="42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1912</v>
      </c>
      <c r="E285" s="72" t="s">
        <v>1913</v>
      </c>
      <c r="F285" s="72"/>
      <c r="G285" s="70" t="s">
        <v>1475</v>
      </c>
      <c r="H285" s="86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3">IF(SUM(L$276:L$283)=0,0,L$380*1000/SUM(L$276:L$283))</f>
        <v>0.78607862103016568</v>
      </c>
      <c r="M285" s="76">
        <f t="shared" si="43"/>
        <v>0.7854918840873516</v>
      </c>
      <c r="N285" s="76">
        <f t="shared" si="43"/>
        <v>0.78490313162040215</v>
      </c>
      <c r="O285" s="76">
        <f t="shared" si="43"/>
        <v>0.78431240712425543</v>
      </c>
      <c r="P285" s="76">
        <f t="shared" si="43"/>
        <v>0.78371975541429295</v>
      </c>
      <c r="Q285" s="76">
        <f t="shared" si="43"/>
        <v>0.78312522264570272</v>
      </c>
      <c r="R285" s="76">
        <f t="shared" si="43"/>
        <v>0.78252885633289471</v>
      </c>
      <c r="S285" s="76">
        <f t="shared" si="43"/>
        <v>0.78193070536897147</v>
      </c>
      <c r="T285" s="76">
        <f t="shared" si="43"/>
        <v>0.78133082004524113</v>
      </c>
      <c r="U285" s="76">
        <f t="shared" si="43"/>
        <v>0.78072925207077082</v>
      </c>
      <c r="V285" s="76">
        <f t="shared" si="43"/>
        <v>0.78012605459196904</v>
      </c>
      <c r="W285" s="76">
        <f t="shared" si="43"/>
        <v>0.77952128221219807</v>
      </c>
      <c r="X285" s="76">
        <f t="shared" si="43"/>
        <v>0.77891499101139872</v>
      </c>
      <c r="Y285" s="76">
        <f t="shared" si="43"/>
        <v>0.7783072385657307</v>
      </c>
      <c r="Z285" s="76">
        <f t="shared" si="43"/>
        <v>0.77769808396721452</v>
      </c>
      <c r="AA285" s="76">
        <f t="shared" si="43"/>
        <v>0.77708758784337062</v>
      </c>
      <c r="AB285" s="76">
        <f t="shared" si="43"/>
        <v>0.7764758123768456</v>
      </c>
      <c r="AC285" s="76">
        <f t="shared" si="43"/>
        <v>0.77586282132501894</v>
      </c>
      <c r="AD285" s="76">
        <f t="shared" si="43"/>
        <v>0.77524868003958436</v>
      </c>
      <c r="AE285" s="76">
        <f t="shared" si="43"/>
        <v>0.77463345548608975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1914</v>
      </c>
      <c r="E286" s="72" t="s">
        <v>79</v>
      </c>
      <c r="F286" s="72"/>
      <c r="G286" s="70" t="s">
        <v>1475</v>
      </c>
      <c r="H286" s="86" t="str">
        <f>Settings!$B$3&amp;".mit.cbintch."&amp;$G286&amp;"."&amp;$J$5</f>
        <v>egy.mit.cbintch.cbam.tot.1</v>
      </c>
      <c r="I286" s="72"/>
      <c r="J286" s="72"/>
      <c r="K286" s="72"/>
      <c r="L286" s="98">
        <f t="shared" ref="L286:AE286" si="44">IF((SUM(L$330:L$337)+SUM(L$341:L$348))=0,0,L$380/(SUM(L$330:L$337)+SUM(L$341:L$348))-1)</f>
        <v>0</v>
      </c>
      <c r="M286" s="98">
        <f t="shared" si="44"/>
        <v>0</v>
      </c>
      <c r="N286" s="98">
        <f t="shared" si="44"/>
        <v>0</v>
      </c>
      <c r="O286" s="98">
        <f t="shared" si="44"/>
        <v>0</v>
      </c>
      <c r="P286" s="98">
        <f t="shared" si="44"/>
        <v>-1.1102230246251565E-16</v>
      </c>
      <c r="Q286" s="98">
        <f t="shared" si="44"/>
        <v>0</v>
      </c>
      <c r="R286" s="98">
        <f t="shared" si="44"/>
        <v>2.2204460492503131E-16</v>
      </c>
      <c r="S286" s="98">
        <f t="shared" si="44"/>
        <v>-1.1102230246251565E-16</v>
      </c>
      <c r="T286" s="98">
        <f t="shared" si="44"/>
        <v>0</v>
      </c>
      <c r="U286" s="98">
        <f t="shared" si="44"/>
        <v>0</v>
      </c>
      <c r="V286" s="98">
        <f t="shared" si="44"/>
        <v>0</v>
      </c>
      <c r="W286" s="98">
        <f t="shared" si="44"/>
        <v>0</v>
      </c>
      <c r="X286" s="98">
        <f t="shared" si="44"/>
        <v>0</v>
      </c>
      <c r="Y286" s="98">
        <f t="shared" si="44"/>
        <v>0</v>
      </c>
      <c r="Z286" s="98">
        <f t="shared" si="44"/>
        <v>0</v>
      </c>
      <c r="AA286" s="98">
        <f t="shared" si="44"/>
        <v>0</v>
      </c>
      <c r="AB286" s="98">
        <f t="shared" si="44"/>
        <v>2.2204460492503131E-16</v>
      </c>
      <c r="AC286" s="98">
        <f t="shared" si="44"/>
        <v>0</v>
      </c>
      <c r="AD286" s="98">
        <f t="shared" si="44"/>
        <v>2.2204460492503131E-16</v>
      </c>
      <c r="AE286" s="98">
        <f t="shared" si="44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1430</v>
      </c>
      <c r="D287" s="73" t="s">
        <v>1323</v>
      </c>
      <c r="E287" s="70" t="s">
        <v>1431</v>
      </c>
      <c r="F287" s="70" t="s">
        <v>1323</v>
      </c>
      <c r="G287" s="70" t="s">
        <v>1432</v>
      </c>
      <c r="H287" s="70"/>
      <c r="I287" s="71"/>
      <c r="J287" s="71"/>
      <c r="K287" s="72"/>
      <c r="L287" s="74">
        <f t="shared" ref="L287:AE287" si="45">L274</f>
        <v>2022</v>
      </c>
      <c r="M287" s="74">
        <f t="shared" si="45"/>
        <v>2023</v>
      </c>
      <c r="N287" s="74">
        <f t="shared" si="45"/>
        <v>2024</v>
      </c>
      <c r="O287" s="74">
        <f t="shared" si="45"/>
        <v>2025</v>
      </c>
      <c r="P287" s="74">
        <f t="shared" si="45"/>
        <v>2026</v>
      </c>
      <c r="Q287" s="74">
        <f t="shared" si="45"/>
        <v>2027</v>
      </c>
      <c r="R287" s="74">
        <f t="shared" si="45"/>
        <v>2028</v>
      </c>
      <c r="S287" s="74">
        <f t="shared" si="45"/>
        <v>2029</v>
      </c>
      <c r="T287" s="74">
        <f t="shared" si="45"/>
        <v>2030</v>
      </c>
      <c r="U287" s="74">
        <f t="shared" si="45"/>
        <v>2031</v>
      </c>
      <c r="V287" s="74">
        <f t="shared" si="45"/>
        <v>2032</v>
      </c>
      <c r="W287" s="74">
        <f t="shared" si="45"/>
        <v>2033</v>
      </c>
      <c r="X287" s="74">
        <f t="shared" si="45"/>
        <v>2034</v>
      </c>
      <c r="Y287" s="74">
        <f t="shared" si="45"/>
        <v>2035</v>
      </c>
      <c r="Z287" s="74">
        <f t="shared" si="45"/>
        <v>2036</v>
      </c>
      <c r="AA287" s="74">
        <f t="shared" si="45"/>
        <v>2037</v>
      </c>
      <c r="AB287" s="74">
        <f t="shared" si="45"/>
        <v>2038</v>
      </c>
      <c r="AC287" s="74">
        <f t="shared" si="45"/>
        <v>2039</v>
      </c>
      <c r="AD287" s="74">
        <f t="shared" si="45"/>
        <v>2040</v>
      </c>
      <c r="AE287" s="74">
        <f t="shared" si="45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1433</v>
      </c>
      <c r="E288" s="86" t="s">
        <v>1434</v>
      </c>
      <c r="F288" s="70" t="s">
        <v>1435</v>
      </c>
      <c r="G288" s="174">
        <f>'Manual inputs'!I101</f>
        <v>750</v>
      </c>
      <c r="H288" s="72"/>
      <c r="I288" s="70"/>
      <c r="J288" s="70"/>
      <c r="K288" s="72"/>
      <c r="L288" s="72">
        <f t="shared" ref="L288:L295" si="46">G288</f>
        <v>750</v>
      </c>
      <c r="M288" s="72">
        <f t="shared" ref="M288:M295" si="47">G288</f>
        <v>750</v>
      </c>
      <c r="N288" s="72">
        <f t="shared" ref="N288:N295" si="48">G288</f>
        <v>750</v>
      </c>
      <c r="O288" s="72">
        <f t="shared" ref="O288:O295" si="49">G288</f>
        <v>750</v>
      </c>
      <c r="P288" s="72">
        <f t="shared" ref="P288:P295" si="50">G288</f>
        <v>750</v>
      </c>
      <c r="Q288" s="72">
        <f t="shared" ref="Q288:Q295" si="51">G288</f>
        <v>750</v>
      </c>
      <c r="R288" s="72">
        <f t="shared" ref="R288:R295" si="52">G288</f>
        <v>750</v>
      </c>
      <c r="S288" s="72">
        <f t="shared" ref="S288:S295" si="53">G288</f>
        <v>750</v>
      </c>
      <c r="T288" s="72">
        <f t="shared" ref="T288:T295" si="54">G288</f>
        <v>750</v>
      </c>
      <c r="U288" s="72">
        <f t="shared" ref="U288:U295" si="55">G288</f>
        <v>750</v>
      </c>
      <c r="V288" s="72">
        <f t="shared" ref="V288:V295" si="56">G288</f>
        <v>750</v>
      </c>
      <c r="W288" s="72">
        <f t="shared" ref="W288:W295" si="57">G288</f>
        <v>750</v>
      </c>
      <c r="X288" s="72">
        <f t="shared" ref="X288:X295" si="58">G288</f>
        <v>750</v>
      </c>
      <c r="Y288" s="72">
        <f t="shared" ref="Y288:Y295" si="59">G288</f>
        <v>750</v>
      </c>
      <c r="Z288" s="72">
        <f t="shared" ref="Z288:Z295" si="60">G288</f>
        <v>750</v>
      </c>
      <c r="AA288" s="72">
        <f t="shared" ref="AA288:AA295" si="61">G288</f>
        <v>750</v>
      </c>
      <c r="AB288" s="72">
        <f t="shared" ref="AB288:AB295" si="62">G288</f>
        <v>750</v>
      </c>
      <c r="AC288" s="72">
        <f t="shared" ref="AC288:AC295" si="63">G288</f>
        <v>750</v>
      </c>
      <c r="AD288" s="72">
        <f t="shared" ref="AD288:AD295" si="64">G288</f>
        <v>750</v>
      </c>
      <c r="AE288" s="72">
        <f t="shared" ref="AE288:AE295" si="65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1436</v>
      </c>
      <c r="E289" s="86" t="s">
        <v>1437</v>
      </c>
      <c r="F289" s="70" t="s">
        <v>1438</v>
      </c>
      <c r="G289" s="174">
        <f>'Manual inputs'!I102</f>
        <v>680</v>
      </c>
      <c r="H289" s="70"/>
      <c r="I289" s="70"/>
      <c r="J289" s="70"/>
      <c r="K289" s="72"/>
      <c r="L289" s="72">
        <f t="shared" si="46"/>
        <v>680</v>
      </c>
      <c r="M289" s="72">
        <f t="shared" si="47"/>
        <v>680</v>
      </c>
      <c r="N289" s="72">
        <f t="shared" si="48"/>
        <v>680</v>
      </c>
      <c r="O289" s="72">
        <f t="shared" si="49"/>
        <v>680</v>
      </c>
      <c r="P289" s="72">
        <f t="shared" si="50"/>
        <v>680</v>
      </c>
      <c r="Q289" s="72">
        <f t="shared" si="51"/>
        <v>680</v>
      </c>
      <c r="R289" s="72">
        <f t="shared" si="52"/>
        <v>680</v>
      </c>
      <c r="S289" s="72">
        <f t="shared" si="53"/>
        <v>680</v>
      </c>
      <c r="T289" s="72">
        <f t="shared" si="54"/>
        <v>680</v>
      </c>
      <c r="U289" s="72">
        <f t="shared" si="55"/>
        <v>680</v>
      </c>
      <c r="V289" s="72">
        <f t="shared" si="56"/>
        <v>680</v>
      </c>
      <c r="W289" s="72">
        <f t="shared" si="57"/>
        <v>680</v>
      </c>
      <c r="X289" s="72">
        <f t="shared" si="58"/>
        <v>680</v>
      </c>
      <c r="Y289" s="72">
        <f t="shared" si="59"/>
        <v>680</v>
      </c>
      <c r="Z289" s="72">
        <f t="shared" si="60"/>
        <v>680</v>
      </c>
      <c r="AA289" s="72">
        <f t="shared" si="61"/>
        <v>680</v>
      </c>
      <c r="AB289" s="72">
        <f t="shared" si="62"/>
        <v>680</v>
      </c>
      <c r="AC289" s="72">
        <f t="shared" si="63"/>
        <v>680</v>
      </c>
      <c r="AD289" s="72">
        <f t="shared" si="64"/>
        <v>680</v>
      </c>
      <c r="AE289" s="72">
        <f t="shared" si="65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1439</v>
      </c>
      <c r="E290" s="86" t="s">
        <v>1440</v>
      </c>
      <c r="F290" s="70" t="s">
        <v>1441</v>
      </c>
      <c r="G290" s="174">
        <f>'Manual inputs'!I103</f>
        <v>620</v>
      </c>
      <c r="H290" s="70"/>
      <c r="I290" s="70"/>
      <c r="J290" s="70"/>
      <c r="K290" s="72"/>
      <c r="L290" s="72">
        <f t="shared" si="46"/>
        <v>620</v>
      </c>
      <c r="M290" s="72">
        <f t="shared" si="47"/>
        <v>620</v>
      </c>
      <c r="N290" s="72">
        <f t="shared" si="48"/>
        <v>620</v>
      </c>
      <c r="O290" s="72">
        <f t="shared" si="49"/>
        <v>620</v>
      </c>
      <c r="P290" s="72">
        <f t="shared" si="50"/>
        <v>620</v>
      </c>
      <c r="Q290" s="72">
        <f t="shared" si="51"/>
        <v>620</v>
      </c>
      <c r="R290" s="72">
        <f t="shared" si="52"/>
        <v>620</v>
      </c>
      <c r="S290" s="72">
        <f t="shared" si="53"/>
        <v>620</v>
      </c>
      <c r="T290" s="72">
        <f t="shared" si="54"/>
        <v>620</v>
      </c>
      <c r="U290" s="72">
        <f t="shared" si="55"/>
        <v>620</v>
      </c>
      <c r="V290" s="72">
        <f t="shared" si="56"/>
        <v>620</v>
      </c>
      <c r="W290" s="72">
        <f t="shared" si="57"/>
        <v>620</v>
      </c>
      <c r="X290" s="72">
        <f t="shared" si="58"/>
        <v>620</v>
      </c>
      <c r="Y290" s="72">
        <f t="shared" si="59"/>
        <v>620</v>
      </c>
      <c r="Z290" s="72">
        <f t="shared" si="60"/>
        <v>620</v>
      </c>
      <c r="AA290" s="72">
        <f t="shared" si="61"/>
        <v>620</v>
      </c>
      <c r="AB290" s="72">
        <f t="shared" si="62"/>
        <v>620</v>
      </c>
      <c r="AC290" s="72">
        <f t="shared" si="63"/>
        <v>620</v>
      </c>
      <c r="AD290" s="72">
        <f t="shared" si="64"/>
        <v>620</v>
      </c>
      <c r="AE290" s="72">
        <f t="shared" si="65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1442</v>
      </c>
      <c r="E291" s="86" t="s">
        <v>1443</v>
      </c>
      <c r="F291" s="70" t="s">
        <v>1444</v>
      </c>
      <c r="G291" s="174">
        <f>'Manual inputs'!I104</f>
        <v>110</v>
      </c>
      <c r="H291" s="70"/>
      <c r="I291" s="70"/>
      <c r="J291" s="70"/>
      <c r="K291" s="72"/>
      <c r="L291" s="72">
        <f t="shared" si="46"/>
        <v>110</v>
      </c>
      <c r="M291" s="72">
        <f t="shared" si="47"/>
        <v>110</v>
      </c>
      <c r="N291" s="72">
        <f t="shared" si="48"/>
        <v>110</v>
      </c>
      <c r="O291" s="72">
        <f t="shared" si="49"/>
        <v>110</v>
      </c>
      <c r="P291" s="72">
        <f t="shared" si="50"/>
        <v>110</v>
      </c>
      <c r="Q291" s="72">
        <f t="shared" si="51"/>
        <v>110</v>
      </c>
      <c r="R291" s="72">
        <f t="shared" si="52"/>
        <v>110</v>
      </c>
      <c r="S291" s="72">
        <f t="shared" si="53"/>
        <v>110</v>
      </c>
      <c r="T291" s="72">
        <f t="shared" si="54"/>
        <v>110</v>
      </c>
      <c r="U291" s="72">
        <f t="shared" si="55"/>
        <v>110</v>
      </c>
      <c r="V291" s="72">
        <f t="shared" si="56"/>
        <v>110</v>
      </c>
      <c r="W291" s="72">
        <f t="shared" si="57"/>
        <v>110</v>
      </c>
      <c r="X291" s="72">
        <f t="shared" si="58"/>
        <v>110</v>
      </c>
      <c r="Y291" s="72">
        <f t="shared" si="59"/>
        <v>110</v>
      </c>
      <c r="Z291" s="72">
        <f t="shared" si="60"/>
        <v>110</v>
      </c>
      <c r="AA291" s="72">
        <f t="shared" si="61"/>
        <v>110</v>
      </c>
      <c r="AB291" s="72">
        <f t="shared" si="62"/>
        <v>110</v>
      </c>
      <c r="AC291" s="72">
        <f t="shared" si="63"/>
        <v>110</v>
      </c>
      <c r="AD291" s="72">
        <f t="shared" si="64"/>
        <v>110</v>
      </c>
      <c r="AE291" s="72">
        <f t="shared" si="65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1445</v>
      </c>
      <c r="E292" s="86" t="s">
        <v>1446</v>
      </c>
      <c r="F292" s="70" t="s">
        <v>1447</v>
      </c>
      <c r="G292" s="174">
        <f>'Manual inputs'!I105</f>
        <v>450</v>
      </c>
      <c r="H292" s="70"/>
      <c r="I292" s="70"/>
      <c r="J292" s="70"/>
      <c r="K292" s="72"/>
      <c r="L292" s="72">
        <f t="shared" si="46"/>
        <v>450</v>
      </c>
      <c r="M292" s="72">
        <f t="shared" si="47"/>
        <v>450</v>
      </c>
      <c r="N292" s="72">
        <f t="shared" si="48"/>
        <v>450</v>
      </c>
      <c r="O292" s="72">
        <f t="shared" si="49"/>
        <v>450</v>
      </c>
      <c r="P292" s="72">
        <f t="shared" si="50"/>
        <v>450</v>
      </c>
      <c r="Q292" s="72">
        <f t="shared" si="51"/>
        <v>450</v>
      </c>
      <c r="R292" s="72">
        <f t="shared" si="52"/>
        <v>450</v>
      </c>
      <c r="S292" s="72">
        <f t="shared" si="53"/>
        <v>450</v>
      </c>
      <c r="T292" s="72">
        <f t="shared" si="54"/>
        <v>450</v>
      </c>
      <c r="U292" s="72">
        <f t="shared" si="55"/>
        <v>450</v>
      </c>
      <c r="V292" s="72">
        <f t="shared" si="56"/>
        <v>450</v>
      </c>
      <c r="W292" s="72">
        <f t="shared" si="57"/>
        <v>450</v>
      </c>
      <c r="X292" s="72">
        <f t="shared" si="58"/>
        <v>450</v>
      </c>
      <c r="Y292" s="72">
        <f t="shared" si="59"/>
        <v>450</v>
      </c>
      <c r="Z292" s="72">
        <f t="shared" si="60"/>
        <v>450</v>
      </c>
      <c r="AA292" s="72">
        <f t="shared" si="61"/>
        <v>450</v>
      </c>
      <c r="AB292" s="72">
        <f t="shared" si="62"/>
        <v>450</v>
      </c>
      <c r="AC292" s="72">
        <f t="shared" si="63"/>
        <v>450</v>
      </c>
      <c r="AD292" s="72">
        <f t="shared" si="64"/>
        <v>450</v>
      </c>
      <c r="AE292" s="72">
        <f t="shared" si="65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1448</v>
      </c>
      <c r="E293" s="86" t="s">
        <v>1449</v>
      </c>
      <c r="F293" s="70" t="s">
        <v>1450</v>
      </c>
      <c r="G293" s="174">
        <f>'Manual inputs'!I106</f>
        <v>380</v>
      </c>
      <c r="H293" s="70"/>
      <c r="I293" s="70"/>
      <c r="J293" s="70"/>
      <c r="K293" s="72"/>
      <c r="L293" s="72">
        <f t="shared" si="46"/>
        <v>380</v>
      </c>
      <c r="M293" s="72">
        <f t="shared" si="47"/>
        <v>380</v>
      </c>
      <c r="N293" s="72">
        <f t="shared" si="48"/>
        <v>380</v>
      </c>
      <c r="O293" s="72">
        <f t="shared" si="49"/>
        <v>380</v>
      </c>
      <c r="P293" s="72">
        <f t="shared" si="50"/>
        <v>380</v>
      </c>
      <c r="Q293" s="72">
        <f t="shared" si="51"/>
        <v>380</v>
      </c>
      <c r="R293" s="72">
        <f t="shared" si="52"/>
        <v>380</v>
      </c>
      <c r="S293" s="72">
        <f t="shared" si="53"/>
        <v>380</v>
      </c>
      <c r="T293" s="72">
        <f t="shared" si="54"/>
        <v>380</v>
      </c>
      <c r="U293" s="72">
        <f t="shared" si="55"/>
        <v>380</v>
      </c>
      <c r="V293" s="72">
        <f t="shared" si="56"/>
        <v>380</v>
      </c>
      <c r="W293" s="72">
        <f t="shared" si="57"/>
        <v>380</v>
      </c>
      <c r="X293" s="72">
        <f t="shared" si="58"/>
        <v>380</v>
      </c>
      <c r="Y293" s="72">
        <f t="shared" si="59"/>
        <v>380</v>
      </c>
      <c r="Z293" s="72">
        <f t="shared" si="60"/>
        <v>380</v>
      </c>
      <c r="AA293" s="72">
        <f t="shared" si="61"/>
        <v>380</v>
      </c>
      <c r="AB293" s="72">
        <f t="shared" si="62"/>
        <v>380</v>
      </c>
      <c r="AC293" s="72">
        <f t="shared" si="63"/>
        <v>380</v>
      </c>
      <c r="AD293" s="72">
        <f t="shared" si="64"/>
        <v>380</v>
      </c>
      <c r="AE293" s="72">
        <f t="shared" si="65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1451</v>
      </c>
      <c r="E294" s="86" t="s">
        <v>1452</v>
      </c>
      <c r="F294" s="70" t="s">
        <v>1453</v>
      </c>
      <c r="G294" s="174">
        <f>'Manual inputs'!I107</f>
        <v>320</v>
      </c>
      <c r="H294" s="70"/>
      <c r="I294" s="70"/>
      <c r="J294" s="70"/>
      <c r="K294" s="72"/>
      <c r="L294" s="72">
        <f t="shared" si="46"/>
        <v>320</v>
      </c>
      <c r="M294" s="72">
        <f t="shared" si="47"/>
        <v>320</v>
      </c>
      <c r="N294" s="72">
        <f t="shared" si="48"/>
        <v>320</v>
      </c>
      <c r="O294" s="72">
        <f t="shared" si="49"/>
        <v>320</v>
      </c>
      <c r="P294" s="72">
        <f t="shared" si="50"/>
        <v>320</v>
      </c>
      <c r="Q294" s="72">
        <f t="shared" si="51"/>
        <v>320</v>
      </c>
      <c r="R294" s="72">
        <f t="shared" si="52"/>
        <v>320</v>
      </c>
      <c r="S294" s="72">
        <f t="shared" si="53"/>
        <v>320</v>
      </c>
      <c r="T294" s="72">
        <f t="shared" si="54"/>
        <v>320</v>
      </c>
      <c r="U294" s="72">
        <f t="shared" si="55"/>
        <v>320</v>
      </c>
      <c r="V294" s="72">
        <f t="shared" si="56"/>
        <v>320</v>
      </c>
      <c r="W294" s="72">
        <f t="shared" si="57"/>
        <v>320</v>
      </c>
      <c r="X294" s="72">
        <f t="shared" si="58"/>
        <v>320</v>
      </c>
      <c r="Y294" s="72">
        <f t="shared" si="59"/>
        <v>320</v>
      </c>
      <c r="Z294" s="72">
        <f t="shared" si="60"/>
        <v>320</v>
      </c>
      <c r="AA294" s="72">
        <f t="shared" si="61"/>
        <v>320</v>
      </c>
      <c r="AB294" s="72">
        <f t="shared" si="62"/>
        <v>320</v>
      </c>
      <c r="AC294" s="72">
        <f t="shared" si="63"/>
        <v>320</v>
      </c>
      <c r="AD294" s="72">
        <f t="shared" si="64"/>
        <v>320</v>
      </c>
      <c r="AE294" s="72">
        <f t="shared" si="65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1454</v>
      </c>
      <c r="E295" s="86" t="s">
        <v>1455</v>
      </c>
      <c r="F295" s="70" t="s">
        <v>1456</v>
      </c>
      <c r="G295" s="174">
        <f>'Manual inputs'!I108</f>
        <v>2400</v>
      </c>
      <c r="H295" s="70"/>
      <c r="I295" s="70"/>
      <c r="J295" s="70"/>
      <c r="K295" s="72"/>
      <c r="L295" s="72">
        <f t="shared" si="46"/>
        <v>2400</v>
      </c>
      <c r="M295" s="72">
        <f t="shared" si="47"/>
        <v>2400</v>
      </c>
      <c r="N295" s="72">
        <f t="shared" si="48"/>
        <v>2400</v>
      </c>
      <c r="O295" s="72">
        <f t="shared" si="49"/>
        <v>2400</v>
      </c>
      <c r="P295" s="72">
        <f t="shared" si="50"/>
        <v>2400</v>
      </c>
      <c r="Q295" s="72">
        <f t="shared" si="51"/>
        <v>2400</v>
      </c>
      <c r="R295" s="72">
        <f t="shared" si="52"/>
        <v>2400</v>
      </c>
      <c r="S295" s="72">
        <f t="shared" si="53"/>
        <v>2400</v>
      </c>
      <c r="T295" s="72">
        <f t="shared" si="54"/>
        <v>2400</v>
      </c>
      <c r="U295" s="72">
        <f t="shared" si="55"/>
        <v>2400</v>
      </c>
      <c r="V295" s="72">
        <f t="shared" si="56"/>
        <v>2400</v>
      </c>
      <c r="W295" s="72">
        <f t="shared" si="57"/>
        <v>2400</v>
      </c>
      <c r="X295" s="72">
        <f t="shared" si="58"/>
        <v>2400</v>
      </c>
      <c r="Y295" s="72">
        <f t="shared" si="59"/>
        <v>2400</v>
      </c>
      <c r="Z295" s="72">
        <f t="shared" si="60"/>
        <v>2400</v>
      </c>
      <c r="AA295" s="72">
        <f t="shared" si="61"/>
        <v>2400</v>
      </c>
      <c r="AB295" s="72">
        <f t="shared" si="62"/>
        <v>2400</v>
      </c>
      <c r="AC295" s="72">
        <f t="shared" si="63"/>
        <v>2400</v>
      </c>
      <c r="AD295" s="72">
        <f t="shared" si="64"/>
        <v>2400</v>
      </c>
      <c r="AE295" s="72">
        <f t="shared" si="65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1918</v>
      </c>
      <c r="D296" s="72" t="s">
        <v>1915</v>
      </c>
      <c r="E296" s="72" t="s">
        <v>79</v>
      </c>
      <c r="F296" s="72"/>
      <c r="G296" s="70" t="s">
        <v>1475</v>
      </c>
      <c r="H296" s="86" t="str">
        <f>Settings!$B$3&amp;".mit.cbintchx."&amp;$G296&amp;"."&amp;$J$5</f>
        <v>egy.mit.cbintchx.cbam.tot.1</v>
      </c>
      <c r="I296" s="72"/>
      <c r="J296" s="72"/>
      <c r="K296" s="72"/>
      <c r="L296" s="98">
        <f t="shared" ref="L296:AE296" si="66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98">
        <f t="shared" si="66"/>
        <v>0</v>
      </c>
      <c r="N296" s="98">
        <f t="shared" si="66"/>
        <v>0</v>
      </c>
      <c r="O296" s="98">
        <f t="shared" si="66"/>
        <v>0</v>
      </c>
      <c r="P296" s="98">
        <f t="shared" si="66"/>
        <v>0</v>
      </c>
      <c r="Q296" s="98">
        <f t="shared" si="66"/>
        <v>0</v>
      </c>
      <c r="R296" s="98">
        <f t="shared" si="66"/>
        <v>0</v>
      </c>
      <c r="S296" s="98">
        <f t="shared" si="66"/>
        <v>0</v>
      </c>
      <c r="T296" s="98">
        <f t="shared" si="66"/>
        <v>0</v>
      </c>
      <c r="U296" s="98">
        <f t="shared" si="66"/>
        <v>0</v>
      </c>
      <c r="V296" s="98">
        <f t="shared" si="66"/>
        <v>0</v>
      </c>
      <c r="W296" s="98">
        <f t="shared" si="66"/>
        <v>0</v>
      </c>
      <c r="X296" s="98">
        <f t="shared" si="66"/>
        <v>0</v>
      </c>
      <c r="Y296" s="98">
        <f t="shared" si="66"/>
        <v>0</v>
      </c>
      <c r="Z296" s="98">
        <f t="shared" si="66"/>
        <v>0</v>
      </c>
      <c r="AA296" s="98">
        <f t="shared" si="66"/>
        <v>0</v>
      </c>
      <c r="AB296" s="98">
        <f t="shared" si="66"/>
        <v>0</v>
      </c>
      <c r="AC296" s="98">
        <f t="shared" si="66"/>
        <v>0</v>
      </c>
      <c r="AD296" s="98">
        <f t="shared" si="66"/>
        <v>0</v>
      </c>
      <c r="AE296" s="98">
        <f t="shared" si="66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1916</v>
      </c>
      <c r="E297" s="72" t="s">
        <v>79</v>
      </c>
      <c r="F297" s="72"/>
      <c r="G297" s="70" t="s">
        <v>1475</v>
      </c>
      <c r="H297" s="86" t="str">
        <f>Settings!$B$3&amp;".mit.cbcovx."&amp;$G297&amp;"."&amp;$J$5</f>
        <v>egy.mit.cbcovx.cbam.tot.1</v>
      </c>
      <c r="I297" s="72"/>
      <c r="J297" s="72"/>
      <c r="K297" s="72"/>
      <c r="L297" s="98">
        <f t="shared" ref="L297:AE297" si="67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98">
        <f t="shared" si="67"/>
        <v>0</v>
      </c>
      <c r="N297" s="98">
        <f t="shared" si="67"/>
        <v>0</v>
      </c>
      <c r="O297" s="98">
        <f t="shared" si="67"/>
        <v>0</v>
      </c>
      <c r="P297" s="98">
        <f t="shared" si="67"/>
        <v>0</v>
      </c>
      <c r="Q297" s="98">
        <f t="shared" si="67"/>
        <v>0</v>
      </c>
      <c r="R297" s="98">
        <f t="shared" si="67"/>
        <v>0</v>
      </c>
      <c r="S297" s="98">
        <f t="shared" si="67"/>
        <v>0</v>
      </c>
      <c r="T297" s="98">
        <f t="shared" si="67"/>
        <v>0</v>
      </c>
      <c r="U297" s="98">
        <f t="shared" si="67"/>
        <v>0</v>
      </c>
      <c r="V297" s="98">
        <f t="shared" si="67"/>
        <v>0</v>
      </c>
      <c r="W297" s="98">
        <f t="shared" si="67"/>
        <v>0</v>
      </c>
      <c r="X297" s="98">
        <f t="shared" si="67"/>
        <v>0</v>
      </c>
      <c r="Y297" s="98">
        <f t="shared" si="67"/>
        <v>0</v>
      </c>
      <c r="Z297" s="98">
        <f t="shared" si="67"/>
        <v>0</v>
      </c>
      <c r="AA297" s="98">
        <f t="shared" si="67"/>
        <v>0</v>
      </c>
      <c r="AB297" s="98">
        <f t="shared" si="67"/>
        <v>0</v>
      </c>
      <c r="AC297" s="98">
        <f t="shared" si="67"/>
        <v>0</v>
      </c>
      <c r="AD297" s="98">
        <f t="shared" si="67"/>
        <v>0</v>
      </c>
      <c r="AE297" s="98">
        <f t="shared" si="67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1457</v>
      </c>
      <c r="D298" s="73"/>
      <c r="E298" s="72" t="s">
        <v>1879</v>
      </c>
      <c r="F298" s="70" t="s">
        <v>1458</v>
      </c>
      <c r="G298" s="70" t="s">
        <v>1459</v>
      </c>
      <c r="H298" s="71"/>
      <c r="I298" s="71"/>
      <c r="J298" s="71"/>
      <c r="K298" s="72"/>
      <c r="L298" s="74">
        <f t="shared" ref="L298:AE298" si="68">L246</f>
        <v>2022</v>
      </c>
      <c r="M298" s="74">
        <f t="shared" si="68"/>
        <v>2023</v>
      </c>
      <c r="N298" s="74">
        <f t="shared" si="68"/>
        <v>2024</v>
      </c>
      <c r="O298" s="74">
        <f t="shared" si="68"/>
        <v>2025</v>
      </c>
      <c r="P298" s="74">
        <f t="shared" si="68"/>
        <v>2026</v>
      </c>
      <c r="Q298" s="74">
        <f t="shared" si="68"/>
        <v>2027</v>
      </c>
      <c r="R298" s="74">
        <f t="shared" si="68"/>
        <v>2028</v>
      </c>
      <c r="S298" s="74">
        <f t="shared" si="68"/>
        <v>2029</v>
      </c>
      <c r="T298" s="74">
        <f t="shared" si="68"/>
        <v>2030</v>
      </c>
      <c r="U298" s="74">
        <f t="shared" si="68"/>
        <v>2031</v>
      </c>
      <c r="V298" s="74">
        <f t="shared" si="68"/>
        <v>2032</v>
      </c>
      <c r="W298" s="74">
        <f t="shared" si="68"/>
        <v>2033</v>
      </c>
      <c r="X298" s="74">
        <f t="shared" si="68"/>
        <v>2034</v>
      </c>
      <c r="Y298" s="74">
        <f t="shared" si="68"/>
        <v>2035</v>
      </c>
      <c r="Z298" s="74">
        <f t="shared" si="68"/>
        <v>2036</v>
      </c>
      <c r="AA298" s="74">
        <f t="shared" si="68"/>
        <v>2037</v>
      </c>
      <c r="AB298" s="74">
        <f t="shared" si="68"/>
        <v>2038</v>
      </c>
      <c r="AC298" s="74">
        <f t="shared" si="68"/>
        <v>2039</v>
      </c>
      <c r="AD298" s="74">
        <f t="shared" si="68"/>
        <v>2040</v>
      </c>
      <c r="AE298" s="74">
        <f t="shared" si="68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1433</v>
      </c>
      <c r="E299" s="72">
        <f t="shared" ref="E299:E306" si="69">$H264*$H$273+$I264*$I$273</f>
        <v>0.57099076999999998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1436</v>
      </c>
      <c r="E300" s="72">
        <f t="shared" si="69"/>
        <v>4.4880000000000003E-2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1439</v>
      </c>
      <c r="E301" s="72">
        <f t="shared" si="69"/>
        <v>1.4249802699999998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1442</v>
      </c>
      <c r="E302" s="72">
        <f t="shared" si="69"/>
        <v>0.31356849999999997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1445</v>
      </c>
      <c r="E303" s="72">
        <f t="shared" si="69"/>
        <v>1.97472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1448</v>
      </c>
      <c r="E304" s="72">
        <f t="shared" si="6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1451</v>
      </c>
      <c r="E305" s="72">
        <f t="shared" si="6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1454</v>
      </c>
      <c r="E306" s="72">
        <f t="shared" si="69"/>
        <v>0.12342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1982</v>
      </c>
      <c r="E307" s="72" t="s">
        <v>79</v>
      </c>
      <c r="F307" s="72"/>
      <c r="G307" s="70" t="s">
        <v>1475</v>
      </c>
      <c r="H307" s="86" t="str">
        <f>Settings!$B$3&amp;".mit.cbqch."&amp;$G307&amp;"."&amp;$J$5</f>
        <v>egy.mit.cbqch.cbam.tot.1</v>
      </c>
      <c r="I307" s="72"/>
      <c r="J307" s="72"/>
      <c r="K307" s="72"/>
      <c r="L307" s="98">
        <f t="shared" ref="L307:AE307" si="70">IF(SUMPRODUCT((L$330:L$337+L$341:L$348)*(1+L$320:L$327)^(-$J$276:$J$283))=0,0,L$318/SUMPRODUCT((L$330:L$337+L$341:L$348)*(1+L$320:L$327)^(-$J$276:$J$283)))</f>
        <v>0</v>
      </c>
      <c r="M307" s="98">
        <f t="shared" si="70"/>
        <v>0</v>
      </c>
      <c r="N307" s="98">
        <f t="shared" si="70"/>
        <v>0</v>
      </c>
      <c r="O307" s="98">
        <f t="shared" si="70"/>
        <v>0</v>
      </c>
      <c r="P307" s="98">
        <f t="shared" si="70"/>
        <v>0</v>
      </c>
      <c r="Q307" s="98">
        <f t="shared" si="70"/>
        <v>0</v>
      </c>
      <c r="R307" s="98">
        <f t="shared" si="70"/>
        <v>0</v>
      </c>
      <c r="S307" s="98">
        <f t="shared" si="70"/>
        <v>0</v>
      </c>
      <c r="T307" s="98">
        <f t="shared" si="70"/>
        <v>0</v>
      </c>
      <c r="U307" s="98">
        <f t="shared" si="70"/>
        <v>0</v>
      </c>
      <c r="V307" s="98">
        <f t="shared" si="70"/>
        <v>0</v>
      </c>
      <c r="W307" s="98">
        <f t="shared" si="70"/>
        <v>0</v>
      </c>
      <c r="X307" s="98">
        <f t="shared" si="70"/>
        <v>0</v>
      </c>
      <c r="Y307" s="98">
        <f t="shared" si="70"/>
        <v>0</v>
      </c>
      <c r="Z307" s="98">
        <f t="shared" si="70"/>
        <v>0</v>
      </c>
      <c r="AA307" s="98">
        <f t="shared" si="70"/>
        <v>0</v>
      </c>
      <c r="AB307" s="98">
        <f t="shared" si="70"/>
        <v>0</v>
      </c>
      <c r="AC307" s="98">
        <f t="shared" si="70"/>
        <v>0</v>
      </c>
      <c r="AD307" s="98">
        <f t="shared" si="70"/>
        <v>0</v>
      </c>
      <c r="AE307" s="98">
        <f t="shared" si="70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1900</v>
      </c>
      <c r="E308" s="71" t="s">
        <v>1398</v>
      </c>
      <c r="F308" s="71" t="s">
        <v>26</v>
      </c>
      <c r="G308" s="85" t="str">
        <f>Settings!$B$3&amp;".mit.pptraj."&amp;$J$5</f>
        <v>egy.mit.pptraj.1</v>
      </c>
      <c r="H308" s="71"/>
      <c r="I308" s="71" t="s">
        <v>1901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1460</v>
      </c>
      <c r="D309" s="73"/>
      <c r="E309" s="72" t="s">
        <v>1880</v>
      </c>
      <c r="F309" s="70" t="s">
        <v>1461</v>
      </c>
      <c r="G309" s="70" t="s">
        <v>1462</v>
      </c>
      <c r="H309" s="71"/>
      <c r="I309" s="71"/>
      <c r="J309" s="71"/>
      <c r="K309" s="72"/>
      <c r="L309" s="74">
        <f t="shared" ref="L309:AE309" si="71">L298</f>
        <v>2022</v>
      </c>
      <c r="M309" s="74">
        <f t="shared" si="71"/>
        <v>2023</v>
      </c>
      <c r="N309" s="74">
        <f t="shared" si="71"/>
        <v>2024</v>
      </c>
      <c r="O309" s="74">
        <f t="shared" si="71"/>
        <v>2025</v>
      </c>
      <c r="P309" s="74">
        <f t="shared" si="71"/>
        <v>2026</v>
      </c>
      <c r="Q309" s="74">
        <f t="shared" si="71"/>
        <v>2027</v>
      </c>
      <c r="R309" s="74">
        <f t="shared" si="71"/>
        <v>2028</v>
      </c>
      <c r="S309" s="74">
        <f t="shared" si="71"/>
        <v>2029</v>
      </c>
      <c r="T309" s="74">
        <f t="shared" si="71"/>
        <v>2030</v>
      </c>
      <c r="U309" s="74">
        <f t="shared" si="71"/>
        <v>2031</v>
      </c>
      <c r="V309" s="74">
        <f t="shared" si="71"/>
        <v>2032</v>
      </c>
      <c r="W309" s="74">
        <f t="shared" si="71"/>
        <v>2033</v>
      </c>
      <c r="X309" s="74">
        <f t="shared" si="71"/>
        <v>2034</v>
      </c>
      <c r="Y309" s="74">
        <f t="shared" si="71"/>
        <v>2035</v>
      </c>
      <c r="Z309" s="74">
        <f t="shared" si="71"/>
        <v>2036</v>
      </c>
      <c r="AA309" s="74">
        <f t="shared" si="71"/>
        <v>2037</v>
      </c>
      <c r="AB309" s="74">
        <f t="shared" si="71"/>
        <v>2038</v>
      </c>
      <c r="AC309" s="74">
        <f t="shared" si="71"/>
        <v>2039</v>
      </c>
      <c r="AD309" s="74">
        <f t="shared" si="71"/>
        <v>2040</v>
      </c>
      <c r="AE309" s="74">
        <f t="shared" si="71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1433</v>
      </c>
      <c r="E310" s="72">
        <f t="shared" ref="E310:E317" si="72">MAX($J264,0)*$J$273+MAX($K264,0)*$K$273</f>
        <v>3.7901020000000001E-2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3">($F310*L$308+$G310*L$248)*$E310</f>
        <v>0</v>
      </c>
      <c r="M310" s="81">
        <f t="shared" si="73"/>
        <v>0</v>
      </c>
      <c r="N310" s="81">
        <f t="shared" si="73"/>
        <v>0</v>
      </c>
      <c r="O310" s="81">
        <f t="shared" si="73"/>
        <v>0</v>
      </c>
      <c r="P310" s="81">
        <f t="shared" si="73"/>
        <v>0</v>
      </c>
      <c r="Q310" s="81">
        <f t="shared" si="73"/>
        <v>0</v>
      </c>
      <c r="R310" s="81">
        <f t="shared" si="73"/>
        <v>0</v>
      </c>
      <c r="S310" s="81">
        <f t="shared" si="73"/>
        <v>0</v>
      </c>
      <c r="T310" s="81">
        <f t="shared" si="73"/>
        <v>0</v>
      </c>
      <c r="U310" s="81">
        <f t="shared" si="73"/>
        <v>0</v>
      </c>
      <c r="V310" s="81">
        <f t="shared" ref="V310:AE317" si="74">($F310*V$308+$G310*V$248)*$E310</f>
        <v>0</v>
      </c>
      <c r="W310" s="81">
        <f t="shared" si="74"/>
        <v>0</v>
      </c>
      <c r="X310" s="81">
        <f t="shared" si="74"/>
        <v>0</v>
      </c>
      <c r="Y310" s="81">
        <f t="shared" si="74"/>
        <v>0</v>
      </c>
      <c r="Z310" s="81">
        <f t="shared" si="74"/>
        <v>0</v>
      </c>
      <c r="AA310" s="81">
        <f t="shared" si="74"/>
        <v>0</v>
      </c>
      <c r="AB310" s="81">
        <f t="shared" si="74"/>
        <v>0</v>
      </c>
      <c r="AC310" s="81">
        <f t="shared" si="74"/>
        <v>0</v>
      </c>
      <c r="AD310" s="81">
        <f t="shared" si="74"/>
        <v>0</v>
      </c>
      <c r="AE310" s="81">
        <f t="shared" si="74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1436</v>
      </c>
      <c r="E311" s="72">
        <f t="shared" si="72"/>
        <v>4.3981149999999997E-2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3"/>
        <v>0</v>
      </c>
      <c r="M311" s="81">
        <f t="shared" si="73"/>
        <v>0</v>
      </c>
      <c r="N311" s="81">
        <f t="shared" si="73"/>
        <v>0</v>
      </c>
      <c r="O311" s="81">
        <f t="shared" si="73"/>
        <v>0</v>
      </c>
      <c r="P311" s="81">
        <f t="shared" si="73"/>
        <v>0</v>
      </c>
      <c r="Q311" s="81">
        <f t="shared" si="73"/>
        <v>0</v>
      </c>
      <c r="R311" s="81">
        <f t="shared" si="73"/>
        <v>0</v>
      </c>
      <c r="S311" s="81">
        <f t="shared" si="73"/>
        <v>0</v>
      </c>
      <c r="T311" s="81">
        <f t="shared" si="73"/>
        <v>0</v>
      </c>
      <c r="U311" s="81">
        <f t="shared" si="73"/>
        <v>0</v>
      </c>
      <c r="V311" s="81">
        <f t="shared" si="74"/>
        <v>0</v>
      </c>
      <c r="W311" s="81">
        <f t="shared" si="74"/>
        <v>0</v>
      </c>
      <c r="X311" s="81">
        <f t="shared" si="74"/>
        <v>0</v>
      </c>
      <c r="Y311" s="81">
        <f t="shared" si="74"/>
        <v>0</v>
      </c>
      <c r="Z311" s="81">
        <f t="shared" si="74"/>
        <v>0</v>
      </c>
      <c r="AA311" s="81">
        <f t="shared" si="74"/>
        <v>0</v>
      </c>
      <c r="AB311" s="81">
        <f t="shared" si="74"/>
        <v>0</v>
      </c>
      <c r="AC311" s="81">
        <f t="shared" si="74"/>
        <v>0</v>
      </c>
      <c r="AD311" s="81">
        <f t="shared" si="74"/>
        <v>0</v>
      </c>
      <c r="AE311" s="81">
        <f t="shared" si="74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1439</v>
      </c>
      <c r="E312" s="72">
        <f t="shared" si="72"/>
        <v>5.276542E-2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3"/>
        <v>0</v>
      </c>
      <c r="M312" s="81">
        <f t="shared" si="73"/>
        <v>0</v>
      </c>
      <c r="N312" s="81">
        <f t="shared" si="73"/>
        <v>0</v>
      </c>
      <c r="O312" s="81">
        <f t="shared" si="73"/>
        <v>0</v>
      </c>
      <c r="P312" s="81">
        <f t="shared" si="73"/>
        <v>0</v>
      </c>
      <c r="Q312" s="81">
        <f t="shared" si="73"/>
        <v>0</v>
      </c>
      <c r="R312" s="81">
        <f t="shared" si="73"/>
        <v>0</v>
      </c>
      <c r="S312" s="81">
        <f t="shared" si="73"/>
        <v>0</v>
      </c>
      <c r="T312" s="81">
        <f t="shared" si="73"/>
        <v>0</v>
      </c>
      <c r="U312" s="81">
        <f t="shared" si="73"/>
        <v>0</v>
      </c>
      <c r="V312" s="81">
        <f t="shared" si="74"/>
        <v>0</v>
      </c>
      <c r="W312" s="81">
        <f t="shared" si="74"/>
        <v>0</v>
      </c>
      <c r="X312" s="81">
        <f t="shared" si="74"/>
        <v>0</v>
      </c>
      <c r="Y312" s="81">
        <f t="shared" si="74"/>
        <v>0</v>
      </c>
      <c r="Z312" s="81">
        <f t="shared" si="74"/>
        <v>0</v>
      </c>
      <c r="AA312" s="81">
        <f t="shared" si="74"/>
        <v>0</v>
      </c>
      <c r="AB312" s="81">
        <f t="shared" si="74"/>
        <v>0</v>
      </c>
      <c r="AC312" s="81">
        <f t="shared" si="74"/>
        <v>0</v>
      </c>
      <c r="AD312" s="81">
        <f t="shared" si="74"/>
        <v>0</v>
      </c>
      <c r="AE312" s="81">
        <f t="shared" si="74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1442</v>
      </c>
      <c r="E313" s="72">
        <f t="shared" si="72"/>
        <v>0.53702616000000003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3"/>
        <v>0</v>
      </c>
      <c r="M313" s="81">
        <f t="shared" si="73"/>
        <v>0</v>
      </c>
      <c r="N313" s="81">
        <f t="shared" si="73"/>
        <v>0</v>
      </c>
      <c r="O313" s="81">
        <f t="shared" si="73"/>
        <v>0</v>
      </c>
      <c r="P313" s="81">
        <f t="shared" si="73"/>
        <v>0</v>
      </c>
      <c r="Q313" s="81">
        <f t="shared" si="73"/>
        <v>0</v>
      </c>
      <c r="R313" s="81">
        <f t="shared" si="73"/>
        <v>0</v>
      </c>
      <c r="S313" s="81">
        <f t="shared" si="73"/>
        <v>0</v>
      </c>
      <c r="T313" s="81">
        <f t="shared" si="73"/>
        <v>0</v>
      </c>
      <c r="U313" s="81">
        <f t="shared" si="73"/>
        <v>0</v>
      </c>
      <c r="V313" s="81">
        <f t="shared" si="74"/>
        <v>0</v>
      </c>
      <c r="W313" s="81">
        <f t="shared" si="74"/>
        <v>0</v>
      </c>
      <c r="X313" s="81">
        <f t="shared" si="74"/>
        <v>0</v>
      </c>
      <c r="Y313" s="81">
        <f t="shared" si="74"/>
        <v>0</v>
      </c>
      <c r="Z313" s="81">
        <f t="shared" si="74"/>
        <v>0</v>
      </c>
      <c r="AA313" s="81">
        <f t="shared" si="74"/>
        <v>0</v>
      </c>
      <c r="AB313" s="81">
        <f t="shared" si="74"/>
        <v>0</v>
      </c>
      <c r="AC313" s="81">
        <f t="shared" si="74"/>
        <v>0</v>
      </c>
      <c r="AD313" s="81">
        <f t="shared" si="74"/>
        <v>0</v>
      </c>
      <c r="AE313" s="81">
        <f t="shared" si="74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1445</v>
      </c>
      <c r="E314" s="72">
        <f t="shared" si="72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3"/>
        <v>0</v>
      </c>
      <c r="M314" s="81">
        <f t="shared" si="73"/>
        <v>0</v>
      </c>
      <c r="N314" s="81">
        <f t="shared" si="73"/>
        <v>0</v>
      </c>
      <c r="O314" s="81">
        <f t="shared" si="73"/>
        <v>0</v>
      </c>
      <c r="P314" s="81">
        <f t="shared" si="73"/>
        <v>0</v>
      </c>
      <c r="Q314" s="81">
        <f t="shared" si="73"/>
        <v>0</v>
      </c>
      <c r="R314" s="81">
        <f t="shared" si="73"/>
        <v>0</v>
      </c>
      <c r="S314" s="81">
        <f t="shared" si="73"/>
        <v>0</v>
      </c>
      <c r="T314" s="81">
        <f t="shared" si="73"/>
        <v>0</v>
      </c>
      <c r="U314" s="81">
        <f t="shared" si="73"/>
        <v>0</v>
      </c>
      <c r="V314" s="81">
        <f t="shared" si="74"/>
        <v>0</v>
      </c>
      <c r="W314" s="81">
        <f t="shared" si="74"/>
        <v>0</v>
      </c>
      <c r="X314" s="81">
        <f t="shared" si="74"/>
        <v>0</v>
      </c>
      <c r="Y314" s="81">
        <f t="shared" si="74"/>
        <v>0</v>
      </c>
      <c r="Z314" s="81">
        <f t="shared" si="74"/>
        <v>0</v>
      </c>
      <c r="AA314" s="81">
        <f t="shared" si="74"/>
        <v>0</v>
      </c>
      <c r="AB314" s="81">
        <f t="shared" si="74"/>
        <v>0</v>
      </c>
      <c r="AC314" s="81">
        <f t="shared" si="74"/>
        <v>0</v>
      </c>
      <c r="AD314" s="81">
        <f t="shared" si="74"/>
        <v>0</v>
      </c>
      <c r="AE314" s="81">
        <f t="shared" si="74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1448</v>
      </c>
      <c r="E315" s="72">
        <f t="shared" si="72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3"/>
        <v>0</v>
      </c>
      <c r="M315" s="81">
        <f t="shared" si="73"/>
        <v>0</v>
      </c>
      <c r="N315" s="81">
        <f t="shared" si="73"/>
        <v>0</v>
      </c>
      <c r="O315" s="81">
        <f t="shared" si="73"/>
        <v>0</v>
      </c>
      <c r="P315" s="81">
        <f t="shared" si="73"/>
        <v>0</v>
      </c>
      <c r="Q315" s="81">
        <f t="shared" si="73"/>
        <v>0</v>
      </c>
      <c r="R315" s="81">
        <f t="shared" si="73"/>
        <v>0</v>
      </c>
      <c r="S315" s="81">
        <f t="shared" si="73"/>
        <v>0</v>
      </c>
      <c r="T315" s="81">
        <f t="shared" si="73"/>
        <v>0</v>
      </c>
      <c r="U315" s="81">
        <f t="shared" si="73"/>
        <v>0</v>
      </c>
      <c r="V315" s="81">
        <f t="shared" si="74"/>
        <v>0</v>
      </c>
      <c r="W315" s="81">
        <f t="shared" si="74"/>
        <v>0</v>
      </c>
      <c r="X315" s="81">
        <f t="shared" si="74"/>
        <v>0</v>
      </c>
      <c r="Y315" s="81">
        <f t="shared" si="74"/>
        <v>0</v>
      </c>
      <c r="Z315" s="81">
        <f t="shared" si="74"/>
        <v>0</v>
      </c>
      <c r="AA315" s="81">
        <f t="shared" si="74"/>
        <v>0</v>
      </c>
      <c r="AB315" s="81">
        <f t="shared" si="74"/>
        <v>0</v>
      </c>
      <c r="AC315" s="81">
        <f t="shared" si="74"/>
        <v>0</v>
      </c>
      <c r="AD315" s="81">
        <f t="shared" si="74"/>
        <v>0</v>
      </c>
      <c r="AE315" s="81">
        <f t="shared" si="74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1451</v>
      </c>
      <c r="E316" s="72">
        <f t="shared" si="72"/>
        <v>0.99441250000000003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3"/>
        <v>0</v>
      </c>
      <c r="M316" s="81">
        <f t="shared" si="73"/>
        <v>0</v>
      </c>
      <c r="N316" s="81">
        <f t="shared" si="73"/>
        <v>0</v>
      </c>
      <c r="O316" s="81">
        <f t="shared" si="73"/>
        <v>0</v>
      </c>
      <c r="P316" s="81">
        <f t="shared" si="73"/>
        <v>0</v>
      </c>
      <c r="Q316" s="81">
        <f t="shared" si="73"/>
        <v>0</v>
      </c>
      <c r="R316" s="81">
        <f t="shared" si="73"/>
        <v>0</v>
      </c>
      <c r="S316" s="81">
        <f t="shared" si="73"/>
        <v>0</v>
      </c>
      <c r="T316" s="81">
        <f t="shared" si="73"/>
        <v>0</v>
      </c>
      <c r="U316" s="81">
        <f t="shared" si="73"/>
        <v>0</v>
      </c>
      <c r="V316" s="81">
        <f t="shared" si="74"/>
        <v>0</v>
      </c>
      <c r="W316" s="81">
        <f t="shared" si="74"/>
        <v>0</v>
      </c>
      <c r="X316" s="81">
        <f t="shared" si="74"/>
        <v>0</v>
      </c>
      <c r="Y316" s="81">
        <f t="shared" si="74"/>
        <v>0</v>
      </c>
      <c r="Z316" s="81">
        <f t="shared" si="74"/>
        <v>0</v>
      </c>
      <c r="AA316" s="81">
        <f t="shared" si="74"/>
        <v>0</v>
      </c>
      <c r="AB316" s="81">
        <f t="shared" si="74"/>
        <v>0</v>
      </c>
      <c r="AC316" s="81">
        <f t="shared" si="74"/>
        <v>0</v>
      </c>
      <c r="AD316" s="81">
        <f t="shared" si="74"/>
        <v>0</v>
      </c>
      <c r="AE316" s="81">
        <f t="shared" si="74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1454</v>
      </c>
      <c r="E317" s="72">
        <f t="shared" si="72"/>
        <v>2.3974930400000001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3"/>
        <v>0</v>
      </c>
      <c r="M317" s="81">
        <f t="shared" si="73"/>
        <v>0</v>
      </c>
      <c r="N317" s="81">
        <f t="shared" si="73"/>
        <v>0</v>
      </c>
      <c r="O317" s="81">
        <f t="shared" si="73"/>
        <v>0</v>
      </c>
      <c r="P317" s="81">
        <f t="shared" si="73"/>
        <v>0</v>
      </c>
      <c r="Q317" s="81">
        <f t="shared" si="73"/>
        <v>0</v>
      </c>
      <c r="R317" s="81">
        <f t="shared" si="73"/>
        <v>0</v>
      </c>
      <c r="S317" s="81">
        <f t="shared" si="73"/>
        <v>0</v>
      </c>
      <c r="T317" s="81">
        <f t="shared" si="73"/>
        <v>0</v>
      </c>
      <c r="U317" s="81">
        <f t="shared" si="73"/>
        <v>0</v>
      </c>
      <c r="V317" s="81">
        <f t="shared" si="74"/>
        <v>0</v>
      </c>
      <c r="W317" s="81">
        <f t="shared" si="74"/>
        <v>0</v>
      </c>
      <c r="X317" s="81">
        <f t="shared" si="74"/>
        <v>0</v>
      </c>
      <c r="Y317" s="81">
        <f t="shared" si="74"/>
        <v>0</v>
      </c>
      <c r="Z317" s="81">
        <f t="shared" si="74"/>
        <v>0</v>
      </c>
      <c r="AA317" s="81">
        <f t="shared" si="74"/>
        <v>0</v>
      </c>
      <c r="AB317" s="81">
        <f t="shared" si="74"/>
        <v>0</v>
      </c>
      <c r="AC317" s="81">
        <f t="shared" si="74"/>
        <v>0</v>
      </c>
      <c r="AD317" s="81">
        <f t="shared" si="74"/>
        <v>0</v>
      </c>
      <c r="AE317" s="81">
        <f t="shared" si="74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1983</v>
      </c>
      <c r="E318" s="72" t="s">
        <v>1852</v>
      </c>
      <c r="F318" s="72"/>
      <c r="G318" s="70" t="s">
        <v>1475</v>
      </c>
      <c r="H318" s="86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5">SUMPRODUCT((L$330:L$337+L$341:L$348)*(1-(1+L$320:L$327)^(-$J$276:$J$283)))</f>
        <v>0</v>
      </c>
      <c r="M318" s="72">
        <f t="shared" si="75"/>
        <v>0</v>
      </c>
      <c r="N318" s="72">
        <f t="shared" si="75"/>
        <v>0</v>
      </c>
      <c r="O318" s="72">
        <f t="shared" si="75"/>
        <v>0</v>
      </c>
      <c r="P318" s="72">
        <f t="shared" si="75"/>
        <v>0</v>
      </c>
      <c r="Q318" s="72">
        <f t="shared" si="75"/>
        <v>0</v>
      </c>
      <c r="R318" s="72">
        <f t="shared" si="75"/>
        <v>0</v>
      </c>
      <c r="S318" s="72">
        <f t="shared" si="75"/>
        <v>0</v>
      </c>
      <c r="T318" s="72">
        <f t="shared" si="75"/>
        <v>0</v>
      </c>
      <c r="U318" s="72">
        <f t="shared" si="75"/>
        <v>0</v>
      </c>
      <c r="V318" s="72">
        <f t="shared" si="75"/>
        <v>0</v>
      </c>
      <c r="W318" s="72">
        <f t="shared" si="75"/>
        <v>0</v>
      </c>
      <c r="X318" s="72">
        <f t="shared" si="75"/>
        <v>0</v>
      </c>
      <c r="Y318" s="72">
        <f t="shared" si="75"/>
        <v>0</v>
      </c>
      <c r="Z318" s="72">
        <f t="shared" si="75"/>
        <v>0</v>
      </c>
      <c r="AA318" s="72">
        <f t="shared" si="75"/>
        <v>0</v>
      </c>
      <c r="AB318" s="72">
        <f t="shared" si="75"/>
        <v>0</v>
      </c>
      <c r="AC318" s="72">
        <f t="shared" si="75"/>
        <v>0</v>
      </c>
      <c r="AD318" s="72">
        <f t="shared" si="75"/>
        <v>0</v>
      </c>
      <c r="AE318" s="72">
        <f t="shared" si="75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1979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6">L309</f>
        <v>2022</v>
      </c>
      <c r="M319" s="74">
        <f t="shared" si="76"/>
        <v>2023</v>
      </c>
      <c r="N319" s="74">
        <f t="shared" si="76"/>
        <v>2024</v>
      </c>
      <c r="O319" s="74">
        <f t="shared" si="76"/>
        <v>2025</v>
      </c>
      <c r="P319" s="74">
        <f t="shared" si="76"/>
        <v>2026</v>
      </c>
      <c r="Q319" s="74">
        <f t="shared" si="76"/>
        <v>2027</v>
      </c>
      <c r="R319" s="74">
        <f t="shared" si="76"/>
        <v>2028</v>
      </c>
      <c r="S319" s="74">
        <f t="shared" si="76"/>
        <v>2029</v>
      </c>
      <c r="T319" s="74">
        <f t="shared" si="76"/>
        <v>2030</v>
      </c>
      <c r="U319" s="74">
        <f t="shared" si="76"/>
        <v>2031</v>
      </c>
      <c r="V319" s="74">
        <f t="shared" si="76"/>
        <v>2032</v>
      </c>
      <c r="W319" s="74">
        <f t="shared" si="76"/>
        <v>2033</v>
      </c>
      <c r="X319" s="74">
        <f t="shared" si="76"/>
        <v>2034</v>
      </c>
      <c r="Y319" s="74">
        <f t="shared" si="76"/>
        <v>2035</v>
      </c>
      <c r="Z319" s="74">
        <f t="shared" si="76"/>
        <v>2036</v>
      </c>
      <c r="AA319" s="74">
        <f t="shared" si="76"/>
        <v>2037</v>
      </c>
      <c r="AB319" s="74">
        <f t="shared" si="76"/>
        <v>2038</v>
      </c>
      <c r="AC319" s="74">
        <f t="shared" si="76"/>
        <v>2039</v>
      </c>
      <c r="AD319" s="74">
        <f t="shared" si="76"/>
        <v>2040</v>
      </c>
      <c r="AE319" s="74">
        <f t="shared" si="76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1433</v>
      </c>
      <c r="E320" s="70"/>
      <c r="F320" s="70"/>
      <c r="G320" s="70"/>
      <c r="H320" s="70"/>
      <c r="I320" s="70"/>
      <c r="J320" s="70"/>
      <c r="K320" s="72"/>
      <c r="L320" s="78">
        <f t="shared" ref="L320:AE320" si="77">(L$310+L$299-MIN(L$251,L$247)*$F$299*$E$299-MIN(L$251,L$308)*$F$310*$E$310)/L$288</f>
        <v>0</v>
      </c>
      <c r="M320" s="78">
        <f t="shared" si="77"/>
        <v>0</v>
      </c>
      <c r="N320" s="78">
        <f t="shared" si="77"/>
        <v>0</v>
      </c>
      <c r="O320" s="78">
        <f t="shared" si="77"/>
        <v>0</v>
      </c>
      <c r="P320" s="78">
        <f t="shared" si="77"/>
        <v>0</v>
      </c>
      <c r="Q320" s="78">
        <f t="shared" si="77"/>
        <v>0</v>
      </c>
      <c r="R320" s="78">
        <f t="shared" si="77"/>
        <v>0</v>
      </c>
      <c r="S320" s="78">
        <f t="shared" si="77"/>
        <v>0</v>
      </c>
      <c r="T320" s="78">
        <f t="shared" si="77"/>
        <v>0</v>
      </c>
      <c r="U320" s="78">
        <f t="shared" si="77"/>
        <v>0</v>
      </c>
      <c r="V320" s="78">
        <f t="shared" si="77"/>
        <v>0</v>
      </c>
      <c r="W320" s="78">
        <f t="shared" si="77"/>
        <v>0</v>
      </c>
      <c r="X320" s="78">
        <f t="shared" si="77"/>
        <v>0</v>
      </c>
      <c r="Y320" s="78">
        <f t="shared" si="77"/>
        <v>0</v>
      </c>
      <c r="Z320" s="78">
        <f t="shared" si="77"/>
        <v>0</v>
      </c>
      <c r="AA320" s="78">
        <f t="shared" si="77"/>
        <v>0</v>
      </c>
      <c r="AB320" s="78">
        <f t="shared" si="77"/>
        <v>0</v>
      </c>
      <c r="AC320" s="78">
        <f t="shared" si="77"/>
        <v>0</v>
      </c>
      <c r="AD320" s="78">
        <f t="shared" si="77"/>
        <v>0</v>
      </c>
      <c r="AE320" s="78">
        <f t="shared" si="77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1436</v>
      </c>
      <c r="E321" s="70"/>
      <c r="F321" s="70"/>
      <c r="G321" s="70"/>
      <c r="H321" s="70"/>
      <c r="I321" s="70"/>
      <c r="J321" s="70"/>
      <c r="K321" s="72"/>
      <c r="L321" s="78">
        <f t="shared" ref="L321:AE321" si="78">(L$311+L$300-MIN(L$251,L$247)*$F$300*$E$300-MIN(L$251,L$308)*$F$311*$E$311)/L$289</f>
        <v>0</v>
      </c>
      <c r="M321" s="78">
        <f t="shared" si="78"/>
        <v>0</v>
      </c>
      <c r="N321" s="78">
        <f t="shared" si="78"/>
        <v>0</v>
      </c>
      <c r="O321" s="78">
        <f t="shared" si="78"/>
        <v>0</v>
      </c>
      <c r="P321" s="78">
        <f t="shared" si="78"/>
        <v>0</v>
      </c>
      <c r="Q321" s="78">
        <f t="shared" si="78"/>
        <v>0</v>
      </c>
      <c r="R321" s="78">
        <f t="shared" si="78"/>
        <v>0</v>
      </c>
      <c r="S321" s="78">
        <f t="shared" si="78"/>
        <v>0</v>
      </c>
      <c r="T321" s="78">
        <f t="shared" si="78"/>
        <v>0</v>
      </c>
      <c r="U321" s="78">
        <f t="shared" si="78"/>
        <v>0</v>
      </c>
      <c r="V321" s="78">
        <f t="shared" si="78"/>
        <v>0</v>
      </c>
      <c r="W321" s="78">
        <f t="shared" si="78"/>
        <v>0</v>
      </c>
      <c r="X321" s="78">
        <f t="shared" si="78"/>
        <v>0</v>
      </c>
      <c r="Y321" s="78">
        <f t="shared" si="78"/>
        <v>0</v>
      </c>
      <c r="Z321" s="78">
        <f t="shared" si="78"/>
        <v>0</v>
      </c>
      <c r="AA321" s="78">
        <f t="shared" si="78"/>
        <v>0</v>
      </c>
      <c r="AB321" s="78">
        <f t="shared" si="78"/>
        <v>0</v>
      </c>
      <c r="AC321" s="78">
        <f t="shared" si="78"/>
        <v>0</v>
      </c>
      <c r="AD321" s="78">
        <f t="shared" si="78"/>
        <v>0</v>
      </c>
      <c r="AE321" s="78">
        <f t="shared" si="78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1439</v>
      </c>
      <c r="E322" s="70"/>
      <c r="F322" s="70"/>
      <c r="G322" s="70"/>
      <c r="H322" s="70"/>
      <c r="I322" s="70"/>
      <c r="J322" s="70"/>
      <c r="K322" s="72"/>
      <c r="L322" s="78">
        <f t="shared" ref="L322:AE322" si="79">(L$312+L$301-MIN(L$251,L$247)*$F$301*$E$301-MIN(L$251,L$308)*$F$312*$E$312)/L$290</f>
        <v>0</v>
      </c>
      <c r="M322" s="78">
        <f t="shared" si="79"/>
        <v>0</v>
      </c>
      <c r="N322" s="78">
        <f t="shared" si="79"/>
        <v>0</v>
      </c>
      <c r="O322" s="78">
        <f t="shared" si="79"/>
        <v>0</v>
      </c>
      <c r="P322" s="78">
        <f t="shared" si="79"/>
        <v>0</v>
      </c>
      <c r="Q322" s="78">
        <f t="shared" si="79"/>
        <v>0</v>
      </c>
      <c r="R322" s="78">
        <f t="shared" si="79"/>
        <v>0</v>
      </c>
      <c r="S322" s="78">
        <f t="shared" si="79"/>
        <v>0</v>
      </c>
      <c r="T322" s="78">
        <f t="shared" si="79"/>
        <v>0</v>
      </c>
      <c r="U322" s="78">
        <f t="shared" si="79"/>
        <v>0</v>
      </c>
      <c r="V322" s="78">
        <f t="shared" si="79"/>
        <v>0</v>
      </c>
      <c r="W322" s="78">
        <f t="shared" si="79"/>
        <v>0</v>
      </c>
      <c r="X322" s="78">
        <f t="shared" si="79"/>
        <v>0</v>
      </c>
      <c r="Y322" s="78">
        <f t="shared" si="79"/>
        <v>0</v>
      </c>
      <c r="Z322" s="78">
        <f t="shared" si="79"/>
        <v>0</v>
      </c>
      <c r="AA322" s="78">
        <f t="shared" si="79"/>
        <v>0</v>
      </c>
      <c r="AB322" s="78">
        <f t="shared" si="79"/>
        <v>0</v>
      </c>
      <c r="AC322" s="78">
        <f t="shared" si="79"/>
        <v>0</v>
      </c>
      <c r="AD322" s="78">
        <f t="shared" si="79"/>
        <v>0</v>
      </c>
      <c r="AE322" s="78">
        <f t="shared" si="79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1442</v>
      </c>
      <c r="E323" s="70"/>
      <c r="F323" s="70"/>
      <c r="G323" s="70"/>
      <c r="H323" s="70"/>
      <c r="I323" s="70"/>
      <c r="J323" s="70"/>
      <c r="K323" s="72"/>
      <c r="L323" s="78">
        <f t="shared" ref="L323:AE323" si="80">(L$313+L$302-MIN(L$251,L$247)*$F$302*$E$302-MIN(L$251,L$308)*$F$313*$E$313)/L$291</f>
        <v>0</v>
      </c>
      <c r="M323" s="78">
        <f t="shared" si="80"/>
        <v>0</v>
      </c>
      <c r="N323" s="78">
        <f t="shared" si="80"/>
        <v>0</v>
      </c>
      <c r="O323" s="78">
        <f t="shared" si="80"/>
        <v>0</v>
      </c>
      <c r="P323" s="78">
        <f t="shared" si="80"/>
        <v>0</v>
      </c>
      <c r="Q323" s="78">
        <f t="shared" si="80"/>
        <v>0</v>
      </c>
      <c r="R323" s="78">
        <f t="shared" si="80"/>
        <v>0</v>
      </c>
      <c r="S323" s="78">
        <f t="shared" si="80"/>
        <v>0</v>
      </c>
      <c r="T323" s="78">
        <f t="shared" si="80"/>
        <v>0</v>
      </c>
      <c r="U323" s="78">
        <f t="shared" si="80"/>
        <v>0</v>
      </c>
      <c r="V323" s="78">
        <f t="shared" si="80"/>
        <v>0</v>
      </c>
      <c r="W323" s="78">
        <f t="shared" si="80"/>
        <v>0</v>
      </c>
      <c r="X323" s="78">
        <f t="shared" si="80"/>
        <v>0</v>
      </c>
      <c r="Y323" s="78">
        <f t="shared" si="80"/>
        <v>0</v>
      </c>
      <c r="Z323" s="78">
        <f t="shared" si="80"/>
        <v>0</v>
      </c>
      <c r="AA323" s="78">
        <f t="shared" si="80"/>
        <v>0</v>
      </c>
      <c r="AB323" s="78">
        <f t="shared" si="80"/>
        <v>0</v>
      </c>
      <c r="AC323" s="78">
        <f t="shared" si="80"/>
        <v>0</v>
      </c>
      <c r="AD323" s="78">
        <f t="shared" si="80"/>
        <v>0</v>
      </c>
      <c r="AE323" s="78">
        <f t="shared" si="80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1445</v>
      </c>
      <c r="E324" s="70"/>
      <c r="F324" s="70"/>
      <c r="G324" s="70"/>
      <c r="H324" s="70"/>
      <c r="I324" s="70"/>
      <c r="J324" s="70"/>
      <c r="K324" s="72"/>
      <c r="L324" s="78">
        <f t="shared" ref="L324:AE324" si="81">(L$314+L$303-MIN(L$251,L$247)*$F$303*$E$303-MIN(L$251,L$308)*$F$314*$E$314)/L$292</f>
        <v>0</v>
      </c>
      <c r="M324" s="78">
        <f t="shared" si="81"/>
        <v>0</v>
      </c>
      <c r="N324" s="78">
        <f t="shared" si="81"/>
        <v>0</v>
      </c>
      <c r="O324" s="78">
        <f t="shared" si="81"/>
        <v>0</v>
      </c>
      <c r="P324" s="78">
        <f t="shared" si="81"/>
        <v>0</v>
      </c>
      <c r="Q324" s="78">
        <f t="shared" si="81"/>
        <v>0</v>
      </c>
      <c r="R324" s="78">
        <f t="shared" si="81"/>
        <v>0</v>
      </c>
      <c r="S324" s="78">
        <f t="shared" si="81"/>
        <v>0</v>
      </c>
      <c r="T324" s="78">
        <f t="shared" si="81"/>
        <v>0</v>
      </c>
      <c r="U324" s="78">
        <f t="shared" si="81"/>
        <v>0</v>
      </c>
      <c r="V324" s="78">
        <f t="shared" si="81"/>
        <v>0</v>
      </c>
      <c r="W324" s="78">
        <f t="shared" si="81"/>
        <v>0</v>
      </c>
      <c r="X324" s="78">
        <f t="shared" si="81"/>
        <v>0</v>
      </c>
      <c r="Y324" s="78">
        <f t="shared" si="81"/>
        <v>0</v>
      </c>
      <c r="Z324" s="78">
        <f t="shared" si="81"/>
        <v>0</v>
      </c>
      <c r="AA324" s="78">
        <f t="shared" si="81"/>
        <v>0</v>
      </c>
      <c r="AB324" s="78">
        <f t="shared" si="81"/>
        <v>0</v>
      </c>
      <c r="AC324" s="78">
        <f t="shared" si="81"/>
        <v>0</v>
      </c>
      <c r="AD324" s="78">
        <f t="shared" si="81"/>
        <v>0</v>
      </c>
      <c r="AE324" s="78">
        <f t="shared" si="81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1448</v>
      </c>
      <c r="E325" s="70"/>
      <c r="F325" s="70"/>
      <c r="G325" s="70"/>
      <c r="H325" s="70"/>
      <c r="I325" s="70"/>
      <c r="J325" s="70"/>
      <c r="K325" s="72"/>
      <c r="L325" s="78">
        <f t="shared" ref="L325:AE325" si="82">(L$315+L$304-MIN(L$251,L$247)*$F$304*$E$304-MIN(L$251,L$308)*$F$315*$E$315)/L$293</f>
        <v>0</v>
      </c>
      <c r="M325" s="78">
        <f t="shared" si="82"/>
        <v>0</v>
      </c>
      <c r="N325" s="78">
        <f t="shared" si="82"/>
        <v>0</v>
      </c>
      <c r="O325" s="78">
        <f t="shared" si="82"/>
        <v>0</v>
      </c>
      <c r="P325" s="78">
        <f t="shared" si="82"/>
        <v>0</v>
      </c>
      <c r="Q325" s="78">
        <f t="shared" si="82"/>
        <v>0</v>
      </c>
      <c r="R325" s="78">
        <f t="shared" si="82"/>
        <v>0</v>
      </c>
      <c r="S325" s="78">
        <f t="shared" si="82"/>
        <v>0</v>
      </c>
      <c r="T325" s="78">
        <f t="shared" si="82"/>
        <v>0</v>
      </c>
      <c r="U325" s="78">
        <f t="shared" si="82"/>
        <v>0</v>
      </c>
      <c r="V325" s="78">
        <f t="shared" si="82"/>
        <v>0</v>
      </c>
      <c r="W325" s="78">
        <f t="shared" si="82"/>
        <v>0</v>
      </c>
      <c r="X325" s="78">
        <f t="shared" si="82"/>
        <v>0</v>
      </c>
      <c r="Y325" s="78">
        <f t="shared" si="82"/>
        <v>0</v>
      </c>
      <c r="Z325" s="78">
        <f t="shared" si="82"/>
        <v>0</v>
      </c>
      <c r="AA325" s="78">
        <f t="shared" si="82"/>
        <v>0</v>
      </c>
      <c r="AB325" s="78">
        <f t="shared" si="82"/>
        <v>0</v>
      </c>
      <c r="AC325" s="78">
        <f t="shared" si="82"/>
        <v>0</v>
      </c>
      <c r="AD325" s="78">
        <f t="shared" si="82"/>
        <v>0</v>
      </c>
      <c r="AE325" s="78">
        <f t="shared" si="82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1451</v>
      </c>
      <c r="E326" s="70"/>
      <c r="F326" s="70"/>
      <c r="G326" s="70"/>
      <c r="H326" s="70"/>
      <c r="I326" s="70"/>
      <c r="J326" s="70"/>
      <c r="K326" s="72"/>
      <c r="L326" s="78">
        <f t="shared" ref="L326:AE326" si="83">(L$316+L$305-MIN(L$251,L$247)*$F$305*$E$305-MIN(L$251,L$308)*$F$316*$E$316)/L$294</f>
        <v>0</v>
      </c>
      <c r="M326" s="78">
        <f t="shared" si="83"/>
        <v>0</v>
      </c>
      <c r="N326" s="78">
        <f t="shared" si="83"/>
        <v>0</v>
      </c>
      <c r="O326" s="78">
        <f t="shared" si="83"/>
        <v>0</v>
      </c>
      <c r="P326" s="78">
        <f t="shared" si="83"/>
        <v>0</v>
      </c>
      <c r="Q326" s="78">
        <f t="shared" si="83"/>
        <v>0</v>
      </c>
      <c r="R326" s="78">
        <f t="shared" si="83"/>
        <v>0</v>
      </c>
      <c r="S326" s="78">
        <f t="shared" si="83"/>
        <v>0</v>
      </c>
      <c r="T326" s="78">
        <f t="shared" si="83"/>
        <v>0</v>
      </c>
      <c r="U326" s="78">
        <f t="shared" si="83"/>
        <v>0</v>
      </c>
      <c r="V326" s="78">
        <f t="shared" si="83"/>
        <v>0</v>
      </c>
      <c r="W326" s="78">
        <f t="shared" si="83"/>
        <v>0</v>
      </c>
      <c r="X326" s="78">
        <f t="shared" si="83"/>
        <v>0</v>
      </c>
      <c r="Y326" s="78">
        <f t="shared" si="83"/>
        <v>0</v>
      </c>
      <c r="Z326" s="78">
        <f t="shared" si="83"/>
        <v>0</v>
      </c>
      <c r="AA326" s="78">
        <f t="shared" si="83"/>
        <v>0</v>
      </c>
      <c r="AB326" s="78">
        <f t="shared" si="83"/>
        <v>0</v>
      </c>
      <c r="AC326" s="78">
        <f t="shared" si="83"/>
        <v>0</v>
      </c>
      <c r="AD326" s="78">
        <f t="shared" si="83"/>
        <v>0</v>
      </c>
      <c r="AE326" s="78">
        <f t="shared" si="83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1454</v>
      </c>
      <c r="E327" s="70"/>
      <c r="F327" s="70"/>
      <c r="G327" s="70"/>
      <c r="H327" s="70"/>
      <c r="I327" s="70"/>
      <c r="J327" s="70"/>
      <c r="K327" s="72"/>
      <c r="L327" s="78">
        <f t="shared" ref="L327:AE327" si="84">(L$317+L$306-MIN(L$251,L$247)*$F$306*$E$306-MIN(L$251,L$308)*$F$317*$E$317)/L$295</f>
        <v>0</v>
      </c>
      <c r="M327" s="78">
        <f t="shared" si="84"/>
        <v>0</v>
      </c>
      <c r="N327" s="78">
        <f t="shared" si="84"/>
        <v>0</v>
      </c>
      <c r="O327" s="78">
        <f t="shared" si="84"/>
        <v>0</v>
      </c>
      <c r="P327" s="78">
        <f t="shared" si="84"/>
        <v>0</v>
      </c>
      <c r="Q327" s="78">
        <f t="shared" si="84"/>
        <v>0</v>
      </c>
      <c r="R327" s="78">
        <f t="shared" si="84"/>
        <v>0</v>
      </c>
      <c r="S327" s="78">
        <f t="shared" si="84"/>
        <v>0</v>
      </c>
      <c r="T327" s="78">
        <f t="shared" si="84"/>
        <v>0</v>
      </c>
      <c r="U327" s="78">
        <f t="shared" si="84"/>
        <v>0</v>
      </c>
      <c r="V327" s="78">
        <f t="shared" si="84"/>
        <v>0</v>
      </c>
      <c r="W327" s="78">
        <f t="shared" si="84"/>
        <v>0</v>
      </c>
      <c r="X327" s="78">
        <f t="shared" si="84"/>
        <v>0</v>
      </c>
      <c r="Y327" s="78">
        <f t="shared" si="84"/>
        <v>0</v>
      </c>
      <c r="Z327" s="78">
        <f t="shared" si="84"/>
        <v>0</v>
      </c>
      <c r="AA327" s="78">
        <f t="shared" si="84"/>
        <v>0</v>
      </c>
      <c r="AB327" s="78">
        <f t="shared" si="84"/>
        <v>0</v>
      </c>
      <c r="AC327" s="78">
        <f t="shared" si="84"/>
        <v>0</v>
      </c>
      <c r="AD327" s="78">
        <f t="shared" si="84"/>
        <v>0</v>
      </c>
      <c r="AE327" s="78">
        <f t="shared" si="84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1984</v>
      </c>
      <c r="E328" s="72" t="s">
        <v>1852</v>
      </c>
      <c r="F328" s="72"/>
      <c r="G328" s="70" t="s">
        <v>1475</v>
      </c>
      <c r="H328" s="86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5">L$318+L$381</f>
        <v>0</v>
      </c>
      <c r="M328" s="72">
        <f t="shared" si="85"/>
        <v>0</v>
      </c>
      <c r="N328" s="72">
        <f t="shared" si="85"/>
        <v>0</v>
      </c>
      <c r="O328" s="72">
        <f t="shared" si="85"/>
        <v>0</v>
      </c>
      <c r="P328" s="72">
        <f t="shared" si="85"/>
        <v>0</v>
      </c>
      <c r="Q328" s="72">
        <f t="shared" si="85"/>
        <v>0</v>
      </c>
      <c r="R328" s="72">
        <f t="shared" si="85"/>
        <v>0</v>
      </c>
      <c r="S328" s="72">
        <f t="shared" si="85"/>
        <v>0</v>
      </c>
      <c r="T328" s="72">
        <f t="shared" si="85"/>
        <v>0</v>
      </c>
      <c r="U328" s="72">
        <f t="shared" si="85"/>
        <v>0</v>
      </c>
      <c r="V328" s="72">
        <f t="shared" si="85"/>
        <v>0</v>
      </c>
      <c r="W328" s="72">
        <f t="shared" si="85"/>
        <v>0</v>
      </c>
      <c r="X328" s="72">
        <f t="shared" si="85"/>
        <v>0</v>
      </c>
      <c r="Y328" s="72">
        <f t="shared" si="85"/>
        <v>0</v>
      </c>
      <c r="Z328" s="72">
        <f t="shared" si="85"/>
        <v>0</v>
      </c>
      <c r="AA328" s="72">
        <f t="shared" si="85"/>
        <v>0</v>
      </c>
      <c r="AB328" s="72">
        <f t="shared" si="85"/>
        <v>0</v>
      </c>
      <c r="AC328" s="72">
        <f t="shared" si="85"/>
        <v>0</v>
      </c>
      <c r="AD328" s="72">
        <f t="shared" si="85"/>
        <v>0</v>
      </c>
      <c r="AE328" s="72">
        <f t="shared" si="85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1980</v>
      </c>
      <c r="D329" s="73"/>
      <c r="E329" s="70"/>
      <c r="F329" s="72" t="s">
        <v>1465</v>
      </c>
      <c r="G329" s="72" t="s">
        <v>1466</v>
      </c>
      <c r="H329" s="72" t="s">
        <v>1467</v>
      </c>
      <c r="I329" s="72" t="s">
        <v>1881</v>
      </c>
      <c r="J329" s="72" t="s">
        <v>1882</v>
      </c>
      <c r="K329" s="72"/>
      <c r="L329" s="74">
        <f t="shared" ref="L329:AE329" si="86">L340</f>
        <v>2022</v>
      </c>
      <c r="M329" s="74">
        <f t="shared" si="86"/>
        <v>2023</v>
      </c>
      <c r="N329" s="74">
        <f t="shared" si="86"/>
        <v>2024</v>
      </c>
      <c r="O329" s="74">
        <f t="shared" si="86"/>
        <v>2025</v>
      </c>
      <c r="P329" s="74">
        <f t="shared" si="86"/>
        <v>2026</v>
      </c>
      <c r="Q329" s="74">
        <f t="shared" si="86"/>
        <v>2027</v>
      </c>
      <c r="R329" s="74">
        <f t="shared" si="86"/>
        <v>2028</v>
      </c>
      <c r="S329" s="74">
        <f t="shared" si="86"/>
        <v>2029</v>
      </c>
      <c r="T329" s="74">
        <f t="shared" si="86"/>
        <v>2030</v>
      </c>
      <c r="U329" s="74">
        <f t="shared" si="86"/>
        <v>2031</v>
      </c>
      <c r="V329" s="74">
        <f t="shared" si="86"/>
        <v>2032</v>
      </c>
      <c r="W329" s="74">
        <f t="shared" si="86"/>
        <v>2033</v>
      </c>
      <c r="X329" s="74">
        <f t="shared" si="86"/>
        <v>2034</v>
      </c>
      <c r="Y329" s="74">
        <f t="shared" si="86"/>
        <v>2035</v>
      </c>
      <c r="Z329" s="74">
        <f t="shared" si="86"/>
        <v>2036</v>
      </c>
      <c r="AA329" s="74">
        <f t="shared" si="86"/>
        <v>2037</v>
      </c>
      <c r="AB329" s="74">
        <f t="shared" si="86"/>
        <v>2038</v>
      </c>
      <c r="AC329" s="74">
        <f t="shared" si="86"/>
        <v>2039</v>
      </c>
      <c r="AD329" s="74">
        <f t="shared" si="86"/>
        <v>2040</v>
      </c>
      <c r="AE329" s="74">
        <f t="shared" si="86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1468</v>
      </c>
      <c r="F330" s="72">
        <f t="shared" ref="F330:F337" si="87">H264+I264</f>
        <v>0.57099076999999998</v>
      </c>
      <c r="G330" s="72">
        <f t="shared" ref="G330:G337" si="88">MAX($J264,0)+MAX($K264,0)</f>
        <v>3.7901020000000001E-2</v>
      </c>
      <c r="H330" s="72">
        <f t="shared" ref="H330:H337" si="89">G330/F330</f>
        <v>6.6377640395132831E-2</v>
      </c>
      <c r="I330" s="97">
        <f t="shared" ref="I330:I337" si="90">IF($F330=0,0,$E299/$F330)</f>
        <v>1</v>
      </c>
      <c r="J330" s="97">
        <f t="shared" ref="J330:J337" si="91">IF($G330=0,0,$E310/$G330)</f>
        <v>1</v>
      </c>
      <c r="K330" s="72"/>
      <c r="L330" s="72">
        <f t="shared" ref="L330:AE330" si="92">L276*$F330/1000</f>
        <v>2.6717650641872548</v>
      </c>
      <c r="M330" s="72">
        <f t="shared" si="92"/>
        <v>2.789322727011494</v>
      </c>
      <c r="N330" s="72">
        <f t="shared" si="92"/>
        <v>2.9120529269999995</v>
      </c>
      <c r="O330" s="72">
        <f t="shared" si="92"/>
        <v>3.0401832557880004</v>
      </c>
      <c r="P330" s="72">
        <f t="shared" si="92"/>
        <v>3.173951319042672</v>
      </c>
      <c r="Q330" s="72">
        <f t="shared" si="92"/>
        <v>3.3136051770805501</v>
      </c>
      <c r="R330" s="72">
        <f t="shared" si="92"/>
        <v>3.4594038048720939</v>
      </c>
      <c r="S330" s="72">
        <f t="shared" si="92"/>
        <v>3.6116175722864661</v>
      </c>
      <c r="T330" s="72">
        <f t="shared" si="92"/>
        <v>3.7705287454670713</v>
      </c>
      <c r="U330" s="72">
        <f t="shared" si="92"/>
        <v>3.9364320102676222</v>
      </c>
      <c r="V330" s="72">
        <f t="shared" si="92"/>
        <v>4.1096350187193975</v>
      </c>
      <c r="W330" s="72">
        <f t="shared" si="92"/>
        <v>4.2904589595430505</v>
      </c>
      <c r="X330" s="72">
        <f t="shared" si="92"/>
        <v>4.4792391537629452</v>
      </c>
      <c r="Y330" s="72">
        <f t="shared" si="92"/>
        <v>4.6763256765285162</v>
      </c>
      <c r="Z330" s="72">
        <f t="shared" si="92"/>
        <v>4.8820840062957691</v>
      </c>
      <c r="AA330" s="72">
        <f t="shared" si="92"/>
        <v>5.096895702572783</v>
      </c>
      <c r="AB330" s="72">
        <f t="shared" si="92"/>
        <v>5.3211591134859875</v>
      </c>
      <c r="AC330" s="72">
        <f t="shared" si="92"/>
        <v>5.5552901144793703</v>
      </c>
      <c r="AD330" s="72">
        <f t="shared" si="92"/>
        <v>5.7997228795164624</v>
      </c>
      <c r="AE330" s="72">
        <f t="shared" si="92"/>
        <v>6.0549106862151856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1355</v>
      </c>
      <c r="E331" s="71" t="s">
        <v>1468</v>
      </c>
      <c r="F331" s="72">
        <f t="shared" si="87"/>
        <v>4.4880000000000003E-2</v>
      </c>
      <c r="G331" s="72">
        <f t="shared" si="88"/>
        <v>4.3981149999999997E-2</v>
      </c>
      <c r="H331" s="72">
        <f t="shared" si="89"/>
        <v>0.97997214795008902</v>
      </c>
      <c r="I331" s="97">
        <f t="shared" si="90"/>
        <v>1</v>
      </c>
      <c r="J331" s="97">
        <f t="shared" si="91"/>
        <v>1</v>
      </c>
      <c r="K331" s="72"/>
      <c r="L331" s="72">
        <f t="shared" ref="L331:AE331" si="93">L277*$F331/1000</f>
        <v>0.19764830228563882</v>
      </c>
      <c r="M331" s="72">
        <f t="shared" si="93"/>
        <v>0.20634482758620692</v>
      </c>
      <c r="N331" s="72">
        <f t="shared" si="93"/>
        <v>0.215424</v>
      </c>
      <c r="O331" s="72">
        <f t="shared" si="93"/>
        <v>0.22490265600000001</v>
      </c>
      <c r="P331" s="72">
        <f t="shared" si="93"/>
        <v>0.23479837286400002</v>
      </c>
      <c r="Q331" s="72">
        <f t="shared" si="93"/>
        <v>0.24512950127001604</v>
      </c>
      <c r="R331" s="72">
        <f t="shared" si="93"/>
        <v>0.25591519932589668</v>
      </c>
      <c r="S331" s="72">
        <f t="shared" si="93"/>
        <v>0.26717546809623621</v>
      </c>
      <c r="T331" s="72">
        <f t="shared" si="93"/>
        <v>0.27893118869247063</v>
      </c>
      <c r="U331" s="72">
        <f t="shared" si="93"/>
        <v>0.29120416099493934</v>
      </c>
      <c r="V331" s="72">
        <f t="shared" si="93"/>
        <v>0.30401714407871661</v>
      </c>
      <c r="W331" s="72">
        <f t="shared" si="93"/>
        <v>0.31739389841818022</v>
      </c>
      <c r="X331" s="72">
        <f t="shared" si="93"/>
        <v>0.33135922994858014</v>
      </c>
      <c r="Y331" s="72">
        <f t="shared" si="93"/>
        <v>0.34593903606631771</v>
      </c>
      <c r="Z331" s="72">
        <f t="shared" si="93"/>
        <v>0.36116035365323562</v>
      </c>
      <c r="AA331" s="72">
        <f t="shared" si="93"/>
        <v>0.37705140921397801</v>
      </c>
      <c r="AB331" s="72">
        <f t="shared" si="93"/>
        <v>0.39364167121939314</v>
      </c>
      <c r="AC331" s="72">
        <f t="shared" si="93"/>
        <v>0.41096190475304639</v>
      </c>
      <c r="AD331" s="72">
        <f t="shared" si="93"/>
        <v>0.42904422856218044</v>
      </c>
      <c r="AE331" s="72">
        <f t="shared" si="93"/>
        <v>0.44792217461891631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1359</v>
      </c>
      <c r="E332" s="71" t="s">
        <v>1468</v>
      </c>
      <c r="F332" s="72">
        <f t="shared" si="87"/>
        <v>1.4249802699999998</v>
      </c>
      <c r="G332" s="72">
        <f t="shared" si="88"/>
        <v>5.276542E-2</v>
      </c>
      <c r="H332" s="72">
        <f t="shared" si="89"/>
        <v>3.7028877599828106E-2</v>
      </c>
      <c r="I332" s="97">
        <f t="shared" si="90"/>
        <v>1</v>
      </c>
      <c r="J332" s="97">
        <f t="shared" si="91"/>
        <v>1</v>
      </c>
      <c r="K332" s="72"/>
      <c r="L332" s="72">
        <f t="shared" ref="L332:AE332" si="94">L278*$F332/1000</f>
        <v>0</v>
      </c>
      <c r="M332" s="72">
        <f t="shared" si="94"/>
        <v>0</v>
      </c>
      <c r="N332" s="72">
        <f t="shared" si="94"/>
        <v>0</v>
      </c>
      <c r="O332" s="72">
        <f t="shared" si="94"/>
        <v>0</v>
      </c>
      <c r="P332" s="72">
        <f t="shared" si="94"/>
        <v>0</v>
      </c>
      <c r="Q332" s="72">
        <f t="shared" si="94"/>
        <v>0</v>
      </c>
      <c r="R332" s="72">
        <f t="shared" si="94"/>
        <v>0</v>
      </c>
      <c r="S332" s="72">
        <f t="shared" si="94"/>
        <v>0</v>
      </c>
      <c r="T332" s="72">
        <f t="shared" si="94"/>
        <v>0</v>
      </c>
      <c r="U332" s="72">
        <f t="shared" si="94"/>
        <v>0</v>
      </c>
      <c r="V332" s="72">
        <f t="shared" si="94"/>
        <v>0</v>
      </c>
      <c r="W332" s="72">
        <f t="shared" si="94"/>
        <v>0</v>
      </c>
      <c r="X332" s="72">
        <f t="shared" si="94"/>
        <v>0</v>
      </c>
      <c r="Y332" s="72">
        <f t="shared" si="94"/>
        <v>0</v>
      </c>
      <c r="Z332" s="72">
        <f t="shared" si="94"/>
        <v>0</v>
      </c>
      <c r="AA332" s="72">
        <f t="shared" si="94"/>
        <v>0</v>
      </c>
      <c r="AB332" s="72">
        <f t="shared" si="94"/>
        <v>0</v>
      </c>
      <c r="AC332" s="72">
        <f t="shared" si="94"/>
        <v>0</v>
      </c>
      <c r="AD332" s="72">
        <f t="shared" si="94"/>
        <v>0</v>
      </c>
      <c r="AE332" s="72">
        <f t="shared" si="94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1363</v>
      </c>
      <c r="E333" s="71" t="s">
        <v>1468</v>
      </c>
      <c r="F333" s="72">
        <f t="shared" si="87"/>
        <v>0.31356849999999997</v>
      </c>
      <c r="G333" s="72">
        <f t="shared" si="88"/>
        <v>0.53702616000000003</v>
      </c>
      <c r="H333" s="72">
        <f t="shared" si="89"/>
        <v>1.7126278947024336</v>
      </c>
      <c r="I333" s="97">
        <f t="shared" si="90"/>
        <v>1</v>
      </c>
      <c r="J333" s="97">
        <f t="shared" si="91"/>
        <v>1</v>
      </c>
      <c r="K333" s="72"/>
      <c r="L333" s="72">
        <f t="shared" ref="L333:AE333" si="95">L279*$F333/1000</f>
        <v>14.692706044200628</v>
      </c>
      <c r="M333" s="72">
        <f t="shared" si="95"/>
        <v>15.177565343659246</v>
      </c>
      <c r="N333" s="72">
        <f t="shared" si="95"/>
        <v>15.678424999999999</v>
      </c>
      <c r="O333" s="72">
        <f t="shared" si="95"/>
        <v>16.195813024999996</v>
      </c>
      <c r="P333" s="72">
        <f t="shared" si="95"/>
        <v>16.730274854824994</v>
      </c>
      <c r="Q333" s="72">
        <f t="shared" si="95"/>
        <v>17.282373925034218</v>
      </c>
      <c r="R333" s="72">
        <f t="shared" si="95"/>
        <v>17.852692264560343</v>
      </c>
      <c r="S333" s="72">
        <f t="shared" si="95"/>
        <v>18.441831109290838</v>
      </c>
      <c r="T333" s="72">
        <f t="shared" si="95"/>
        <v>19.050411535897432</v>
      </c>
      <c r="U333" s="72">
        <f t="shared" si="95"/>
        <v>19.679075116582045</v>
      </c>
      <c r="V333" s="72">
        <f t="shared" si="95"/>
        <v>20.328484595429249</v>
      </c>
      <c r="W333" s="72">
        <f t="shared" si="95"/>
        <v>20.999324587078412</v>
      </c>
      <c r="X333" s="72">
        <f t="shared" si="95"/>
        <v>21.692302298451992</v>
      </c>
      <c r="Y333" s="72">
        <f t="shared" si="95"/>
        <v>22.40814827430091</v>
      </c>
      <c r="Z333" s="72">
        <f t="shared" si="95"/>
        <v>23.147617167352838</v>
      </c>
      <c r="AA333" s="72">
        <f t="shared" si="95"/>
        <v>23.911488533875481</v>
      </c>
      <c r="AB333" s="72">
        <f t="shared" si="95"/>
        <v>24.700567655493362</v>
      </c>
      <c r="AC333" s="72">
        <f t="shared" si="95"/>
        <v>25.515686388124642</v>
      </c>
      <c r="AD333" s="72">
        <f t="shared" si="95"/>
        <v>26.357704038932756</v>
      </c>
      <c r="AE333" s="72">
        <f t="shared" si="95"/>
        <v>27.227508272217527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1425</v>
      </c>
      <c r="E334" s="71" t="s">
        <v>1468</v>
      </c>
      <c r="F334" s="72">
        <f t="shared" si="87"/>
        <v>1.97472</v>
      </c>
      <c r="G334" s="72">
        <f t="shared" si="88"/>
        <v>0</v>
      </c>
      <c r="H334" s="72">
        <f t="shared" si="89"/>
        <v>0</v>
      </c>
      <c r="I334" s="97">
        <f t="shared" si="90"/>
        <v>1</v>
      </c>
      <c r="J334" s="97">
        <f t="shared" si="91"/>
        <v>0</v>
      </c>
      <c r="K334" s="72"/>
      <c r="L334" s="72">
        <f t="shared" ref="L334:AE334" si="96">L280*$F334/1000</f>
        <v>3.3747527008551588</v>
      </c>
      <c r="M334" s="72">
        <f t="shared" si="96"/>
        <v>3.4489972602739725</v>
      </c>
      <c r="N334" s="72">
        <f t="shared" si="96"/>
        <v>3.5248751999999999</v>
      </c>
      <c r="O334" s="72">
        <f t="shared" si="96"/>
        <v>3.6024224544000001</v>
      </c>
      <c r="P334" s="72">
        <f t="shared" si="96"/>
        <v>3.6816757483967999</v>
      </c>
      <c r="Q334" s="72">
        <f t="shared" si="96"/>
        <v>3.7626726148615299</v>
      </c>
      <c r="R334" s="72">
        <f t="shared" si="96"/>
        <v>3.8454514123884831</v>
      </c>
      <c r="S334" s="72">
        <f t="shared" si="96"/>
        <v>3.9300513434610296</v>
      </c>
      <c r="T334" s="72">
        <f t="shared" si="96"/>
        <v>4.0165124730171726</v>
      </c>
      <c r="U334" s="72">
        <f t="shared" si="96"/>
        <v>4.1048757474235504</v>
      </c>
      <c r="V334" s="72">
        <f t="shared" si="96"/>
        <v>4.1951830138668695</v>
      </c>
      <c r="W334" s="72">
        <f t="shared" si="96"/>
        <v>4.2874770401719395</v>
      </c>
      <c r="X334" s="72">
        <f t="shared" si="96"/>
        <v>4.3818015350557227</v>
      </c>
      <c r="Y334" s="72">
        <f t="shared" si="96"/>
        <v>4.4782011688269483</v>
      </c>
      <c r="Z334" s="72">
        <f t="shared" si="96"/>
        <v>4.5767215945411417</v>
      </c>
      <c r="AA334" s="72">
        <f t="shared" si="96"/>
        <v>4.6774094696210469</v>
      </c>
      <c r="AB334" s="72">
        <f t="shared" si="96"/>
        <v>4.7803124779527089</v>
      </c>
      <c r="AC334" s="72">
        <f t="shared" si="96"/>
        <v>4.8854793524676694</v>
      </c>
      <c r="AD334" s="72">
        <f t="shared" si="96"/>
        <v>4.9929598982219581</v>
      </c>
      <c r="AE334" s="72">
        <f t="shared" si="96"/>
        <v>5.1028050159828409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1373</v>
      </c>
      <c r="E335" s="71" t="s">
        <v>1468</v>
      </c>
      <c r="F335" s="72">
        <f t="shared" si="87"/>
        <v>0.11219999999999999</v>
      </c>
      <c r="G335" s="72">
        <f t="shared" si="88"/>
        <v>0</v>
      </c>
      <c r="H335" s="72">
        <f t="shared" si="89"/>
        <v>0</v>
      </c>
      <c r="I335" s="97">
        <f t="shared" si="90"/>
        <v>1</v>
      </c>
      <c r="J335" s="97">
        <f t="shared" si="91"/>
        <v>0</v>
      </c>
      <c r="K335" s="72"/>
      <c r="L335" s="72">
        <f t="shared" ref="L335:AE335" si="97">L281*$F335/1000</f>
        <v>0.30078009811543305</v>
      </c>
      <c r="M335" s="72">
        <f t="shared" si="97"/>
        <v>0.30739726027397257</v>
      </c>
      <c r="N335" s="72">
        <f t="shared" si="97"/>
        <v>0.31415999999999999</v>
      </c>
      <c r="O335" s="72">
        <f t="shared" si="97"/>
        <v>0.32107151999999994</v>
      </c>
      <c r="P335" s="72">
        <f t="shared" si="97"/>
        <v>0.32813509343999991</v>
      </c>
      <c r="Q335" s="72">
        <f t="shared" si="97"/>
        <v>0.33535406549567992</v>
      </c>
      <c r="R335" s="72">
        <f t="shared" si="97"/>
        <v>0.34273185493658498</v>
      </c>
      <c r="S335" s="72">
        <f t="shared" si="97"/>
        <v>0.35027195574518982</v>
      </c>
      <c r="T335" s="72">
        <f t="shared" si="97"/>
        <v>0.3579779387715839</v>
      </c>
      <c r="U335" s="72">
        <f t="shared" si="97"/>
        <v>0.36585345342455883</v>
      </c>
      <c r="V335" s="72">
        <f t="shared" si="97"/>
        <v>0.37390222939989914</v>
      </c>
      <c r="W335" s="72">
        <f t="shared" si="97"/>
        <v>0.38212807844669694</v>
      </c>
      <c r="X335" s="72">
        <f t="shared" si="97"/>
        <v>0.39053489617252429</v>
      </c>
      <c r="Y335" s="72">
        <f t="shared" si="97"/>
        <v>0.39912666388831985</v>
      </c>
      <c r="Z335" s="72">
        <f t="shared" si="97"/>
        <v>0.4079074504938629</v>
      </c>
      <c r="AA335" s="72">
        <f t="shared" si="97"/>
        <v>0.41688141440472787</v>
      </c>
      <c r="AB335" s="72">
        <f t="shared" si="97"/>
        <v>0.42605280552163183</v>
      </c>
      <c r="AC335" s="72">
        <f t="shared" si="97"/>
        <v>0.43542596724310778</v>
      </c>
      <c r="AD335" s="72">
        <f t="shared" si="97"/>
        <v>0.44500533852245616</v>
      </c>
      <c r="AE335" s="72">
        <f t="shared" si="97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1378</v>
      </c>
      <c r="E336" s="71" t="s">
        <v>1468</v>
      </c>
      <c r="F336" s="72">
        <f t="shared" si="87"/>
        <v>0.11219999999999999</v>
      </c>
      <c r="G336" s="72">
        <f t="shared" si="88"/>
        <v>0.99441250000000003</v>
      </c>
      <c r="H336" s="72">
        <f t="shared" si="89"/>
        <v>8.8628565062388596</v>
      </c>
      <c r="I336" s="97">
        <f t="shared" si="90"/>
        <v>1</v>
      </c>
      <c r="J336" s="97">
        <f t="shared" si="91"/>
        <v>1</v>
      </c>
      <c r="K336" s="72"/>
      <c r="L336" s="72">
        <f t="shared" ref="L336:AE336" si="98">L282*$F336/1000</f>
        <v>6.4452878167592806E-2</v>
      </c>
      <c r="M336" s="72">
        <f t="shared" si="98"/>
        <v>6.5870841487279841E-2</v>
      </c>
      <c r="N336" s="72">
        <f t="shared" si="98"/>
        <v>6.7319999999999991E-2</v>
      </c>
      <c r="O336" s="72">
        <f t="shared" si="98"/>
        <v>6.8801039999999994E-2</v>
      </c>
      <c r="P336" s="72">
        <f t="shared" si="98"/>
        <v>7.031466287999999E-2</v>
      </c>
      <c r="Q336" s="72">
        <f t="shared" si="98"/>
        <v>7.1861585463359995E-2</v>
      </c>
      <c r="R336" s="72">
        <f t="shared" si="98"/>
        <v>7.3442540343553922E-2</v>
      </c>
      <c r="S336" s="72">
        <f t="shared" si="98"/>
        <v>7.5058276231112109E-2</v>
      </c>
      <c r="T336" s="72">
        <f t="shared" si="98"/>
        <v>7.6709558308196563E-2</v>
      </c>
      <c r="U336" s="72">
        <f t="shared" si="98"/>
        <v>7.8397168590976896E-2</v>
      </c>
      <c r="V336" s="72">
        <f t="shared" si="98"/>
        <v>8.012190629997841E-2</v>
      </c>
      <c r="W336" s="72">
        <f t="shared" si="98"/>
        <v>8.1884588238577902E-2</v>
      </c>
      <c r="X336" s="72">
        <f t="shared" si="98"/>
        <v>8.3686049179826624E-2</v>
      </c>
      <c r="Y336" s="72">
        <f t="shared" si="98"/>
        <v>8.5527142261782832E-2</v>
      </c>
      <c r="Z336" s="72">
        <f t="shared" si="98"/>
        <v>8.7408739391542062E-2</v>
      </c>
      <c r="AA336" s="72">
        <f t="shared" si="98"/>
        <v>8.9331731658155972E-2</v>
      </c>
      <c r="AB336" s="72">
        <f t="shared" si="98"/>
        <v>9.1297029754635384E-2</v>
      </c>
      <c r="AC336" s="72">
        <f t="shared" si="98"/>
        <v>9.3305564409237374E-2</v>
      </c>
      <c r="AD336" s="72">
        <f t="shared" si="98"/>
        <v>9.5358286826240604E-2</v>
      </c>
      <c r="AE336" s="72">
        <f t="shared" si="98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1383</v>
      </c>
      <c r="E337" s="71" t="s">
        <v>1468</v>
      </c>
      <c r="F337" s="72">
        <f t="shared" si="87"/>
        <v>0.12342</v>
      </c>
      <c r="G337" s="72">
        <f t="shared" si="88"/>
        <v>2.3974930400000001</v>
      </c>
      <c r="H337" s="72">
        <f t="shared" si="89"/>
        <v>19.425482417760492</v>
      </c>
      <c r="I337" s="97">
        <f t="shared" si="90"/>
        <v>1</v>
      </c>
      <c r="J337" s="97">
        <f t="shared" si="91"/>
        <v>1</v>
      </c>
      <c r="K337" s="72"/>
      <c r="L337" s="72">
        <f t="shared" ref="L337:AE337" si="99">L283*$F337/1000</f>
        <v>3.3266099144224071E-2</v>
      </c>
      <c r="M337" s="72">
        <f t="shared" si="99"/>
        <v>3.5095734597156404E-2</v>
      </c>
      <c r="N337" s="72">
        <f t="shared" si="99"/>
        <v>3.7026000000000003E-2</v>
      </c>
      <c r="O337" s="72">
        <f t="shared" si="99"/>
        <v>3.9062430000000002E-2</v>
      </c>
      <c r="P337" s="72">
        <f t="shared" si="99"/>
        <v>4.1210863649999999E-2</v>
      </c>
      <c r="Q337" s="72">
        <f t="shared" si="99"/>
        <v>4.3477461150749991E-2</v>
      </c>
      <c r="R337" s="72">
        <f t="shared" si="99"/>
        <v>4.5868721514041248E-2</v>
      </c>
      <c r="S337" s="72">
        <f t="shared" si="99"/>
        <v>4.8391501197313509E-2</v>
      </c>
      <c r="T337" s="72">
        <f t="shared" si="99"/>
        <v>5.105303376316575E-2</v>
      </c>
      <c r="U337" s="72">
        <f t="shared" si="99"/>
        <v>5.3860950620139861E-2</v>
      </c>
      <c r="V337" s="72">
        <f t="shared" si="99"/>
        <v>5.6823302904247558E-2</v>
      </c>
      <c r="W337" s="72">
        <f t="shared" si="99"/>
        <v>5.9948584563981173E-2</v>
      </c>
      <c r="X337" s="72">
        <f t="shared" si="99"/>
        <v>6.3245756715000129E-2</v>
      </c>
      <c r="Y337" s="72">
        <f t="shared" si="99"/>
        <v>6.6724273334325138E-2</v>
      </c>
      <c r="Z337" s="72">
        <f t="shared" si="99"/>
        <v>7.039410836771301E-2</v>
      </c>
      <c r="AA337" s="72">
        <f t="shared" si="99"/>
        <v>7.426578432793722E-2</v>
      </c>
      <c r="AB337" s="72">
        <f t="shared" si="99"/>
        <v>7.8350402465973787E-2</v>
      </c>
      <c r="AC337" s="72">
        <f t="shared" si="99"/>
        <v>8.2659674601602312E-2</v>
      </c>
      <c r="AD337" s="72">
        <f t="shared" si="99"/>
        <v>8.7205956704690446E-2</v>
      </c>
      <c r="AE337" s="72">
        <f t="shared" si="99"/>
        <v>9.2002284323448424E-2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1469</v>
      </c>
      <c r="E338" s="70"/>
      <c r="F338" s="70"/>
      <c r="G338" s="70"/>
      <c r="H338" s="70"/>
      <c r="I338" s="70"/>
      <c r="J338" s="70"/>
      <c r="K338" s="72"/>
      <c r="L338" s="72">
        <f t="shared" ref="L338:AE338" si="100">SUM(L330:L337)</f>
        <v>21.335371186955928</v>
      </c>
      <c r="M338" s="72">
        <f t="shared" si="100"/>
        <v>22.03059399488933</v>
      </c>
      <c r="N338" s="72">
        <f t="shared" si="100"/>
        <v>22.749283126999998</v>
      </c>
      <c r="O338" s="72">
        <f t="shared" si="100"/>
        <v>23.492256381187996</v>
      </c>
      <c r="P338" s="72">
        <f t="shared" si="100"/>
        <v>24.260360915098467</v>
      </c>
      <c r="Q338" s="72">
        <f t="shared" si="100"/>
        <v>25.054474330356101</v>
      </c>
      <c r="R338" s="72">
        <f t="shared" si="100"/>
        <v>25.875505797940995</v>
      </c>
      <c r="S338" s="72">
        <f t="shared" si="100"/>
        <v>26.724397226308188</v>
      </c>
      <c r="T338" s="72">
        <f t="shared" si="100"/>
        <v>27.60212447391709</v>
      </c>
      <c r="U338" s="72">
        <f t="shared" si="100"/>
        <v>28.509698607903836</v>
      </c>
      <c r="V338" s="72">
        <f t="shared" si="100"/>
        <v>29.448167210698362</v>
      </c>
      <c r="W338" s="72">
        <f t="shared" si="100"/>
        <v>30.418615736460836</v>
      </c>
      <c r="X338" s="72">
        <f t="shared" si="100"/>
        <v>31.422168919286591</v>
      </c>
      <c r="Y338" s="72">
        <f t="shared" si="100"/>
        <v>32.459992235207118</v>
      </c>
      <c r="Z338" s="72">
        <f t="shared" si="100"/>
        <v>33.533293420096108</v>
      </c>
      <c r="AA338" s="72">
        <f t="shared" si="100"/>
        <v>34.643324045674106</v>
      </c>
      <c r="AB338" s="72">
        <f t="shared" si="100"/>
        <v>35.791381155893689</v>
      </c>
      <c r="AC338" s="72">
        <f t="shared" si="100"/>
        <v>36.978808966078674</v>
      </c>
      <c r="AD338" s="72">
        <f t="shared" si="100"/>
        <v>38.207000627286739</v>
      </c>
      <c r="AE338" s="72">
        <f t="shared" si="100"/>
        <v>39.477400058464283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2012</v>
      </c>
      <c r="E339" s="70" t="s">
        <v>1854</v>
      </c>
      <c r="F339" s="70"/>
      <c r="G339" s="70" t="s">
        <v>1475</v>
      </c>
      <c r="H339" s="86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5.3403962478246232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11.078559094261385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22.985300875217163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53.657060396137588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120.01557967474193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156.65156177105959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195.9109965131199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237.95463678403513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287.26169102231933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298.27545824009263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309.75277665421953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321.71463909494184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334.18304176014226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347.18103405019116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360.73277094599149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374.86356806252201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1981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1">L274</f>
        <v>2022</v>
      </c>
      <c r="M340" s="74">
        <f t="shared" si="101"/>
        <v>2023</v>
      </c>
      <c r="N340" s="74">
        <f t="shared" si="101"/>
        <v>2024</v>
      </c>
      <c r="O340" s="74">
        <f t="shared" si="101"/>
        <v>2025</v>
      </c>
      <c r="P340" s="74">
        <f t="shared" si="101"/>
        <v>2026</v>
      </c>
      <c r="Q340" s="74">
        <f t="shared" si="101"/>
        <v>2027</v>
      </c>
      <c r="R340" s="74">
        <f t="shared" si="101"/>
        <v>2028</v>
      </c>
      <c r="S340" s="74">
        <f t="shared" si="101"/>
        <v>2029</v>
      </c>
      <c r="T340" s="74">
        <f t="shared" si="101"/>
        <v>2030</v>
      </c>
      <c r="U340" s="74">
        <f t="shared" si="101"/>
        <v>2031</v>
      </c>
      <c r="V340" s="74">
        <f t="shared" si="101"/>
        <v>2032</v>
      </c>
      <c r="W340" s="74">
        <f t="shared" si="101"/>
        <v>2033</v>
      </c>
      <c r="X340" s="74">
        <f t="shared" si="101"/>
        <v>2034</v>
      </c>
      <c r="Y340" s="74">
        <f t="shared" si="101"/>
        <v>2035</v>
      </c>
      <c r="Z340" s="74">
        <f t="shared" si="101"/>
        <v>2036</v>
      </c>
      <c r="AA340" s="74">
        <f t="shared" si="101"/>
        <v>2037</v>
      </c>
      <c r="AB340" s="74">
        <f t="shared" si="101"/>
        <v>2038</v>
      </c>
      <c r="AC340" s="74">
        <f t="shared" si="101"/>
        <v>2039</v>
      </c>
      <c r="AD340" s="74">
        <f t="shared" si="101"/>
        <v>2040</v>
      </c>
      <c r="AE340" s="74">
        <f t="shared" si="101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1468</v>
      </c>
      <c r="F341" s="70"/>
      <c r="G341" s="70"/>
      <c r="H341" s="70"/>
      <c r="I341" s="70"/>
      <c r="J341" s="70"/>
      <c r="K341" s="72"/>
      <c r="L341" s="72">
        <f t="shared" ref="L341:L348" si="102">L276*G330/1000</f>
        <v>0.17734546065090059</v>
      </c>
      <c r="M341" s="72">
        <f t="shared" ref="M341:M348" si="103">M276*G330/1000</f>
        <v>0.18514866091954021</v>
      </c>
      <c r="N341" s="72">
        <f t="shared" ref="N341:N348" si="104">N276*G330/1000</f>
        <v>0.193295202</v>
      </c>
      <c r="O341" s="72">
        <f t="shared" ref="O341:O348" si="105">O276*G330/1000</f>
        <v>0.20180019088800003</v>
      </c>
      <c r="P341" s="72">
        <f t="shared" ref="P341:P348" si="106">P276*G330/1000</f>
        <v>0.21067939928707202</v>
      </c>
      <c r="Q341" s="72">
        <f t="shared" ref="Q341:Q348" si="107">Q276*G330/1000</f>
        <v>0.21994929285570322</v>
      </c>
      <c r="R341" s="72">
        <f t="shared" ref="R341:R348" si="108">R276*G330/1000</f>
        <v>0.22962706174135414</v>
      </c>
      <c r="S341" s="72">
        <f t="shared" ref="S341:S348" si="109">S276*G330/1000</f>
        <v>0.2397306524579737</v>
      </c>
      <c r="T341" s="72">
        <f t="shared" ref="T341:T348" si="110">T276*G330/1000</f>
        <v>0.25027880116612461</v>
      </c>
      <c r="U341" s="72">
        <f t="shared" ref="U341:U348" si="111">U276*G330/1000</f>
        <v>0.2612910684174341</v>
      </c>
      <c r="V341" s="72">
        <f t="shared" ref="V341:V348" si="112">V276*G330/1000</f>
        <v>0.27278787542780114</v>
      </c>
      <c r="W341" s="72">
        <f t="shared" ref="W341:W348" si="113">W276*G330/1000</f>
        <v>0.28479054194662445</v>
      </c>
      <c r="X341" s="72">
        <f t="shared" ref="X341:X348" si="114">X276*G330/1000</f>
        <v>0.29732132579227588</v>
      </c>
      <c r="Y341" s="72">
        <f t="shared" ref="Y341:Y348" si="115">Y276*G330/1000</f>
        <v>0.3104034641271361</v>
      </c>
      <c r="Z341" s="72">
        <f t="shared" ref="Z341:Z348" si="116">Z276*G330/1000</f>
        <v>0.32406121654872999</v>
      </c>
      <c r="AA341" s="72">
        <f t="shared" ref="AA341:AA348" si="117">AA276*G330/1000</f>
        <v>0.33831991007687412</v>
      </c>
      <c r="AB341" s="72">
        <f t="shared" ref="AB341:AB348" si="118">AB276*G330/1000</f>
        <v>0.35320598612025667</v>
      </c>
      <c r="AC341" s="72">
        <f t="shared" ref="AC341:AC348" si="119">AC276*G330/1000</f>
        <v>0.36874704950954795</v>
      </c>
      <c r="AD341" s="72">
        <f t="shared" ref="AD341:AD348" si="120">AD276*G330/1000</f>
        <v>0.38497191968796801</v>
      </c>
      <c r="AE341" s="72">
        <f t="shared" ref="AE341:AE348" si="121">AE276*G330/1000</f>
        <v>0.40191068415423858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1355</v>
      </c>
      <c r="E342" s="71" t="s">
        <v>1468</v>
      </c>
      <c r="F342" s="70"/>
      <c r="G342" s="70"/>
      <c r="H342" s="70"/>
      <c r="I342" s="70"/>
      <c r="J342" s="70"/>
      <c r="K342" s="72"/>
      <c r="L342" s="72">
        <f t="shared" si="102"/>
        <v>0.19368983132954593</v>
      </c>
      <c r="M342" s="72">
        <f t="shared" si="103"/>
        <v>0.20221218390804596</v>
      </c>
      <c r="N342" s="72">
        <f t="shared" si="104"/>
        <v>0.21110951999999997</v>
      </c>
      <c r="O342" s="72">
        <f t="shared" si="105"/>
        <v>0.22039833887999999</v>
      </c>
      <c r="P342" s="72">
        <f t="shared" si="106"/>
        <v>0.23009586579071997</v>
      </c>
      <c r="Q342" s="72">
        <f t="shared" si="107"/>
        <v>0.24022008388551169</v>
      </c>
      <c r="R342" s="72">
        <f t="shared" si="108"/>
        <v>0.25078976757647414</v>
      </c>
      <c r="S342" s="72">
        <f t="shared" si="109"/>
        <v>0.26182451734983908</v>
      </c>
      <c r="T342" s="72">
        <f t="shared" si="110"/>
        <v>0.27334479611323198</v>
      </c>
      <c r="U342" s="72">
        <f t="shared" si="111"/>
        <v>0.28537196714221424</v>
      </c>
      <c r="V342" s="72">
        <f t="shared" si="112"/>
        <v>0.29792833369647159</v>
      </c>
      <c r="W342" s="72">
        <f t="shared" si="113"/>
        <v>0.31103718037911643</v>
      </c>
      <c r="X342" s="72">
        <f t="shared" si="114"/>
        <v>0.32472281631579752</v>
      </c>
      <c r="Y342" s="72">
        <f t="shared" si="115"/>
        <v>0.33901062023369266</v>
      </c>
      <c r="Z342" s="72">
        <f t="shared" si="116"/>
        <v>0.35392708752397511</v>
      </c>
      <c r="AA342" s="72">
        <f t="shared" si="117"/>
        <v>0.36949987937502998</v>
      </c>
      <c r="AB342" s="72">
        <f t="shared" si="118"/>
        <v>0.38575787406753137</v>
      </c>
      <c r="AC342" s="72">
        <f t="shared" si="119"/>
        <v>0.40273122052650273</v>
      </c>
      <c r="AD342" s="72">
        <f t="shared" si="120"/>
        <v>0.42045139422966882</v>
      </c>
      <c r="AE342" s="72">
        <f t="shared" si="121"/>
        <v>0.43895125557577425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1359</v>
      </c>
      <c r="E343" s="71" t="s">
        <v>1468</v>
      </c>
      <c r="F343" s="70"/>
      <c r="G343" s="70"/>
      <c r="H343" s="70"/>
      <c r="I343" s="70"/>
      <c r="J343" s="70"/>
      <c r="K343" s="72"/>
      <c r="L343" s="72">
        <f t="shared" si="102"/>
        <v>0</v>
      </c>
      <c r="M343" s="72">
        <f t="shared" si="103"/>
        <v>0</v>
      </c>
      <c r="N343" s="72">
        <f t="shared" si="104"/>
        <v>0</v>
      </c>
      <c r="O343" s="72">
        <f t="shared" si="105"/>
        <v>0</v>
      </c>
      <c r="P343" s="72">
        <f t="shared" si="106"/>
        <v>0</v>
      </c>
      <c r="Q343" s="72">
        <f t="shared" si="107"/>
        <v>0</v>
      </c>
      <c r="R343" s="72">
        <f t="shared" si="108"/>
        <v>0</v>
      </c>
      <c r="S343" s="72">
        <f t="shared" si="109"/>
        <v>0</v>
      </c>
      <c r="T343" s="72">
        <f t="shared" si="110"/>
        <v>0</v>
      </c>
      <c r="U343" s="72">
        <f t="shared" si="111"/>
        <v>0</v>
      </c>
      <c r="V343" s="72">
        <f t="shared" si="112"/>
        <v>0</v>
      </c>
      <c r="W343" s="72">
        <f t="shared" si="113"/>
        <v>0</v>
      </c>
      <c r="X343" s="72">
        <f t="shared" si="114"/>
        <v>0</v>
      </c>
      <c r="Y343" s="72">
        <f t="shared" si="115"/>
        <v>0</v>
      </c>
      <c r="Z343" s="72">
        <f t="shared" si="116"/>
        <v>0</v>
      </c>
      <c r="AA343" s="72">
        <f t="shared" si="117"/>
        <v>0</v>
      </c>
      <c r="AB343" s="72">
        <f t="shared" si="118"/>
        <v>0</v>
      </c>
      <c r="AC343" s="72">
        <f t="shared" si="119"/>
        <v>0</v>
      </c>
      <c r="AD343" s="72">
        <f t="shared" si="120"/>
        <v>0</v>
      </c>
      <c r="AE343" s="72">
        <f t="shared" si="121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1363</v>
      </c>
      <c r="E344" s="71" t="s">
        <v>1468</v>
      </c>
      <c r="F344" s="70"/>
      <c r="G344" s="70"/>
      <c r="H344" s="70"/>
      <c r="I344" s="70"/>
      <c r="J344" s="70"/>
      <c r="K344" s="72"/>
      <c r="L344" s="72">
        <f t="shared" si="102"/>
        <v>25.163138219961041</v>
      </c>
      <c r="M344" s="72">
        <f t="shared" si="103"/>
        <v>25.993521781219755</v>
      </c>
      <c r="N344" s="72">
        <f t="shared" si="104"/>
        <v>26.851308</v>
      </c>
      <c r="O344" s="72">
        <f t="shared" si="105"/>
        <v>27.737401163999998</v>
      </c>
      <c r="P344" s="72">
        <f t="shared" si="106"/>
        <v>28.652735402411995</v>
      </c>
      <c r="Q344" s="72">
        <f t="shared" si="107"/>
        <v>29.598275670691589</v>
      </c>
      <c r="R344" s="72">
        <f t="shared" si="108"/>
        <v>30.575018767824407</v>
      </c>
      <c r="S344" s="72">
        <f t="shared" si="109"/>
        <v>31.583994387162612</v>
      </c>
      <c r="T344" s="72">
        <f t="shared" si="110"/>
        <v>32.626266201938975</v>
      </c>
      <c r="U344" s="72">
        <f t="shared" si="111"/>
        <v>33.70293298660296</v>
      </c>
      <c r="V344" s="72">
        <f t="shared" si="112"/>
        <v>34.815129775160841</v>
      </c>
      <c r="W344" s="72">
        <f t="shared" si="113"/>
        <v>35.964029057741151</v>
      </c>
      <c r="X344" s="72">
        <f t="shared" si="114"/>
        <v>37.150842016646592</v>
      </c>
      <c r="Y344" s="72">
        <f t="shared" si="115"/>
        <v>38.376819803195943</v>
      </c>
      <c r="Z344" s="72">
        <f t="shared" si="116"/>
        <v>39.643254856701404</v>
      </c>
      <c r="AA344" s="72">
        <f t="shared" si="117"/>
        <v>40.951482266972548</v>
      </c>
      <c r="AB344" s="72">
        <f t="shared" si="118"/>
        <v>42.302881181782631</v>
      </c>
      <c r="AC344" s="72">
        <f t="shared" si="119"/>
        <v>43.698876260781446</v>
      </c>
      <c r="AD344" s="72">
        <f t="shared" si="120"/>
        <v>45.140939177387231</v>
      </c>
      <c r="AE344" s="72">
        <f t="shared" si="121"/>
        <v>46.630590170241007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1425</v>
      </c>
      <c r="E345" s="71" t="s">
        <v>1468</v>
      </c>
      <c r="F345" s="70"/>
      <c r="G345" s="70"/>
      <c r="H345" s="70"/>
      <c r="I345" s="70"/>
      <c r="J345" s="70"/>
      <c r="K345" s="72"/>
      <c r="L345" s="72">
        <f t="shared" si="102"/>
        <v>0</v>
      </c>
      <c r="M345" s="72">
        <f t="shared" si="103"/>
        <v>0</v>
      </c>
      <c r="N345" s="72">
        <f t="shared" si="104"/>
        <v>0</v>
      </c>
      <c r="O345" s="72">
        <f t="shared" si="105"/>
        <v>0</v>
      </c>
      <c r="P345" s="72">
        <f t="shared" si="106"/>
        <v>0</v>
      </c>
      <c r="Q345" s="72">
        <f t="shared" si="107"/>
        <v>0</v>
      </c>
      <c r="R345" s="72">
        <f t="shared" si="108"/>
        <v>0</v>
      </c>
      <c r="S345" s="72">
        <f t="shared" si="109"/>
        <v>0</v>
      </c>
      <c r="T345" s="72">
        <f t="shared" si="110"/>
        <v>0</v>
      </c>
      <c r="U345" s="72">
        <f t="shared" si="111"/>
        <v>0</v>
      </c>
      <c r="V345" s="72">
        <f t="shared" si="112"/>
        <v>0</v>
      </c>
      <c r="W345" s="72">
        <f t="shared" si="113"/>
        <v>0</v>
      </c>
      <c r="X345" s="72">
        <f t="shared" si="114"/>
        <v>0</v>
      </c>
      <c r="Y345" s="72">
        <f t="shared" si="115"/>
        <v>0</v>
      </c>
      <c r="Z345" s="72">
        <f t="shared" si="116"/>
        <v>0</v>
      </c>
      <c r="AA345" s="72">
        <f t="shared" si="117"/>
        <v>0</v>
      </c>
      <c r="AB345" s="72">
        <f t="shared" si="118"/>
        <v>0</v>
      </c>
      <c r="AC345" s="72">
        <f t="shared" si="119"/>
        <v>0</v>
      </c>
      <c r="AD345" s="72">
        <f t="shared" si="120"/>
        <v>0</v>
      </c>
      <c r="AE345" s="72">
        <f t="shared" si="121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1373</v>
      </c>
      <c r="E346" s="71" t="s">
        <v>1468</v>
      </c>
      <c r="F346" s="70"/>
      <c r="G346" s="70"/>
      <c r="H346" s="70"/>
      <c r="I346" s="70"/>
      <c r="J346" s="70"/>
      <c r="K346" s="72"/>
      <c r="L346" s="72">
        <f t="shared" si="102"/>
        <v>0</v>
      </c>
      <c r="M346" s="72">
        <f t="shared" si="103"/>
        <v>0</v>
      </c>
      <c r="N346" s="72">
        <f t="shared" si="104"/>
        <v>0</v>
      </c>
      <c r="O346" s="72">
        <f t="shared" si="105"/>
        <v>0</v>
      </c>
      <c r="P346" s="72">
        <f t="shared" si="106"/>
        <v>0</v>
      </c>
      <c r="Q346" s="72">
        <f t="shared" si="107"/>
        <v>0</v>
      </c>
      <c r="R346" s="72">
        <f t="shared" si="108"/>
        <v>0</v>
      </c>
      <c r="S346" s="72">
        <f t="shared" si="109"/>
        <v>0</v>
      </c>
      <c r="T346" s="72">
        <f t="shared" si="110"/>
        <v>0</v>
      </c>
      <c r="U346" s="72">
        <f t="shared" si="111"/>
        <v>0</v>
      </c>
      <c r="V346" s="72">
        <f t="shared" si="112"/>
        <v>0</v>
      </c>
      <c r="W346" s="72">
        <f t="shared" si="113"/>
        <v>0</v>
      </c>
      <c r="X346" s="72">
        <f t="shared" si="114"/>
        <v>0</v>
      </c>
      <c r="Y346" s="72">
        <f t="shared" si="115"/>
        <v>0</v>
      </c>
      <c r="Z346" s="72">
        <f t="shared" si="116"/>
        <v>0</v>
      </c>
      <c r="AA346" s="72">
        <f t="shared" si="117"/>
        <v>0</v>
      </c>
      <c r="AB346" s="72">
        <f t="shared" si="118"/>
        <v>0</v>
      </c>
      <c r="AC346" s="72">
        <f t="shared" si="119"/>
        <v>0</v>
      </c>
      <c r="AD346" s="72">
        <f t="shared" si="120"/>
        <v>0</v>
      </c>
      <c r="AE346" s="72">
        <f t="shared" si="121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1378</v>
      </c>
      <c r="E347" s="71" t="s">
        <v>1468</v>
      </c>
      <c r="F347" s="70"/>
      <c r="G347" s="70"/>
      <c r="H347" s="70"/>
      <c r="I347" s="70"/>
      <c r="J347" s="70"/>
      <c r="K347" s="72"/>
      <c r="L347" s="72">
        <f t="shared" si="102"/>
        <v>0.57123661061347031</v>
      </c>
      <c r="M347" s="72">
        <f t="shared" si="103"/>
        <v>0.58380381604696674</v>
      </c>
      <c r="N347" s="72">
        <f t="shared" si="104"/>
        <v>0.5966475</v>
      </c>
      <c r="O347" s="72">
        <f t="shared" si="105"/>
        <v>0.60977374500000003</v>
      </c>
      <c r="P347" s="72">
        <f t="shared" si="106"/>
        <v>0.62318876738999995</v>
      </c>
      <c r="Q347" s="72">
        <f t="shared" si="107"/>
        <v>0.6368989202725801</v>
      </c>
      <c r="R347" s="72">
        <f t="shared" si="108"/>
        <v>0.65091069651857669</v>
      </c>
      <c r="S347" s="72">
        <f t="shared" si="109"/>
        <v>0.66523073184198556</v>
      </c>
      <c r="T347" s="72">
        <f t="shared" si="110"/>
        <v>0.67986580794250906</v>
      </c>
      <c r="U347" s="72">
        <f t="shared" si="111"/>
        <v>0.69482285571724434</v>
      </c>
      <c r="V347" s="72">
        <f t="shared" si="112"/>
        <v>0.7101089585430238</v>
      </c>
      <c r="W347" s="72">
        <f t="shared" si="113"/>
        <v>0.72573135563097024</v>
      </c>
      <c r="X347" s="72">
        <f t="shared" si="114"/>
        <v>0.74169744545485172</v>
      </c>
      <c r="Y347" s="72">
        <f t="shared" si="115"/>
        <v>0.75801478925485843</v>
      </c>
      <c r="Z347" s="72">
        <f t="shared" si="116"/>
        <v>0.7746911146184654</v>
      </c>
      <c r="AA347" s="72">
        <f t="shared" si="117"/>
        <v>0.79173431914007153</v>
      </c>
      <c r="AB347" s="72">
        <f t="shared" si="118"/>
        <v>0.8091524741611531</v>
      </c>
      <c r="AC347" s="72">
        <f t="shared" si="119"/>
        <v>0.8269538285926985</v>
      </c>
      <c r="AD347" s="72">
        <f t="shared" si="120"/>
        <v>0.84514681282173787</v>
      </c>
      <c r="AE347" s="72">
        <f t="shared" si="121"/>
        <v>0.8637400427038161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1383</v>
      </c>
      <c r="E348" s="71" t="s">
        <v>1468</v>
      </c>
      <c r="F348" s="70"/>
      <c r="G348" s="70"/>
      <c r="H348" s="70"/>
      <c r="I348" s="70"/>
      <c r="J348" s="70"/>
      <c r="K348" s="72"/>
      <c r="L348" s="72">
        <f t="shared" si="102"/>
        <v>0.64621002403360217</v>
      </c>
      <c r="M348" s="72">
        <f t="shared" si="103"/>
        <v>0.68175157535545017</v>
      </c>
      <c r="N348" s="72">
        <f t="shared" si="104"/>
        <v>0.71924791200000004</v>
      </c>
      <c r="O348" s="72">
        <f t="shared" si="105"/>
        <v>0.75880654716000007</v>
      </c>
      <c r="P348" s="72">
        <f t="shared" si="106"/>
        <v>0.80054090725379989</v>
      </c>
      <c r="Q348" s="72">
        <f t="shared" si="107"/>
        <v>0.84457065715275881</v>
      </c>
      <c r="R348" s="72">
        <f t="shared" si="108"/>
        <v>0.89102204329616075</v>
      </c>
      <c r="S348" s="72">
        <f t="shared" si="109"/>
        <v>0.9400282556774493</v>
      </c>
      <c r="T348" s="72">
        <f t="shared" si="110"/>
        <v>0.99172980973970914</v>
      </c>
      <c r="U348" s="72">
        <f t="shared" si="111"/>
        <v>1.0462749492753931</v>
      </c>
      <c r="V348" s="72">
        <f t="shared" si="112"/>
        <v>1.1038200714855397</v>
      </c>
      <c r="W348" s="72">
        <f t="shared" si="113"/>
        <v>1.1645301754172441</v>
      </c>
      <c r="X348" s="72">
        <f t="shared" si="114"/>
        <v>1.2285793350651928</v>
      </c>
      <c r="Y348" s="72">
        <f t="shared" si="115"/>
        <v>1.2961511984937784</v>
      </c>
      <c r="Z348" s="72">
        <f t="shared" si="116"/>
        <v>1.3674395144109359</v>
      </c>
      <c r="AA348" s="72">
        <f t="shared" si="117"/>
        <v>1.4426486877035372</v>
      </c>
      <c r="AB348" s="72">
        <f t="shared" si="118"/>
        <v>1.5219943655272321</v>
      </c>
      <c r="AC348" s="72">
        <f t="shared" si="119"/>
        <v>1.6057040556312294</v>
      </c>
      <c r="AD348" s="72">
        <f t="shared" si="120"/>
        <v>1.6940177786909472</v>
      </c>
      <c r="AE348" s="72">
        <f t="shared" si="121"/>
        <v>1.787188756518949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1469</v>
      </c>
      <c r="E349" s="70"/>
      <c r="F349" s="70"/>
      <c r="G349" s="70"/>
      <c r="H349" s="70"/>
      <c r="I349" s="70"/>
      <c r="J349" s="70"/>
      <c r="K349" s="72"/>
      <c r="L349" s="72">
        <f t="shared" ref="L349:AE349" si="122">SUM(L341:L348)</f>
        <v>26.751620146588564</v>
      </c>
      <c r="M349" s="72">
        <f t="shared" si="122"/>
        <v>27.646438017449757</v>
      </c>
      <c r="N349" s="72">
        <f t="shared" si="122"/>
        <v>28.571608133999998</v>
      </c>
      <c r="O349" s="72">
        <f t="shared" si="122"/>
        <v>29.528179985927999</v>
      </c>
      <c r="P349" s="72">
        <f t="shared" si="122"/>
        <v>30.51724034213359</v>
      </c>
      <c r="Q349" s="72">
        <f t="shared" si="122"/>
        <v>31.539914624858142</v>
      </c>
      <c r="R349" s="72">
        <f t="shared" si="122"/>
        <v>32.597368336956968</v>
      </c>
      <c r="S349" s="72">
        <f t="shared" si="122"/>
        <v>33.690808544489862</v>
      </c>
      <c r="T349" s="72">
        <f t="shared" si="122"/>
        <v>34.821485416900551</v>
      </c>
      <c r="U349" s="72">
        <f t="shared" si="122"/>
        <v>35.990693827155241</v>
      </c>
      <c r="V349" s="72">
        <f t="shared" si="122"/>
        <v>37.199775014313673</v>
      </c>
      <c r="W349" s="72">
        <f t="shared" si="122"/>
        <v>38.450118311115105</v>
      </c>
      <c r="X349" s="72">
        <f t="shared" si="122"/>
        <v>39.743162939274711</v>
      </c>
      <c r="Y349" s="72">
        <f t="shared" si="122"/>
        <v>41.08039987530541</v>
      </c>
      <c r="Z349" s="72">
        <f t="shared" si="122"/>
        <v>42.463373789803505</v>
      </c>
      <c r="AA349" s="72">
        <f t="shared" si="122"/>
        <v>43.893685063268059</v>
      </c>
      <c r="AB349" s="72">
        <f t="shared" si="122"/>
        <v>45.372991881658805</v>
      </c>
      <c r="AC349" s="72">
        <f t="shared" si="122"/>
        <v>46.903012415041424</v>
      </c>
      <c r="AD349" s="72">
        <f t="shared" si="122"/>
        <v>48.485527082817555</v>
      </c>
      <c r="AE349" s="72">
        <f t="shared" si="122"/>
        <v>50.122380909193787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2013</v>
      </c>
      <c r="E350" s="70" t="s">
        <v>1854</v>
      </c>
      <c r="F350" s="70"/>
      <c r="G350" s="70" t="s">
        <v>1475</v>
      </c>
      <c r="H350" s="86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5.3403962478246232</v>
      </c>
      <c r="Q350" s="72">
        <f>SUMPRODUCT($I$276:$I$283*$N$276:$N$283*(1+$G$276:$G$283)^(Q$274-$N$274)/($N$276:$N$283+($N$276:$N$283=0))*'Manual inputs'!Q$81*'Manual inputs'!Q$79*($F$330:$F$337+$G$330:$G$337))/1000</f>
        <v>11.078559094261385</v>
      </c>
      <c r="R350" s="72">
        <f>SUMPRODUCT($I$276:$I$283*$N$276:$N$283*(1+$G$276:$G$283)^(R$274-$N$274)/($N$276:$N$283+($N$276:$N$283=0))*'Manual inputs'!R$81*'Manual inputs'!R$79*($F$330:$F$337+$G$330:$G$337))/1000</f>
        <v>22.98530087521716</v>
      </c>
      <c r="S350" s="72">
        <f>SUMPRODUCT($I$276:$I$283*$N$276:$N$283*(1+$G$276:$G$283)^(S$274-$N$274)/($N$276:$N$283+($N$276:$N$283=0))*'Manual inputs'!S$81*'Manual inputs'!S$79*($F$330:$F$337+$G$330:$G$337))/1000</f>
        <v>53.657060396137581</v>
      </c>
      <c r="T350" s="72">
        <f>SUMPRODUCT($I$276:$I$283*$N$276:$N$283*(1+$G$276:$G$283)^(T$274-$N$274)/($N$276:$N$283+($N$276:$N$283=0))*'Manual inputs'!T$81*'Manual inputs'!T$79*($F$330:$F$337+$G$330:$G$337))/1000</f>
        <v>120.0155796747419</v>
      </c>
      <c r="U350" s="72">
        <f>SUMPRODUCT($I$276:$I$283*$N$276:$N$283*(1+$G$276:$G$283)^(U$274-$N$274)/($N$276:$N$283+($N$276:$N$283=0))*'Manual inputs'!U$81*'Manual inputs'!U$79*($F$330:$F$337+$G$330:$G$337))/1000</f>
        <v>156.65156177105959</v>
      </c>
      <c r="V350" s="72">
        <f>SUMPRODUCT($I$276:$I$283*$N$276:$N$283*(1+$G$276:$G$283)^(V$274-$N$274)/($N$276:$N$283+($N$276:$N$283=0))*'Manual inputs'!V$81*'Manual inputs'!V$79*($F$330:$F$337+$G$330:$G$337))/1000</f>
        <v>195.91099651311984</v>
      </c>
      <c r="W350" s="72">
        <f>SUMPRODUCT($I$276:$I$283*$N$276:$N$283*(1+$G$276:$G$283)^(W$274-$N$274)/($N$276:$N$283+($N$276:$N$283=0))*'Manual inputs'!W$81*'Manual inputs'!W$79*($F$330:$F$337+$G$330:$G$337))/1000</f>
        <v>237.95463678403516</v>
      </c>
      <c r="X350" s="72">
        <f>SUMPRODUCT($I$276:$I$283*$N$276:$N$283*(1+$G$276:$G$283)^(X$274-$N$274)/($N$276:$N$283+($N$276:$N$283=0))*'Manual inputs'!X$81*'Manual inputs'!X$79*($F$330:$F$337+$G$330:$G$337))/1000</f>
        <v>287.26169102231927</v>
      </c>
      <c r="Y350" s="72">
        <f>SUMPRODUCT($I$276:$I$283*$N$276:$N$283*(1+$G$276:$G$283)^(Y$274-$N$274)/($N$276:$N$283+($N$276:$N$283=0))*'Manual inputs'!Y$81*'Manual inputs'!Y$79*($F$330:$F$337+$G$330:$G$337))/1000</f>
        <v>298.27545824009263</v>
      </c>
      <c r="Z350" s="72">
        <f>SUMPRODUCT($I$276:$I$283*$N$276:$N$283*(1+$G$276:$G$283)^(Z$274-$N$274)/($N$276:$N$283+($N$276:$N$283=0))*'Manual inputs'!Z$81*'Manual inputs'!Z$79*($F$330:$F$337+$G$330:$G$337))/1000</f>
        <v>309.75277665421947</v>
      </c>
      <c r="AA350" s="72">
        <f>SUMPRODUCT($I$276:$I$283*$N$276:$N$283*(1+$G$276:$G$283)^(AA$274-$N$274)/($N$276:$N$283+($N$276:$N$283=0))*'Manual inputs'!AA$81*'Manual inputs'!AA$79*($F$330:$F$337+$G$330:$G$337))/1000</f>
        <v>321.71463909494184</v>
      </c>
      <c r="AB350" s="72">
        <f>SUMPRODUCT($I$276:$I$283*$N$276:$N$283*(1+$G$276:$G$283)^(AB$274-$N$274)/($N$276:$N$283+($N$276:$N$283=0))*'Manual inputs'!AB$81*'Manual inputs'!AB$79*($F$330:$F$337+$G$330:$G$337))/1000</f>
        <v>334.1830417601422</v>
      </c>
      <c r="AC350" s="72">
        <f>SUMPRODUCT($I$276:$I$283*$N$276:$N$283*(1+$G$276:$G$283)^(AC$274-$N$274)/($N$276:$N$283+($N$276:$N$283=0))*'Manual inputs'!AC$81*'Manual inputs'!AC$79*($F$330:$F$337+$G$330:$G$337))/1000</f>
        <v>347.18103405019116</v>
      </c>
      <c r="AD350" s="72">
        <f>SUMPRODUCT($I$276:$I$283*$N$276:$N$283*(1+$G$276:$G$283)^(AD$274-$N$274)/($N$276:$N$283+($N$276:$N$283=0))*'Manual inputs'!AD$81*'Manual inputs'!AD$79*($F$330:$F$337+$G$330:$G$337))/1000</f>
        <v>360.73277094599149</v>
      </c>
      <c r="AE350" s="72">
        <f>SUMPRODUCT($I$276:$I$283*$N$276:$N$283*(1+$G$276:$G$283)^(AE$274-$N$274)/($N$276:$N$283+($N$276:$N$283=0))*'Manual inputs'!AE$81*'Manual inputs'!AE$79*($F$330:$F$337+$G$330:$G$337))/1000</f>
        <v>374.86356806252212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1471</v>
      </c>
      <c r="D351" s="73"/>
      <c r="E351" s="72" t="s">
        <v>1472</v>
      </c>
      <c r="F351" s="72" t="s">
        <v>1390</v>
      </c>
      <c r="G351" s="72" t="s">
        <v>1473</v>
      </c>
      <c r="H351" s="74"/>
      <c r="I351" s="74"/>
      <c r="J351" s="74"/>
      <c r="K351" s="74"/>
      <c r="L351" s="74">
        <f t="shared" ref="L351:AE351" si="123">L298</f>
        <v>2022</v>
      </c>
      <c r="M351" s="74">
        <f t="shared" si="123"/>
        <v>2023</v>
      </c>
      <c r="N351" s="74">
        <f t="shared" si="123"/>
        <v>2024</v>
      </c>
      <c r="O351" s="74">
        <f t="shared" si="123"/>
        <v>2025</v>
      </c>
      <c r="P351" s="74">
        <f t="shared" si="123"/>
        <v>2026</v>
      </c>
      <c r="Q351" s="74">
        <f t="shared" si="123"/>
        <v>2027</v>
      </c>
      <c r="R351" s="74">
        <f t="shared" si="123"/>
        <v>2028</v>
      </c>
      <c r="S351" s="74">
        <f t="shared" si="123"/>
        <v>2029</v>
      </c>
      <c r="T351" s="74">
        <f t="shared" si="123"/>
        <v>2030</v>
      </c>
      <c r="U351" s="74">
        <f t="shared" si="123"/>
        <v>2031</v>
      </c>
      <c r="V351" s="74">
        <f t="shared" si="123"/>
        <v>2032</v>
      </c>
      <c r="W351" s="74">
        <f t="shared" si="123"/>
        <v>2033</v>
      </c>
      <c r="X351" s="74">
        <f t="shared" si="123"/>
        <v>2034</v>
      </c>
      <c r="Y351" s="74">
        <f t="shared" si="123"/>
        <v>2035</v>
      </c>
      <c r="Z351" s="74">
        <f t="shared" si="123"/>
        <v>2036</v>
      </c>
      <c r="AA351" s="74">
        <f t="shared" si="123"/>
        <v>2037</v>
      </c>
      <c r="AB351" s="74">
        <f t="shared" si="123"/>
        <v>2038</v>
      </c>
      <c r="AC351" s="74">
        <f t="shared" si="123"/>
        <v>2039</v>
      </c>
      <c r="AD351" s="74">
        <f t="shared" si="123"/>
        <v>2040</v>
      </c>
      <c r="AE351" s="74">
        <f t="shared" si="123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4">L330*(EXP(-($E352)*(L249))-1)</f>
        <v>0</v>
      </c>
      <c r="M352" s="72">
        <f t="shared" si="124"/>
        <v>0</v>
      </c>
      <c r="N352" s="72">
        <f t="shared" si="124"/>
        <v>0</v>
      </c>
      <c r="O352" s="72">
        <f t="shared" si="124"/>
        <v>0</v>
      </c>
      <c r="P352" s="72">
        <f t="shared" si="124"/>
        <v>0</v>
      </c>
      <c r="Q352" s="72">
        <f t="shared" si="124"/>
        <v>0</v>
      </c>
      <c r="R352" s="72">
        <f t="shared" si="124"/>
        <v>0</v>
      </c>
      <c r="S352" s="72">
        <f t="shared" si="124"/>
        <v>0</v>
      </c>
      <c r="T352" s="72">
        <f t="shared" si="124"/>
        <v>0</v>
      </c>
      <c r="U352" s="72">
        <f t="shared" si="124"/>
        <v>0</v>
      </c>
      <c r="V352" s="72">
        <f t="shared" si="124"/>
        <v>0</v>
      </c>
      <c r="W352" s="72">
        <f t="shared" si="124"/>
        <v>0</v>
      </c>
      <c r="X352" s="72">
        <f t="shared" si="124"/>
        <v>0</v>
      </c>
      <c r="Y352" s="72">
        <f t="shared" si="124"/>
        <v>0</v>
      </c>
      <c r="Z352" s="72">
        <f t="shared" si="124"/>
        <v>0</v>
      </c>
      <c r="AA352" s="72">
        <f t="shared" si="124"/>
        <v>0</v>
      </c>
      <c r="AB352" s="72">
        <f t="shared" si="124"/>
        <v>0</v>
      </c>
      <c r="AC352" s="72">
        <f t="shared" si="124"/>
        <v>0</v>
      </c>
      <c r="AD352" s="72">
        <f t="shared" si="124"/>
        <v>0</v>
      </c>
      <c r="AE352" s="72">
        <f t="shared" si="124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1355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5">L331*(EXP(-($E353)*(L249))-1)</f>
        <v>0</v>
      </c>
      <c r="M353" s="72">
        <f t="shared" si="125"/>
        <v>0</v>
      </c>
      <c r="N353" s="72">
        <f t="shared" si="125"/>
        <v>0</v>
      </c>
      <c r="O353" s="72">
        <f t="shared" si="125"/>
        <v>0</v>
      </c>
      <c r="P353" s="72">
        <f t="shared" si="125"/>
        <v>0</v>
      </c>
      <c r="Q353" s="72">
        <f t="shared" si="125"/>
        <v>0</v>
      </c>
      <c r="R353" s="72">
        <f t="shared" si="125"/>
        <v>0</v>
      </c>
      <c r="S353" s="72">
        <f t="shared" si="125"/>
        <v>0</v>
      </c>
      <c r="T353" s="72">
        <f t="shared" si="125"/>
        <v>0</v>
      </c>
      <c r="U353" s="72">
        <f t="shared" si="125"/>
        <v>0</v>
      </c>
      <c r="V353" s="72">
        <f t="shared" si="125"/>
        <v>0</v>
      </c>
      <c r="W353" s="72">
        <f t="shared" si="125"/>
        <v>0</v>
      </c>
      <c r="X353" s="72">
        <f t="shared" si="125"/>
        <v>0</v>
      </c>
      <c r="Y353" s="72">
        <f t="shared" si="125"/>
        <v>0</v>
      </c>
      <c r="Z353" s="72">
        <f t="shared" si="125"/>
        <v>0</v>
      </c>
      <c r="AA353" s="72">
        <f t="shared" si="125"/>
        <v>0</v>
      </c>
      <c r="AB353" s="72">
        <f t="shared" si="125"/>
        <v>0</v>
      </c>
      <c r="AC353" s="72">
        <f t="shared" si="125"/>
        <v>0</v>
      </c>
      <c r="AD353" s="72">
        <f t="shared" si="125"/>
        <v>0</v>
      </c>
      <c r="AE353" s="72">
        <f t="shared" si="125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1391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6">L332*(EXP(-($E354)*(L249))-1)</f>
        <v>0</v>
      </c>
      <c r="M354" s="72">
        <f t="shared" si="126"/>
        <v>0</v>
      </c>
      <c r="N354" s="72">
        <f t="shared" si="126"/>
        <v>0</v>
      </c>
      <c r="O354" s="72">
        <f t="shared" si="126"/>
        <v>0</v>
      </c>
      <c r="P354" s="72">
        <f t="shared" si="126"/>
        <v>0</v>
      </c>
      <c r="Q354" s="72">
        <f t="shared" si="126"/>
        <v>0</v>
      </c>
      <c r="R354" s="72">
        <f t="shared" si="126"/>
        <v>0</v>
      </c>
      <c r="S354" s="72">
        <f t="shared" si="126"/>
        <v>0</v>
      </c>
      <c r="T354" s="72">
        <f t="shared" si="126"/>
        <v>0</v>
      </c>
      <c r="U354" s="72">
        <f t="shared" si="126"/>
        <v>0</v>
      </c>
      <c r="V354" s="72">
        <f t="shared" si="126"/>
        <v>0</v>
      </c>
      <c r="W354" s="72">
        <f t="shared" si="126"/>
        <v>0</v>
      </c>
      <c r="X354" s="72">
        <f t="shared" si="126"/>
        <v>0</v>
      </c>
      <c r="Y354" s="72">
        <f t="shared" si="126"/>
        <v>0</v>
      </c>
      <c r="Z354" s="72">
        <f t="shared" si="126"/>
        <v>0</v>
      </c>
      <c r="AA354" s="72">
        <f t="shared" si="126"/>
        <v>0</v>
      </c>
      <c r="AB354" s="72">
        <f t="shared" si="126"/>
        <v>0</v>
      </c>
      <c r="AC354" s="72">
        <f t="shared" si="126"/>
        <v>0</v>
      </c>
      <c r="AD354" s="72">
        <f t="shared" si="126"/>
        <v>0</v>
      </c>
      <c r="AE354" s="72">
        <f t="shared" si="126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1392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7">L333*(EXP(-($E355)*(L249))-1)</f>
        <v>0</v>
      </c>
      <c r="M355" s="72">
        <f t="shared" si="127"/>
        <v>0</v>
      </c>
      <c r="N355" s="72">
        <f t="shared" si="127"/>
        <v>0</v>
      </c>
      <c r="O355" s="72">
        <f t="shared" si="127"/>
        <v>0</v>
      </c>
      <c r="P355" s="72">
        <f t="shared" si="127"/>
        <v>0</v>
      </c>
      <c r="Q355" s="72">
        <f t="shared" si="127"/>
        <v>0</v>
      </c>
      <c r="R355" s="72">
        <f t="shared" si="127"/>
        <v>0</v>
      </c>
      <c r="S355" s="72">
        <f t="shared" si="127"/>
        <v>0</v>
      </c>
      <c r="T355" s="72">
        <f t="shared" si="127"/>
        <v>0</v>
      </c>
      <c r="U355" s="72">
        <f t="shared" si="127"/>
        <v>0</v>
      </c>
      <c r="V355" s="72">
        <f t="shared" si="127"/>
        <v>0</v>
      </c>
      <c r="W355" s="72">
        <f t="shared" si="127"/>
        <v>0</v>
      </c>
      <c r="X355" s="72">
        <f t="shared" si="127"/>
        <v>0</v>
      </c>
      <c r="Y355" s="72">
        <f t="shared" si="127"/>
        <v>0</v>
      </c>
      <c r="Z355" s="72">
        <f t="shared" si="127"/>
        <v>0</v>
      </c>
      <c r="AA355" s="72">
        <f t="shared" si="127"/>
        <v>0</v>
      </c>
      <c r="AB355" s="72">
        <f t="shared" si="127"/>
        <v>0</v>
      </c>
      <c r="AC355" s="72">
        <f t="shared" si="127"/>
        <v>0</v>
      </c>
      <c r="AD355" s="72">
        <f t="shared" si="127"/>
        <v>0</v>
      </c>
      <c r="AE355" s="72">
        <f t="shared" si="127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1393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8">L334*(EXP(-($E356)*(L249))-1)</f>
        <v>0</v>
      </c>
      <c r="M356" s="72">
        <f t="shared" si="128"/>
        <v>0</v>
      </c>
      <c r="N356" s="72">
        <f t="shared" si="128"/>
        <v>0</v>
      </c>
      <c r="O356" s="72">
        <f t="shared" si="128"/>
        <v>0</v>
      </c>
      <c r="P356" s="72">
        <f t="shared" si="128"/>
        <v>0</v>
      </c>
      <c r="Q356" s="72">
        <f t="shared" si="128"/>
        <v>0</v>
      </c>
      <c r="R356" s="72">
        <f t="shared" si="128"/>
        <v>0</v>
      </c>
      <c r="S356" s="72">
        <f t="shared" si="128"/>
        <v>0</v>
      </c>
      <c r="T356" s="72">
        <f t="shared" si="128"/>
        <v>0</v>
      </c>
      <c r="U356" s="72">
        <f t="shared" si="128"/>
        <v>0</v>
      </c>
      <c r="V356" s="72">
        <f t="shared" si="128"/>
        <v>0</v>
      </c>
      <c r="W356" s="72">
        <f t="shared" si="128"/>
        <v>0</v>
      </c>
      <c r="X356" s="72">
        <f t="shared" si="128"/>
        <v>0</v>
      </c>
      <c r="Y356" s="72">
        <f t="shared" si="128"/>
        <v>0</v>
      </c>
      <c r="Z356" s="72">
        <f t="shared" si="128"/>
        <v>0</v>
      </c>
      <c r="AA356" s="72">
        <f t="shared" si="128"/>
        <v>0</v>
      </c>
      <c r="AB356" s="72">
        <f t="shared" si="128"/>
        <v>0</v>
      </c>
      <c r="AC356" s="72">
        <f t="shared" si="128"/>
        <v>0</v>
      </c>
      <c r="AD356" s="72">
        <f t="shared" si="128"/>
        <v>0</v>
      </c>
      <c r="AE356" s="72">
        <f t="shared" si="128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1373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9">L335*(EXP(-($E357)*(L249))-1)</f>
        <v>0</v>
      </c>
      <c r="M357" s="72">
        <f t="shared" si="129"/>
        <v>0</v>
      </c>
      <c r="N357" s="72">
        <f t="shared" si="129"/>
        <v>0</v>
      </c>
      <c r="O357" s="72">
        <f t="shared" si="129"/>
        <v>0</v>
      </c>
      <c r="P357" s="72">
        <f t="shared" si="129"/>
        <v>0</v>
      </c>
      <c r="Q357" s="72">
        <f t="shared" si="129"/>
        <v>0</v>
      </c>
      <c r="R357" s="72">
        <f t="shared" si="129"/>
        <v>0</v>
      </c>
      <c r="S357" s="72">
        <f t="shared" si="129"/>
        <v>0</v>
      </c>
      <c r="T357" s="72">
        <f t="shared" si="129"/>
        <v>0</v>
      </c>
      <c r="U357" s="72">
        <f t="shared" si="129"/>
        <v>0</v>
      </c>
      <c r="V357" s="72">
        <f t="shared" si="129"/>
        <v>0</v>
      </c>
      <c r="W357" s="72">
        <f t="shared" si="129"/>
        <v>0</v>
      </c>
      <c r="X357" s="72">
        <f t="shared" si="129"/>
        <v>0</v>
      </c>
      <c r="Y357" s="72">
        <f t="shared" si="129"/>
        <v>0</v>
      </c>
      <c r="Z357" s="72">
        <f t="shared" si="129"/>
        <v>0</v>
      </c>
      <c r="AA357" s="72">
        <f t="shared" si="129"/>
        <v>0</v>
      </c>
      <c r="AB357" s="72">
        <f t="shared" si="129"/>
        <v>0</v>
      </c>
      <c r="AC357" s="72">
        <f t="shared" si="129"/>
        <v>0</v>
      </c>
      <c r="AD357" s="72">
        <f t="shared" si="129"/>
        <v>0</v>
      </c>
      <c r="AE357" s="72">
        <f t="shared" si="129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1394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30">L336*(EXP(-($E358)*(L249))-1)</f>
        <v>0</v>
      </c>
      <c r="M358" s="72">
        <f t="shared" si="130"/>
        <v>0</v>
      </c>
      <c r="N358" s="72">
        <f t="shared" si="130"/>
        <v>0</v>
      </c>
      <c r="O358" s="72">
        <f t="shared" si="130"/>
        <v>0</v>
      </c>
      <c r="P358" s="72">
        <f t="shared" si="130"/>
        <v>0</v>
      </c>
      <c r="Q358" s="72">
        <f t="shared" si="130"/>
        <v>0</v>
      </c>
      <c r="R358" s="72">
        <f t="shared" si="130"/>
        <v>0</v>
      </c>
      <c r="S358" s="72">
        <f t="shared" si="130"/>
        <v>0</v>
      </c>
      <c r="T358" s="72">
        <f t="shared" si="130"/>
        <v>0</v>
      </c>
      <c r="U358" s="72">
        <f t="shared" si="130"/>
        <v>0</v>
      </c>
      <c r="V358" s="72">
        <f t="shared" si="130"/>
        <v>0</v>
      </c>
      <c r="W358" s="72">
        <f t="shared" si="130"/>
        <v>0</v>
      </c>
      <c r="X358" s="72">
        <f t="shared" si="130"/>
        <v>0</v>
      </c>
      <c r="Y358" s="72">
        <f t="shared" si="130"/>
        <v>0</v>
      </c>
      <c r="Z358" s="72">
        <f t="shared" si="130"/>
        <v>0</v>
      </c>
      <c r="AA358" s="72">
        <f t="shared" si="130"/>
        <v>0</v>
      </c>
      <c r="AB358" s="72">
        <f t="shared" si="130"/>
        <v>0</v>
      </c>
      <c r="AC358" s="72">
        <f t="shared" si="130"/>
        <v>0</v>
      </c>
      <c r="AD358" s="72">
        <f t="shared" si="130"/>
        <v>0</v>
      </c>
      <c r="AE358" s="72">
        <f t="shared" si="130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1383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1">L337*(EXP(-($E359)*(L249))-1)</f>
        <v>0</v>
      </c>
      <c r="M359" s="72">
        <f t="shared" si="131"/>
        <v>0</v>
      </c>
      <c r="N359" s="72">
        <f t="shared" si="131"/>
        <v>0</v>
      </c>
      <c r="O359" s="72">
        <f t="shared" si="131"/>
        <v>0</v>
      </c>
      <c r="P359" s="72">
        <f t="shared" si="131"/>
        <v>0</v>
      </c>
      <c r="Q359" s="72">
        <f t="shared" si="131"/>
        <v>0</v>
      </c>
      <c r="R359" s="72">
        <f t="shared" si="131"/>
        <v>0</v>
      </c>
      <c r="S359" s="72">
        <f t="shared" si="131"/>
        <v>0</v>
      </c>
      <c r="T359" s="72">
        <f t="shared" si="131"/>
        <v>0</v>
      </c>
      <c r="U359" s="72">
        <f t="shared" si="131"/>
        <v>0</v>
      </c>
      <c r="V359" s="72">
        <f t="shared" si="131"/>
        <v>0</v>
      </c>
      <c r="W359" s="72">
        <f t="shared" si="131"/>
        <v>0</v>
      </c>
      <c r="X359" s="72">
        <f t="shared" si="131"/>
        <v>0</v>
      </c>
      <c r="Y359" s="72">
        <f t="shared" si="131"/>
        <v>0</v>
      </c>
      <c r="Z359" s="72">
        <f t="shared" si="131"/>
        <v>0</v>
      </c>
      <c r="AA359" s="72">
        <f t="shared" si="131"/>
        <v>0</v>
      </c>
      <c r="AB359" s="72">
        <f t="shared" si="131"/>
        <v>0</v>
      </c>
      <c r="AC359" s="72">
        <f t="shared" si="131"/>
        <v>0</v>
      </c>
      <c r="AD359" s="72">
        <f t="shared" si="131"/>
        <v>0</v>
      </c>
      <c r="AE359" s="72">
        <f t="shared" si="131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1475</v>
      </c>
      <c r="H360" s="86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2">SUM(L352:L359)</f>
        <v>0</v>
      </c>
      <c r="M360" s="72">
        <f t="shared" si="132"/>
        <v>0</v>
      </c>
      <c r="N360" s="72">
        <f t="shared" si="132"/>
        <v>0</v>
      </c>
      <c r="O360" s="72">
        <f t="shared" si="132"/>
        <v>0</v>
      </c>
      <c r="P360" s="72">
        <f t="shared" si="132"/>
        <v>0</v>
      </c>
      <c r="Q360" s="72">
        <f t="shared" si="132"/>
        <v>0</v>
      </c>
      <c r="R360" s="72">
        <f t="shared" si="132"/>
        <v>0</v>
      </c>
      <c r="S360" s="72">
        <f t="shared" si="132"/>
        <v>0</v>
      </c>
      <c r="T360" s="72">
        <f t="shared" si="132"/>
        <v>0</v>
      </c>
      <c r="U360" s="72">
        <f t="shared" si="132"/>
        <v>0</v>
      </c>
      <c r="V360" s="72">
        <f t="shared" si="132"/>
        <v>0</v>
      </c>
      <c r="W360" s="72">
        <f t="shared" si="132"/>
        <v>0</v>
      </c>
      <c r="X360" s="72">
        <f t="shared" si="132"/>
        <v>0</v>
      </c>
      <c r="Y360" s="72">
        <f t="shared" si="132"/>
        <v>0</v>
      </c>
      <c r="Z360" s="72">
        <f t="shared" si="132"/>
        <v>0</v>
      </c>
      <c r="AA360" s="72">
        <f t="shared" si="132"/>
        <v>0</v>
      </c>
      <c r="AB360" s="72">
        <f t="shared" si="132"/>
        <v>0</v>
      </c>
      <c r="AC360" s="72">
        <f t="shared" si="132"/>
        <v>0</v>
      </c>
      <c r="AD360" s="72">
        <f t="shared" si="132"/>
        <v>0</v>
      </c>
      <c r="AE360" s="72">
        <f t="shared" si="132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2014</v>
      </c>
      <c r="E361" s="72" t="s">
        <v>79</v>
      </c>
      <c r="F361" s="72"/>
      <c r="G361" s="70" t="s">
        <v>1475</v>
      </c>
      <c r="H361" s="86" t="str">
        <f>Settings!$B$3&amp;".mit.cbobch."&amp;$G361&amp;"."&amp;$J$5</f>
        <v>egy.mit.cbobch.cbam.tot.1</v>
      </c>
      <c r="I361" s="72"/>
      <c r="J361" s="72"/>
      <c r="K361" s="72"/>
      <c r="L361" s="98">
        <f t="shared" ref="L361:AE361" si="133">IF(L$350=0,0,L$339/L$350-1)</f>
        <v>0</v>
      </c>
      <c r="M361" s="98">
        <f t="shared" si="133"/>
        <v>0</v>
      </c>
      <c r="N361" s="98">
        <f t="shared" si="133"/>
        <v>0</v>
      </c>
      <c r="O361" s="98">
        <f t="shared" si="133"/>
        <v>0</v>
      </c>
      <c r="P361" s="98">
        <f t="shared" si="133"/>
        <v>0</v>
      </c>
      <c r="Q361" s="98">
        <f t="shared" si="133"/>
        <v>0</v>
      </c>
      <c r="R361" s="98">
        <f t="shared" si="133"/>
        <v>2.2204460492503131E-16</v>
      </c>
      <c r="S361" s="98">
        <f t="shared" si="133"/>
        <v>2.2204460492503131E-16</v>
      </c>
      <c r="T361" s="98">
        <f t="shared" si="133"/>
        <v>2.2204460492503131E-16</v>
      </c>
      <c r="U361" s="98">
        <f t="shared" si="133"/>
        <v>0</v>
      </c>
      <c r="V361" s="98">
        <f t="shared" si="133"/>
        <v>2.2204460492503131E-16</v>
      </c>
      <c r="W361" s="98">
        <f t="shared" si="133"/>
        <v>-1.1102230246251565E-16</v>
      </c>
      <c r="X361" s="98">
        <f t="shared" si="133"/>
        <v>2.2204460492503131E-16</v>
      </c>
      <c r="Y361" s="98">
        <f t="shared" si="133"/>
        <v>0</v>
      </c>
      <c r="Z361" s="98">
        <f t="shared" si="133"/>
        <v>2.2204460492503131E-16</v>
      </c>
      <c r="AA361" s="98">
        <f t="shared" si="133"/>
        <v>0</v>
      </c>
      <c r="AB361" s="98">
        <f t="shared" si="133"/>
        <v>2.2204460492503131E-16</v>
      </c>
      <c r="AC361" s="98">
        <f t="shared" si="133"/>
        <v>0</v>
      </c>
      <c r="AD361" s="98">
        <f t="shared" si="133"/>
        <v>0</v>
      </c>
      <c r="AE361" s="98">
        <f t="shared" si="133"/>
        <v>-3.3306690738754696E-16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1474</v>
      </c>
      <c r="D362" s="73"/>
      <c r="E362" s="72" t="s">
        <v>1953</v>
      </c>
      <c r="F362" s="72" t="s">
        <v>1954</v>
      </c>
      <c r="G362" s="72" t="s">
        <v>1955</v>
      </c>
      <c r="H362" s="74" t="s">
        <v>1956</v>
      </c>
      <c r="I362" s="74"/>
      <c r="J362" s="74"/>
      <c r="K362" s="74"/>
      <c r="L362" s="74">
        <f t="shared" ref="L362:AE362" si="134">L309</f>
        <v>2022</v>
      </c>
      <c r="M362" s="74">
        <f t="shared" si="134"/>
        <v>2023</v>
      </c>
      <c r="N362" s="74">
        <f t="shared" si="134"/>
        <v>2024</v>
      </c>
      <c r="O362" s="74">
        <f t="shared" si="134"/>
        <v>2025</v>
      </c>
      <c r="P362" s="74">
        <f t="shared" si="134"/>
        <v>2026</v>
      </c>
      <c r="Q362" s="74">
        <f t="shared" si="134"/>
        <v>2027</v>
      </c>
      <c r="R362" s="74">
        <f t="shared" si="134"/>
        <v>2028</v>
      </c>
      <c r="S362" s="74">
        <f t="shared" si="134"/>
        <v>2029</v>
      </c>
      <c r="T362" s="74">
        <f t="shared" si="134"/>
        <v>2030</v>
      </c>
      <c r="U362" s="74">
        <f t="shared" si="134"/>
        <v>2031</v>
      </c>
      <c r="V362" s="74">
        <f t="shared" si="134"/>
        <v>2032</v>
      </c>
      <c r="W362" s="74">
        <f t="shared" si="134"/>
        <v>2033</v>
      </c>
      <c r="X362" s="74">
        <f t="shared" si="134"/>
        <v>2034</v>
      </c>
      <c r="Y362" s="74">
        <f t="shared" si="134"/>
        <v>2035</v>
      </c>
      <c r="Z362" s="74">
        <f t="shared" si="134"/>
        <v>2036</v>
      </c>
      <c r="AA362" s="74">
        <f t="shared" si="134"/>
        <v>2037</v>
      </c>
      <c r="AB362" s="74">
        <f t="shared" si="134"/>
        <v>2038</v>
      </c>
      <c r="AC362" s="74">
        <f t="shared" si="134"/>
        <v>2039</v>
      </c>
      <c r="AD362" s="74">
        <f t="shared" si="134"/>
        <v>2040</v>
      </c>
      <c r="AE362" s="74">
        <f t="shared" si="134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3.4469507031574592E-3</v>
      </c>
      <c r="F363" s="78">
        <f>'Manual inputs'!U$53</f>
        <v>1</v>
      </c>
      <c r="G363" s="71">
        <f>'Manual inputs'!V$53</f>
        <v>0</v>
      </c>
      <c r="H363" s="78">
        <f>'Manual inputs'!W$53</f>
        <v>0</v>
      </c>
      <c r="I363" s="70" t="s">
        <v>2885</v>
      </c>
      <c r="J363" s="70"/>
      <c r="K363" s="70"/>
      <c r="L363" s="72">
        <f t="shared" ref="L363:AE363" si="135">-L$276/1000*($J$273*MAX($J$264,0)*$F363*(1-EXP(-$E363*($F$310*L$308+$G$310*L$248+L$249)))+$K$273*MAX($K$264,0)*$H363*(1-EXP(-$G363*($F$310*L$308+$G$310*L$248+L$249))))</f>
        <v>0</v>
      </c>
      <c r="M363" s="72">
        <f t="shared" si="135"/>
        <v>0</v>
      </c>
      <c r="N363" s="72">
        <f t="shared" si="135"/>
        <v>0</v>
      </c>
      <c r="O363" s="72">
        <f t="shared" si="135"/>
        <v>0</v>
      </c>
      <c r="P363" s="72">
        <f t="shared" si="135"/>
        <v>0</v>
      </c>
      <c r="Q363" s="72">
        <f t="shared" si="135"/>
        <v>0</v>
      </c>
      <c r="R363" s="72">
        <f t="shared" si="135"/>
        <v>0</v>
      </c>
      <c r="S363" s="72">
        <f t="shared" si="135"/>
        <v>0</v>
      </c>
      <c r="T363" s="72">
        <f t="shared" si="135"/>
        <v>0</v>
      </c>
      <c r="U363" s="72">
        <f t="shared" si="135"/>
        <v>0</v>
      </c>
      <c r="V363" s="72">
        <f t="shared" si="135"/>
        <v>0</v>
      </c>
      <c r="W363" s="72">
        <f t="shared" si="135"/>
        <v>0</v>
      </c>
      <c r="X363" s="72">
        <f t="shared" si="135"/>
        <v>0</v>
      </c>
      <c r="Y363" s="72">
        <f t="shared" si="135"/>
        <v>0</v>
      </c>
      <c r="Z363" s="72">
        <f t="shared" si="135"/>
        <v>0</v>
      </c>
      <c r="AA363" s="72">
        <f t="shared" si="135"/>
        <v>0</v>
      </c>
      <c r="AB363" s="72">
        <f t="shared" si="135"/>
        <v>0</v>
      </c>
      <c r="AC363" s="72">
        <f t="shared" si="135"/>
        <v>0</v>
      </c>
      <c r="AD363" s="72">
        <f t="shared" si="135"/>
        <v>0</v>
      </c>
      <c r="AE363" s="72">
        <f t="shared" si="135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1355</v>
      </c>
      <c r="E364" s="71">
        <f>'Manual inputs'!T$54</f>
        <v>1.6366491404021942E-3</v>
      </c>
      <c r="F364" s="78">
        <f>'Manual inputs'!U$54</f>
        <v>1</v>
      </c>
      <c r="G364" s="71">
        <f>'Manual inputs'!V$54</f>
        <v>0</v>
      </c>
      <c r="H364" s="78">
        <f>'Manual inputs'!W$54</f>
        <v>0</v>
      </c>
      <c r="I364" s="70"/>
      <c r="J364" s="70"/>
      <c r="K364" s="70"/>
      <c r="L364" s="72">
        <f t="shared" ref="L364:AE364" si="136">-L$277/1000*($J$273*MAX($J$265,0)*$F364*(1-EXP(-$E364*($F$311*L$308+$G$311*L$248+L$249)))+$K$273*MAX($K$265,0)*$H364*(1-EXP(-$G364*($F$311*L$308+$G$311*L$248+L$249))))</f>
        <v>0</v>
      </c>
      <c r="M364" s="72">
        <f t="shared" si="136"/>
        <v>0</v>
      </c>
      <c r="N364" s="72">
        <f t="shared" si="136"/>
        <v>0</v>
      </c>
      <c r="O364" s="72">
        <f t="shared" si="136"/>
        <v>0</v>
      </c>
      <c r="P364" s="72">
        <f t="shared" si="136"/>
        <v>0</v>
      </c>
      <c r="Q364" s="72">
        <f t="shared" si="136"/>
        <v>0</v>
      </c>
      <c r="R364" s="72">
        <f t="shared" si="136"/>
        <v>0</v>
      </c>
      <c r="S364" s="72">
        <f t="shared" si="136"/>
        <v>0</v>
      </c>
      <c r="T364" s="72">
        <f t="shared" si="136"/>
        <v>0</v>
      </c>
      <c r="U364" s="72">
        <f t="shared" si="136"/>
        <v>0</v>
      </c>
      <c r="V364" s="72">
        <f t="shared" si="136"/>
        <v>0</v>
      </c>
      <c r="W364" s="72">
        <f t="shared" si="136"/>
        <v>0</v>
      </c>
      <c r="X364" s="72">
        <f t="shared" si="136"/>
        <v>0</v>
      </c>
      <c r="Y364" s="72">
        <f t="shared" si="136"/>
        <v>0</v>
      </c>
      <c r="Z364" s="72">
        <f t="shared" si="136"/>
        <v>0</v>
      </c>
      <c r="AA364" s="72">
        <f t="shared" si="136"/>
        <v>0</v>
      </c>
      <c r="AB364" s="72">
        <f t="shared" si="136"/>
        <v>0</v>
      </c>
      <c r="AC364" s="72">
        <f t="shared" si="136"/>
        <v>0</v>
      </c>
      <c r="AD364" s="72">
        <f t="shared" si="136"/>
        <v>0</v>
      </c>
      <c r="AE364" s="72">
        <f t="shared" si="136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1391</v>
      </c>
      <c r="E365" s="71">
        <f>'Manual inputs'!T$55</f>
        <v>2.6960722989211347E-3</v>
      </c>
      <c r="F365" s="78">
        <f>'Manual inputs'!U$55</f>
        <v>1</v>
      </c>
      <c r="G365" s="71">
        <f>'Manual inputs'!V$55</f>
        <v>0</v>
      </c>
      <c r="H365" s="78">
        <f>'Manual inputs'!W$55</f>
        <v>0</v>
      </c>
      <c r="I365" s="70"/>
      <c r="J365" s="70"/>
      <c r="K365" s="70"/>
      <c r="L365" s="72">
        <f t="shared" ref="L365:AE365" si="137">-L$278/1000*($J$273*MAX($J$266,0)*$F365*(1-EXP(-$E365*($F$312*L$308+$G$312*L$248+L$249)))+$K$273*MAX($K$266,0)*$H365*(1-EXP(-$G365*($F$312*L$308+$G$312*L$248+L$249))))</f>
        <v>0</v>
      </c>
      <c r="M365" s="72">
        <f t="shared" si="137"/>
        <v>0</v>
      </c>
      <c r="N365" s="72">
        <f t="shared" si="137"/>
        <v>0</v>
      </c>
      <c r="O365" s="72">
        <f t="shared" si="137"/>
        <v>0</v>
      </c>
      <c r="P365" s="72">
        <f t="shared" si="137"/>
        <v>0</v>
      </c>
      <c r="Q365" s="72">
        <f t="shared" si="137"/>
        <v>0</v>
      </c>
      <c r="R365" s="72">
        <f t="shared" si="137"/>
        <v>0</v>
      </c>
      <c r="S365" s="72">
        <f t="shared" si="137"/>
        <v>0</v>
      </c>
      <c r="T365" s="72">
        <f t="shared" si="137"/>
        <v>0</v>
      </c>
      <c r="U365" s="72">
        <f t="shared" si="137"/>
        <v>0</v>
      </c>
      <c r="V365" s="72">
        <f t="shared" si="137"/>
        <v>0</v>
      </c>
      <c r="W365" s="72">
        <f t="shared" si="137"/>
        <v>0</v>
      </c>
      <c r="X365" s="72">
        <f t="shared" si="137"/>
        <v>0</v>
      </c>
      <c r="Y365" s="72">
        <f t="shared" si="137"/>
        <v>0</v>
      </c>
      <c r="Z365" s="72">
        <f t="shared" si="137"/>
        <v>0</v>
      </c>
      <c r="AA365" s="72">
        <f t="shared" si="137"/>
        <v>0</v>
      </c>
      <c r="AB365" s="72">
        <f t="shared" si="137"/>
        <v>0</v>
      </c>
      <c r="AC365" s="72">
        <f t="shared" si="137"/>
        <v>0</v>
      </c>
      <c r="AD365" s="72">
        <f t="shared" si="137"/>
        <v>0</v>
      </c>
      <c r="AE365" s="72">
        <f t="shared" si="137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1392</v>
      </c>
      <c r="E366" s="71">
        <f>'Manual inputs'!T$56</f>
        <v>3.3464675036139224E-3</v>
      </c>
      <c r="F366" s="78">
        <f>'Manual inputs'!U$56</f>
        <v>1</v>
      </c>
      <c r="G366" s="71">
        <f>'Manual inputs'!V$56</f>
        <v>0</v>
      </c>
      <c r="H366" s="78">
        <f>'Manual inputs'!W$56</f>
        <v>0</v>
      </c>
      <c r="I366" s="70"/>
      <c r="J366" s="70"/>
      <c r="K366" s="70"/>
      <c r="L366" s="72">
        <f t="shared" ref="L366:AE366" si="138">-L$279/1000*($J$273*MAX($J$267,0)*$F366*(1-EXP(-$E366*($F$313*L$308+$G$313*L$248+L$249)))+$K$273*MAX($K$267,0)*$H366*(1-EXP(-$G366*($F$313*L$308+$G$313*L$248+L$249))))</f>
        <v>0</v>
      </c>
      <c r="M366" s="72">
        <f t="shared" si="138"/>
        <v>0</v>
      </c>
      <c r="N366" s="72">
        <f t="shared" si="138"/>
        <v>0</v>
      </c>
      <c r="O366" s="72">
        <f t="shared" si="138"/>
        <v>0</v>
      </c>
      <c r="P366" s="72">
        <f t="shared" si="138"/>
        <v>0</v>
      </c>
      <c r="Q366" s="72">
        <f t="shared" si="138"/>
        <v>0</v>
      </c>
      <c r="R366" s="72">
        <f t="shared" si="138"/>
        <v>0</v>
      </c>
      <c r="S366" s="72">
        <f t="shared" si="138"/>
        <v>0</v>
      </c>
      <c r="T366" s="72">
        <f t="shared" si="138"/>
        <v>0</v>
      </c>
      <c r="U366" s="72">
        <f t="shared" si="138"/>
        <v>0</v>
      </c>
      <c r="V366" s="72">
        <f t="shared" si="138"/>
        <v>0</v>
      </c>
      <c r="W366" s="72">
        <f t="shared" si="138"/>
        <v>0</v>
      </c>
      <c r="X366" s="72">
        <f t="shared" si="138"/>
        <v>0</v>
      </c>
      <c r="Y366" s="72">
        <f t="shared" si="138"/>
        <v>0</v>
      </c>
      <c r="Z366" s="72">
        <f t="shared" si="138"/>
        <v>0</v>
      </c>
      <c r="AA366" s="72">
        <f t="shared" si="138"/>
        <v>0</v>
      </c>
      <c r="AB366" s="72">
        <f t="shared" si="138"/>
        <v>0</v>
      </c>
      <c r="AC366" s="72">
        <f t="shared" si="138"/>
        <v>0</v>
      </c>
      <c r="AD366" s="72">
        <f t="shared" si="138"/>
        <v>0</v>
      </c>
      <c r="AE366" s="72">
        <f t="shared" si="138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1393</v>
      </c>
      <c r="E367" s="71">
        <f>'Manual inputs'!T$57</f>
        <v>0</v>
      </c>
      <c r="F367" s="78">
        <f>'Manual inputs'!U$57</f>
        <v>0</v>
      </c>
      <c r="G367" s="71">
        <f>'Manual inputs'!V$57</f>
        <v>0</v>
      </c>
      <c r="H367" s="78">
        <f>'Manual inputs'!W$57</f>
        <v>0</v>
      </c>
      <c r="I367" s="70"/>
      <c r="J367" s="70"/>
      <c r="K367" s="70"/>
      <c r="L367" s="72">
        <f t="shared" ref="L367:AE367" si="139">-L$280/1000*($J$273*MAX($J$268,0)*$F367*(1-EXP(-$E367*($F$314*L$308+$G$314*L$248+L$249)))+$K$273*MAX($K$268,0)*$H367*(1-EXP(-$G367*($F$314*L$308+$G$314*L$248+L$249))))</f>
        <v>0</v>
      </c>
      <c r="M367" s="72">
        <f t="shared" si="139"/>
        <v>0</v>
      </c>
      <c r="N367" s="72">
        <f t="shared" si="139"/>
        <v>0</v>
      </c>
      <c r="O367" s="72">
        <f t="shared" si="139"/>
        <v>0</v>
      </c>
      <c r="P367" s="72">
        <f t="shared" si="139"/>
        <v>0</v>
      </c>
      <c r="Q367" s="72">
        <f t="shared" si="139"/>
        <v>0</v>
      </c>
      <c r="R367" s="72">
        <f t="shared" si="139"/>
        <v>0</v>
      </c>
      <c r="S367" s="72">
        <f t="shared" si="139"/>
        <v>0</v>
      </c>
      <c r="T367" s="72">
        <f t="shared" si="139"/>
        <v>0</v>
      </c>
      <c r="U367" s="72">
        <f t="shared" si="139"/>
        <v>0</v>
      </c>
      <c r="V367" s="72">
        <f t="shared" si="139"/>
        <v>0</v>
      </c>
      <c r="W367" s="72">
        <f t="shared" si="139"/>
        <v>0</v>
      </c>
      <c r="X367" s="72">
        <f t="shared" si="139"/>
        <v>0</v>
      </c>
      <c r="Y367" s="72">
        <f t="shared" si="139"/>
        <v>0</v>
      </c>
      <c r="Z367" s="72">
        <f t="shared" si="139"/>
        <v>0</v>
      </c>
      <c r="AA367" s="72">
        <f t="shared" si="139"/>
        <v>0</v>
      </c>
      <c r="AB367" s="72">
        <f t="shared" si="139"/>
        <v>0</v>
      </c>
      <c r="AC367" s="72">
        <f t="shared" si="139"/>
        <v>0</v>
      </c>
      <c r="AD367" s="72">
        <f t="shared" si="139"/>
        <v>0</v>
      </c>
      <c r="AE367" s="72">
        <f t="shared" si="139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1373</v>
      </c>
      <c r="E368" s="71">
        <f>'Manual inputs'!T$58</f>
        <v>0</v>
      </c>
      <c r="F368" s="78">
        <f>'Manual inputs'!U$58</f>
        <v>0</v>
      </c>
      <c r="G368" s="71">
        <f>'Manual inputs'!V$58</f>
        <v>0</v>
      </c>
      <c r="H368" s="78">
        <f>'Manual inputs'!W$58</f>
        <v>0</v>
      </c>
      <c r="I368" s="70"/>
      <c r="J368" s="70"/>
      <c r="K368" s="70"/>
      <c r="L368" s="72">
        <f t="shared" ref="L368:AE368" si="140">-L$281/1000*($J$273*MAX($J$269,0)*$F368*(1-EXP(-$E368*($F$315*L$308+$G$315*L$248+L$249)))+$K$273*MAX($K$269,0)*$H368*(1-EXP(-$G368*($F$315*L$308+$G$315*L$248+L$249))))</f>
        <v>0</v>
      </c>
      <c r="M368" s="72">
        <f t="shared" si="140"/>
        <v>0</v>
      </c>
      <c r="N368" s="72">
        <f t="shared" si="140"/>
        <v>0</v>
      </c>
      <c r="O368" s="72">
        <f t="shared" si="140"/>
        <v>0</v>
      </c>
      <c r="P368" s="72">
        <f t="shared" si="140"/>
        <v>0</v>
      </c>
      <c r="Q368" s="72">
        <f t="shared" si="140"/>
        <v>0</v>
      </c>
      <c r="R368" s="72">
        <f t="shared" si="140"/>
        <v>0</v>
      </c>
      <c r="S368" s="72">
        <f t="shared" si="140"/>
        <v>0</v>
      </c>
      <c r="T368" s="72">
        <f t="shared" si="140"/>
        <v>0</v>
      </c>
      <c r="U368" s="72">
        <f t="shared" si="140"/>
        <v>0</v>
      </c>
      <c r="V368" s="72">
        <f t="shared" si="140"/>
        <v>0</v>
      </c>
      <c r="W368" s="72">
        <f t="shared" si="140"/>
        <v>0</v>
      </c>
      <c r="X368" s="72">
        <f t="shared" si="140"/>
        <v>0</v>
      </c>
      <c r="Y368" s="72">
        <f t="shared" si="140"/>
        <v>0</v>
      </c>
      <c r="Z368" s="72">
        <f t="shared" si="140"/>
        <v>0</v>
      </c>
      <c r="AA368" s="72">
        <f t="shared" si="140"/>
        <v>0</v>
      </c>
      <c r="AB368" s="72">
        <f t="shared" si="140"/>
        <v>0</v>
      </c>
      <c r="AC368" s="72">
        <f t="shared" si="140"/>
        <v>0</v>
      </c>
      <c r="AD368" s="72">
        <f t="shared" si="140"/>
        <v>0</v>
      </c>
      <c r="AE368" s="72">
        <f t="shared" si="140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1394</v>
      </c>
      <c r="E369" s="71">
        <f>'Manual inputs'!T$59</f>
        <v>0</v>
      </c>
      <c r="F369" s="78">
        <f>'Manual inputs'!U$59</f>
        <v>0</v>
      </c>
      <c r="G369" s="71">
        <f>'Manual inputs'!V$59</f>
        <v>7.8858436436826454E-3</v>
      </c>
      <c r="H369" s="78">
        <f>'Manual inputs'!W$59</f>
        <v>1</v>
      </c>
      <c r="I369" s="70"/>
      <c r="J369" s="70"/>
      <c r="K369" s="70"/>
      <c r="L369" s="72">
        <f t="shared" ref="L369:AE369" si="141">-L$282/1000*($J$273*MAX($J$270,0)*$F369*(1-EXP(-$E369*($F$316*L$308+$G$316*L$248+L$249)))+$K$273*MAX($K$270,0)*$H369*(1-EXP(-$G369*($F$316*L$308+$G$316*L$248+L$249))))</f>
        <v>0</v>
      </c>
      <c r="M369" s="72">
        <f t="shared" si="141"/>
        <v>0</v>
      </c>
      <c r="N369" s="72">
        <f t="shared" si="141"/>
        <v>0</v>
      </c>
      <c r="O369" s="72">
        <f t="shared" si="141"/>
        <v>0</v>
      </c>
      <c r="P369" s="72">
        <f t="shared" si="141"/>
        <v>0</v>
      </c>
      <c r="Q369" s="72">
        <f t="shared" si="141"/>
        <v>0</v>
      </c>
      <c r="R369" s="72">
        <f t="shared" si="141"/>
        <v>0</v>
      </c>
      <c r="S369" s="72">
        <f t="shared" si="141"/>
        <v>0</v>
      </c>
      <c r="T369" s="72">
        <f t="shared" si="141"/>
        <v>0</v>
      </c>
      <c r="U369" s="72">
        <f t="shared" si="141"/>
        <v>0</v>
      </c>
      <c r="V369" s="72">
        <f t="shared" si="141"/>
        <v>0</v>
      </c>
      <c r="W369" s="72">
        <f t="shared" si="141"/>
        <v>0</v>
      </c>
      <c r="X369" s="72">
        <f t="shared" si="141"/>
        <v>0</v>
      </c>
      <c r="Y369" s="72">
        <f t="shared" si="141"/>
        <v>0</v>
      </c>
      <c r="Z369" s="72">
        <f t="shared" si="141"/>
        <v>0</v>
      </c>
      <c r="AA369" s="72">
        <f t="shared" si="141"/>
        <v>0</v>
      </c>
      <c r="AB369" s="72">
        <f t="shared" si="141"/>
        <v>0</v>
      </c>
      <c r="AC369" s="72">
        <f t="shared" si="141"/>
        <v>0</v>
      </c>
      <c r="AD369" s="72">
        <f t="shared" si="141"/>
        <v>0</v>
      </c>
      <c r="AE369" s="72">
        <f t="shared" si="141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1383</v>
      </c>
      <c r="E370" s="71">
        <f>'Manual inputs'!T$60</f>
        <v>1.9988245320635362E-3</v>
      </c>
      <c r="F370" s="78">
        <f>'Manual inputs'!U$60</f>
        <v>1</v>
      </c>
      <c r="G370" s="71">
        <f>'Manual inputs'!V$60</f>
        <v>1.9988245320635362E-3</v>
      </c>
      <c r="H370" s="78">
        <f>'Manual inputs'!W$60</f>
        <v>1</v>
      </c>
      <c r="I370" s="72"/>
      <c r="J370" s="72"/>
      <c r="K370" s="72"/>
      <c r="L370" s="72">
        <f t="shared" ref="L370:AE370" si="142">-L$283/1000*($J$273*MAX($J$271,0)*$F370*(1-EXP(-$E370*($F$317*L$308+$G$317*L$248+L$249)))+$K$273*MAX($K$271,0)*$H370*(1-EXP(-$G370*($F$317*L$308+$G$317*L$248+L$249))))</f>
        <v>0</v>
      </c>
      <c r="M370" s="72">
        <f t="shared" si="142"/>
        <v>0</v>
      </c>
      <c r="N370" s="72">
        <f t="shared" si="142"/>
        <v>0</v>
      </c>
      <c r="O370" s="72">
        <f t="shared" si="142"/>
        <v>0</v>
      </c>
      <c r="P370" s="72">
        <f t="shared" si="142"/>
        <v>0</v>
      </c>
      <c r="Q370" s="72">
        <f t="shared" si="142"/>
        <v>0</v>
      </c>
      <c r="R370" s="72">
        <f t="shared" si="142"/>
        <v>0</v>
      </c>
      <c r="S370" s="72">
        <f t="shared" si="142"/>
        <v>0</v>
      </c>
      <c r="T370" s="72">
        <f t="shared" si="142"/>
        <v>0</v>
      </c>
      <c r="U370" s="72">
        <f t="shared" si="142"/>
        <v>0</v>
      </c>
      <c r="V370" s="72">
        <f t="shared" si="142"/>
        <v>0</v>
      </c>
      <c r="W370" s="72">
        <f t="shared" si="142"/>
        <v>0</v>
      </c>
      <c r="X370" s="72">
        <f t="shared" si="142"/>
        <v>0</v>
      </c>
      <c r="Y370" s="72">
        <f t="shared" si="142"/>
        <v>0</v>
      </c>
      <c r="Z370" s="72">
        <f t="shared" si="142"/>
        <v>0</v>
      </c>
      <c r="AA370" s="72">
        <f t="shared" si="142"/>
        <v>0</v>
      </c>
      <c r="AB370" s="72">
        <f t="shared" si="142"/>
        <v>0</v>
      </c>
      <c r="AC370" s="72">
        <f t="shared" si="142"/>
        <v>0</v>
      </c>
      <c r="AD370" s="72">
        <f t="shared" si="142"/>
        <v>0</v>
      </c>
      <c r="AE370" s="72">
        <f t="shared" si="142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1475</v>
      </c>
      <c r="H371" s="86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3">SUM(L363:L370)</f>
        <v>0</v>
      </c>
      <c r="M371" s="72">
        <f t="shared" si="143"/>
        <v>0</v>
      </c>
      <c r="N371" s="72">
        <f t="shared" si="143"/>
        <v>0</v>
      </c>
      <c r="O371" s="72">
        <f t="shared" si="143"/>
        <v>0</v>
      </c>
      <c r="P371" s="72">
        <f t="shared" si="143"/>
        <v>0</v>
      </c>
      <c r="Q371" s="72">
        <f t="shared" si="143"/>
        <v>0</v>
      </c>
      <c r="R371" s="72">
        <f t="shared" si="143"/>
        <v>0</v>
      </c>
      <c r="S371" s="72">
        <f t="shared" si="143"/>
        <v>0</v>
      </c>
      <c r="T371" s="72">
        <f t="shared" si="143"/>
        <v>0</v>
      </c>
      <c r="U371" s="72">
        <f t="shared" si="143"/>
        <v>0</v>
      </c>
      <c r="V371" s="72">
        <f t="shared" si="143"/>
        <v>0</v>
      </c>
      <c r="W371" s="72">
        <f t="shared" si="143"/>
        <v>0</v>
      </c>
      <c r="X371" s="72">
        <f t="shared" si="143"/>
        <v>0</v>
      </c>
      <c r="Y371" s="72">
        <f t="shared" si="143"/>
        <v>0</v>
      </c>
      <c r="Z371" s="72">
        <f t="shared" si="143"/>
        <v>0</v>
      </c>
      <c r="AA371" s="72">
        <f t="shared" si="143"/>
        <v>0</v>
      </c>
      <c r="AB371" s="72">
        <f t="shared" si="143"/>
        <v>0</v>
      </c>
      <c r="AC371" s="72">
        <f t="shared" si="143"/>
        <v>0</v>
      </c>
      <c r="AD371" s="72">
        <f t="shared" si="143"/>
        <v>0</v>
      </c>
      <c r="AE371" s="72">
        <f t="shared" si="14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2015</v>
      </c>
      <c r="E372" s="72" t="s">
        <v>79</v>
      </c>
      <c r="F372" s="72"/>
      <c r="G372" s="70" t="s">
        <v>1475</v>
      </c>
      <c r="H372" s="86" t="str">
        <f>Settings!$B$3&amp;".mit.cbobchu."&amp;$G372&amp;"."&amp;$J$5</f>
        <v>egy.mit.cbobchu.cbam.tot.1</v>
      </c>
      <c r="I372" s="72"/>
      <c r="J372" s="72"/>
      <c r="K372" s="72"/>
      <c r="L372" s="98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98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98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98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98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-2.2204460492503131E-16</v>
      </c>
      <c r="Q372" s="98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0</v>
      </c>
      <c r="R372" s="98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2.2204460492503131E-16</v>
      </c>
      <c r="S372" s="98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2.2204460492503131E-16</v>
      </c>
      <c r="T372" s="98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2.2204460492503131E-16</v>
      </c>
      <c r="U372" s="98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2.2204460492503131E-16</v>
      </c>
      <c r="V372" s="98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98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98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98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0</v>
      </c>
      <c r="Z372" s="98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98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98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98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98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98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1476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1477</v>
      </c>
      <c r="H374" s="86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4">SUM(L334:L336)+SUM(L356:L358)</f>
        <v>3.7399856771381845</v>
      </c>
      <c r="M374" s="72">
        <f t="shared" si="144"/>
        <v>3.8222653620352247</v>
      </c>
      <c r="N374" s="72">
        <f t="shared" si="144"/>
        <v>3.9063551999999997</v>
      </c>
      <c r="O374" s="72">
        <f t="shared" si="144"/>
        <v>3.9922950143999998</v>
      </c>
      <c r="P374" s="72">
        <f t="shared" si="144"/>
        <v>4.0801255047168006</v>
      </c>
      <c r="Q374" s="72">
        <f t="shared" si="144"/>
        <v>4.1698882658205694</v>
      </c>
      <c r="R374" s="72">
        <f t="shared" si="144"/>
        <v>4.2616258076686222</v>
      </c>
      <c r="S374" s="72">
        <f t="shared" si="144"/>
        <v>4.3553815754373311</v>
      </c>
      <c r="T374" s="72">
        <f t="shared" si="144"/>
        <v>4.4511999700969529</v>
      </c>
      <c r="U374" s="72">
        <f t="shared" si="144"/>
        <v>4.5491263694390858</v>
      </c>
      <c r="V374" s="72">
        <f t="shared" si="144"/>
        <v>4.6492071495667471</v>
      </c>
      <c r="W374" s="72">
        <f t="shared" si="144"/>
        <v>4.7514897068572139</v>
      </c>
      <c r="X374" s="72">
        <f t="shared" si="144"/>
        <v>4.8560224804080736</v>
      </c>
      <c r="Y374" s="72">
        <f t="shared" si="144"/>
        <v>4.9628549749770512</v>
      </c>
      <c r="Z374" s="72">
        <f t="shared" si="144"/>
        <v>5.0720377844265467</v>
      </c>
      <c r="AA374" s="72">
        <f t="shared" si="144"/>
        <v>5.1836226156839302</v>
      </c>
      <c r="AB374" s="72">
        <f t="shared" si="144"/>
        <v>5.297662313228976</v>
      </c>
      <c r="AC374" s="72">
        <f t="shared" si="144"/>
        <v>5.4142108841200143</v>
      </c>
      <c r="AD374" s="72">
        <f t="shared" si="144"/>
        <v>5.5333235235706555</v>
      </c>
      <c r="AE374" s="72">
        <f t="shared" si="144"/>
        <v>5.6550566410892094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1478</v>
      </c>
      <c r="H375" s="86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5">SUM(L330:L332)+SUM(L352:L354)</f>
        <v>2.8694133664728936</v>
      </c>
      <c r="M375" s="72">
        <f t="shared" si="145"/>
        <v>2.9956675545977007</v>
      </c>
      <c r="N375" s="72">
        <f t="shared" si="145"/>
        <v>3.1274769269999996</v>
      </c>
      <c r="O375" s="72">
        <f t="shared" si="145"/>
        <v>3.2650859117880002</v>
      </c>
      <c r="P375" s="72">
        <f t="shared" si="145"/>
        <v>3.4087496919066722</v>
      </c>
      <c r="Q375" s="72">
        <f t="shared" si="145"/>
        <v>3.5587346783505662</v>
      </c>
      <c r="R375" s="72">
        <f t="shared" si="145"/>
        <v>3.7153190041979904</v>
      </c>
      <c r="S375" s="72">
        <f t="shared" si="145"/>
        <v>3.8787930403827025</v>
      </c>
      <c r="T375" s="72">
        <f t="shared" si="145"/>
        <v>4.0494599341595423</v>
      </c>
      <c r="U375" s="72">
        <f t="shared" si="145"/>
        <v>4.2276361712625619</v>
      </c>
      <c r="V375" s="72">
        <f t="shared" si="145"/>
        <v>4.4136521627981145</v>
      </c>
      <c r="W375" s="72">
        <f t="shared" si="145"/>
        <v>4.6078528579612303</v>
      </c>
      <c r="X375" s="72">
        <f t="shared" si="145"/>
        <v>4.8105983837115254</v>
      </c>
      <c r="Y375" s="72">
        <f t="shared" si="145"/>
        <v>5.0222647125948336</v>
      </c>
      <c r="Z375" s="72">
        <f t="shared" si="145"/>
        <v>5.2432443599490046</v>
      </c>
      <c r="AA375" s="72">
        <f t="shared" si="145"/>
        <v>5.4739471117867611</v>
      </c>
      <c r="AB375" s="72">
        <f t="shared" si="145"/>
        <v>5.714800784705381</v>
      </c>
      <c r="AC375" s="72">
        <f t="shared" si="145"/>
        <v>5.9662520192324164</v>
      </c>
      <c r="AD375" s="72">
        <f t="shared" si="145"/>
        <v>6.2287671080786424</v>
      </c>
      <c r="AE375" s="72">
        <f t="shared" si="145"/>
        <v>6.5028328608341015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1479</v>
      </c>
      <c r="H376" s="86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6">L337+L359</f>
        <v>3.3266099144224071E-2</v>
      </c>
      <c r="M376" s="72">
        <f t="shared" si="146"/>
        <v>3.5095734597156404E-2</v>
      </c>
      <c r="N376" s="72">
        <f t="shared" si="146"/>
        <v>3.7026000000000003E-2</v>
      </c>
      <c r="O376" s="72">
        <f t="shared" si="146"/>
        <v>3.9062430000000002E-2</v>
      </c>
      <c r="P376" s="72">
        <f t="shared" si="146"/>
        <v>4.1210863649999999E-2</v>
      </c>
      <c r="Q376" s="72">
        <f t="shared" si="146"/>
        <v>4.3477461150749991E-2</v>
      </c>
      <c r="R376" s="72">
        <f t="shared" si="146"/>
        <v>4.5868721514041248E-2</v>
      </c>
      <c r="S376" s="72">
        <f t="shared" si="146"/>
        <v>4.8391501197313509E-2</v>
      </c>
      <c r="T376" s="72">
        <f t="shared" si="146"/>
        <v>5.105303376316575E-2</v>
      </c>
      <c r="U376" s="72">
        <f t="shared" si="146"/>
        <v>5.3860950620139861E-2</v>
      </c>
      <c r="V376" s="72">
        <f t="shared" si="146"/>
        <v>5.6823302904247558E-2</v>
      </c>
      <c r="W376" s="72">
        <f t="shared" si="146"/>
        <v>5.9948584563981173E-2</v>
      </c>
      <c r="X376" s="72">
        <f t="shared" si="146"/>
        <v>6.3245756715000129E-2</v>
      </c>
      <c r="Y376" s="72">
        <f t="shared" si="146"/>
        <v>6.6724273334325138E-2</v>
      </c>
      <c r="Z376" s="72">
        <f t="shared" si="146"/>
        <v>7.039410836771301E-2</v>
      </c>
      <c r="AA376" s="72">
        <f t="shared" si="146"/>
        <v>7.426578432793722E-2</v>
      </c>
      <c r="AB376" s="72">
        <f t="shared" si="146"/>
        <v>7.8350402465973787E-2</v>
      </c>
      <c r="AC376" s="72">
        <f t="shared" si="146"/>
        <v>8.2659674601602312E-2</v>
      </c>
      <c r="AD376" s="72">
        <f t="shared" si="146"/>
        <v>8.7205956704690446E-2</v>
      </c>
      <c r="AE376" s="72">
        <f t="shared" si="146"/>
        <v>9.2002284323448424E-2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1480</v>
      </c>
      <c r="H377" s="86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1481</v>
      </c>
      <c r="H378" s="86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7">L333+L355</f>
        <v>14.692706044200628</v>
      </c>
      <c r="M378" s="72">
        <f t="shared" si="147"/>
        <v>15.177565343659246</v>
      </c>
      <c r="N378" s="72">
        <f t="shared" si="147"/>
        <v>15.678424999999999</v>
      </c>
      <c r="O378" s="72">
        <f t="shared" si="147"/>
        <v>16.195813024999996</v>
      </c>
      <c r="P378" s="72">
        <f t="shared" si="147"/>
        <v>16.730274854824994</v>
      </c>
      <c r="Q378" s="72">
        <f t="shared" si="147"/>
        <v>17.282373925034218</v>
      </c>
      <c r="R378" s="72">
        <f t="shared" si="147"/>
        <v>17.852692264560343</v>
      </c>
      <c r="S378" s="72">
        <f t="shared" si="147"/>
        <v>18.441831109290838</v>
      </c>
      <c r="T378" s="72">
        <f t="shared" si="147"/>
        <v>19.050411535897432</v>
      </c>
      <c r="U378" s="72">
        <f t="shared" si="147"/>
        <v>19.679075116582045</v>
      </c>
      <c r="V378" s="72">
        <f t="shared" si="147"/>
        <v>20.328484595429249</v>
      </c>
      <c r="W378" s="72">
        <f t="shared" si="147"/>
        <v>20.999324587078412</v>
      </c>
      <c r="X378" s="72">
        <f t="shared" si="147"/>
        <v>21.692302298451992</v>
      </c>
      <c r="Y378" s="72">
        <f t="shared" si="147"/>
        <v>22.40814827430091</v>
      </c>
      <c r="Z378" s="72">
        <f t="shared" si="147"/>
        <v>23.147617167352838</v>
      </c>
      <c r="AA378" s="72">
        <f t="shared" si="147"/>
        <v>23.911488533875481</v>
      </c>
      <c r="AB378" s="72">
        <f t="shared" si="147"/>
        <v>24.700567655493362</v>
      </c>
      <c r="AC378" s="72">
        <f t="shared" si="147"/>
        <v>25.515686388124642</v>
      </c>
      <c r="AD378" s="72">
        <f t="shared" si="147"/>
        <v>26.357704038932756</v>
      </c>
      <c r="AE378" s="72">
        <f t="shared" si="147"/>
        <v>27.227508272217527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1475</v>
      </c>
      <c r="H379" s="86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8">SUM(L374:L378)</f>
        <v>21.335371186955932</v>
      </c>
      <c r="M379" s="72">
        <f t="shared" si="148"/>
        <v>22.03059399488933</v>
      </c>
      <c r="N379" s="72">
        <f t="shared" si="148"/>
        <v>22.749283126999998</v>
      </c>
      <c r="O379" s="72">
        <f t="shared" si="148"/>
        <v>23.492256381187996</v>
      </c>
      <c r="P379" s="72">
        <f t="shared" si="148"/>
        <v>24.260360915098467</v>
      </c>
      <c r="Q379" s="72">
        <f t="shared" si="148"/>
        <v>25.054474330356104</v>
      </c>
      <c r="R379" s="72">
        <f t="shared" si="148"/>
        <v>25.875505797940995</v>
      </c>
      <c r="S379" s="72">
        <f t="shared" si="148"/>
        <v>26.724397226308184</v>
      </c>
      <c r="T379" s="72">
        <f t="shared" si="148"/>
        <v>27.602124473917094</v>
      </c>
      <c r="U379" s="72">
        <f t="shared" si="148"/>
        <v>28.509698607903829</v>
      </c>
      <c r="V379" s="72">
        <f t="shared" si="148"/>
        <v>29.448167210698358</v>
      </c>
      <c r="W379" s="72">
        <f t="shared" si="148"/>
        <v>30.418615736460836</v>
      </c>
      <c r="X379" s="72">
        <f t="shared" si="148"/>
        <v>31.422168919286591</v>
      </c>
      <c r="Y379" s="72">
        <f t="shared" si="148"/>
        <v>32.459992235207118</v>
      </c>
      <c r="Z379" s="72">
        <f t="shared" si="148"/>
        <v>33.533293420096101</v>
      </c>
      <c r="AA379" s="72">
        <f t="shared" si="148"/>
        <v>34.643324045674106</v>
      </c>
      <c r="AB379" s="72">
        <f t="shared" si="148"/>
        <v>35.791381155893696</v>
      </c>
      <c r="AC379" s="72">
        <f t="shared" si="148"/>
        <v>36.978808966078674</v>
      </c>
      <c r="AD379" s="72">
        <f t="shared" si="148"/>
        <v>38.207000627286746</v>
      </c>
      <c r="AE379" s="72">
        <f t="shared" si="148"/>
        <v>39.477400058464283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1851</v>
      </c>
      <c r="E380" s="72" t="s">
        <v>1852</v>
      </c>
      <c r="F380" s="72"/>
      <c r="G380" s="70" t="s">
        <v>1475</v>
      </c>
      <c r="H380" s="86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9">L$379+L$390</f>
        <v>48.086991333544489</v>
      </c>
      <c r="M380" s="72">
        <f t="shared" si="149"/>
        <v>49.677032012339083</v>
      </c>
      <c r="N380" s="72">
        <f t="shared" si="149"/>
        <v>51.320891261</v>
      </c>
      <c r="O380" s="72">
        <f t="shared" si="149"/>
        <v>53.020436367115991</v>
      </c>
      <c r="P380" s="72">
        <f t="shared" si="149"/>
        <v>54.77760125723205</v>
      </c>
      <c r="Q380" s="72">
        <f t="shared" si="149"/>
        <v>56.594388955214242</v>
      </c>
      <c r="R380" s="72">
        <f t="shared" si="149"/>
        <v>58.472874134897971</v>
      </c>
      <c r="S380" s="72">
        <f t="shared" si="149"/>
        <v>60.415205770798046</v>
      </c>
      <c r="T380" s="72">
        <f t="shared" si="149"/>
        <v>62.423609890817644</v>
      </c>
      <c r="U380" s="72">
        <f t="shared" si="149"/>
        <v>64.500392435059069</v>
      </c>
      <c r="V380" s="72">
        <f t="shared" si="149"/>
        <v>66.647942225012031</v>
      </c>
      <c r="W380" s="72">
        <f t="shared" si="149"/>
        <v>68.868734047575941</v>
      </c>
      <c r="X380" s="72">
        <f t="shared" si="149"/>
        <v>71.165331858561302</v>
      </c>
      <c r="Y380" s="72">
        <f t="shared" si="149"/>
        <v>73.540392110512528</v>
      </c>
      <c r="Z380" s="72">
        <f t="shared" si="149"/>
        <v>75.996667209899613</v>
      </c>
      <c r="AA380" s="72">
        <f t="shared" si="149"/>
        <v>78.537009108942158</v>
      </c>
      <c r="AB380" s="72">
        <f t="shared" si="149"/>
        <v>81.164373037552508</v>
      </c>
      <c r="AC380" s="72">
        <f t="shared" si="149"/>
        <v>83.881821381120091</v>
      </c>
      <c r="AD380" s="72">
        <f t="shared" si="149"/>
        <v>86.692527710104301</v>
      </c>
      <c r="AE380" s="72">
        <f t="shared" si="149"/>
        <v>89.599780967658063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1853</v>
      </c>
      <c r="E381" s="72" t="s">
        <v>1852</v>
      </c>
      <c r="F381" s="72"/>
      <c r="G381" s="70" t="s">
        <v>1475</v>
      </c>
      <c r="H381" s="86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50">L$360+L$371</f>
        <v>0</v>
      </c>
      <c r="M381" s="72">
        <f t="shared" si="150"/>
        <v>0</v>
      </c>
      <c r="N381" s="72">
        <f t="shared" si="150"/>
        <v>0</v>
      </c>
      <c r="O381" s="72">
        <f t="shared" si="150"/>
        <v>0</v>
      </c>
      <c r="P381" s="72">
        <f t="shared" si="150"/>
        <v>0</v>
      </c>
      <c r="Q381" s="72">
        <f t="shared" si="150"/>
        <v>0</v>
      </c>
      <c r="R381" s="72">
        <f t="shared" si="150"/>
        <v>0</v>
      </c>
      <c r="S381" s="72">
        <f t="shared" si="150"/>
        <v>0</v>
      </c>
      <c r="T381" s="72">
        <f t="shared" si="150"/>
        <v>0</v>
      </c>
      <c r="U381" s="72">
        <f t="shared" si="150"/>
        <v>0</v>
      </c>
      <c r="V381" s="72">
        <f t="shared" si="150"/>
        <v>0</v>
      </c>
      <c r="W381" s="72">
        <f t="shared" si="150"/>
        <v>0</v>
      </c>
      <c r="X381" s="72">
        <f t="shared" si="150"/>
        <v>0</v>
      </c>
      <c r="Y381" s="72">
        <f t="shared" si="150"/>
        <v>0</v>
      </c>
      <c r="Z381" s="72">
        <f t="shared" si="150"/>
        <v>0</v>
      </c>
      <c r="AA381" s="72">
        <f t="shared" si="150"/>
        <v>0</v>
      </c>
      <c r="AB381" s="72">
        <f t="shared" si="150"/>
        <v>0</v>
      </c>
      <c r="AC381" s="72">
        <f t="shared" si="150"/>
        <v>0</v>
      </c>
      <c r="AD381" s="72">
        <f t="shared" si="150"/>
        <v>0</v>
      </c>
      <c r="AE381" s="72">
        <f t="shared" si="15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1883</v>
      </c>
      <c r="E382" s="72" t="s">
        <v>1854</v>
      </c>
      <c r="F382" s="72"/>
      <c r="G382" s="70" t="s">
        <v>1475</v>
      </c>
      <c r="H382" s="86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51">SUMPRODUCT((L$330:L$337+L$352:L$359)*$I$330:$I$337*($F$299:$F$306*L$247+$G$299:$G$306*L$248))</f>
        <v>0</v>
      </c>
      <c r="M382" s="72">
        <f t="shared" si="151"/>
        <v>0</v>
      </c>
      <c r="N382" s="72">
        <f t="shared" si="151"/>
        <v>0</v>
      </c>
      <c r="O382" s="72">
        <f t="shared" si="151"/>
        <v>0</v>
      </c>
      <c r="P382" s="72">
        <f t="shared" si="151"/>
        <v>0</v>
      </c>
      <c r="Q382" s="72">
        <f t="shared" si="151"/>
        <v>0</v>
      </c>
      <c r="R382" s="72">
        <f t="shared" si="151"/>
        <v>0</v>
      </c>
      <c r="S382" s="72">
        <f t="shared" si="151"/>
        <v>0</v>
      </c>
      <c r="T382" s="72">
        <f t="shared" si="151"/>
        <v>0</v>
      </c>
      <c r="U382" s="72">
        <f t="shared" si="151"/>
        <v>0</v>
      </c>
      <c r="V382" s="72">
        <f t="shared" si="151"/>
        <v>0</v>
      </c>
      <c r="W382" s="72">
        <f t="shared" si="151"/>
        <v>0</v>
      </c>
      <c r="X382" s="72">
        <f t="shared" si="151"/>
        <v>0</v>
      </c>
      <c r="Y382" s="72">
        <f t="shared" si="151"/>
        <v>0</v>
      </c>
      <c r="Z382" s="72">
        <f t="shared" si="151"/>
        <v>0</v>
      </c>
      <c r="AA382" s="72">
        <f t="shared" si="151"/>
        <v>0</v>
      </c>
      <c r="AB382" s="72">
        <f t="shared" si="151"/>
        <v>0</v>
      </c>
      <c r="AC382" s="72">
        <f t="shared" si="151"/>
        <v>0</v>
      </c>
      <c r="AD382" s="72">
        <f t="shared" si="151"/>
        <v>0</v>
      </c>
      <c r="AE382" s="72">
        <f t="shared" si="15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1902</v>
      </c>
      <c r="E383" s="72" t="s">
        <v>1854</v>
      </c>
      <c r="F383" s="72"/>
      <c r="G383" s="70" t="s">
        <v>1475</v>
      </c>
      <c r="H383" s="86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2">SUMPRODUCT((L$341:L$348*$J$330:$J$337+L$363:L$370)*($F$310:$F$317*L$308+$G$310:$G$317*L$248))</f>
        <v>0</v>
      </c>
      <c r="M383" s="72">
        <f t="shared" si="152"/>
        <v>0</v>
      </c>
      <c r="N383" s="72">
        <f t="shared" si="152"/>
        <v>0</v>
      </c>
      <c r="O383" s="72">
        <f t="shared" si="152"/>
        <v>0</v>
      </c>
      <c r="P383" s="72">
        <f t="shared" si="152"/>
        <v>0</v>
      </c>
      <c r="Q383" s="72">
        <f t="shared" si="152"/>
        <v>0</v>
      </c>
      <c r="R383" s="72">
        <f t="shared" si="152"/>
        <v>0</v>
      </c>
      <c r="S383" s="72">
        <f t="shared" si="152"/>
        <v>0</v>
      </c>
      <c r="T383" s="72">
        <f t="shared" si="152"/>
        <v>0</v>
      </c>
      <c r="U383" s="72">
        <f t="shared" si="152"/>
        <v>0</v>
      </c>
      <c r="V383" s="72">
        <f t="shared" si="152"/>
        <v>0</v>
      </c>
      <c r="W383" s="72">
        <f t="shared" si="152"/>
        <v>0</v>
      </c>
      <c r="X383" s="72">
        <f t="shared" si="152"/>
        <v>0</v>
      </c>
      <c r="Y383" s="72">
        <f t="shared" si="152"/>
        <v>0</v>
      </c>
      <c r="Z383" s="72">
        <f t="shared" si="152"/>
        <v>0</v>
      </c>
      <c r="AA383" s="72">
        <f t="shared" si="152"/>
        <v>0</v>
      </c>
      <c r="AB383" s="72">
        <f t="shared" si="152"/>
        <v>0</v>
      </c>
      <c r="AC383" s="72">
        <f t="shared" si="152"/>
        <v>0</v>
      </c>
      <c r="AD383" s="72">
        <f t="shared" si="152"/>
        <v>0</v>
      </c>
      <c r="AE383" s="72">
        <f t="shared" si="15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1482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1477</v>
      </c>
      <c r="H385" s="86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3">SUM(L345:L347)+SUM(L367:L369)</f>
        <v>0.57123661061347031</v>
      </c>
      <c r="M385" s="72">
        <f t="shared" si="153"/>
        <v>0.58380381604696674</v>
      </c>
      <c r="N385" s="72">
        <f t="shared" si="153"/>
        <v>0.5966475</v>
      </c>
      <c r="O385" s="72">
        <f t="shared" si="153"/>
        <v>0.60977374500000003</v>
      </c>
      <c r="P385" s="72">
        <f t="shared" si="153"/>
        <v>0.62318876738999995</v>
      </c>
      <c r="Q385" s="72">
        <f t="shared" si="153"/>
        <v>0.6368989202725801</v>
      </c>
      <c r="R385" s="72">
        <f t="shared" si="153"/>
        <v>0.65091069651857669</v>
      </c>
      <c r="S385" s="72">
        <f t="shared" si="153"/>
        <v>0.66523073184198556</v>
      </c>
      <c r="T385" s="72">
        <f t="shared" si="153"/>
        <v>0.67986580794250906</v>
      </c>
      <c r="U385" s="72">
        <f t="shared" si="153"/>
        <v>0.69482285571724434</v>
      </c>
      <c r="V385" s="72">
        <f t="shared" si="153"/>
        <v>0.7101089585430238</v>
      </c>
      <c r="W385" s="72">
        <f t="shared" si="153"/>
        <v>0.72573135563097024</v>
      </c>
      <c r="X385" s="72">
        <f t="shared" si="153"/>
        <v>0.74169744545485172</v>
      </c>
      <c r="Y385" s="72">
        <f t="shared" si="153"/>
        <v>0.75801478925485843</v>
      </c>
      <c r="Z385" s="72">
        <f t="shared" si="153"/>
        <v>0.7746911146184654</v>
      </c>
      <c r="AA385" s="72">
        <f t="shared" si="153"/>
        <v>0.79173431914007153</v>
      </c>
      <c r="AB385" s="72">
        <f t="shared" si="153"/>
        <v>0.8091524741611531</v>
      </c>
      <c r="AC385" s="72">
        <f t="shared" si="153"/>
        <v>0.8269538285926985</v>
      </c>
      <c r="AD385" s="72">
        <f t="shared" si="153"/>
        <v>0.84514681282173787</v>
      </c>
      <c r="AE385" s="72">
        <f t="shared" si="153"/>
        <v>0.8637400427038161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1478</v>
      </c>
      <c r="H386" s="86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4">SUM(L341:L343)+SUM(L363:L365)</f>
        <v>0.37103529198044649</v>
      </c>
      <c r="M386" s="72">
        <f t="shared" si="154"/>
        <v>0.38736084482758615</v>
      </c>
      <c r="N386" s="72">
        <f t="shared" si="154"/>
        <v>0.40440472199999999</v>
      </c>
      <c r="O386" s="72">
        <f t="shared" si="154"/>
        <v>0.42219852976799999</v>
      </c>
      <c r="P386" s="72">
        <f t="shared" si="154"/>
        <v>0.44077526507779197</v>
      </c>
      <c r="Q386" s="72">
        <f t="shared" si="154"/>
        <v>0.46016937674121494</v>
      </c>
      <c r="R386" s="72">
        <f t="shared" si="154"/>
        <v>0.48041682931782825</v>
      </c>
      <c r="S386" s="72">
        <f t="shared" si="154"/>
        <v>0.50155516980781278</v>
      </c>
      <c r="T386" s="72">
        <f t="shared" si="154"/>
        <v>0.52362359727935659</v>
      </c>
      <c r="U386" s="72">
        <f t="shared" si="154"/>
        <v>0.54666303555964835</v>
      </c>
      <c r="V386" s="72">
        <f t="shared" si="154"/>
        <v>0.57071620912427279</v>
      </c>
      <c r="W386" s="72">
        <f t="shared" si="154"/>
        <v>0.59582772232574088</v>
      </c>
      <c r="X386" s="72">
        <f t="shared" si="154"/>
        <v>0.62204414210807335</v>
      </c>
      <c r="Y386" s="72">
        <f t="shared" si="154"/>
        <v>0.6494140843608287</v>
      </c>
      <c r="Z386" s="72">
        <f t="shared" si="154"/>
        <v>0.67798830407270505</v>
      </c>
      <c r="AA386" s="72">
        <f t="shared" si="154"/>
        <v>0.70781978945190405</v>
      </c>
      <c r="AB386" s="72">
        <f t="shared" si="154"/>
        <v>0.73896386018778804</v>
      </c>
      <c r="AC386" s="72">
        <f t="shared" si="154"/>
        <v>0.77147827003605074</v>
      </c>
      <c r="AD386" s="72">
        <f t="shared" si="154"/>
        <v>0.80542331391763677</v>
      </c>
      <c r="AE386" s="72">
        <f t="shared" si="154"/>
        <v>0.84086193973001278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1479</v>
      </c>
      <c r="H387" s="86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5">L348+L370</f>
        <v>0.64621002403360217</v>
      </c>
      <c r="M387" s="72">
        <f t="shared" si="155"/>
        <v>0.68175157535545017</v>
      </c>
      <c r="N387" s="72">
        <f t="shared" si="155"/>
        <v>0.71924791200000004</v>
      </c>
      <c r="O387" s="72">
        <f t="shared" si="155"/>
        <v>0.75880654716000007</v>
      </c>
      <c r="P387" s="72">
        <f t="shared" si="155"/>
        <v>0.80054090725379989</v>
      </c>
      <c r="Q387" s="72">
        <f t="shared" si="155"/>
        <v>0.84457065715275881</v>
      </c>
      <c r="R387" s="72">
        <f t="shared" si="155"/>
        <v>0.89102204329616075</v>
      </c>
      <c r="S387" s="72">
        <f t="shared" si="155"/>
        <v>0.9400282556774493</v>
      </c>
      <c r="T387" s="72">
        <f t="shared" si="155"/>
        <v>0.99172980973970914</v>
      </c>
      <c r="U387" s="72">
        <f t="shared" si="155"/>
        <v>1.0462749492753931</v>
      </c>
      <c r="V387" s="72">
        <f t="shared" si="155"/>
        <v>1.1038200714855397</v>
      </c>
      <c r="W387" s="72">
        <f t="shared" si="155"/>
        <v>1.1645301754172441</v>
      </c>
      <c r="X387" s="72">
        <f t="shared" si="155"/>
        <v>1.2285793350651928</v>
      </c>
      <c r="Y387" s="72">
        <f t="shared" si="155"/>
        <v>1.2961511984937784</v>
      </c>
      <c r="Z387" s="72">
        <f t="shared" si="155"/>
        <v>1.3674395144109359</v>
      </c>
      <c r="AA387" s="72">
        <f t="shared" si="155"/>
        <v>1.4426486877035372</v>
      </c>
      <c r="AB387" s="72">
        <f t="shared" si="155"/>
        <v>1.5219943655272321</v>
      </c>
      <c r="AC387" s="72">
        <f t="shared" si="155"/>
        <v>1.6057040556312294</v>
      </c>
      <c r="AD387" s="72">
        <f t="shared" si="155"/>
        <v>1.6940177786909472</v>
      </c>
      <c r="AE387" s="72">
        <f t="shared" si="155"/>
        <v>1.787188756518949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1480</v>
      </c>
      <c r="H388" s="86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1481</v>
      </c>
      <c r="H389" s="86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6">L344+L366</f>
        <v>25.163138219961041</v>
      </c>
      <c r="M389" s="72">
        <f t="shared" si="156"/>
        <v>25.993521781219755</v>
      </c>
      <c r="N389" s="72">
        <f t="shared" si="156"/>
        <v>26.851308</v>
      </c>
      <c r="O389" s="72">
        <f t="shared" si="156"/>
        <v>27.737401163999998</v>
      </c>
      <c r="P389" s="72">
        <f t="shared" si="156"/>
        <v>28.652735402411995</v>
      </c>
      <c r="Q389" s="72">
        <f t="shared" si="156"/>
        <v>29.598275670691589</v>
      </c>
      <c r="R389" s="72">
        <f t="shared" si="156"/>
        <v>30.575018767824407</v>
      </c>
      <c r="S389" s="72">
        <f t="shared" si="156"/>
        <v>31.583994387162612</v>
      </c>
      <c r="T389" s="72">
        <f t="shared" si="156"/>
        <v>32.626266201938975</v>
      </c>
      <c r="U389" s="72">
        <f t="shared" si="156"/>
        <v>33.70293298660296</v>
      </c>
      <c r="V389" s="72">
        <f t="shared" si="156"/>
        <v>34.815129775160841</v>
      </c>
      <c r="W389" s="72">
        <f t="shared" si="156"/>
        <v>35.964029057741151</v>
      </c>
      <c r="X389" s="72">
        <f t="shared" si="156"/>
        <v>37.150842016646592</v>
      </c>
      <c r="Y389" s="72">
        <f t="shared" si="156"/>
        <v>38.376819803195943</v>
      </c>
      <c r="Z389" s="72">
        <f t="shared" si="156"/>
        <v>39.643254856701404</v>
      </c>
      <c r="AA389" s="72">
        <f t="shared" si="156"/>
        <v>40.951482266972548</v>
      </c>
      <c r="AB389" s="72">
        <f t="shared" si="156"/>
        <v>42.302881181782631</v>
      </c>
      <c r="AC389" s="72">
        <f t="shared" si="156"/>
        <v>43.698876260781446</v>
      </c>
      <c r="AD389" s="72">
        <f t="shared" si="156"/>
        <v>45.140939177387231</v>
      </c>
      <c r="AE389" s="72">
        <f t="shared" si="156"/>
        <v>46.630590170241007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1475</v>
      </c>
      <c r="H390" s="86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7">SUM(L385:L389)</f>
        <v>26.751620146588561</v>
      </c>
      <c r="M390" s="72">
        <f t="shared" si="157"/>
        <v>27.646438017449757</v>
      </c>
      <c r="N390" s="72">
        <f t="shared" si="157"/>
        <v>28.571608133999998</v>
      </c>
      <c r="O390" s="72">
        <f t="shared" si="157"/>
        <v>29.528179985927999</v>
      </c>
      <c r="P390" s="72">
        <f t="shared" si="157"/>
        <v>30.517240342133586</v>
      </c>
      <c r="Q390" s="72">
        <f t="shared" si="157"/>
        <v>31.539914624858142</v>
      </c>
      <c r="R390" s="72">
        <f t="shared" si="157"/>
        <v>32.597368336956976</v>
      </c>
      <c r="S390" s="72">
        <f t="shared" si="157"/>
        <v>33.690808544489862</v>
      </c>
      <c r="T390" s="72">
        <f t="shared" si="157"/>
        <v>34.821485416900551</v>
      </c>
      <c r="U390" s="72">
        <f t="shared" si="157"/>
        <v>35.990693827155248</v>
      </c>
      <c r="V390" s="72">
        <f t="shared" si="157"/>
        <v>37.19977501431368</v>
      </c>
      <c r="W390" s="72">
        <f t="shared" si="157"/>
        <v>38.450118311115105</v>
      </c>
      <c r="X390" s="72">
        <f t="shared" si="157"/>
        <v>39.743162939274711</v>
      </c>
      <c r="Y390" s="72">
        <f t="shared" si="157"/>
        <v>41.08039987530541</v>
      </c>
      <c r="Z390" s="72">
        <f t="shared" si="157"/>
        <v>42.463373789803512</v>
      </c>
      <c r="AA390" s="72">
        <f t="shared" si="157"/>
        <v>43.893685063268059</v>
      </c>
      <c r="AB390" s="72">
        <f t="shared" si="157"/>
        <v>45.372991881658805</v>
      </c>
      <c r="AC390" s="72">
        <f t="shared" si="157"/>
        <v>46.903012415041424</v>
      </c>
      <c r="AD390" s="72">
        <f t="shared" si="157"/>
        <v>48.485527082817555</v>
      </c>
      <c r="AE390" s="72">
        <f t="shared" si="157"/>
        <v>50.122380909193787</v>
      </c>
      <c r="AF390" s="70"/>
      <c r="AG390" s="70"/>
      <c r="AH390" s="70"/>
      <c r="AI390" s="70"/>
    </row>
    <row r="391" spans="1:35" x14ac:dyDescent="0.45">
      <c r="A391" s="70"/>
      <c r="B391" s="52" t="s">
        <v>1855</v>
      </c>
      <c r="C391" s="73" t="s">
        <v>1483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8">L362</f>
        <v>2022</v>
      </c>
      <c r="M391" s="74">
        <f t="shared" si="158"/>
        <v>2023</v>
      </c>
      <c r="N391" s="74">
        <f t="shared" si="158"/>
        <v>2024</v>
      </c>
      <c r="O391" s="74">
        <f t="shared" si="158"/>
        <v>2025</v>
      </c>
      <c r="P391" s="74">
        <f t="shared" si="158"/>
        <v>2026</v>
      </c>
      <c r="Q391" s="74">
        <f t="shared" si="158"/>
        <v>2027</v>
      </c>
      <c r="R391" s="74">
        <f t="shared" si="158"/>
        <v>2028</v>
      </c>
      <c r="S391" s="74">
        <f t="shared" si="158"/>
        <v>2029</v>
      </c>
      <c r="T391" s="74">
        <f t="shared" si="158"/>
        <v>2030</v>
      </c>
      <c r="U391" s="74">
        <f t="shared" si="158"/>
        <v>2031</v>
      </c>
      <c r="V391" s="74">
        <f t="shared" si="158"/>
        <v>2032</v>
      </c>
      <c r="W391" s="74">
        <f t="shared" si="158"/>
        <v>2033</v>
      </c>
      <c r="X391" s="74">
        <f t="shared" si="158"/>
        <v>2034</v>
      </c>
      <c r="Y391" s="74">
        <f t="shared" si="158"/>
        <v>2035</v>
      </c>
      <c r="Z391" s="74">
        <f t="shared" si="158"/>
        <v>2036</v>
      </c>
      <c r="AA391" s="74">
        <f t="shared" si="158"/>
        <v>2037</v>
      </c>
      <c r="AB391" s="74">
        <f t="shared" si="158"/>
        <v>2038</v>
      </c>
      <c r="AC391" s="74">
        <f t="shared" si="158"/>
        <v>2039</v>
      </c>
      <c r="AD391" s="74">
        <f t="shared" si="158"/>
        <v>2040</v>
      </c>
      <c r="AE391" s="74">
        <f t="shared" si="15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9">(L330+L352)*$I330*($F299*L$247+$G299*L$248)+(L341*$J330+L363)*($F310*L$308+$G310*L$248)</f>
        <v>0</v>
      </c>
      <c r="M392" s="72">
        <f t="shared" si="159"/>
        <v>0</v>
      </c>
      <c r="N392" s="72">
        <f t="shared" si="159"/>
        <v>0</v>
      </c>
      <c r="O392" s="72">
        <f t="shared" si="159"/>
        <v>0</v>
      </c>
      <c r="P392" s="72">
        <f t="shared" si="159"/>
        <v>0</v>
      </c>
      <c r="Q392" s="72">
        <f t="shared" si="159"/>
        <v>0</v>
      </c>
      <c r="R392" s="72">
        <f t="shared" si="159"/>
        <v>0</v>
      </c>
      <c r="S392" s="72">
        <f t="shared" si="159"/>
        <v>0</v>
      </c>
      <c r="T392" s="72">
        <f t="shared" si="159"/>
        <v>0</v>
      </c>
      <c r="U392" s="72">
        <f t="shared" si="159"/>
        <v>0</v>
      </c>
      <c r="V392" s="72">
        <f t="shared" si="159"/>
        <v>0</v>
      </c>
      <c r="W392" s="72">
        <f t="shared" si="159"/>
        <v>0</v>
      </c>
      <c r="X392" s="72">
        <f t="shared" si="159"/>
        <v>0</v>
      </c>
      <c r="Y392" s="72">
        <f t="shared" si="159"/>
        <v>0</v>
      </c>
      <c r="Z392" s="72">
        <f t="shared" si="159"/>
        <v>0</v>
      </c>
      <c r="AA392" s="72">
        <f t="shared" si="159"/>
        <v>0</v>
      </c>
      <c r="AB392" s="72">
        <f t="shared" si="159"/>
        <v>0</v>
      </c>
      <c r="AC392" s="72">
        <f t="shared" si="159"/>
        <v>0</v>
      </c>
      <c r="AD392" s="72">
        <f t="shared" si="159"/>
        <v>0</v>
      </c>
      <c r="AE392" s="72">
        <f t="shared" si="15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1355</v>
      </c>
      <c r="E393" s="70"/>
      <c r="F393" s="70"/>
      <c r="G393" s="70"/>
      <c r="H393" s="70"/>
      <c r="I393" s="70"/>
      <c r="J393" s="70"/>
      <c r="K393" s="72"/>
      <c r="L393" s="72">
        <f t="shared" ref="L393:AE393" si="160">(L331+L353)*$I331*($F300*L$247+$G300*L$248)+(L342*$J331+L364)*($F311*L$308+$G311*L$248)</f>
        <v>0</v>
      </c>
      <c r="M393" s="72">
        <f t="shared" si="160"/>
        <v>0</v>
      </c>
      <c r="N393" s="72">
        <f t="shared" si="160"/>
        <v>0</v>
      </c>
      <c r="O393" s="72">
        <f t="shared" si="160"/>
        <v>0</v>
      </c>
      <c r="P393" s="72">
        <f t="shared" si="160"/>
        <v>0</v>
      </c>
      <c r="Q393" s="72">
        <f t="shared" si="160"/>
        <v>0</v>
      </c>
      <c r="R393" s="72">
        <f t="shared" si="160"/>
        <v>0</v>
      </c>
      <c r="S393" s="72">
        <f t="shared" si="160"/>
        <v>0</v>
      </c>
      <c r="T393" s="72">
        <f t="shared" si="160"/>
        <v>0</v>
      </c>
      <c r="U393" s="72">
        <f t="shared" si="160"/>
        <v>0</v>
      </c>
      <c r="V393" s="72">
        <f t="shared" si="160"/>
        <v>0</v>
      </c>
      <c r="W393" s="72">
        <f t="shared" si="160"/>
        <v>0</v>
      </c>
      <c r="X393" s="72">
        <f t="shared" si="160"/>
        <v>0</v>
      </c>
      <c r="Y393" s="72">
        <f t="shared" si="160"/>
        <v>0</v>
      </c>
      <c r="Z393" s="72">
        <f t="shared" si="160"/>
        <v>0</v>
      </c>
      <c r="AA393" s="72">
        <f t="shared" si="160"/>
        <v>0</v>
      </c>
      <c r="AB393" s="72">
        <f t="shared" si="160"/>
        <v>0</v>
      </c>
      <c r="AC393" s="72">
        <f t="shared" si="160"/>
        <v>0</v>
      </c>
      <c r="AD393" s="72">
        <f t="shared" si="160"/>
        <v>0</v>
      </c>
      <c r="AE393" s="72">
        <f t="shared" si="16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1359</v>
      </c>
      <c r="E394" s="70"/>
      <c r="F394" s="70"/>
      <c r="G394" s="70"/>
      <c r="H394" s="70"/>
      <c r="I394" s="70"/>
      <c r="J394" s="70"/>
      <c r="K394" s="72"/>
      <c r="L394" s="72">
        <f t="shared" ref="L394:AE394" si="161">(L332+L354)*$I332*($F301*L$247+$G301*L$248)+(L343*$J332+L365)*($F312*L$308+$G312*L$248)</f>
        <v>0</v>
      </c>
      <c r="M394" s="72">
        <f t="shared" si="161"/>
        <v>0</v>
      </c>
      <c r="N394" s="72">
        <f t="shared" si="161"/>
        <v>0</v>
      </c>
      <c r="O394" s="72">
        <f t="shared" si="161"/>
        <v>0</v>
      </c>
      <c r="P394" s="72">
        <f t="shared" si="161"/>
        <v>0</v>
      </c>
      <c r="Q394" s="72">
        <f t="shared" si="161"/>
        <v>0</v>
      </c>
      <c r="R394" s="72">
        <f t="shared" si="161"/>
        <v>0</v>
      </c>
      <c r="S394" s="72">
        <f t="shared" si="161"/>
        <v>0</v>
      </c>
      <c r="T394" s="72">
        <f t="shared" si="161"/>
        <v>0</v>
      </c>
      <c r="U394" s="72">
        <f t="shared" si="161"/>
        <v>0</v>
      </c>
      <c r="V394" s="72">
        <f t="shared" si="161"/>
        <v>0</v>
      </c>
      <c r="W394" s="72">
        <f t="shared" si="161"/>
        <v>0</v>
      </c>
      <c r="X394" s="72">
        <f t="shared" si="161"/>
        <v>0</v>
      </c>
      <c r="Y394" s="72">
        <f t="shared" si="161"/>
        <v>0</v>
      </c>
      <c r="Z394" s="72">
        <f t="shared" si="161"/>
        <v>0</v>
      </c>
      <c r="AA394" s="72">
        <f t="shared" si="161"/>
        <v>0</v>
      </c>
      <c r="AB394" s="72">
        <f t="shared" si="161"/>
        <v>0</v>
      </c>
      <c r="AC394" s="72">
        <f t="shared" si="161"/>
        <v>0</v>
      </c>
      <c r="AD394" s="72">
        <f t="shared" si="161"/>
        <v>0</v>
      </c>
      <c r="AE394" s="72">
        <f t="shared" si="16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1363</v>
      </c>
      <c r="E395" s="70"/>
      <c r="F395" s="70"/>
      <c r="G395" s="70"/>
      <c r="H395" s="70"/>
      <c r="I395" s="70"/>
      <c r="J395" s="70"/>
      <c r="K395" s="72"/>
      <c r="L395" s="72">
        <f t="shared" ref="L395:AE395" si="162">(L333+L355)*$I333*($F302*L$247+$G302*L$248)+(L344*$J333+L366)*($F313*L$308+$G313*L$248)</f>
        <v>0</v>
      </c>
      <c r="M395" s="72">
        <f t="shared" si="162"/>
        <v>0</v>
      </c>
      <c r="N395" s="72">
        <f t="shared" si="162"/>
        <v>0</v>
      </c>
      <c r="O395" s="72">
        <f t="shared" si="162"/>
        <v>0</v>
      </c>
      <c r="P395" s="72">
        <f t="shared" si="162"/>
        <v>0</v>
      </c>
      <c r="Q395" s="72">
        <f t="shared" si="162"/>
        <v>0</v>
      </c>
      <c r="R395" s="72">
        <f t="shared" si="162"/>
        <v>0</v>
      </c>
      <c r="S395" s="72">
        <f t="shared" si="162"/>
        <v>0</v>
      </c>
      <c r="T395" s="72">
        <f t="shared" si="162"/>
        <v>0</v>
      </c>
      <c r="U395" s="72">
        <f t="shared" si="162"/>
        <v>0</v>
      </c>
      <c r="V395" s="72">
        <f t="shared" si="162"/>
        <v>0</v>
      </c>
      <c r="W395" s="72">
        <f t="shared" si="162"/>
        <v>0</v>
      </c>
      <c r="X395" s="72">
        <f t="shared" si="162"/>
        <v>0</v>
      </c>
      <c r="Y395" s="72">
        <f t="shared" si="162"/>
        <v>0</v>
      </c>
      <c r="Z395" s="72">
        <f t="shared" si="162"/>
        <v>0</v>
      </c>
      <c r="AA395" s="72">
        <f t="shared" si="162"/>
        <v>0</v>
      </c>
      <c r="AB395" s="72">
        <f t="shared" si="162"/>
        <v>0</v>
      </c>
      <c r="AC395" s="72">
        <f t="shared" si="162"/>
        <v>0</v>
      </c>
      <c r="AD395" s="72">
        <f t="shared" si="162"/>
        <v>0</v>
      </c>
      <c r="AE395" s="72">
        <f t="shared" si="16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1425</v>
      </c>
      <c r="E396" s="70"/>
      <c r="F396" s="70"/>
      <c r="G396" s="70"/>
      <c r="H396" s="70"/>
      <c r="I396" s="70"/>
      <c r="J396" s="70"/>
      <c r="K396" s="72"/>
      <c r="L396" s="72">
        <f t="shared" ref="L396:AE396" si="163">(L334+L356)*$I334*($F303*L$247+$G303*L$248)+(L345*$J334+L367)*($F314*L$308+$G314*L$248)</f>
        <v>0</v>
      </c>
      <c r="M396" s="72">
        <f t="shared" si="163"/>
        <v>0</v>
      </c>
      <c r="N396" s="72">
        <f t="shared" si="163"/>
        <v>0</v>
      </c>
      <c r="O396" s="72">
        <f t="shared" si="163"/>
        <v>0</v>
      </c>
      <c r="P396" s="72">
        <f t="shared" si="163"/>
        <v>0</v>
      </c>
      <c r="Q396" s="72">
        <f t="shared" si="163"/>
        <v>0</v>
      </c>
      <c r="R396" s="72">
        <f t="shared" si="163"/>
        <v>0</v>
      </c>
      <c r="S396" s="72">
        <f t="shared" si="163"/>
        <v>0</v>
      </c>
      <c r="T396" s="72">
        <f t="shared" si="163"/>
        <v>0</v>
      </c>
      <c r="U396" s="72">
        <f t="shared" si="163"/>
        <v>0</v>
      </c>
      <c r="V396" s="72">
        <f t="shared" si="163"/>
        <v>0</v>
      </c>
      <c r="W396" s="72">
        <f t="shared" si="163"/>
        <v>0</v>
      </c>
      <c r="X396" s="72">
        <f t="shared" si="163"/>
        <v>0</v>
      </c>
      <c r="Y396" s="72">
        <f t="shared" si="163"/>
        <v>0</v>
      </c>
      <c r="Z396" s="72">
        <f t="shared" si="163"/>
        <v>0</v>
      </c>
      <c r="AA396" s="72">
        <f t="shared" si="163"/>
        <v>0</v>
      </c>
      <c r="AB396" s="72">
        <f t="shared" si="163"/>
        <v>0</v>
      </c>
      <c r="AC396" s="72">
        <f t="shared" si="163"/>
        <v>0</v>
      </c>
      <c r="AD396" s="72">
        <f t="shared" si="163"/>
        <v>0</v>
      </c>
      <c r="AE396" s="72">
        <f t="shared" si="16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1373</v>
      </c>
      <c r="E397" s="70"/>
      <c r="F397" s="70"/>
      <c r="G397" s="70"/>
      <c r="H397" s="70"/>
      <c r="I397" s="70"/>
      <c r="J397" s="70"/>
      <c r="K397" s="72"/>
      <c r="L397" s="72">
        <f t="shared" ref="L397:AE397" si="164">(L335+L357)*$I335*($F304*L$247+$G304*L$248)+(L346*$J335+L368)*($F315*L$308+$G315*L$248)</f>
        <v>0</v>
      </c>
      <c r="M397" s="72">
        <f t="shared" si="164"/>
        <v>0</v>
      </c>
      <c r="N397" s="72">
        <f t="shared" si="164"/>
        <v>0</v>
      </c>
      <c r="O397" s="72">
        <f t="shared" si="164"/>
        <v>0</v>
      </c>
      <c r="P397" s="72">
        <f t="shared" si="164"/>
        <v>0</v>
      </c>
      <c r="Q397" s="72">
        <f t="shared" si="164"/>
        <v>0</v>
      </c>
      <c r="R397" s="72">
        <f t="shared" si="164"/>
        <v>0</v>
      </c>
      <c r="S397" s="72">
        <f t="shared" si="164"/>
        <v>0</v>
      </c>
      <c r="T397" s="72">
        <f t="shared" si="164"/>
        <v>0</v>
      </c>
      <c r="U397" s="72">
        <f t="shared" si="164"/>
        <v>0</v>
      </c>
      <c r="V397" s="72">
        <f t="shared" si="164"/>
        <v>0</v>
      </c>
      <c r="W397" s="72">
        <f t="shared" si="164"/>
        <v>0</v>
      </c>
      <c r="X397" s="72">
        <f t="shared" si="164"/>
        <v>0</v>
      </c>
      <c r="Y397" s="72">
        <f t="shared" si="164"/>
        <v>0</v>
      </c>
      <c r="Z397" s="72">
        <f t="shared" si="164"/>
        <v>0</v>
      </c>
      <c r="AA397" s="72">
        <f t="shared" si="164"/>
        <v>0</v>
      </c>
      <c r="AB397" s="72">
        <f t="shared" si="164"/>
        <v>0</v>
      </c>
      <c r="AC397" s="72">
        <f t="shared" si="164"/>
        <v>0</v>
      </c>
      <c r="AD397" s="72">
        <f t="shared" si="164"/>
        <v>0</v>
      </c>
      <c r="AE397" s="72">
        <f t="shared" si="16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1378</v>
      </c>
      <c r="E398" s="70"/>
      <c r="F398" s="70"/>
      <c r="G398" s="70"/>
      <c r="H398" s="70"/>
      <c r="I398" s="70"/>
      <c r="J398" s="70"/>
      <c r="K398" s="72"/>
      <c r="L398" s="72">
        <f t="shared" ref="L398:AE398" si="165">(L336+L358)*$I336*($F305*L$247+$G305*L$248)+(L347*$J336+L369)*($F316*L$308+$G316*L$248)</f>
        <v>0</v>
      </c>
      <c r="M398" s="72">
        <f t="shared" si="165"/>
        <v>0</v>
      </c>
      <c r="N398" s="72">
        <f t="shared" si="165"/>
        <v>0</v>
      </c>
      <c r="O398" s="72">
        <f t="shared" si="165"/>
        <v>0</v>
      </c>
      <c r="P398" s="72">
        <f t="shared" si="165"/>
        <v>0</v>
      </c>
      <c r="Q398" s="72">
        <f t="shared" si="165"/>
        <v>0</v>
      </c>
      <c r="R398" s="72">
        <f t="shared" si="165"/>
        <v>0</v>
      </c>
      <c r="S398" s="72">
        <f t="shared" si="165"/>
        <v>0</v>
      </c>
      <c r="T398" s="72">
        <f t="shared" si="165"/>
        <v>0</v>
      </c>
      <c r="U398" s="72">
        <f t="shared" si="165"/>
        <v>0</v>
      </c>
      <c r="V398" s="72">
        <f t="shared" si="165"/>
        <v>0</v>
      </c>
      <c r="W398" s="72">
        <f t="shared" si="165"/>
        <v>0</v>
      </c>
      <c r="X398" s="72">
        <f t="shared" si="165"/>
        <v>0</v>
      </c>
      <c r="Y398" s="72">
        <f t="shared" si="165"/>
        <v>0</v>
      </c>
      <c r="Z398" s="72">
        <f t="shared" si="165"/>
        <v>0</v>
      </c>
      <c r="AA398" s="72">
        <f t="shared" si="165"/>
        <v>0</v>
      </c>
      <c r="AB398" s="72">
        <f t="shared" si="165"/>
        <v>0</v>
      </c>
      <c r="AC398" s="72">
        <f t="shared" si="165"/>
        <v>0</v>
      </c>
      <c r="AD398" s="72">
        <f t="shared" si="165"/>
        <v>0</v>
      </c>
      <c r="AE398" s="72">
        <f t="shared" si="16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1383</v>
      </c>
      <c r="E399" s="83"/>
      <c r="F399" s="84"/>
      <c r="G399" s="70"/>
      <c r="H399" s="70"/>
      <c r="I399" s="70"/>
      <c r="J399" s="70"/>
      <c r="K399" s="72"/>
      <c r="L399" s="72">
        <f t="shared" ref="L399:AE399" si="166">(L337+L359)*$I337*($F306*L$247+$G306*L$248)+(L348*$J337+L370)*($F317*L$308+$G317*L$248)</f>
        <v>0</v>
      </c>
      <c r="M399" s="72">
        <f t="shared" si="166"/>
        <v>0</v>
      </c>
      <c r="N399" s="72">
        <f t="shared" si="166"/>
        <v>0</v>
      </c>
      <c r="O399" s="72">
        <f t="shared" si="166"/>
        <v>0</v>
      </c>
      <c r="P399" s="72">
        <f t="shared" si="166"/>
        <v>0</v>
      </c>
      <c r="Q399" s="72">
        <f t="shared" si="166"/>
        <v>0</v>
      </c>
      <c r="R399" s="72">
        <f t="shared" si="166"/>
        <v>0</v>
      </c>
      <c r="S399" s="72">
        <f t="shared" si="166"/>
        <v>0</v>
      </c>
      <c r="T399" s="72">
        <f t="shared" si="166"/>
        <v>0</v>
      </c>
      <c r="U399" s="72">
        <f t="shared" si="166"/>
        <v>0</v>
      </c>
      <c r="V399" s="72">
        <f t="shared" si="166"/>
        <v>0</v>
      </c>
      <c r="W399" s="72">
        <f t="shared" si="166"/>
        <v>0</v>
      </c>
      <c r="X399" s="72">
        <f t="shared" si="166"/>
        <v>0</v>
      </c>
      <c r="Y399" s="72">
        <f t="shared" si="166"/>
        <v>0</v>
      </c>
      <c r="Z399" s="72">
        <f t="shared" si="166"/>
        <v>0</v>
      </c>
      <c r="AA399" s="72">
        <f t="shared" si="166"/>
        <v>0</v>
      </c>
      <c r="AB399" s="72">
        <f t="shared" si="166"/>
        <v>0</v>
      </c>
      <c r="AC399" s="72">
        <f t="shared" si="166"/>
        <v>0</v>
      </c>
      <c r="AD399" s="72">
        <f t="shared" si="166"/>
        <v>0</v>
      </c>
      <c r="AE399" s="72">
        <f t="shared" si="16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1484</v>
      </c>
      <c r="E400" s="70" t="s">
        <v>1854</v>
      </c>
      <c r="F400" s="70"/>
      <c r="G400" s="70" t="s">
        <v>110</v>
      </c>
      <c r="H400" s="86" t="str">
        <f>Settings!$B$3&amp;".mit.rev.cbam."&amp;G400&amp;"."&amp;$J$5</f>
        <v>egy.mit.rev.cbam.tot.1</v>
      </c>
      <c r="I400" s="70" t="s">
        <v>1856</v>
      </c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2391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2392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2393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2394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2395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2396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2397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2398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2399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3">SUM(L453:L461)</f>
        <v>1901.7140738122609</v>
      </c>
      <c r="M462" s="26">
        <f t="shared" si="173"/>
        <v>1621.2301769893743</v>
      </c>
      <c r="N462" s="26">
        <f t="shared" si="173"/>
        <v>1820.8469202303741</v>
      </c>
      <c r="O462" s="26">
        <f t="shared" si="173"/>
        <v>1904.3670376253485</v>
      </c>
      <c r="P462" s="26">
        <f t="shared" si="173"/>
        <v>1961.702021253242</v>
      </c>
      <c r="Q462" s="26">
        <f t="shared" si="173"/>
        <v>1856.404797168507</v>
      </c>
      <c r="R462" s="26">
        <f t="shared" si="173"/>
        <v>1788.9492171961813</v>
      </c>
      <c r="S462" s="26">
        <f t="shared" si="173"/>
        <v>1732.3328660968311</v>
      </c>
      <c r="T462" s="26">
        <f t="shared" si="173"/>
        <v>1682.3885530274299</v>
      </c>
      <c r="U462" s="26">
        <f t="shared" si="173"/>
        <v>1641.4681088716557</v>
      </c>
      <c r="V462" s="26">
        <f t="shared" si="173"/>
        <v>1607.9067887450958</v>
      </c>
      <c r="W462" s="26">
        <f t="shared" si="173"/>
        <v>1581.3612458923553</v>
      </c>
      <c r="X462" s="26">
        <f t="shared" si="173"/>
        <v>1561.0275376536185</v>
      </c>
      <c r="Y462" s="26">
        <f t="shared" si="173"/>
        <v>1546.4517889063816</v>
      </c>
      <c r="Z462" s="26">
        <f t="shared" si="173"/>
        <v>1537.5943975526714</v>
      </c>
      <c r="AA462" s="26">
        <f t="shared" si="173"/>
        <v>1534.1781017151086</v>
      </c>
      <c r="AB462" s="26">
        <f t="shared" si="173"/>
        <v>1535.9010092298067</v>
      </c>
      <c r="AC462" s="26">
        <f t="shared" si="173"/>
        <v>1542.2263096902577</v>
      </c>
      <c r="AD462" s="26">
        <f t="shared" si="173"/>
        <v>1552.707818724469</v>
      </c>
      <c r="AE462" s="26">
        <f t="shared" si="17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7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7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7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7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7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7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7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7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7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7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7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7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7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7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7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7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7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7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7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7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7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7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7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7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7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7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7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7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7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7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7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7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7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7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7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7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7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2400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7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2401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7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2402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7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2403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7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2404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7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2405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7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2406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7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2407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7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2408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7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9">SUM(L513:L521)</f>
        <v>3210.4467592248702</v>
      </c>
      <c r="M522" s="26">
        <f t="shared" si="179"/>
        <v>2690.3404093921163</v>
      </c>
      <c r="N522" s="26">
        <f t="shared" si="179"/>
        <v>3047.5360888007326</v>
      </c>
      <c r="O522" s="26">
        <f t="shared" si="179"/>
        <v>3240.6928223889822</v>
      </c>
      <c r="P522" s="26">
        <f t="shared" si="179"/>
        <v>3273.2119677539522</v>
      </c>
      <c r="Q522" s="26">
        <f t="shared" si="179"/>
        <v>3089.4258527074826</v>
      </c>
      <c r="R522" s="26">
        <f t="shared" si="179"/>
        <v>2975.1242061609983</v>
      </c>
      <c r="S522" s="26">
        <f t="shared" si="179"/>
        <v>2878.4338008647092</v>
      </c>
      <c r="T522" s="26">
        <f t="shared" si="179"/>
        <v>2793.1021878663519</v>
      </c>
      <c r="U522" s="26">
        <f t="shared" si="179"/>
        <v>2721.6867792281105</v>
      </c>
      <c r="V522" s="26">
        <f t="shared" si="179"/>
        <v>2659.4365656902273</v>
      </c>
      <c r="W522" s="26">
        <f t="shared" si="179"/>
        <v>2608.3843590415554</v>
      </c>
      <c r="X522" s="26">
        <f t="shared" si="179"/>
        <v>2567.1439632109241</v>
      </c>
      <c r="Y522" s="26">
        <f t="shared" si="179"/>
        <v>2534.8641732295537</v>
      </c>
      <c r="Z522" s="26">
        <f t="shared" si="179"/>
        <v>2511.2970995969799</v>
      </c>
      <c r="AA522" s="26">
        <f t="shared" si="179"/>
        <v>2495.8988717310085</v>
      </c>
      <c r="AB522" s="26">
        <f t="shared" si="179"/>
        <v>2488.1145593655265</v>
      </c>
      <c r="AC522" s="26">
        <f t="shared" si="179"/>
        <v>2487.0912005211107</v>
      </c>
      <c r="AD522" s="26">
        <f t="shared" si="179"/>
        <v>2492.116697620846</v>
      </c>
      <c r="AE522" s="26">
        <f t="shared" si="17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8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8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8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8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8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8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8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8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8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8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8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8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8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8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8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8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8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8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8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8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8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8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8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8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8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8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8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8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8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8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8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8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8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8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8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8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8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2409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8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2410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8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2411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8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2412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8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2413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8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2414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8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2415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8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2416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8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2417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8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5">SUM(L573:L581)</f>
        <v>0</v>
      </c>
      <c r="M582" s="26">
        <f t="shared" si="185"/>
        <v>0</v>
      </c>
      <c r="N582" s="26">
        <f t="shared" si="185"/>
        <v>0</v>
      </c>
      <c r="O582" s="26">
        <f t="shared" si="185"/>
        <v>0</v>
      </c>
      <c r="P582" s="26">
        <f t="shared" si="185"/>
        <v>0</v>
      </c>
      <c r="Q582" s="26">
        <f t="shared" si="185"/>
        <v>0</v>
      </c>
      <c r="R582" s="26">
        <f t="shared" si="185"/>
        <v>0</v>
      </c>
      <c r="S582" s="26">
        <f t="shared" si="185"/>
        <v>0</v>
      </c>
      <c r="T582" s="26">
        <f t="shared" si="185"/>
        <v>0</v>
      </c>
      <c r="U582" s="26">
        <f t="shared" si="185"/>
        <v>0</v>
      </c>
      <c r="V582" s="26">
        <f t="shared" si="185"/>
        <v>0</v>
      </c>
      <c r="W582" s="26">
        <f t="shared" si="185"/>
        <v>0</v>
      </c>
      <c r="X582" s="26">
        <f t="shared" si="185"/>
        <v>0</v>
      </c>
      <c r="Y582" s="26">
        <f t="shared" si="185"/>
        <v>0</v>
      </c>
      <c r="Z582" s="26">
        <f t="shared" si="185"/>
        <v>0</v>
      </c>
      <c r="AA582" s="26">
        <f t="shared" si="185"/>
        <v>0</v>
      </c>
      <c r="AB582" s="26">
        <f t="shared" si="185"/>
        <v>0</v>
      </c>
      <c r="AC582" s="26">
        <f t="shared" si="185"/>
        <v>0</v>
      </c>
      <c r="AD582" s="26">
        <f t="shared" si="185"/>
        <v>0</v>
      </c>
      <c r="AE582" s="26">
        <f t="shared" si="18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8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8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8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8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8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8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8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8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8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8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8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8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8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8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8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8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8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8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8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8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8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8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8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8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8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8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8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8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8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8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8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8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8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8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8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8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9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2418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9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2419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9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2420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9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2421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9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2422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9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2423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9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2424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9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2425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9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2426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9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91">SUM(L633:L641)</f>
        <v>0</v>
      </c>
      <c r="M642" s="26">
        <f t="shared" si="191"/>
        <v>0</v>
      </c>
      <c r="N642" s="26">
        <f t="shared" si="191"/>
        <v>0</v>
      </c>
      <c r="O642" s="26">
        <f t="shared" si="191"/>
        <v>0</v>
      </c>
      <c r="P642" s="26">
        <f t="shared" si="191"/>
        <v>0</v>
      </c>
      <c r="Q642" s="26">
        <f t="shared" si="191"/>
        <v>0</v>
      </c>
      <c r="R642" s="26">
        <f t="shared" si="191"/>
        <v>0</v>
      </c>
      <c r="S642" s="26">
        <f t="shared" si="191"/>
        <v>0</v>
      </c>
      <c r="T642" s="26">
        <f t="shared" si="191"/>
        <v>0</v>
      </c>
      <c r="U642" s="26">
        <f t="shared" si="191"/>
        <v>0</v>
      </c>
      <c r="V642" s="26">
        <f t="shared" si="191"/>
        <v>0</v>
      </c>
      <c r="W642" s="26">
        <f t="shared" si="191"/>
        <v>0</v>
      </c>
      <c r="X642" s="26">
        <f t="shared" si="191"/>
        <v>0</v>
      </c>
      <c r="Y642" s="26">
        <f t="shared" si="191"/>
        <v>0</v>
      </c>
      <c r="Z642" s="26">
        <f t="shared" si="191"/>
        <v>0</v>
      </c>
      <c r="AA642" s="26">
        <f t="shared" si="191"/>
        <v>0</v>
      </c>
      <c r="AB642" s="26">
        <f t="shared" si="191"/>
        <v>0</v>
      </c>
      <c r="AC642" s="26">
        <f t="shared" si="191"/>
        <v>0</v>
      </c>
      <c r="AD642" s="26">
        <f t="shared" si="191"/>
        <v>0</v>
      </c>
      <c r="AE642" s="26">
        <f t="shared" si="191"/>
        <v>0</v>
      </c>
    </row>
    <row r="644" spans="1:35" x14ac:dyDescent="0.45">
      <c r="A644" s="11"/>
      <c r="B644" s="6" t="s">
        <v>1405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1406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2">L739</f>
        <v>2022</v>
      </c>
      <c r="M645" s="74">
        <f t="shared" si="192"/>
        <v>2023</v>
      </c>
      <c r="N645" s="74">
        <f t="shared" si="192"/>
        <v>2024</v>
      </c>
      <c r="O645" s="74">
        <f t="shared" si="192"/>
        <v>2025</v>
      </c>
      <c r="P645" s="74">
        <f t="shared" si="192"/>
        <v>2026</v>
      </c>
      <c r="Q645" s="74">
        <f t="shared" si="192"/>
        <v>2027</v>
      </c>
      <c r="R645" s="74">
        <f t="shared" si="192"/>
        <v>2028</v>
      </c>
      <c r="S645" s="74">
        <f t="shared" si="192"/>
        <v>2029</v>
      </c>
      <c r="T645" s="74">
        <f t="shared" si="192"/>
        <v>2030</v>
      </c>
      <c r="U645" s="74">
        <f t="shared" si="192"/>
        <v>2031</v>
      </c>
      <c r="V645" s="74">
        <f t="shared" si="192"/>
        <v>2032</v>
      </c>
      <c r="W645" s="74">
        <f t="shared" si="192"/>
        <v>2033</v>
      </c>
      <c r="X645" s="74">
        <f t="shared" si="192"/>
        <v>2034</v>
      </c>
      <c r="Y645" s="74">
        <f t="shared" si="192"/>
        <v>2035</v>
      </c>
      <c r="Z645" s="74">
        <f t="shared" si="192"/>
        <v>2036</v>
      </c>
      <c r="AA645" s="74">
        <f t="shared" si="192"/>
        <v>2037</v>
      </c>
      <c r="AB645" s="74">
        <f t="shared" si="192"/>
        <v>2038</v>
      </c>
      <c r="AC645" s="74">
        <f t="shared" si="192"/>
        <v>2039</v>
      </c>
      <c r="AD645" s="74">
        <f t="shared" si="192"/>
        <v>2040</v>
      </c>
      <c r="AE645" s="74">
        <f t="shared" si="19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1407</v>
      </c>
      <c r="E646" s="71" t="s">
        <v>1398</v>
      </c>
      <c r="F646" s="71" t="s">
        <v>26</v>
      </c>
      <c r="G646" s="85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1408</v>
      </c>
      <c r="E647" s="70" t="s">
        <v>1398</v>
      </c>
      <c r="F647" s="70" t="s">
        <v>26</v>
      </c>
      <c r="G647" s="86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1409</v>
      </c>
      <c r="E648" s="70" t="s">
        <v>1410</v>
      </c>
      <c r="F648" s="70" t="s">
        <v>26</v>
      </c>
      <c r="G648" s="86" t="str">
        <f>Settings!$B$3&amp;".mit.fundsp."&amp;$J$404</f>
        <v>egy.mit.fundsp.2</v>
      </c>
      <c r="H648" s="70"/>
      <c r="I648" s="70" t="s">
        <v>2888</v>
      </c>
      <c r="J648" s="70"/>
      <c r="K648" s="70"/>
      <c r="L648" s="93">
        <f>INDEX(Data_Prices!L:L,MATCH($G648,Data_Prices!$A:$A,0))</f>
        <v>0</v>
      </c>
      <c r="M648" s="93">
        <f>INDEX(Data_Prices!M:M,MATCH($G648,Data_Prices!$A:$A,0))</f>
        <v>0</v>
      </c>
      <c r="N648" s="93">
        <f>INDEX(Data_Prices!N:N,MATCH($G648,Data_Prices!$A:$A,0))</f>
        <v>0</v>
      </c>
      <c r="O648" s="93">
        <f>INDEX(Data_Prices!O:O,MATCH($G648,Data_Prices!$A:$A,0))</f>
        <v>0</v>
      </c>
      <c r="P648" s="93">
        <f>INDEX(Data_Prices!P:P,MATCH($G648,Data_Prices!$A:$A,0))</f>
        <v>0</v>
      </c>
      <c r="Q648" s="93">
        <f>INDEX(Data_Prices!Q:Q,MATCH($G648,Data_Prices!$A:$A,0))</f>
        <v>0</v>
      </c>
      <c r="R648" s="93">
        <f>INDEX(Data_Prices!R:R,MATCH($G648,Data_Prices!$A:$A,0))</f>
        <v>0</v>
      </c>
      <c r="S648" s="93">
        <f>INDEX(Data_Prices!S:S,MATCH($G648,Data_Prices!$A:$A,0))</f>
        <v>0</v>
      </c>
      <c r="T648" s="93">
        <f>INDEX(Data_Prices!T:T,MATCH($G648,Data_Prices!$A:$A,0))</f>
        <v>0</v>
      </c>
      <c r="U648" s="93">
        <f>INDEX(Data_Prices!U:U,MATCH($G648,Data_Prices!$A:$A,0))</f>
        <v>0</v>
      </c>
      <c r="V648" s="93">
        <f>INDEX(Data_Prices!V:V,MATCH($G648,Data_Prices!$A:$A,0))</f>
        <v>0</v>
      </c>
      <c r="W648" s="93">
        <f>INDEX(Data_Prices!W:W,MATCH($G648,Data_Prices!$A:$A,0))</f>
        <v>0</v>
      </c>
      <c r="X648" s="93">
        <f>INDEX(Data_Prices!X:X,MATCH($G648,Data_Prices!$A:$A,0))</f>
        <v>0</v>
      </c>
      <c r="Y648" s="93">
        <f>INDEX(Data_Prices!Y:Y,MATCH($G648,Data_Prices!$A:$A,0))</f>
        <v>0</v>
      </c>
      <c r="Z648" s="93">
        <f>INDEX(Data_Prices!Z:Z,MATCH($G648,Data_Prices!$A:$A,0))</f>
        <v>0</v>
      </c>
      <c r="AA648" s="93">
        <f>INDEX(Data_Prices!AA:AA,MATCH($G648,Data_Prices!$A:$A,0))</f>
        <v>0</v>
      </c>
      <c r="AB648" s="93">
        <f>INDEX(Data_Prices!AB:AB,MATCH($G648,Data_Prices!$A:$A,0))</f>
        <v>0</v>
      </c>
      <c r="AC648" s="93">
        <f>INDEX(Data_Prices!AC:AC,MATCH($G648,Data_Prices!$A:$A,0))</f>
        <v>0</v>
      </c>
      <c r="AD648" s="93">
        <f>INDEX(Data_Prices!AD:AD,MATCH($G648,Data_Prices!$A:$A,0))</f>
        <v>0</v>
      </c>
      <c r="AE648" s="93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1411</v>
      </c>
      <c r="E649" s="70" t="s">
        <v>1844</v>
      </c>
      <c r="F649" s="70" t="s">
        <v>26</v>
      </c>
      <c r="G649" s="86" t="str">
        <f>Settings!$B$3&amp;".mit.fundsh."&amp;$J$404</f>
        <v>egy.mit.fundsh.2</v>
      </c>
      <c r="H649" s="70"/>
      <c r="I649" s="70" t="s">
        <v>2887</v>
      </c>
      <c r="J649" s="70"/>
      <c r="K649" s="70"/>
      <c r="L649" s="109">
        <f>Fund_Industry!L$329</f>
        <v>0</v>
      </c>
      <c r="M649" s="109">
        <f>Fund_Industry!M$329</f>
        <v>0</v>
      </c>
      <c r="N649" s="109">
        <f>Fund_Industry!N$329</f>
        <v>0</v>
      </c>
      <c r="O649" s="109">
        <f>Fund_Industry!O$329</f>
        <v>0</v>
      </c>
      <c r="P649" s="109">
        <f>Fund_Industry!P$329</f>
        <v>0</v>
      </c>
      <c r="Q649" s="109">
        <f>Fund_Industry!Q$329</f>
        <v>0</v>
      </c>
      <c r="R649" s="109">
        <f>Fund_Industry!R$329</f>
        <v>0</v>
      </c>
      <c r="S649" s="109">
        <f>Fund_Industry!S$329</f>
        <v>0</v>
      </c>
      <c r="T649" s="109">
        <f>Fund_Industry!T$329</f>
        <v>0</v>
      </c>
      <c r="U649" s="109">
        <f>Fund_Industry!U$329</f>
        <v>0</v>
      </c>
      <c r="V649" s="109">
        <f>Fund_Industry!V$329</f>
        <v>0</v>
      </c>
      <c r="W649" s="109">
        <f>Fund_Industry!W$329</f>
        <v>0</v>
      </c>
      <c r="X649" s="109">
        <f>Fund_Industry!X$329</f>
        <v>0</v>
      </c>
      <c r="Y649" s="109">
        <f>Fund_Industry!Y$329</f>
        <v>0</v>
      </c>
      <c r="Z649" s="109">
        <f>Fund_Industry!Z$329</f>
        <v>0</v>
      </c>
      <c r="AA649" s="109">
        <f>Fund_Industry!AA$329</f>
        <v>0</v>
      </c>
      <c r="AB649" s="109">
        <f>Fund_Industry!AB$329</f>
        <v>0</v>
      </c>
      <c r="AC649" s="109">
        <f>Fund_Industry!AC$329</f>
        <v>0</v>
      </c>
      <c r="AD649" s="109">
        <f>Fund_Industry!AD$329</f>
        <v>0</v>
      </c>
      <c r="AE649" s="109">
        <f>Fund_Industry!AE$329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1845</v>
      </c>
      <c r="E650" s="70" t="s">
        <v>1398</v>
      </c>
      <c r="F650" s="70" t="s">
        <v>26</v>
      </c>
      <c r="G650" s="86" t="str">
        <f>Settings!$B$3&amp;".mit.obrrb."&amp;$J$404</f>
        <v>egy.mit.obrrb.2</v>
      </c>
      <c r="H650" s="70"/>
      <c r="I650" s="70" t="s">
        <v>1846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1412</v>
      </c>
      <c r="D651" s="73"/>
      <c r="E651" s="71" t="s">
        <v>1413</v>
      </c>
      <c r="F651" s="71" t="s">
        <v>1414</v>
      </c>
      <c r="G651" s="71" t="s">
        <v>1388</v>
      </c>
      <c r="H651" s="71" t="s">
        <v>1415</v>
      </c>
      <c r="I651" s="71" t="s">
        <v>1416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1884</v>
      </c>
      <c r="D657" s="72" t="s">
        <v>1885</v>
      </c>
      <c r="E657" s="72" t="s">
        <v>1852</v>
      </c>
      <c r="F657" s="72"/>
      <c r="G657" s="70" t="s">
        <v>1475</v>
      </c>
      <c r="H657" s="86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3">SUMPRODUCT(L$675:L$682*$H$663:$H$670*EXP(-$E$751:$E$758*L$648))/1000</f>
        <v>17.33923534589551</v>
      </c>
      <c r="M657" s="72">
        <f t="shared" si="193"/>
        <v>17.906085636678021</v>
      </c>
      <c r="N657" s="72">
        <f t="shared" si="193"/>
        <v>18.491797925</v>
      </c>
      <c r="O657" s="72">
        <f t="shared" si="193"/>
        <v>19.097010387799997</v>
      </c>
      <c r="P657" s="72">
        <f t="shared" si="193"/>
        <v>19.722383163766395</v>
      </c>
      <c r="Q657" s="72">
        <f t="shared" si="193"/>
        <v>20.368599123177255</v>
      </c>
      <c r="R657" s="72">
        <f t="shared" si="193"/>
        <v>21.036364665292766</v>
      </c>
      <c r="S657" s="72">
        <f t="shared" si="193"/>
        <v>21.726410544310145</v>
      </c>
      <c r="T657" s="72">
        <f t="shared" si="193"/>
        <v>22.439492724928552</v>
      </c>
      <c r="U657" s="72">
        <f t="shared" si="193"/>
        <v>23.176393268611605</v>
      </c>
      <c r="V657" s="72">
        <f t="shared" si="193"/>
        <v>23.937921251675412</v>
      </c>
      <c r="W657" s="72">
        <f t="shared" si="193"/>
        <v>24.724913716373393</v>
      </c>
      <c r="X657" s="72">
        <f t="shared" si="193"/>
        <v>25.538236656192712</v>
      </c>
      <c r="Y657" s="72">
        <f t="shared" si="193"/>
        <v>26.37878603662384</v>
      </c>
      <c r="Z657" s="72">
        <f t="shared" si="193"/>
        <v>27.247488852711776</v>
      </c>
      <c r="AA657" s="72">
        <f t="shared" si="193"/>
        <v>28.145304224748109</v>
      </c>
      <c r="AB657" s="72">
        <f t="shared" si="193"/>
        <v>29.073224533513493</v>
      </c>
      <c r="AC657" s="72">
        <f t="shared" si="193"/>
        <v>30.032276596534963</v>
      </c>
      <c r="AD657" s="72">
        <f t="shared" si="193"/>
        <v>31.023522886877181</v>
      </c>
      <c r="AE657" s="72">
        <f t="shared" si="193"/>
        <v>32.04806279604545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1886</v>
      </c>
      <c r="E658" s="72" t="s">
        <v>1852</v>
      </c>
      <c r="F658" s="72"/>
      <c r="G658" s="70" t="s">
        <v>1475</v>
      </c>
      <c r="H658" s="86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4">SUMPRODUCT(L$675:L$682*$I$663:$I$670*EXP(-$E$751:$E$758*L$648))/1000</f>
        <v>3.9961358410604224</v>
      </c>
      <c r="M658" s="72">
        <f t="shared" si="194"/>
        <v>4.1245083582113056</v>
      </c>
      <c r="N658" s="72">
        <f t="shared" si="194"/>
        <v>4.2574852019999998</v>
      </c>
      <c r="O658" s="72">
        <f t="shared" si="194"/>
        <v>4.3952459933880004</v>
      </c>
      <c r="P658" s="72">
        <f t="shared" si="194"/>
        <v>4.5379777513320727</v>
      </c>
      <c r="Q658" s="72">
        <f t="shared" si="194"/>
        <v>4.685875207178853</v>
      </c>
      <c r="R658" s="72">
        <f t="shared" si="194"/>
        <v>4.8391411326482334</v>
      </c>
      <c r="S658" s="72">
        <f t="shared" si="194"/>
        <v>4.9979866819980412</v>
      </c>
      <c r="T658" s="72">
        <f t="shared" si="194"/>
        <v>5.1626317489885354</v>
      </c>
      <c r="U658" s="72">
        <f t="shared" si="194"/>
        <v>5.3333053392922274</v>
      </c>
      <c r="V658" s="72">
        <f t="shared" si="194"/>
        <v>5.5102459590229422</v>
      </c>
      <c r="W658" s="72">
        <f t="shared" si="194"/>
        <v>5.6937020200874482</v>
      </c>
      <c r="X658" s="72">
        <f t="shared" si="194"/>
        <v>5.8839322630938788</v>
      </c>
      <c r="Y658" s="72">
        <f t="shared" si="194"/>
        <v>6.0812061985832875</v>
      </c>
      <c r="Z658" s="72">
        <f t="shared" si="194"/>
        <v>6.2858045673843232</v>
      </c>
      <c r="AA658" s="72">
        <f t="shared" si="194"/>
        <v>6.4980198209259985</v>
      </c>
      <c r="AB658" s="72">
        <f t="shared" si="194"/>
        <v>6.7181566223801967</v>
      </c>
      <c r="AC658" s="72">
        <f t="shared" si="194"/>
        <v>6.946532369543716</v>
      </c>
      <c r="AD658" s="72">
        <f t="shared" si="194"/>
        <v>7.183477740409562</v>
      </c>
      <c r="AE658" s="72">
        <f t="shared" si="194"/>
        <v>7.4293372624188372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1887</v>
      </c>
      <c r="E659" s="72" t="s">
        <v>1852</v>
      </c>
      <c r="F659" s="72"/>
      <c r="G659" s="70" t="s">
        <v>1475</v>
      </c>
      <c r="H659" s="86" t="str">
        <f>Settings!$B$3&amp;".mit.emisnp."&amp;$G659&amp;"."&amp;$J$404</f>
        <v>egy.mit.emisnp.cbam.tot.2</v>
      </c>
      <c r="I659" s="72" t="s">
        <v>2886</v>
      </c>
      <c r="J659" s="72"/>
      <c r="K659" s="72"/>
      <c r="L659" s="72">
        <f t="shared" ref="L659:AE659" si="195">SUMPRODUCT(L$675:L$682*($J$663:$J$670&gt;0)*$J$663:$J$670*(1-$J$672*$F$762:$F$769*(1-EXP(-$E$762:$E$769*($F$709:$F$716*L$707+$G$709:$G$716*L$647+L$648)))))/1000</f>
        <v>25.971762885046314</v>
      </c>
      <c r="M659" s="72">
        <f t="shared" si="195"/>
        <v>26.842539414672931</v>
      </c>
      <c r="N659" s="72">
        <f t="shared" si="195"/>
        <v>27.742760634</v>
      </c>
      <c r="O659" s="72">
        <f t="shared" si="195"/>
        <v>28.673435240928001</v>
      </c>
      <c r="P659" s="72">
        <f t="shared" si="195"/>
        <v>29.635607169743587</v>
      </c>
      <c r="Q659" s="72">
        <f t="shared" si="195"/>
        <v>30.630356857310563</v>
      </c>
      <c r="R659" s="72">
        <f t="shared" si="195"/>
        <v>31.658802556563273</v>
      </c>
      <c r="S659" s="72">
        <f t="shared" si="195"/>
        <v>32.722101699159616</v>
      </c>
      <c r="T659" s="72">
        <f t="shared" si="195"/>
        <v>33.821452309227929</v>
      </c>
      <c r="U659" s="72">
        <f t="shared" si="195"/>
        <v>34.958094470222733</v>
      </c>
      <c r="V659" s="72">
        <f t="shared" si="195"/>
        <v>36.133311846988548</v>
      </c>
      <c r="W659" s="72">
        <f t="shared" si="195"/>
        <v>37.348433265219015</v>
      </c>
      <c r="X659" s="72">
        <f t="shared" si="195"/>
        <v>38.60483435059016</v>
      </c>
      <c r="Y659" s="72">
        <f t="shared" si="195"/>
        <v>39.903939229943205</v>
      </c>
      <c r="Z659" s="72">
        <f t="shared" si="195"/>
        <v>41.247222296991801</v>
      </c>
      <c r="AA659" s="72">
        <f t="shared" si="195"/>
        <v>42.636210045134121</v>
      </c>
      <c r="AB659" s="72">
        <f t="shared" si="195"/>
        <v>44.072482970059113</v>
      </c>
      <c r="AC659" s="72">
        <f t="shared" si="195"/>
        <v>45.557677544951083</v>
      </c>
      <c r="AD659" s="72">
        <f t="shared" si="195"/>
        <v>47.09348827121579</v>
      </c>
      <c r="AE659" s="72">
        <f t="shared" si="195"/>
        <v>48.681669807777041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1888</v>
      </c>
      <c r="E660" s="72" t="s">
        <v>1852</v>
      </c>
      <c r="F660" s="72"/>
      <c r="G660" s="70" t="s">
        <v>1475</v>
      </c>
      <c r="H660" s="86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196">SUMPRODUCT(L$675:L$682*($K$663:$K$670&gt;0)*$K$663:$K$670*(1-$K$672*$H$762:$H$769*(1-EXP(-$G$762:$G$769*($F$709:$F$716*L$707+$G$709:$G$716*L$647+L$648)))))/1000</f>
        <v>0.77985726154224555</v>
      </c>
      <c r="M660" s="72">
        <f t="shared" si="196"/>
        <v>0.80389860277682457</v>
      </c>
      <c r="N660" s="72">
        <f t="shared" si="196"/>
        <v>0.82884750000000007</v>
      </c>
      <c r="O660" s="72">
        <f t="shared" si="196"/>
        <v>0.85474474500000008</v>
      </c>
      <c r="P660" s="72">
        <f t="shared" si="196"/>
        <v>0.88163317238999994</v>
      </c>
      <c r="Q660" s="72">
        <f t="shared" si="196"/>
        <v>0.90955776754758011</v>
      </c>
      <c r="R660" s="72">
        <f t="shared" si="196"/>
        <v>0.93856578039370175</v>
      </c>
      <c r="S660" s="72">
        <f t="shared" si="196"/>
        <v>0.96870684533024232</v>
      </c>
      <c r="T660" s="72">
        <f t="shared" si="196"/>
        <v>1.0000331076726199</v>
      </c>
      <c r="U660" s="72">
        <f t="shared" si="196"/>
        <v>1.0325993569325114</v>
      </c>
      <c r="V660" s="72">
        <f t="shared" si="196"/>
        <v>1.0664631673251306</v>
      </c>
      <c r="W660" s="72">
        <f t="shared" si="196"/>
        <v>1.1016850458960927</v>
      </c>
      <c r="X660" s="72">
        <f t="shared" si="196"/>
        <v>1.138328588684556</v>
      </c>
      <c r="Y660" s="72">
        <f t="shared" si="196"/>
        <v>1.1764606453621964</v>
      </c>
      <c r="Z660" s="72">
        <f t="shared" si="196"/>
        <v>1.216151492811707</v>
      </c>
      <c r="AA660" s="72">
        <f t="shared" si="196"/>
        <v>1.2574750181339414</v>
      </c>
      <c r="AB660" s="72">
        <f t="shared" si="196"/>
        <v>1.3005089115996857</v>
      </c>
      <c r="AC660" s="72">
        <f t="shared" si="196"/>
        <v>1.3453348700903502</v>
      </c>
      <c r="AD660" s="72">
        <f t="shared" si="196"/>
        <v>1.3920388116017608</v>
      </c>
      <c r="AE660" s="72">
        <f t="shared" si="196"/>
        <v>1.4407111014167402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88" t="s">
        <v>1331</v>
      </c>
      <c r="N662" s="88" t="s">
        <v>1332</v>
      </c>
      <c r="O662" s="70" t="s">
        <v>1333</v>
      </c>
      <c r="P662" s="88" t="s">
        <v>1334</v>
      </c>
      <c r="Q662" s="88" t="s">
        <v>1335</v>
      </c>
      <c r="R662" s="88" t="s">
        <v>1336</v>
      </c>
      <c r="S662" s="88" t="s">
        <v>1337</v>
      </c>
      <c r="T662" s="88" t="s">
        <v>1338</v>
      </c>
      <c r="U662" s="88" t="s">
        <v>1339</v>
      </c>
      <c r="V662" s="88" t="s">
        <v>1340</v>
      </c>
      <c r="W662" s="88" t="s">
        <v>1341</v>
      </c>
      <c r="X662" s="88" t="s">
        <v>1342</v>
      </c>
      <c r="Y662" s="88" t="s">
        <v>1343</v>
      </c>
      <c r="Z662" s="88" t="s">
        <v>1344</v>
      </c>
      <c r="AA662" s="88" t="s">
        <v>1345</v>
      </c>
      <c r="AB662" s="88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0.17797725</v>
      </c>
      <c r="I663" s="76">
        <f>'Manual inputs'!I$30</f>
        <v>0.39301352000000001</v>
      </c>
      <c r="J663" s="76">
        <f>'Manual inputs'!J$30</f>
        <v>3.7901020000000001E-2</v>
      </c>
      <c r="K663" s="76">
        <f>'Manual inputs'!K$30</f>
        <v>0</v>
      </c>
      <c r="L663" s="76">
        <f t="shared" ref="L663:L670" si="197">SUM(H663:K663)</f>
        <v>0.60889178999999993</v>
      </c>
      <c r="M663" s="76">
        <f>'Manual inputs'!M$30</f>
        <v>0</v>
      </c>
      <c r="N663" s="76">
        <f>'Manual inputs'!N$30</f>
        <v>0.60889178999999993</v>
      </c>
      <c r="O663" s="76">
        <f>'Manual inputs'!O$30</f>
        <v>0.25</v>
      </c>
      <c r="P663" s="70">
        <f>'Manual inputs'!P$30</f>
        <v>0</v>
      </c>
      <c r="Q663" s="76">
        <f t="shared" ref="Q663:Q670" si="198">N663+O663</f>
        <v>0.85889178999999993</v>
      </c>
      <c r="R663" s="76">
        <f t="shared" ref="R663:R670" si="199">N663+O663*P663</f>
        <v>0.60889178999999993</v>
      </c>
      <c r="S663" s="77">
        <f>'Manual inputs'!S$30</f>
        <v>3.1720000000000002</v>
      </c>
      <c r="T663" s="77">
        <f>'Manual inputs'!T$30</f>
        <v>56.1</v>
      </c>
      <c r="U663" s="77">
        <f>'Manual inputs'!U$30</f>
        <v>7.0060000000000002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-1.3931082100000003</v>
      </c>
      <c r="AB663" s="79">
        <f>'Manual inputs'!AB$30</f>
        <v>0.12789178999999995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663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1355</v>
      </c>
      <c r="E664" s="70" t="s">
        <v>1351</v>
      </c>
      <c r="F664" s="70" t="s">
        <v>1356</v>
      </c>
      <c r="G664" s="70" t="s">
        <v>1357</v>
      </c>
      <c r="H664" s="76">
        <f>'Manual inputs'!H$31</f>
        <v>4.4880000000000003E-2</v>
      </c>
      <c r="I664" s="76">
        <f>'Manual inputs'!I$31</f>
        <v>0</v>
      </c>
      <c r="J664" s="76">
        <f>'Manual inputs'!J$31</f>
        <v>4.3981149999999997E-2</v>
      </c>
      <c r="K664" s="76">
        <f>'Manual inputs'!K$31</f>
        <v>0</v>
      </c>
      <c r="L664" s="76">
        <f t="shared" si="197"/>
        <v>8.886115E-2</v>
      </c>
      <c r="M664" s="76">
        <f>'Manual inputs'!M$31</f>
        <v>0</v>
      </c>
      <c r="N664" s="76">
        <f>'Manual inputs'!N$31</f>
        <v>8.886115E-2</v>
      </c>
      <c r="O664" s="76">
        <f>'Manual inputs'!O$31</f>
        <v>0.25</v>
      </c>
      <c r="P664" s="70">
        <f>'Manual inputs'!P$31</f>
        <v>0</v>
      </c>
      <c r="Q664" s="76">
        <f t="shared" si="198"/>
        <v>0.33886115</v>
      </c>
      <c r="R664" s="76">
        <f t="shared" si="199"/>
        <v>8.886115E-2</v>
      </c>
      <c r="S664" s="77">
        <f>'Manual inputs'!S$31</f>
        <v>0.8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-0.70313884999999998</v>
      </c>
      <c r="AB664" s="79">
        <f>'Manual inputs'!AB$31</f>
        <v>1.6861150000000005E-2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664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1359</v>
      </c>
      <c r="E665" s="70" t="s">
        <v>1351</v>
      </c>
      <c r="F665" s="70" t="s">
        <v>1360</v>
      </c>
      <c r="G665" s="70" t="s">
        <v>1361</v>
      </c>
      <c r="H665" s="76">
        <f>'Manual inputs'!H$32</f>
        <v>0.16830000000000001</v>
      </c>
      <c r="I665" s="76">
        <f>'Manual inputs'!I$32</f>
        <v>1.2566802699999999</v>
      </c>
      <c r="J665" s="76">
        <f>'Manual inputs'!J$32</f>
        <v>5.276542E-2</v>
      </c>
      <c r="K665" s="76">
        <f>'Manual inputs'!K$32</f>
        <v>0</v>
      </c>
      <c r="L665" s="76">
        <f t="shared" si="197"/>
        <v>1.4777456899999999</v>
      </c>
      <c r="M665" s="76">
        <f>'Manual inputs'!M$32</f>
        <v>0</v>
      </c>
      <c r="N665" s="76">
        <f>'Manual inputs'!N$32</f>
        <v>1.4777456899999999</v>
      </c>
      <c r="O665" s="76">
        <f>'Manual inputs'!O$32</f>
        <v>0.1875</v>
      </c>
      <c r="P665" s="70">
        <f>'Manual inputs'!P$32</f>
        <v>0</v>
      </c>
      <c r="Q665" s="76">
        <f t="shared" si="198"/>
        <v>1.6652456899999999</v>
      </c>
      <c r="R665" s="76">
        <f t="shared" si="199"/>
        <v>1.4777456899999999</v>
      </c>
      <c r="S665" s="77">
        <f>'Manual inputs'!S$32</f>
        <v>1.7509999999999999</v>
      </c>
      <c r="T665" s="77">
        <f>'Manual inputs'!T$32</f>
        <v>96.1</v>
      </c>
      <c r="U665" s="77">
        <f>'Manual inputs'!U$32</f>
        <v>13.077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-1.6022543100000002</v>
      </c>
      <c r="AB665" s="79">
        <f>'Manual inputs'!AB$32</f>
        <v>0.10774568999999978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665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1363</v>
      </c>
      <c r="E666" s="70" t="s">
        <v>1364</v>
      </c>
      <c r="F666" s="70" t="s">
        <v>1365</v>
      </c>
      <c r="G666" s="70" t="s">
        <v>1366</v>
      </c>
      <c r="H666" s="76">
        <f>'Manual inputs'!H$33</f>
        <v>0.31356849999999997</v>
      </c>
      <c r="I666" s="76">
        <f>'Manual inputs'!I$33</f>
        <v>0</v>
      </c>
      <c r="J666" s="76">
        <f>'Manual inputs'!J$33</f>
        <v>0.53702616000000003</v>
      </c>
      <c r="K666" s="76">
        <f>'Manual inputs'!K$33</f>
        <v>0</v>
      </c>
      <c r="L666" s="76">
        <f t="shared" si="197"/>
        <v>0.85059466000000006</v>
      </c>
      <c r="M666" s="76">
        <f>'Manual inputs'!M$33</f>
        <v>0</v>
      </c>
      <c r="N666" s="76">
        <f>'Manual inputs'!N$33</f>
        <v>0.85059466000000006</v>
      </c>
      <c r="O666" s="76">
        <f>'Manual inputs'!O$33</f>
        <v>5.6250000000000001E-2</v>
      </c>
      <c r="P666" s="70">
        <f>'Manual inputs'!P$33</f>
        <v>1</v>
      </c>
      <c r="Q666" s="76">
        <f t="shared" si="198"/>
        <v>0.90684466000000008</v>
      </c>
      <c r="R666" s="76">
        <f t="shared" si="199"/>
        <v>0.90684466000000008</v>
      </c>
      <c r="S666" s="77">
        <f>'Manual inputs'!S$33</f>
        <v>3.2629999999999999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-0.83115534000000013</v>
      </c>
      <c r="AB666" s="79">
        <f>'Manual inputs'!AB$33</f>
        <v>0.24084466000000004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666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1368</v>
      </c>
      <c r="E667" s="70" t="s">
        <v>1369</v>
      </c>
      <c r="F667" s="70" t="s">
        <v>1370</v>
      </c>
      <c r="G667" s="70" t="s">
        <v>1371</v>
      </c>
      <c r="H667" s="76">
        <f>'Manual inputs'!H$34</f>
        <v>0.71247000000000005</v>
      </c>
      <c r="I667" s="76">
        <f>'Manual inputs'!I$34</f>
        <v>1.2622500000000001</v>
      </c>
      <c r="J667" s="76">
        <f>'Manual inputs'!J$34</f>
        <v>0</v>
      </c>
      <c r="K667" s="76">
        <f>'Manual inputs'!K$34</f>
        <v>0</v>
      </c>
      <c r="L667" s="76">
        <f t="shared" si="197"/>
        <v>1.97472</v>
      </c>
      <c r="M667" s="76">
        <f>'Manual inputs'!M$34</f>
        <v>0</v>
      </c>
      <c r="N667" s="76">
        <f>'Manual inputs'!N$34</f>
        <v>1.97472</v>
      </c>
      <c r="O667" s="76">
        <f>'Manual inputs'!O$34</f>
        <v>3.7499999999999999E-2</v>
      </c>
      <c r="P667" s="70">
        <f>'Manual inputs'!P$34</f>
        <v>1</v>
      </c>
      <c r="Q667" s="76">
        <f t="shared" si="198"/>
        <v>2.0122200000000001</v>
      </c>
      <c r="R667" s="76">
        <f t="shared" si="199"/>
        <v>2.0122200000000001</v>
      </c>
      <c r="S667" s="77">
        <f>'Manual inputs'!S$34</f>
        <v>12.7</v>
      </c>
      <c r="T667" s="77">
        <f>'Manual inputs'!T$34</f>
        <v>56.1</v>
      </c>
      <c r="U667" s="77">
        <f>'Manual inputs'!U$34</f>
        <v>22.5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-5.8279999999999887E-2</v>
      </c>
      <c r="AB667" s="79">
        <f>'Manual inputs'!AB$34</f>
        <v>0.52822000000000013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667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1373</v>
      </c>
      <c r="E668" s="70" t="s">
        <v>1374</v>
      </c>
      <c r="F668" s="70" t="s">
        <v>1375</v>
      </c>
      <c r="G668" s="70" t="s">
        <v>1376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0</v>
      </c>
      <c r="K668" s="76">
        <f>'Manual inputs'!K$35</f>
        <v>0</v>
      </c>
      <c r="L668" s="76">
        <f t="shared" si="197"/>
        <v>0.11219999999999999</v>
      </c>
      <c r="M668" s="76">
        <f>'Manual inputs'!M$35</f>
        <v>1.1255904000000001</v>
      </c>
      <c r="N668" s="76">
        <f>'Manual inputs'!N$35</f>
        <v>1.2377904000000002</v>
      </c>
      <c r="O668" s="76">
        <f>'Manual inputs'!O$35</f>
        <v>3.7499999999999999E-2</v>
      </c>
      <c r="P668" s="70">
        <f>'Manual inputs'!P$35</f>
        <v>1</v>
      </c>
      <c r="Q668" s="76">
        <f t="shared" si="198"/>
        <v>1.2752904000000003</v>
      </c>
      <c r="R668" s="76">
        <f t="shared" si="199"/>
        <v>1.2752904000000003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-0.12860959999999966</v>
      </c>
      <c r="AB668" s="79">
        <f>'Manual inputs'!AB$35</f>
        <v>0.37329040000000024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668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1378</v>
      </c>
      <c r="E669" s="70" t="s">
        <v>1379</v>
      </c>
      <c r="F669" s="70" t="s">
        <v>1380</v>
      </c>
      <c r="G669" s="70" t="s">
        <v>1381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0.99441250000000003</v>
      </c>
      <c r="L669" s="76">
        <f t="shared" si="197"/>
        <v>1.1066125</v>
      </c>
      <c r="M669" s="76">
        <f>'Manual inputs'!M$36</f>
        <v>0.84621219999999997</v>
      </c>
      <c r="N669" s="76">
        <f>'Manual inputs'!N$36</f>
        <v>1.9528246999999999</v>
      </c>
      <c r="O669" s="76">
        <f>'Manual inputs'!O$36</f>
        <v>4.3749999999999997E-2</v>
      </c>
      <c r="P669" s="70">
        <f>'Manual inputs'!P$36</f>
        <v>1</v>
      </c>
      <c r="Q669" s="76">
        <f t="shared" si="198"/>
        <v>1.9965746999999998</v>
      </c>
      <c r="R669" s="76">
        <f t="shared" si="199"/>
        <v>1.9965746999999998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-0.66982530000000051</v>
      </c>
      <c r="AB669" s="79">
        <f>'Manual inputs'!AB$36</f>
        <v>1.6945746999999998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669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1383</v>
      </c>
      <c r="E670" s="70" t="s">
        <v>1384</v>
      </c>
      <c r="F670" s="70" t="s">
        <v>1385</v>
      </c>
      <c r="G670" s="70" t="s">
        <v>1386</v>
      </c>
      <c r="H670" s="76">
        <f>'Manual inputs'!H$37</f>
        <v>0.12342</v>
      </c>
      <c r="I670" s="76">
        <f>'Manual inputs'!I$37</f>
        <v>0</v>
      </c>
      <c r="J670" s="76">
        <f>'Manual inputs'!J$37</f>
        <v>1.6234930400000001</v>
      </c>
      <c r="K670" s="76">
        <f>'Manual inputs'!K$37</f>
        <v>0.77400000000000002</v>
      </c>
      <c r="L670" s="76">
        <f t="shared" si="197"/>
        <v>2.5209130399999999</v>
      </c>
      <c r="M670" s="76">
        <f>'Manual inputs'!M$37</f>
        <v>0</v>
      </c>
      <c r="N670" s="76">
        <f>'Manual inputs'!N$37</f>
        <v>2.5209130399999999</v>
      </c>
      <c r="O670" s="76">
        <f>'Manual inputs'!O$37</f>
        <v>6.75</v>
      </c>
      <c r="P670" s="70">
        <f>'Manual inputs'!P$37</f>
        <v>0</v>
      </c>
      <c r="Q670" s="76">
        <f t="shared" si="198"/>
        <v>9.2709130399999999</v>
      </c>
      <c r="R670" s="76">
        <f t="shared" si="199"/>
        <v>2.5209130399999999</v>
      </c>
      <c r="S670" s="77">
        <f>'Manual inputs'!S$37</f>
        <v>1.5820000000000001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0.25491303999999948</v>
      </c>
      <c r="AB670" s="79">
        <f>'Manual inputs'!AB$37</f>
        <v>1.0979130399999999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670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1873</v>
      </c>
      <c r="D671" s="73"/>
      <c r="E671" s="71"/>
      <c r="F671" s="71"/>
      <c r="G671" s="71"/>
      <c r="H671" s="71" t="s">
        <v>1875</v>
      </c>
      <c r="I671" s="71" t="s">
        <v>1876</v>
      </c>
      <c r="J671" s="71" t="s">
        <v>1877</v>
      </c>
      <c r="K671" s="71" t="s">
        <v>1878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1874</v>
      </c>
      <c r="E672" s="70"/>
      <c r="F672" s="70"/>
      <c r="G672" s="70"/>
      <c r="H672" s="96">
        <f>IF($J$404&gt;1,INDEX(Scenarios!$B$27:$Z$27,MATCH("fc covered (0/1)",Scenarios!$B$26:$Z$26,0)),1)</f>
        <v>1</v>
      </c>
      <c r="I672" s="96">
        <f>IF($J$404&gt;1,INDEX(Scenarios!$B$27:$Z$27,MATCH("fp covered (0/1)",Scenarios!$B$26:$Z$26,0)),1)</f>
        <v>1</v>
      </c>
      <c r="J672" s="96">
        <f>IF($J$404&gt;1,INDEX(Scenarios!$B$27:$Z$27,MATCH("np covered (0/1)",Scenarios!$B$26:$Z$26,0)),1)</f>
        <v>1</v>
      </c>
      <c r="K672" s="87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1417</v>
      </c>
      <c r="D673" s="73"/>
      <c r="E673" s="70"/>
      <c r="F673" s="70" t="s">
        <v>1418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1419</v>
      </c>
      <c r="G674" s="70" t="s">
        <v>1420</v>
      </c>
      <c r="H674" s="70" t="s">
        <v>1421</v>
      </c>
      <c r="I674" s="70" t="s">
        <v>1422</v>
      </c>
      <c r="J674" s="71" t="s">
        <v>1978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1423</v>
      </c>
      <c r="F675" s="174">
        <f>'Manual inputs'!E101</f>
        <v>5100</v>
      </c>
      <c r="G675" s="175">
        <f>'Manual inputs'!F101</f>
        <v>4.3999999999999997E-2</v>
      </c>
      <c r="H675" s="80"/>
      <c r="I675" s="174">
        <f>'Manual inputs'!H101</f>
        <v>580</v>
      </c>
      <c r="J675" s="109">
        <f>'Manual inputs'!K$66</f>
        <v>0</v>
      </c>
      <c r="K675" s="72"/>
      <c r="L675" s="72">
        <f t="shared" ref="L675:L682" si="200">M675/(1+G675)</f>
        <v>4679.1738230501605</v>
      </c>
      <c r="M675" s="72">
        <f t="shared" ref="M675:M682" si="201">N675/(1+G675)</f>
        <v>4885.0574712643675</v>
      </c>
      <c r="N675" s="87">
        <f>IF(UPPER(Settings!$B$3)="EGY",F675,0)</f>
        <v>5100</v>
      </c>
      <c r="O675" s="72">
        <f t="shared" ref="O675:AE675" si="202">$N675*(1+$G675)^(O$673-$N$673)*(1+O$719)^$J675</f>
        <v>5324.4000000000005</v>
      </c>
      <c r="P675" s="72">
        <f t="shared" si="202"/>
        <v>5558.6736000000001</v>
      </c>
      <c r="Q675" s="72">
        <f t="shared" si="202"/>
        <v>5803.255238400001</v>
      </c>
      <c r="R675" s="72">
        <f t="shared" si="202"/>
        <v>6058.5984688896006</v>
      </c>
      <c r="S675" s="72">
        <f t="shared" si="202"/>
        <v>6325.1768015207426</v>
      </c>
      <c r="T675" s="72">
        <f t="shared" si="202"/>
        <v>6603.4845807876563</v>
      </c>
      <c r="U675" s="72">
        <f t="shared" si="202"/>
        <v>6894.0379023423138</v>
      </c>
      <c r="V675" s="72">
        <f t="shared" si="202"/>
        <v>7197.3755700453748</v>
      </c>
      <c r="W675" s="72">
        <f t="shared" si="202"/>
        <v>7514.0600951273718</v>
      </c>
      <c r="X675" s="72">
        <f t="shared" si="202"/>
        <v>7844.6787393129762</v>
      </c>
      <c r="Y675" s="72">
        <f t="shared" si="202"/>
        <v>8189.8446038427483</v>
      </c>
      <c r="Z675" s="72">
        <f t="shared" si="202"/>
        <v>8550.1977664118276</v>
      </c>
      <c r="AA675" s="72">
        <f t="shared" si="202"/>
        <v>8926.4064681339478</v>
      </c>
      <c r="AB675" s="72">
        <f t="shared" si="202"/>
        <v>9319.1683527318437</v>
      </c>
      <c r="AC675" s="72">
        <f t="shared" si="202"/>
        <v>9729.2117602520448</v>
      </c>
      <c r="AD675" s="72">
        <f t="shared" si="202"/>
        <v>10157.297077703133</v>
      </c>
      <c r="AE675" s="72">
        <f t="shared" si="202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1355</v>
      </c>
      <c r="E676" s="70" t="s">
        <v>1423</v>
      </c>
      <c r="F676" s="174">
        <f>'Manual inputs'!E102</f>
        <v>4800</v>
      </c>
      <c r="G676" s="175">
        <f>'Manual inputs'!F102</f>
        <v>4.3999999999999997E-2</v>
      </c>
      <c r="H676" s="80"/>
      <c r="I676" s="174">
        <f>'Manual inputs'!H102</f>
        <v>300</v>
      </c>
      <c r="J676" s="109">
        <f>'Manual inputs'!K$67</f>
        <v>0</v>
      </c>
      <c r="K676" s="72"/>
      <c r="L676" s="72">
        <f t="shared" si="200"/>
        <v>4403.9283040472101</v>
      </c>
      <c r="M676" s="72">
        <f t="shared" si="201"/>
        <v>4597.7011494252874</v>
      </c>
      <c r="N676" s="87">
        <f>IF(UPPER(Settings!$B$3)="EGY",F676,0)</f>
        <v>4800</v>
      </c>
      <c r="O676" s="72">
        <f t="shared" ref="O676:AE676" si="203">$N676*(1+$G676)^(O$673-$N$673)*(1+O$720)^$J676</f>
        <v>5011.2</v>
      </c>
      <c r="P676" s="72">
        <f t="shared" si="203"/>
        <v>5231.6927999999998</v>
      </c>
      <c r="Q676" s="72">
        <f t="shared" si="203"/>
        <v>5461.8872832000006</v>
      </c>
      <c r="R676" s="72">
        <f t="shared" si="203"/>
        <v>5702.2103236608</v>
      </c>
      <c r="S676" s="72">
        <f t="shared" si="203"/>
        <v>5953.1075779018756</v>
      </c>
      <c r="T676" s="72">
        <f t="shared" si="203"/>
        <v>6215.0443113295587</v>
      </c>
      <c r="U676" s="72">
        <f t="shared" si="203"/>
        <v>6488.5062610280602</v>
      </c>
      <c r="V676" s="72">
        <f t="shared" si="203"/>
        <v>6774.0005365132938</v>
      </c>
      <c r="W676" s="72">
        <f t="shared" si="203"/>
        <v>7072.0565601198796</v>
      </c>
      <c r="X676" s="72">
        <f t="shared" si="203"/>
        <v>7383.227048765154</v>
      </c>
      <c r="Y676" s="72">
        <f t="shared" si="203"/>
        <v>7708.0890389108217</v>
      </c>
      <c r="Z676" s="72">
        <f t="shared" si="203"/>
        <v>8047.244956622897</v>
      </c>
      <c r="AA676" s="72">
        <f t="shared" si="203"/>
        <v>8401.323734714304</v>
      </c>
      <c r="AB676" s="72">
        <f t="shared" si="203"/>
        <v>8770.981979041735</v>
      </c>
      <c r="AC676" s="72">
        <f t="shared" si="203"/>
        <v>9156.9051861195712</v>
      </c>
      <c r="AD676" s="72">
        <f t="shared" si="203"/>
        <v>9559.809014308832</v>
      </c>
      <c r="AE676" s="72">
        <f t="shared" si="203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1359</v>
      </c>
      <c r="E677" s="70" t="s">
        <v>1423</v>
      </c>
      <c r="F677" s="174">
        <f>'Manual inputs'!E103</f>
        <v>0</v>
      </c>
      <c r="G677" s="175">
        <f>'Manual inputs'!F103</f>
        <v>0</v>
      </c>
      <c r="H677" s="80"/>
      <c r="I677" s="174">
        <f>'Manual inputs'!H103</f>
        <v>0</v>
      </c>
      <c r="J677" s="109">
        <f>'Manual inputs'!K$68</f>
        <v>0</v>
      </c>
      <c r="K677" s="72"/>
      <c r="L677" s="72">
        <f t="shared" si="200"/>
        <v>0</v>
      </c>
      <c r="M677" s="72">
        <f t="shared" si="201"/>
        <v>0</v>
      </c>
      <c r="N677" s="87">
        <f>IF(UPPER(Settings!$B$3)="EGY",F677,0)</f>
        <v>0</v>
      </c>
      <c r="O677" s="72">
        <f t="shared" ref="O677:AE677" si="204">$N677*(1+$G677)^(O$673-$N$673)*(1+O$721)^$J677</f>
        <v>0</v>
      </c>
      <c r="P677" s="72">
        <f t="shared" si="204"/>
        <v>0</v>
      </c>
      <c r="Q677" s="72">
        <f t="shared" si="204"/>
        <v>0</v>
      </c>
      <c r="R677" s="72">
        <f t="shared" si="204"/>
        <v>0</v>
      </c>
      <c r="S677" s="72">
        <f t="shared" si="204"/>
        <v>0</v>
      </c>
      <c r="T677" s="72">
        <f t="shared" si="204"/>
        <v>0</v>
      </c>
      <c r="U677" s="72">
        <f t="shared" si="204"/>
        <v>0</v>
      </c>
      <c r="V677" s="72">
        <f t="shared" si="204"/>
        <v>0</v>
      </c>
      <c r="W677" s="72">
        <f t="shared" si="204"/>
        <v>0</v>
      </c>
      <c r="X677" s="72">
        <f t="shared" si="204"/>
        <v>0</v>
      </c>
      <c r="Y677" s="72">
        <f t="shared" si="204"/>
        <v>0</v>
      </c>
      <c r="Z677" s="72">
        <f t="shared" si="204"/>
        <v>0</v>
      </c>
      <c r="AA677" s="72">
        <f t="shared" si="204"/>
        <v>0</v>
      </c>
      <c r="AB677" s="72">
        <f t="shared" si="204"/>
        <v>0</v>
      </c>
      <c r="AC677" s="72">
        <f t="shared" si="204"/>
        <v>0</v>
      </c>
      <c r="AD677" s="72">
        <f t="shared" si="204"/>
        <v>0</v>
      </c>
      <c r="AE677" s="72">
        <f t="shared" si="204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1363</v>
      </c>
      <c r="E678" s="70" t="s">
        <v>1424</v>
      </c>
      <c r="F678" s="174">
        <f>'Manual inputs'!E104</f>
        <v>50000</v>
      </c>
      <c r="G678" s="175">
        <f>'Manual inputs'!F104</f>
        <v>3.3000000000000002E-2</v>
      </c>
      <c r="H678" s="80"/>
      <c r="I678" s="174">
        <f>'Manual inputs'!H104</f>
        <v>800</v>
      </c>
      <c r="J678" s="109">
        <f>'Manual inputs'!K$69</f>
        <v>0</v>
      </c>
      <c r="K678" s="72"/>
      <c r="L678" s="72">
        <f t="shared" si="200"/>
        <v>46856.447775209017</v>
      </c>
      <c r="M678" s="72">
        <f t="shared" si="201"/>
        <v>48402.710551790908</v>
      </c>
      <c r="N678" s="87">
        <f>IF(UPPER(Settings!$B$3)="EGY",F678,0)</f>
        <v>50000</v>
      </c>
      <c r="O678" s="72">
        <f t="shared" ref="O678:AE678" si="205">$N678*(1+$G678)^(O$673-$N$673)*(1+O$722)^$J678</f>
        <v>51649.999999999993</v>
      </c>
      <c r="P678" s="72">
        <f t="shared" si="205"/>
        <v>53354.44999999999</v>
      </c>
      <c r="Q678" s="72">
        <f t="shared" si="205"/>
        <v>55115.146849999983</v>
      </c>
      <c r="R678" s="72">
        <f t="shared" si="205"/>
        <v>56933.946696049978</v>
      </c>
      <c r="S678" s="72">
        <f t="shared" si="205"/>
        <v>58812.766937019624</v>
      </c>
      <c r="T678" s="72">
        <f t="shared" si="205"/>
        <v>60753.588245941261</v>
      </c>
      <c r="U678" s="72">
        <f t="shared" si="205"/>
        <v>62758.456658057316</v>
      </c>
      <c r="V678" s="72">
        <f t="shared" si="205"/>
        <v>64829.485727773194</v>
      </c>
      <c r="W678" s="72">
        <f t="shared" si="205"/>
        <v>66968.858756789705</v>
      </c>
      <c r="X678" s="72">
        <f t="shared" si="205"/>
        <v>69178.831095763744</v>
      </c>
      <c r="Y678" s="72">
        <f t="shared" si="205"/>
        <v>71461.732521923957</v>
      </c>
      <c r="Z678" s="72">
        <f t="shared" si="205"/>
        <v>73819.969695147433</v>
      </c>
      <c r="AA678" s="72">
        <f t="shared" si="205"/>
        <v>76256.028695087298</v>
      </c>
      <c r="AB678" s="72">
        <f t="shared" si="205"/>
        <v>78772.477642025158</v>
      </c>
      <c r="AC678" s="72">
        <f t="shared" si="205"/>
        <v>81371.969404211981</v>
      </c>
      <c r="AD678" s="72">
        <f t="shared" si="205"/>
        <v>84057.244394550973</v>
      </c>
      <c r="AE678" s="72">
        <f t="shared" si="205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1425</v>
      </c>
      <c r="E679" s="70" t="s">
        <v>1426</v>
      </c>
      <c r="F679" s="174">
        <f>'Manual inputs'!E105</f>
        <v>1785</v>
      </c>
      <c r="G679" s="175">
        <f>'Manual inputs'!F105</f>
        <v>2.1999999999999999E-2</v>
      </c>
      <c r="H679" s="80"/>
      <c r="I679" s="174">
        <f>'Manual inputs'!H105</f>
        <v>120</v>
      </c>
      <c r="J679" s="109">
        <f>'Manual inputs'!K$70</f>
        <v>0</v>
      </c>
      <c r="K679" s="72"/>
      <c r="L679" s="72">
        <f t="shared" si="200"/>
        <v>1708.9778302013242</v>
      </c>
      <c r="M679" s="72">
        <f t="shared" si="201"/>
        <v>1746.5753424657535</v>
      </c>
      <c r="N679" s="87">
        <f>IF(UPPER(Settings!$B$3)="EGY",F679,0)</f>
        <v>1785</v>
      </c>
      <c r="O679" s="72">
        <f t="shared" ref="O679:AE679" si="206">$N679*(1+$G679)^(O$673-$N$673)*(1+O$723)^$J679</f>
        <v>1824.27</v>
      </c>
      <c r="P679" s="72">
        <f t="shared" si="206"/>
        <v>1864.4039399999999</v>
      </c>
      <c r="Q679" s="72">
        <f t="shared" si="206"/>
        <v>1905.4208266800001</v>
      </c>
      <c r="R679" s="72">
        <f t="shared" si="206"/>
        <v>1947.3400848669601</v>
      </c>
      <c r="S679" s="72">
        <f t="shared" si="206"/>
        <v>1990.1815667340331</v>
      </c>
      <c r="T679" s="72">
        <f t="shared" si="206"/>
        <v>2033.9655612021818</v>
      </c>
      <c r="U679" s="72">
        <f t="shared" si="206"/>
        <v>2078.7128035486298</v>
      </c>
      <c r="V679" s="72">
        <f t="shared" si="206"/>
        <v>2124.4444852267002</v>
      </c>
      <c r="W679" s="72">
        <f t="shared" si="206"/>
        <v>2171.1822639016873</v>
      </c>
      <c r="X679" s="72">
        <f t="shared" si="206"/>
        <v>2218.9482737075245</v>
      </c>
      <c r="Y679" s="72">
        <f t="shared" si="206"/>
        <v>2267.7651357290902</v>
      </c>
      <c r="Z679" s="72">
        <f t="shared" si="206"/>
        <v>2317.6559687151303</v>
      </c>
      <c r="AA679" s="72">
        <f t="shared" si="206"/>
        <v>2368.644400026863</v>
      </c>
      <c r="AB679" s="72">
        <f t="shared" si="206"/>
        <v>2420.7545768274535</v>
      </c>
      <c r="AC679" s="72">
        <f t="shared" si="206"/>
        <v>2474.0111775176579</v>
      </c>
      <c r="AD679" s="72">
        <f t="shared" si="206"/>
        <v>2528.4394234230463</v>
      </c>
      <c r="AE679" s="72">
        <f t="shared" si="206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1373</v>
      </c>
      <c r="E680" s="70" t="s">
        <v>1427</v>
      </c>
      <c r="F680" s="174">
        <f>'Manual inputs'!E106</f>
        <v>2800</v>
      </c>
      <c r="G680" s="175">
        <f>'Manual inputs'!F106</f>
        <v>2.1999999999999999E-2</v>
      </c>
      <c r="H680" s="80"/>
      <c r="I680" s="174">
        <f>'Manual inputs'!H106</f>
        <v>1600</v>
      </c>
      <c r="J680" s="109">
        <f>'Manual inputs'!K$71</f>
        <v>0</v>
      </c>
      <c r="K680" s="72"/>
      <c r="L680" s="72">
        <f t="shared" si="200"/>
        <v>2680.7495375707044</v>
      </c>
      <c r="M680" s="72">
        <f t="shared" si="201"/>
        <v>2739.7260273972602</v>
      </c>
      <c r="N680" s="87">
        <f>IF(UPPER(Settings!$B$3)="EGY",F680,0)</f>
        <v>2800</v>
      </c>
      <c r="O680" s="72">
        <f t="shared" ref="O680:AE680" si="207">$N680*(1+$G680)^(O$673-$N$673)*(1+O$724)^$J680</f>
        <v>2861.6</v>
      </c>
      <c r="P680" s="72">
        <f t="shared" si="207"/>
        <v>2924.5551999999998</v>
      </c>
      <c r="Q680" s="72">
        <f t="shared" si="207"/>
        <v>2988.8954143999999</v>
      </c>
      <c r="R680" s="72">
        <f t="shared" si="207"/>
        <v>3054.6511135168003</v>
      </c>
      <c r="S680" s="72">
        <f t="shared" si="207"/>
        <v>3121.8534380141696</v>
      </c>
      <c r="T680" s="72">
        <f t="shared" si="207"/>
        <v>3190.534213650481</v>
      </c>
      <c r="U680" s="72">
        <f t="shared" si="207"/>
        <v>3260.7259663507921</v>
      </c>
      <c r="V680" s="72">
        <f t="shared" si="207"/>
        <v>3332.4619376105097</v>
      </c>
      <c r="W680" s="72">
        <f t="shared" si="207"/>
        <v>3405.7761002379407</v>
      </c>
      <c r="X680" s="72">
        <f t="shared" si="207"/>
        <v>3480.7031744431756</v>
      </c>
      <c r="Y680" s="72">
        <f t="shared" si="207"/>
        <v>3557.2786442809256</v>
      </c>
      <c r="Z680" s="72">
        <f t="shared" si="207"/>
        <v>3635.5387744551062</v>
      </c>
      <c r="AA680" s="72">
        <f t="shared" si="207"/>
        <v>3715.5206274931184</v>
      </c>
      <c r="AB680" s="72">
        <f t="shared" si="207"/>
        <v>3797.2620812979667</v>
      </c>
      <c r="AC680" s="72">
        <f t="shared" si="207"/>
        <v>3880.8018470865222</v>
      </c>
      <c r="AD680" s="72">
        <f t="shared" si="207"/>
        <v>3966.1794877224256</v>
      </c>
      <c r="AE680" s="72">
        <f t="shared" si="207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1378</v>
      </c>
      <c r="E681" s="70" t="s">
        <v>1428</v>
      </c>
      <c r="F681" s="174">
        <f>'Manual inputs'!E107</f>
        <v>600</v>
      </c>
      <c r="G681" s="175">
        <f>'Manual inputs'!F107</f>
        <v>2.1999999999999999E-2</v>
      </c>
      <c r="H681" s="80"/>
      <c r="I681" s="174">
        <f>'Manual inputs'!H107</f>
        <v>80</v>
      </c>
      <c r="J681" s="109">
        <f>'Manual inputs'!K$72</f>
        <v>0</v>
      </c>
      <c r="K681" s="72"/>
      <c r="L681" s="72">
        <f t="shared" si="200"/>
        <v>574.44632947943671</v>
      </c>
      <c r="M681" s="72">
        <f t="shared" si="201"/>
        <v>587.08414872798437</v>
      </c>
      <c r="N681" s="87">
        <f>IF(UPPER(Settings!$B$3)="EGY",F681,0)</f>
        <v>600</v>
      </c>
      <c r="O681" s="72">
        <f t="shared" ref="O681:AE681" si="208">$N681*(1+$G681)^(O$673-$N$673)*(1+O$725)^$J681</f>
        <v>613.20000000000005</v>
      </c>
      <c r="P681" s="72">
        <f t="shared" si="208"/>
        <v>626.69039999999995</v>
      </c>
      <c r="Q681" s="72">
        <f t="shared" si="208"/>
        <v>640.47758880000004</v>
      </c>
      <c r="R681" s="72">
        <f t="shared" si="208"/>
        <v>654.56809575360001</v>
      </c>
      <c r="S681" s="72">
        <f t="shared" si="208"/>
        <v>668.96859386017923</v>
      </c>
      <c r="T681" s="72">
        <f t="shared" si="208"/>
        <v>683.68590292510305</v>
      </c>
      <c r="U681" s="72">
        <f t="shared" si="208"/>
        <v>698.72699278945538</v>
      </c>
      <c r="V681" s="72">
        <f t="shared" si="208"/>
        <v>714.09898663082356</v>
      </c>
      <c r="W681" s="72">
        <f t="shared" si="208"/>
        <v>729.80916433670154</v>
      </c>
      <c r="X681" s="72">
        <f t="shared" si="208"/>
        <v>745.86496595210906</v>
      </c>
      <c r="Y681" s="72">
        <f t="shared" si="208"/>
        <v>762.27399520305551</v>
      </c>
      <c r="Z681" s="72">
        <f t="shared" si="208"/>
        <v>779.04402309752277</v>
      </c>
      <c r="AA681" s="72">
        <f t="shared" si="208"/>
        <v>796.18299160566824</v>
      </c>
      <c r="AB681" s="72">
        <f t="shared" si="208"/>
        <v>813.69901742099285</v>
      </c>
      <c r="AC681" s="72">
        <f t="shared" si="208"/>
        <v>831.60039580425473</v>
      </c>
      <c r="AD681" s="72">
        <f t="shared" si="208"/>
        <v>849.89560451194836</v>
      </c>
      <c r="AE681" s="72">
        <f t="shared" si="208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1383</v>
      </c>
      <c r="E682" s="70" t="s">
        <v>1429</v>
      </c>
      <c r="F682" s="174">
        <f>'Manual inputs'!E108</f>
        <v>300</v>
      </c>
      <c r="G682" s="175">
        <f>'Manual inputs'!F108</f>
        <v>5.5E-2</v>
      </c>
      <c r="H682" s="80"/>
      <c r="I682" s="174">
        <f>'Manual inputs'!H108</f>
        <v>167</v>
      </c>
      <c r="J682" s="109">
        <f>'Manual inputs'!K$73</f>
        <v>0</v>
      </c>
      <c r="K682" s="72"/>
      <c r="L682" s="72">
        <f t="shared" si="200"/>
        <v>269.53572471417982</v>
      </c>
      <c r="M682" s="72">
        <f t="shared" si="201"/>
        <v>284.36018957345971</v>
      </c>
      <c r="N682" s="87">
        <f>IF(UPPER(Settings!$B$3)="EGY",F682,0)</f>
        <v>300</v>
      </c>
      <c r="O682" s="72">
        <f t="shared" ref="O682:AE682" si="209">$N682*(1+$G682)^(O$673-$N$673)*(1+O$726)^$J682</f>
        <v>316.5</v>
      </c>
      <c r="P682" s="72">
        <f t="shared" si="209"/>
        <v>333.90749999999997</v>
      </c>
      <c r="Q682" s="72">
        <f t="shared" si="209"/>
        <v>352.27241249999992</v>
      </c>
      <c r="R682" s="72">
        <f t="shared" si="209"/>
        <v>371.64739518749997</v>
      </c>
      <c r="S682" s="72">
        <f t="shared" si="209"/>
        <v>392.0880019228124</v>
      </c>
      <c r="T682" s="72">
        <f t="shared" si="209"/>
        <v>413.65284202856708</v>
      </c>
      <c r="U682" s="72">
        <f t="shared" si="209"/>
        <v>436.40374834013824</v>
      </c>
      <c r="V682" s="72">
        <f t="shared" si="209"/>
        <v>460.40595449884586</v>
      </c>
      <c r="W682" s="72">
        <f t="shared" si="209"/>
        <v>485.72828199628236</v>
      </c>
      <c r="X682" s="72">
        <f t="shared" si="209"/>
        <v>512.44333750607791</v>
      </c>
      <c r="Y682" s="72">
        <f t="shared" si="209"/>
        <v>540.62772106891214</v>
      </c>
      <c r="Z682" s="72">
        <f t="shared" si="209"/>
        <v>570.36224572770232</v>
      </c>
      <c r="AA682" s="72">
        <f t="shared" si="209"/>
        <v>601.73216924272583</v>
      </c>
      <c r="AB682" s="72">
        <f t="shared" si="209"/>
        <v>634.82743855107583</v>
      </c>
      <c r="AC682" s="72">
        <f t="shared" si="209"/>
        <v>669.74294767138485</v>
      </c>
      <c r="AD682" s="72">
        <f t="shared" si="209"/>
        <v>706.57880979331105</v>
      </c>
      <c r="AE682" s="72">
        <f t="shared" si="209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1917</v>
      </c>
      <c r="D683" s="72" t="s">
        <v>1911</v>
      </c>
      <c r="E683" s="72" t="s">
        <v>79</v>
      </c>
      <c r="F683" s="72"/>
      <c r="G683" s="70" t="s">
        <v>1475</v>
      </c>
      <c r="H683" s="86" t="str">
        <f>Settings!$B$3&amp;".mit.cbcov."&amp;$G683&amp;"."&amp;$J$404</f>
        <v>egy.mit.cbcov.cbam.tot.2</v>
      </c>
      <c r="I683" s="72"/>
      <c r="J683" s="72"/>
      <c r="K683" s="72"/>
      <c r="L683" s="98">
        <f t="shared" ref="L683:AE683" si="210">IF((SUM(L$729:L$736)+SUM(L$740:L$747))=0,0,(SUMPRODUCT(L$729:L$736*$I$729:$I$736*(($F$698:$F$705+$G$698:$G$705)&gt;0))+SUMPRODUCT(L$740:L$747*$J$729:$J$736*(($F$709:$F$716+$G$709:$G$716)&gt;0)))/(SUM(L$729:L$736)+SUM(L$740:L$747)))</f>
        <v>0.44368280475207889</v>
      </c>
      <c r="M683" s="98">
        <f t="shared" si="210"/>
        <v>0.44347645385531964</v>
      </c>
      <c r="N683" s="98">
        <f t="shared" si="210"/>
        <v>0.4432752933168122</v>
      </c>
      <c r="O683" s="98">
        <f t="shared" si="210"/>
        <v>0.44307927265114361</v>
      </c>
      <c r="P683" s="98">
        <f t="shared" si="210"/>
        <v>0.44288834045823561</v>
      </c>
      <c r="Q683" s="98">
        <f t="shared" si="210"/>
        <v>0.44270244440986661</v>
      </c>
      <c r="R683" s="98">
        <f t="shared" si="210"/>
        <v>0.44252153123593246</v>
      </c>
      <c r="S683" s="98">
        <f t="shared" si="210"/>
        <v>0.44234554671045312</v>
      </c>
      <c r="T683" s="98">
        <f t="shared" si="210"/>
        <v>0.44217443563732917</v>
      </c>
      <c r="U683" s="98">
        <f t="shared" si="210"/>
        <v>0.44200814183585402</v>
      </c>
      <c r="V683" s="98">
        <f t="shared" si="210"/>
        <v>0.44184660812598775</v>
      </c>
      <c r="W683" s="98">
        <f t="shared" si="210"/>
        <v>0.44168977631339978</v>
      </c>
      <c r="X683" s="98">
        <f t="shared" si="210"/>
        <v>0.4415375871742872</v>
      </c>
      <c r="Y683" s="98">
        <f t="shared" si="210"/>
        <v>0.44138998043997363</v>
      </c>
      <c r="Z683" s="98">
        <f t="shared" si="210"/>
        <v>0.4412468947813008</v>
      </c>
      <c r="AA683" s="98">
        <f t="shared" si="210"/>
        <v>0.44110826779281626</v>
      </c>
      <c r="AB683" s="98">
        <f t="shared" si="210"/>
        <v>0.44097403597677043</v>
      </c>
      <c r="AC683" s="98">
        <f t="shared" si="210"/>
        <v>0.44084413472692868</v>
      </c>
      <c r="AD683" s="98">
        <f t="shared" si="210"/>
        <v>0.44071849831220911</v>
      </c>
      <c r="AE683" s="98">
        <f t="shared" si="210"/>
        <v>0.44059705986015796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1912</v>
      </c>
      <c r="E684" s="72" t="s">
        <v>1913</v>
      </c>
      <c r="F684" s="72"/>
      <c r="G684" s="70" t="s">
        <v>1475</v>
      </c>
      <c r="H684" s="86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11">IF(SUM(L$675:L$682)=0,0,L$779*1000/SUM(L$675:L$682))</f>
        <v>0.78607862103016568</v>
      </c>
      <c r="M684" s="76">
        <f t="shared" si="211"/>
        <v>0.7854918840873516</v>
      </c>
      <c r="N684" s="76">
        <f t="shared" si="211"/>
        <v>0.78490313162040215</v>
      </c>
      <c r="O684" s="76">
        <f t="shared" si="211"/>
        <v>0.78431240712425543</v>
      </c>
      <c r="P684" s="76">
        <f t="shared" si="211"/>
        <v>0.78371975541429295</v>
      </c>
      <c r="Q684" s="76">
        <f t="shared" si="211"/>
        <v>0.78312522264570272</v>
      </c>
      <c r="R684" s="76">
        <f t="shared" si="211"/>
        <v>0.78252885633289471</v>
      </c>
      <c r="S684" s="76">
        <f t="shared" si="211"/>
        <v>0.78193070536897147</v>
      </c>
      <c r="T684" s="76">
        <f t="shared" si="211"/>
        <v>0.78133082004524113</v>
      </c>
      <c r="U684" s="76">
        <f t="shared" si="211"/>
        <v>0.78072925207077082</v>
      </c>
      <c r="V684" s="76">
        <f t="shared" si="211"/>
        <v>0.78012605459196904</v>
      </c>
      <c r="W684" s="76">
        <f t="shared" si="211"/>
        <v>0.77952128221219807</v>
      </c>
      <c r="X684" s="76">
        <f t="shared" si="211"/>
        <v>0.77891499101139872</v>
      </c>
      <c r="Y684" s="76">
        <f t="shared" si="211"/>
        <v>0.7783072385657307</v>
      </c>
      <c r="Z684" s="76">
        <f t="shared" si="211"/>
        <v>0.77769808396721452</v>
      </c>
      <c r="AA684" s="76">
        <f t="shared" si="211"/>
        <v>0.77708758784337062</v>
      </c>
      <c r="AB684" s="76">
        <f t="shared" si="211"/>
        <v>0.7764758123768456</v>
      </c>
      <c r="AC684" s="76">
        <f t="shared" si="211"/>
        <v>0.77586282132501894</v>
      </c>
      <c r="AD684" s="76">
        <f t="shared" si="211"/>
        <v>0.77524868003958436</v>
      </c>
      <c r="AE684" s="76">
        <f t="shared" si="211"/>
        <v>0.77463345548608975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1914</v>
      </c>
      <c r="E685" s="72" t="s">
        <v>79</v>
      </c>
      <c r="F685" s="72"/>
      <c r="G685" s="70" t="s">
        <v>1475</v>
      </c>
      <c r="H685" s="86" t="str">
        <f>Settings!$B$3&amp;".mit.cbintch."&amp;$G685&amp;"."&amp;$J$404</f>
        <v>egy.mit.cbintch.cbam.tot.2</v>
      </c>
      <c r="I685" s="72"/>
      <c r="J685" s="72"/>
      <c r="K685" s="72"/>
      <c r="L685" s="98">
        <f t="shared" ref="L685:AE685" si="212">IF((SUM(L$729:L$736)+SUM(L$740:L$747))=0,0,L$779/(SUM(L$729:L$736)+SUM(L$740:L$747))-1)</f>
        <v>0</v>
      </c>
      <c r="M685" s="98">
        <f t="shared" si="212"/>
        <v>0</v>
      </c>
      <c r="N685" s="98">
        <f t="shared" si="212"/>
        <v>0</v>
      </c>
      <c r="O685" s="98">
        <f t="shared" si="212"/>
        <v>0</v>
      </c>
      <c r="P685" s="98">
        <f t="shared" si="212"/>
        <v>-1.1102230246251565E-16</v>
      </c>
      <c r="Q685" s="98">
        <f t="shared" si="212"/>
        <v>0</v>
      </c>
      <c r="R685" s="98">
        <f t="shared" si="212"/>
        <v>2.2204460492503131E-16</v>
      </c>
      <c r="S685" s="98">
        <f t="shared" si="212"/>
        <v>-1.1102230246251565E-16</v>
      </c>
      <c r="T685" s="98">
        <f t="shared" si="212"/>
        <v>0</v>
      </c>
      <c r="U685" s="98">
        <f t="shared" si="212"/>
        <v>0</v>
      </c>
      <c r="V685" s="98">
        <f t="shared" si="212"/>
        <v>0</v>
      </c>
      <c r="W685" s="98">
        <f t="shared" si="212"/>
        <v>0</v>
      </c>
      <c r="X685" s="98">
        <f t="shared" si="212"/>
        <v>0</v>
      </c>
      <c r="Y685" s="98">
        <f t="shared" si="212"/>
        <v>0</v>
      </c>
      <c r="Z685" s="98">
        <f t="shared" si="212"/>
        <v>0</v>
      </c>
      <c r="AA685" s="98">
        <f t="shared" si="212"/>
        <v>0</v>
      </c>
      <c r="AB685" s="98">
        <f t="shared" si="212"/>
        <v>2.2204460492503131E-16</v>
      </c>
      <c r="AC685" s="98">
        <f t="shared" si="212"/>
        <v>0</v>
      </c>
      <c r="AD685" s="98">
        <f t="shared" si="212"/>
        <v>2.2204460492503131E-16</v>
      </c>
      <c r="AE685" s="98">
        <f t="shared" si="212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1430</v>
      </c>
      <c r="D686" s="73" t="s">
        <v>1323</v>
      </c>
      <c r="E686" s="70" t="s">
        <v>1431</v>
      </c>
      <c r="F686" s="70" t="s">
        <v>1323</v>
      </c>
      <c r="G686" s="70" t="s">
        <v>1432</v>
      </c>
      <c r="H686" s="70"/>
      <c r="I686" s="71"/>
      <c r="J686" s="71"/>
      <c r="K686" s="72"/>
      <c r="L686" s="74">
        <f t="shared" ref="L686:AE686" si="213">L673</f>
        <v>2022</v>
      </c>
      <c r="M686" s="74">
        <f t="shared" si="213"/>
        <v>2023</v>
      </c>
      <c r="N686" s="74">
        <f t="shared" si="213"/>
        <v>2024</v>
      </c>
      <c r="O686" s="74">
        <f t="shared" si="213"/>
        <v>2025</v>
      </c>
      <c r="P686" s="74">
        <f t="shared" si="213"/>
        <v>2026</v>
      </c>
      <c r="Q686" s="74">
        <f t="shared" si="213"/>
        <v>2027</v>
      </c>
      <c r="R686" s="74">
        <f t="shared" si="213"/>
        <v>2028</v>
      </c>
      <c r="S686" s="74">
        <f t="shared" si="213"/>
        <v>2029</v>
      </c>
      <c r="T686" s="74">
        <f t="shared" si="213"/>
        <v>2030</v>
      </c>
      <c r="U686" s="74">
        <f t="shared" si="213"/>
        <v>2031</v>
      </c>
      <c r="V686" s="74">
        <f t="shared" si="213"/>
        <v>2032</v>
      </c>
      <c r="W686" s="74">
        <f t="shared" si="213"/>
        <v>2033</v>
      </c>
      <c r="X686" s="74">
        <f t="shared" si="213"/>
        <v>2034</v>
      </c>
      <c r="Y686" s="74">
        <f t="shared" si="213"/>
        <v>2035</v>
      </c>
      <c r="Z686" s="74">
        <f t="shared" si="213"/>
        <v>2036</v>
      </c>
      <c r="AA686" s="74">
        <f t="shared" si="213"/>
        <v>2037</v>
      </c>
      <c r="AB686" s="74">
        <f t="shared" si="213"/>
        <v>2038</v>
      </c>
      <c r="AC686" s="74">
        <f t="shared" si="213"/>
        <v>2039</v>
      </c>
      <c r="AD686" s="74">
        <f t="shared" si="213"/>
        <v>2040</v>
      </c>
      <c r="AE686" s="74">
        <f t="shared" si="213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1433</v>
      </c>
      <c r="E687" s="86" t="s">
        <v>1434</v>
      </c>
      <c r="F687" s="70" t="s">
        <v>1435</v>
      </c>
      <c r="G687" s="174">
        <f>'Manual inputs'!I101</f>
        <v>750</v>
      </c>
      <c r="H687" s="72"/>
      <c r="I687" s="70"/>
      <c r="J687" s="70"/>
      <c r="K687" s="72"/>
      <c r="L687" s="72">
        <f t="shared" ref="L687:L694" si="214">G687</f>
        <v>750</v>
      </c>
      <c r="M687" s="72">
        <f t="shared" ref="M687:M694" si="215">G687</f>
        <v>750</v>
      </c>
      <c r="N687" s="72">
        <f t="shared" ref="N687:N694" si="216">G687</f>
        <v>750</v>
      </c>
      <c r="O687" s="72">
        <f t="shared" ref="O687:O694" si="217">G687</f>
        <v>750</v>
      </c>
      <c r="P687" s="72">
        <f t="shared" ref="P687:P694" si="218">G687</f>
        <v>750</v>
      </c>
      <c r="Q687" s="72">
        <f t="shared" ref="Q687:Q694" si="219">G687</f>
        <v>750</v>
      </c>
      <c r="R687" s="72">
        <f t="shared" ref="R687:R694" si="220">G687</f>
        <v>750</v>
      </c>
      <c r="S687" s="72">
        <f t="shared" ref="S687:S694" si="221">G687</f>
        <v>750</v>
      </c>
      <c r="T687" s="72">
        <f t="shared" ref="T687:T694" si="222">G687</f>
        <v>750</v>
      </c>
      <c r="U687" s="72">
        <f t="shared" ref="U687:U694" si="223">G687</f>
        <v>750</v>
      </c>
      <c r="V687" s="72">
        <f t="shared" ref="V687:V694" si="224">G687</f>
        <v>750</v>
      </c>
      <c r="W687" s="72">
        <f t="shared" ref="W687:W694" si="225">G687</f>
        <v>750</v>
      </c>
      <c r="X687" s="72">
        <f t="shared" ref="X687:X694" si="226">G687</f>
        <v>750</v>
      </c>
      <c r="Y687" s="72">
        <f t="shared" ref="Y687:Y694" si="227">G687</f>
        <v>750</v>
      </c>
      <c r="Z687" s="72">
        <f t="shared" ref="Z687:Z694" si="228">G687</f>
        <v>750</v>
      </c>
      <c r="AA687" s="72">
        <f t="shared" ref="AA687:AA694" si="229">G687</f>
        <v>750</v>
      </c>
      <c r="AB687" s="72">
        <f t="shared" ref="AB687:AB694" si="230">G687</f>
        <v>750</v>
      </c>
      <c r="AC687" s="72">
        <f t="shared" ref="AC687:AC694" si="231">G687</f>
        <v>750</v>
      </c>
      <c r="AD687" s="72">
        <f t="shared" ref="AD687:AD694" si="232">G687</f>
        <v>750</v>
      </c>
      <c r="AE687" s="72">
        <f t="shared" ref="AE687:AE694" si="233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1436</v>
      </c>
      <c r="E688" s="86" t="s">
        <v>1437</v>
      </c>
      <c r="F688" s="70" t="s">
        <v>1438</v>
      </c>
      <c r="G688" s="174">
        <f>'Manual inputs'!I102</f>
        <v>680</v>
      </c>
      <c r="H688" s="70"/>
      <c r="I688" s="70"/>
      <c r="J688" s="70"/>
      <c r="K688" s="72"/>
      <c r="L688" s="72">
        <f t="shared" si="214"/>
        <v>680</v>
      </c>
      <c r="M688" s="72">
        <f t="shared" si="215"/>
        <v>680</v>
      </c>
      <c r="N688" s="72">
        <f t="shared" si="216"/>
        <v>680</v>
      </c>
      <c r="O688" s="72">
        <f t="shared" si="217"/>
        <v>680</v>
      </c>
      <c r="P688" s="72">
        <f t="shared" si="218"/>
        <v>680</v>
      </c>
      <c r="Q688" s="72">
        <f t="shared" si="219"/>
        <v>680</v>
      </c>
      <c r="R688" s="72">
        <f t="shared" si="220"/>
        <v>680</v>
      </c>
      <c r="S688" s="72">
        <f t="shared" si="221"/>
        <v>680</v>
      </c>
      <c r="T688" s="72">
        <f t="shared" si="222"/>
        <v>680</v>
      </c>
      <c r="U688" s="72">
        <f t="shared" si="223"/>
        <v>680</v>
      </c>
      <c r="V688" s="72">
        <f t="shared" si="224"/>
        <v>680</v>
      </c>
      <c r="W688" s="72">
        <f t="shared" si="225"/>
        <v>680</v>
      </c>
      <c r="X688" s="72">
        <f t="shared" si="226"/>
        <v>680</v>
      </c>
      <c r="Y688" s="72">
        <f t="shared" si="227"/>
        <v>680</v>
      </c>
      <c r="Z688" s="72">
        <f t="shared" si="228"/>
        <v>680</v>
      </c>
      <c r="AA688" s="72">
        <f t="shared" si="229"/>
        <v>680</v>
      </c>
      <c r="AB688" s="72">
        <f t="shared" si="230"/>
        <v>680</v>
      </c>
      <c r="AC688" s="72">
        <f t="shared" si="231"/>
        <v>680</v>
      </c>
      <c r="AD688" s="72">
        <f t="shared" si="232"/>
        <v>680</v>
      </c>
      <c r="AE688" s="72">
        <f t="shared" si="233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1439</v>
      </c>
      <c r="E689" s="86" t="s">
        <v>1440</v>
      </c>
      <c r="F689" s="70" t="s">
        <v>1441</v>
      </c>
      <c r="G689" s="174">
        <f>'Manual inputs'!I103</f>
        <v>620</v>
      </c>
      <c r="H689" s="70"/>
      <c r="I689" s="70"/>
      <c r="J689" s="70"/>
      <c r="K689" s="72"/>
      <c r="L689" s="72">
        <f t="shared" si="214"/>
        <v>620</v>
      </c>
      <c r="M689" s="72">
        <f t="shared" si="215"/>
        <v>620</v>
      </c>
      <c r="N689" s="72">
        <f t="shared" si="216"/>
        <v>620</v>
      </c>
      <c r="O689" s="72">
        <f t="shared" si="217"/>
        <v>620</v>
      </c>
      <c r="P689" s="72">
        <f t="shared" si="218"/>
        <v>620</v>
      </c>
      <c r="Q689" s="72">
        <f t="shared" si="219"/>
        <v>620</v>
      </c>
      <c r="R689" s="72">
        <f t="shared" si="220"/>
        <v>620</v>
      </c>
      <c r="S689" s="72">
        <f t="shared" si="221"/>
        <v>620</v>
      </c>
      <c r="T689" s="72">
        <f t="shared" si="222"/>
        <v>620</v>
      </c>
      <c r="U689" s="72">
        <f t="shared" si="223"/>
        <v>620</v>
      </c>
      <c r="V689" s="72">
        <f t="shared" si="224"/>
        <v>620</v>
      </c>
      <c r="W689" s="72">
        <f t="shared" si="225"/>
        <v>620</v>
      </c>
      <c r="X689" s="72">
        <f t="shared" si="226"/>
        <v>620</v>
      </c>
      <c r="Y689" s="72">
        <f t="shared" si="227"/>
        <v>620</v>
      </c>
      <c r="Z689" s="72">
        <f t="shared" si="228"/>
        <v>620</v>
      </c>
      <c r="AA689" s="72">
        <f t="shared" si="229"/>
        <v>620</v>
      </c>
      <c r="AB689" s="72">
        <f t="shared" si="230"/>
        <v>620</v>
      </c>
      <c r="AC689" s="72">
        <f t="shared" si="231"/>
        <v>620</v>
      </c>
      <c r="AD689" s="72">
        <f t="shared" si="232"/>
        <v>620</v>
      </c>
      <c r="AE689" s="72">
        <f t="shared" si="233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1442</v>
      </c>
      <c r="E690" s="86" t="s">
        <v>1443</v>
      </c>
      <c r="F690" s="70" t="s">
        <v>1444</v>
      </c>
      <c r="G690" s="174">
        <f>'Manual inputs'!I104</f>
        <v>110</v>
      </c>
      <c r="H690" s="70"/>
      <c r="I690" s="70"/>
      <c r="J690" s="70"/>
      <c r="K690" s="72"/>
      <c r="L690" s="72">
        <f t="shared" si="214"/>
        <v>110</v>
      </c>
      <c r="M690" s="72">
        <f t="shared" si="215"/>
        <v>110</v>
      </c>
      <c r="N690" s="72">
        <f t="shared" si="216"/>
        <v>110</v>
      </c>
      <c r="O690" s="72">
        <f t="shared" si="217"/>
        <v>110</v>
      </c>
      <c r="P690" s="72">
        <f t="shared" si="218"/>
        <v>110</v>
      </c>
      <c r="Q690" s="72">
        <f t="shared" si="219"/>
        <v>110</v>
      </c>
      <c r="R690" s="72">
        <f t="shared" si="220"/>
        <v>110</v>
      </c>
      <c r="S690" s="72">
        <f t="shared" si="221"/>
        <v>110</v>
      </c>
      <c r="T690" s="72">
        <f t="shared" si="222"/>
        <v>110</v>
      </c>
      <c r="U690" s="72">
        <f t="shared" si="223"/>
        <v>110</v>
      </c>
      <c r="V690" s="72">
        <f t="shared" si="224"/>
        <v>110</v>
      </c>
      <c r="W690" s="72">
        <f t="shared" si="225"/>
        <v>110</v>
      </c>
      <c r="X690" s="72">
        <f t="shared" si="226"/>
        <v>110</v>
      </c>
      <c r="Y690" s="72">
        <f t="shared" si="227"/>
        <v>110</v>
      </c>
      <c r="Z690" s="72">
        <f t="shared" si="228"/>
        <v>110</v>
      </c>
      <c r="AA690" s="72">
        <f t="shared" si="229"/>
        <v>110</v>
      </c>
      <c r="AB690" s="72">
        <f t="shared" si="230"/>
        <v>110</v>
      </c>
      <c r="AC690" s="72">
        <f t="shared" si="231"/>
        <v>110</v>
      </c>
      <c r="AD690" s="72">
        <f t="shared" si="232"/>
        <v>110</v>
      </c>
      <c r="AE690" s="72">
        <f t="shared" si="233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1445</v>
      </c>
      <c r="E691" s="86" t="s">
        <v>1446</v>
      </c>
      <c r="F691" s="70" t="s">
        <v>1447</v>
      </c>
      <c r="G691" s="174">
        <f>'Manual inputs'!I105</f>
        <v>450</v>
      </c>
      <c r="H691" s="70"/>
      <c r="I691" s="70"/>
      <c r="J691" s="70"/>
      <c r="K691" s="72"/>
      <c r="L691" s="72">
        <f t="shared" si="214"/>
        <v>450</v>
      </c>
      <c r="M691" s="72">
        <f t="shared" si="215"/>
        <v>450</v>
      </c>
      <c r="N691" s="72">
        <f t="shared" si="216"/>
        <v>450</v>
      </c>
      <c r="O691" s="72">
        <f t="shared" si="217"/>
        <v>450</v>
      </c>
      <c r="P691" s="72">
        <f t="shared" si="218"/>
        <v>450</v>
      </c>
      <c r="Q691" s="72">
        <f t="shared" si="219"/>
        <v>450</v>
      </c>
      <c r="R691" s="72">
        <f t="shared" si="220"/>
        <v>450</v>
      </c>
      <c r="S691" s="72">
        <f t="shared" si="221"/>
        <v>450</v>
      </c>
      <c r="T691" s="72">
        <f t="shared" si="222"/>
        <v>450</v>
      </c>
      <c r="U691" s="72">
        <f t="shared" si="223"/>
        <v>450</v>
      </c>
      <c r="V691" s="72">
        <f t="shared" si="224"/>
        <v>450</v>
      </c>
      <c r="W691" s="72">
        <f t="shared" si="225"/>
        <v>450</v>
      </c>
      <c r="X691" s="72">
        <f t="shared" si="226"/>
        <v>450</v>
      </c>
      <c r="Y691" s="72">
        <f t="shared" si="227"/>
        <v>450</v>
      </c>
      <c r="Z691" s="72">
        <f t="shared" si="228"/>
        <v>450</v>
      </c>
      <c r="AA691" s="72">
        <f t="shared" si="229"/>
        <v>450</v>
      </c>
      <c r="AB691" s="72">
        <f t="shared" si="230"/>
        <v>450</v>
      </c>
      <c r="AC691" s="72">
        <f t="shared" si="231"/>
        <v>450</v>
      </c>
      <c r="AD691" s="72">
        <f t="shared" si="232"/>
        <v>450</v>
      </c>
      <c r="AE691" s="72">
        <f t="shared" si="233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1448</v>
      </c>
      <c r="E692" s="86" t="s">
        <v>1449</v>
      </c>
      <c r="F692" s="70" t="s">
        <v>1450</v>
      </c>
      <c r="G692" s="174">
        <f>'Manual inputs'!I106</f>
        <v>380</v>
      </c>
      <c r="H692" s="70"/>
      <c r="I692" s="70"/>
      <c r="J692" s="70"/>
      <c r="K692" s="72"/>
      <c r="L692" s="72">
        <f t="shared" si="214"/>
        <v>380</v>
      </c>
      <c r="M692" s="72">
        <f t="shared" si="215"/>
        <v>380</v>
      </c>
      <c r="N692" s="72">
        <f t="shared" si="216"/>
        <v>380</v>
      </c>
      <c r="O692" s="72">
        <f t="shared" si="217"/>
        <v>380</v>
      </c>
      <c r="P692" s="72">
        <f t="shared" si="218"/>
        <v>380</v>
      </c>
      <c r="Q692" s="72">
        <f t="shared" si="219"/>
        <v>380</v>
      </c>
      <c r="R692" s="72">
        <f t="shared" si="220"/>
        <v>380</v>
      </c>
      <c r="S692" s="72">
        <f t="shared" si="221"/>
        <v>380</v>
      </c>
      <c r="T692" s="72">
        <f t="shared" si="222"/>
        <v>380</v>
      </c>
      <c r="U692" s="72">
        <f t="shared" si="223"/>
        <v>380</v>
      </c>
      <c r="V692" s="72">
        <f t="shared" si="224"/>
        <v>380</v>
      </c>
      <c r="W692" s="72">
        <f t="shared" si="225"/>
        <v>380</v>
      </c>
      <c r="X692" s="72">
        <f t="shared" si="226"/>
        <v>380</v>
      </c>
      <c r="Y692" s="72">
        <f t="shared" si="227"/>
        <v>380</v>
      </c>
      <c r="Z692" s="72">
        <f t="shared" si="228"/>
        <v>380</v>
      </c>
      <c r="AA692" s="72">
        <f t="shared" si="229"/>
        <v>380</v>
      </c>
      <c r="AB692" s="72">
        <f t="shared" si="230"/>
        <v>380</v>
      </c>
      <c r="AC692" s="72">
        <f t="shared" si="231"/>
        <v>380</v>
      </c>
      <c r="AD692" s="72">
        <f t="shared" si="232"/>
        <v>380</v>
      </c>
      <c r="AE692" s="72">
        <f t="shared" si="233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1451</v>
      </c>
      <c r="E693" s="86" t="s">
        <v>1452</v>
      </c>
      <c r="F693" s="70" t="s">
        <v>1453</v>
      </c>
      <c r="G693" s="174">
        <f>'Manual inputs'!I107</f>
        <v>320</v>
      </c>
      <c r="H693" s="70"/>
      <c r="I693" s="70"/>
      <c r="J693" s="70"/>
      <c r="K693" s="72"/>
      <c r="L693" s="72">
        <f t="shared" si="214"/>
        <v>320</v>
      </c>
      <c r="M693" s="72">
        <f t="shared" si="215"/>
        <v>320</v>
      </c>
      <c r="N693" s="72">
        <f t="shared" si="216"/>
        <v>320</v>
      </c>
      <c r="O693" s="72">
        <f t="shared" si="217"/>
        <v>320</v>
      </c>
      <c r="P693" s="72">
        <f t="shared" si="218"/>
        <v>320</v>
      </c>
      <c r="Q693" s="72">
        <f t="shared" si="219"/>
        <v>320</v>
      </c>
      <c r="R693" s="72">
        <f t="shared" si="220"/>
        <v>320</v>
      </c>
      <c r="S693" s="72">
        <f t="shared" si="221"/>
        <v>320</v>
      </c>
      <c r="T693" s="72">
        <f t="shared" si="222"/>
        <v>320</v>
      </c>
      <c r="U693" s="72">
        <f t="shared" si="223"/>
        <v>320</v>
      </c>
      <c r="V693" s="72">
        <f t="shared" si="224"/>
        <v>320</v>
      </c>
      <c r="W693" s="72">
        <f t="shared" si="225"/>
        <v>320</v>
      </c>
      <c r="X693" s="72">
        <f t="shared" si="226"/>
        <v>320</v>
      </c>
      <c r="Y693" s="72">
        <f t="shared" si="227"/>
        <v>320</v>
      </c>
      <c r="Z693" s="72">
        <f t="shared" si="228"/>
        <v>320</v>
      </c>
      <c r="AA693" s="72">
        <f t="shared" si="229"/>
        <v>320</v>
      </c>
      <c r="AB693" s="72">
        <f t="shared" si="230"/>
        <v>320</v>
      </c>
      <c r="AC693" s="72">
        <f t="shared" si="231"/>
        <v>320</v>
      </c>
      <c r="AD693" s="72">
        <f t="shared" si="232"/>
        <v>320</v>
      </c>
      <c r="AE693" s="72">
        <f t="shared" si="233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1454</v>
      </c>
      <c r="E694" s="86" t="s">
        <v>1455</v>
      </c>
      <c r="F694" s="70" t="s">
        <v>1456</v>
      </c>
      <c r="G694" s="174">
        <f>'Manual inputs'!I108</f>
        <v>2400</v>
      </c>
      <c r="H694" s="70"/>
      <c r="I694" s="70"/>
      <c r="J694" s="70"/>
      <c r="K694" s="72"/>
      <c r="L694" s="72">
        <f t="shared" si="214"/>
        <v>2400</v>
      </c>
      <c r="M694" s="72">
        <f t="shared" si="215"/>
        <v>2400</v>
      </c>
      <c r="N694" s="72">
        <f t="shared" si="216"/>
        <v>2400</v>
      </c>
      <c r="O694" s="72">
        <f t="shared" si="217"/>
        <v>2400</v>
      </c>
      <c r="P694" s="72">
        <f t="shared" si="218"/>
        <v>2400</v>
      </c>
      <c r="Q694" s="72">
        <f t="shared" si="219"/>
        <v>2400</v>
      </c>
      <c r="R694" s="72">
        <f t="shared" si="220"/>
        <v>2400</v>
      </c>
      <c r="S694" s="72">
        <f t="shared" si="221"/>
        <v>2400</v>
      </c>
      <c r="T694" s="72">
        <f t="shared" si="222"/>
        <v>2400</v>
      </c>
      <c r="U694" s="72">
        <f t="shared" si="223"/>
        <v>2400</v>
      </c>
      <c r="V694" s="72">
        <f t="shared" si="224"/>
        <v>2400</v>
      </c>
      <c r="W694" s="72">
        <f t="shared" si="225"/>
        <v>2400</v>
      </c>
      <c r="X694" s="72">
        <f t="shared" si="226"/>
        <v>2400</v>
      </c>
      <c r="Y694" s="72">
        <f t="shared" si="227"/>
        <v>2400</v>
      </c>
      <c r="Z694" s="72">
        <f t="shared" si="228"/>
        <v>2400</v>
      </c>
      <c r="AA694" s="72">
        <f t="shared" si="229"/>
        <v>2400</v>
      </c>
      <c r="AB694" s="72">
        <f t="shared" si="230"/>
        <v>2400</v>
      </c>
      <c r="AC694" s="72">
        <f t="shared" si="231"/>
        <v>2400</v>
      </c>
      <c r="AD694" s="72">
        <f t="shared" si="232"/>
        <v>2400</v>
      </c>
      <c r="AE694" s="72">
        <f t="shared" si="233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1918</v>
      </c>
      <c r="D695" s="72" t="s">
        <v>1915</v>
      </c>
      <c r="E695" s="72" t="s">
        <v>79</v>
      </c>
      <c r="F695" s="72"/>
      <c r="G695" s="70" t="s">
        <v>1475</v>
      </c>
      <c r="H695" s="86" t="str">
        <f>Settings!$B$3&amp;".mit.cbintchx."&amp;$G695&amp;"."&amp;$J$404</f>
        <v>egy.mit.cbintchx.cbam.tot.2</v>
      </c>
      <c r="I695" s="72"/>
      <c r="J695" s="72"/>
      <c r="K695" s="72"/>
      <c r="L695" s="98">
        <f t="shared" ref="L695:AE695" si="234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98">
        <f t="shared" si="234"/>
        <v>0</v>
      </c>
      <c r="N695" s="98">
        <f t="shared" si="234"/>
        <v>0</v>
      </c>
      <c r="O695" s="98">
        <f t="shared" si="234"/>
        <v>0</v>
      </c>
      <c r="P695" s="98">
        <f t="shared" si="234"/>
        <v>0</v>
      </c>
      <c r="Q695" s="98">
        <f t="shared" si="234"/>
        <v>0</v>
      </c>
      <c r="R695" s="98">
        <f t="shared" si="234"/>
        <v>0</v>
      </c>
      <c r="S695" s="98">
        <f t="shared" si="234"/>
        <v>0</v>
      </c>
      <c r="T695" s="98">
        <f t="shared" si="234"/>
        <v>0</v>
      </c>
      <c r="U695" s="98">
        <f t="shared" si="234"/>
        <v>0</v>
      </c>
      <c r="V695" s="98">
        <f t="shared" si="234"/>
        <v>0</v>
      </c>
      <c r="W695" s="98">
        <f t="shared" si="234"/>
        <v>0</v>
      </c>
      <c r="X695" s="98">
        <f t="shared" si="234"/>
        <v>0</v>
      </c>
      <c r="Y695" s="98">
        <f t="shared" si="234"/>
        <v>0</v>
      </c>
      <c r="Z695" s="98">
        <f t="shared" si="234"/>
        <v>0</v>
      </c>
      <c r="AA695" s="98">
        <f t="shared" si="234"/>
        <v>0</v>
      </c>
      <c r="AB695" s="98">
        <f t="shared" si="234"/>
        <v>0</v>
      </c>
      <c r="AC695" s="98">
        <f t="shared" si="234"/>
        <v>0</v>
      </c>
      <c r="AD695" s="98">
        <f t="shared" si="234"/>
        <v>0</v>
      </c>
      <c r="AE695" s="98">
        <f t="shared" si="234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1916</v>
      </c>
      <c r="E696" s="72" t="s">
        <v>79</v>
      </c>
      <c r="F696" s="72"/>
      <c r="G696" s="70" t="s">
        <v>1475</v>
      </c>
      <c r="H696" s="86" t="str">
        <f>Settings!$B$3&amp;".mit.cbcovx."&amp;$G696&amp;"."&amp;$J$404</f>
        <v>egy.mit.cbcovx.cbam.tot.2</v>
      </c>
      <c r="I696" s="72"/>
      <c r="J696" s="72"/>
      <c r="K696" s="72"/>
      <c r="L696" s="98">
        <f t="shared" ref="L696:AE696" si="235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0.52437567936948148</v>
      </c>
      <c r="M696" s="98">
        <f t="shared" si="235"/>
        <v>0.52437567936948137</v>
      </c>
      <c r="N696" s="98">
        <f t="shared" si="235"/>
        <v>0.52437567936948148</v>
      </c>
      <c r="O696" s="98">
        <f t="shared" si="235"/>
        <v>0.52437567936948137</v>
      </c>
      <c r="P696" s="98">
        <f t="shared" si="235"/>
        <v>0.52437567936948148</v>
      </c>
      <c r="Q696" s="98">
        <f t="shared" si="235"/>
        <v>0.52437567936948148</v>
      </c>
      <c r="R696" s="98">
        <f t="shared" si="235"/>
        <v>0.52437567936948148</v>
      </c>
      <c r="S696" s="98">
        <f t="shared" si="235"/>
        <v>0.52437567936948148</v>
      </c>
      <c r="T696" s="98">
        <f t="shared" si="235"/>
        <v>0.52437567936948148</v>
      </c>
      <c r="U696" s="98">
        <f t="shared" si="235"/>
        <v>0.52437567936948148</v>
      </c>
      <c r="V696" s="98">
        <f t="shared" si="235"/>
        <v>0.52437567936948148</v>
      </c>
      <c r="W696" s="98">
        <f t="shared" si="235"/>
        <v>0.52437567936948148</v>
      </c>
      <c r="X696" s="98">
        <f t="shared" si="235"/>
        <v>0.52437567936948148</v>
      </c>
      <c r="Y696" s="98">
        <f t="shared" si="235"/>
        <v>0.52437567936948148</v>
      </c>
      <c r="Z696" s="98">
        <f t="shared" si="235"/>
        <v>0.52437567936948137</v>
      </c>
      <c r="AA696" s="98">
        <f t="shared" si="235"/>
        <v>0.52437567936948137</v>
      </c>
      <c r="AB696" s="98">
        <f t="shared" si="235"/>
        <v>0.52437567936948137</v>
      </c>
      <c r="AC696" s="98">
        <f t="shared" si="235"/>
        <v>0.52437567936948148</v>
      </c>
      <c r="AD696" s="98">
        <f t="shared" si="235"/>
        <v>0.52437567936948148</v>
      </c>
      <c r="AE696" s="98">
        <f t="shared" si="235"/>
        <v>0.52437567936948148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1457</v>
      </c>
      <c r="D697" s="73"/>
      <c r="E697" s="72" t="s">
        <v>1879</v>
      </c>
      <c r="F697" s="70" t="s">
        <v>1458</v>
      </c>
      <c r="G697" s="70" t="s">
        <v>1459</v>
      </c>
      <c r="H697" s="71"/>
      <c r="I697" s="71"/>
      <c r="J697" s="71"/>
      <c r="K697" s="72"/>
      <c r="L697" s="74">
        <f t="shared" ref="L697:AE697" si="236">L645</f>
        <v>2022</v>
      </c>
      <c r="M697" s="74">
        <f t="shared" si="236"/>
        <v>2023</v>
      </c>
      <c r="N697" s="74">
        <f t="shared" si="236"/>
        <v>2024</v>
      </c>
      <c r="O697" s="74">
        <f t="shared" si="236"/>
        <v>2025</v>
      </c>
      <c r="P697" s="74">
        <f t="shared" si="236"/>
        <v>2026</v>
      </c>
      <c r="Q697" s="74">
        <f t="shared" si="236"/>
        <v>2027</v>
      </c>
      <c r="R697" s="74">
        <f t="shared" si="236"/>
        <v>2028</v>
      </c>
      <c r="S697" s="74">
        <f t="shared" si="236"/>
        <v>2029</v>
      </c>
      <c r="T697" s="74">
        <f t="shared" si="236"/>
        <v>2030</v>
      </c>
      <c r="U697" s="74">
        <f t="shared" si="236"/>
        <v>2031</v>
      </c>
      <c r="V697" s="74">
        <f t="shared" si="236"/>
        <v>2032</v>
      </c>
      <c r="W697" s="74">
        <f t="shared" si="236"/>
        <v>2033</v>
      </c>
      <c r="X697" s="74">
        <f t="shared" si="236"/>
        <v>2034</v>
      </c>
      <c r="Y697" s="74">
        <f t="shared" si="236"/>
        <v>2035</v>
      </c>
      <c r="Z697" s="74">
        <f t="shared" si="236"/>
        <v>2036</v>
      </c>
      <c r="AA697" s="74">
        <f t="shared" si="236"/>
        <v>2037</v>
      </c>
      <c r="AB697" s="74">
        <f t="shared" si="236"/>
        <v>2038</v>
      </c>
      <c r="AC697" s="74">
        <f t="shared" si="236"/>
        <v>2039</v>
      </c>
      <c r="AD697" s="74">
        <f t="shared" si="236"/>
        <v>2040</v>
      </c>
      <c r="AE697" s="74">
        <f t="shared" si="236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1433</v>
      </c>
      <c r="E698" s="72">
        <f t="shared" ref="E698:E705" si="237">$H663*$H$672+$I663*$I$672</f>
        <v>0.57099076999999998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7.1373846250000001</v>
      </c>
      <c r="R698" s="70">
        <f>(F698*R646+G698*R647)*E698</f>
        <v>14.27476925</v>
      </c>
      <c r="S698" s="70">
        <f>(F698*S646+G698*S647)*E698</f>
        <v>21.412153874999998</v>
      </c>
      <c r="T698" s="70">
        <f>(F698*T646+G698*T647)*E698</f>
        <v>28.549538500000001</v>
      </c>
      <c r="U698" s="70">
        <f>(F698*U646+G698*U647)*E698</f>
        <v>35.686923125</v>
      </c>
      <c r="V698" s="70">
        <f>(F698*V646+G698*V647)*E698</f>
        <v>42.824307749999996</v>
      </c>
      <c r="W698" s="70">
        <f>(F698*W646+G698*W647)*E698</f>
        <v>49.961692374999998</v>
      </c>
      <c r="X698" s="70">
        <f>(F698*X646+G698*X647)*E698</f>
        <v>57.099077000000001</v>
      </c>
      <c r="Y698" s="70">
        <f>(F698*Y646+G698*Y647)*E698</f>
        <v>64.236461625000004</v>
      </c>
      <c r="Z698" s="70">
        <f>(F698*Z646+G698*Z647)*E698</f>
        <v>71.37384625</v>
      </c>
      <c r="AA698" s="70">
        <f>(F698*AA646+G698*AA647)*E698</f>
        <v>78.511230874999995</v>
      </c>
      <c r="AB698" s="70">
        <f>(F698*AB646+G698*AB647)*E698</f>
        <v>85.648615499999991</v>
      </c>
      <c r="AC698" s="70">
        <f>(F698*AC646+G698*AC647)*E698</f>
        <v>92.786000125000001</v>
      </c>
      <c r="AD698" s="70">
        <f>(F698*AD646+G698*AD647)*E698</f>
        <v>99.923384749999997</v>
      </c>
      <c r="AE698" s="70">
        <f>(F698*AE646+G698*AE647)*E698</f>
        <v>107.06076937499999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1436</v>
      </c>
      <c r="E699" s="72">
        <f t="shared" si="237"/>
        <v>4.4880000000000003E-2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0.56100000000000005</v>
      </c>
      <c r="R699" s="70">
        <f>(F699*R646+G699*R647)*E699</f>
        <v>1.1220000000000001</v>
      </c>
      <c r="S699" s="70">
        <f>(F699*S646+G699*S647)*E699</f>
        <v>1.6830000000000001</v>
      </c>
      <c r="T699" s="70">
        <f>(F699*T646+G699*T647)*E699</f>
        <v>2.2440000000000002</v>
      </c>
      <c r="U699" s="70">
        <f>(F699*U646+G699*U647)*E699</f>
        <v>2.8050000000000002</v>
      </c>
      <c r="V699" s="70">
        <f>(F699*V646+G699*V647)*E699</f>
        <v>3.3660000000000001</v>
      </c>
      <c r="W699" s="70">
        <f>(F699*W646+G699*W647)*E699</f>
        <v>3.9270000000000005</v>
      </c>
      <c r="X699" s="70">
        <f>(F699*X646+G699*X647)*E699</f>
        <v>4.4880000000000004</v>
      </c>
      <c r="Y699" s="70">
        <f>(F699*Y646+G699*Y647)*E699</f>
        <v>5.0490000000000004</v>
      </c>
      <c r="Z699" s="70">
        <f>(F699*Z646+G699*Z647)*E699</f>
        <v>5.61</v>
      </c>
      <c r="AA699" s="70">
        <f>(F699*AA646+G699*AA647)*E699</f>
        <v>6.1710000000000003</v>
      </c>
      <c r="AB699" s="70">
        <f>(F699*AB646+G699*AB647)*E699</f>
        <v>6.7320000000000002</v>
      </c>
      <c r="AC699" s="70">
        <f>(F699*AC646+G699*AC647)*E699</f>
        <v>7.2930000000000001</v>
      </c>
      <c r="AD699" s="70">
        <f>(F699*AD646+G699*AD647)*E699</f>
        <v>7.854000000000001</v>
      </c>
      <c r="AE699" s="70">
        <f>(F699*AE646+G699*AE647)*E699</f>
        <v>8.4150000000000009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1439</v>
      </c>
      <c r="E700" s="72">
        <f t="shared" si="237"/>
        <v>1.4249802699999998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17.812253374999997</v>
      </c>
      <c r="R700" s="70">
        <f>(F700*R646+G700*R647)*E700</f>
        <v>35.624506749999995</v>
      </c>
      <c r="S700" s="70">
        <f>(F700*S646+G700*S647)*E700</f>
        <v>53.436760124999992</v>
      </c>
      <c r="T700" s="70">
        <f>(F700*T646+G700*T647)*E700</f>
        <v>71.24901349999999</v>
      </c>
      <c r="U700" s="70">
        <f>(F700*U646+G700*U647)*E700</f>
        <v>89.061266874999987</v>
      </c>
      <c r="V700" s="70">
        <f>(F700*V646+G700*V647)*E700</f>
        <v>106.87352024999998</v>
      </c>
      <c r="W700" s="70">
        <f>(F700*W646+G700*W647)*E700</f>
        <v>124.68577362499998</v>
      </c>
      <c r="X700" s="70">
        <f>(F700*X646+G700*X647)*E700</f>
        <v>142.49802699999998</v>
      </c>
      <c r="Y700" s="70">
        <f>(F700*Y646+G700*Y647)*E700</f>
        <v>160.31028037499999</v>
      </c>
      <c r="Z700" s="70">
        <f>(F700*Z646+G700*Z647)*E700</f>
        <v>178.12253374999997</v>
      </c>
      <c r="AA700" s="70">
        <f>(F700*AA646+G700*AA647)*E700</f>
        <v>195.93478712499999</v>
      </c>
      <c r="AB700" s="70">
        <f>(F700*AB646+G700*AB647)*E700</f>
        <v>213.74704049999997</v>
      </c>
      <c r="AC700" s="70">
        <f>(F700*AC646+G700*AC647)*E700</f>
        <v>231.55929387499998</v>
      </c>
      <c r="AD700" s="70">
        <f>(F700*AD646+G700*AD647)*E700</f>
        <v>249.37154724999996</v>
      </c>
      <c r="AE700" s="70">
        <f>(F700*AE646+G700*AE647)*E700</f>
        <v>267.18380062499995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1442</v>
      </c>
      <c r="E701" s="72">
        <f t="shared" si="237"/>
        <v>0.31356849999999997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3.9196062499999997</v>
      </c>
      <c r="R701" s="70">
        <f>(F701*R646+G701*R647)*E701</f>
        <v>7.8392124999999995</v>
      </c>
      <c r="S701" s="70">
        <f>(F701*S646+G701*S647)*E701</f>
        <v>11.75881875</v>
      </c>
      <c r="T701" s="70">
        <f>(F701*T646+G701*T647)*E701</f>
        <v>15.678424999999999</v>
      </c>
      <c r="U701" s="70">
        <f>(F701*U646+G701*U647)*E701</f>
        <v>19.598031249999998</v>
      </c>
      <c r="V701" s="70">
        <f>(F701*V646+G701*V647)*E701</f>
        <v>23.517637499999999</v>
      </c>
      <c r="W701" s="70">
        <f>(F701*W646+G701*W647)*E701</f>
        <v>27.437243749999997</v>
      </c>
      <c r="X701" s="70">
        <f>(F701*X646+G701*X647)*E701</f>
        <v>31.356849999999998</v>
      </c>
      <c r="Y701" s="70">
        <f>(F701*Y646+G701*Y647)*E701</f>
        <v>35.276456249999995</v>
      </c>
      <c r="Z701" s="70">
        <f>(F701*Z646+G701*Z647)*E701</f>
        <v>39.196062499999996</v>
      </c>
      <c r="AA701" s="70">
        <f>(F701*AA646+G701*AA647)*E701</f>
        <v>43.115668749999998</v>
      </c>
      <c r="AB701" s="70">
        <f>(F701*AB646+G701*AB647)*E701</f>
        <v>47.035274999999999</v>
      </c>
      <c r="AC701" s="70">
        <f>(F701*AC646+G701*AC647)*E701</f>
        <v>50.954881249999993</v>
      </c>
      <c r="AD701" s="70">
        <f>(F701*AD646+G701*AD647)*E701</f>
        <v>54.874487499999994</v>
      </c>
      <c r="AE701" s="70">
        <f>(F701*AE646+G701*AE647)*E701</f>
        <v>58.794093749999995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1445</v>
      </c>
      <c r="E702" s="72">
        <f t="shared" si="237"/>
        <v>1.97472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24.684000000000001</v>
      </c>
      <c r="R702" s="70">
        <f>(F702*R646+G702*R647)*E702</f>
        <v>49.368000000000002</v>
      </c>
      <c r="S702" s="70">
        <f>(F702*S646+G702*S647)*E702</f>
        <v>74.052000000000007</v>
      </c>
      <c r="T702" s="70">
        <f>(F702*T646+G702*T647)*E702</f>
        <v>98.736000000000004</v>
      </c>
      <c r="U702" s="70">
        <f>(F702*U646+G702*U647)*E702</f>
        <v>123.42</v>
      </c>
      <c r="V702" s="70">
        <f>(F702*V646+G702*V647)*E702</f>
        <v>148.10400000000001</v>
      </c>
      <c r="W702" s="70">
        <f>(F702*W646+G702*W647)*E702</f>
        <v>172.78800000000001</v>
      </c>
      <c r="X702" s="70">
        <f>(F702*X646+G702*X647)*E702</f>
        <v>197.47200000000001</v>
      </c>
      <c r="Y702" s="70">
        <f>(F702*Y646+G702*Y647)*E702</f>
        <v>222.15600000000001</v>
      </c>
      <c r="Z702" s="70">
        <f>(F702*Z646+G702*Z647)*E702</f>
        <v>246.84</v>
      </c>
      <c r="AA702" s="70">
        <f>(F702*AA646+G702*AA647)*E702</f>
        <v>271.524</v>
      </c>
      <c r="AB702" s="70">
        <f>(F702*AB646+G702*AB647)*E702</f>
        <v>296.20800000000003</v>
      </c>
      <c r="AC702" s="70">
        <f>(F702*AC646+G702*AC647)*E702</f>
        <v>320.892</v>
      </c>
      <c r="AD702" s="70">
        <f>(F702*AD646+G702*AD647)*E702</f>
        <v>345.57600000000002</v>
      </c>
      <c r="AE702" s="70">
        <f>(F702*AE646+G702*AE647)*E702</f>
        <v>370.26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1448</v>
      </c>
      <c r="E703" s="72">
        <f t="shared" si="237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1451</v>
      </c>
      <c r="E704" s="72">
        <f t="shared" si="237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1454</v>
      </c>
      <c r="E705" s="72">
        <f t="shared" si="237"/>
        <v>0.12342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1.5427500000000001</v>
      </c>
      <c r="R705" s="70">
        <f>(F705*R646+G705*R647)*E705</f>
        <v>3.0855000000000001</v>
      </c>
      <c r="S705" s="70">
        <f>(F705*S646+G705*S647)*E705</f>
        <v>4.6282500000000004</v>
      </c>
      <c r="T705" s="70">
        <f>(F705*T646+G705*T647)*E705</f>
        <v>6.1710000000000003</v>
      </c>
      <c r="U705" s="70">
        <f>(F705*U646+G705*U647)*E705</f>
        <v>7.7137500000000001</v>
      </c>
      <c r="V705" s="70">
        <f>(F705*V646+G705*V647)*E705</f>
        <v>9.2565000000000008</v>
      </c>
      <c r="W705" s="70">
        <f>(F705*W646+G705*W647)*E705</f>
        <v>10.799250000000001</v>
      </c>
      <c r="X705" s="70">
        <f>(F705*X646+G705*X647)*E705</f>
        <v>12.342000000000001</v>
      </c>
      <c r="Y705" s="70">
        <f>(F705*Y646+G705*Y647)*E705</f>
        <v>13.88475</v>
      </c>
      <c r="Z705" s="70">
        <f>(F705*Z646+G705*Z647)*E705</f>
        <v>15.4275</v>
      </c>
      <c r="AA705" s="70">
        <f>(F705*AA646+G705*AA647)*E705</f>
        <v>16.97025</v>
      </c>
      <c r="AB705" s="70">
        <f>(F705*AB646+G705*AB647)*E705</f>
        <v>18.513000000000002</v>
      </c>
      <c r="AC705" s="70">
        <f>(F705*AC646+G705*AC647)*E705</f>
        <v>20.05575</v>
      </c>
      <c r="AD705" s="70">
        <f>(F705*AD646+G705*AD647)*E705</f>
        <v>21.598500000000001</v>
      </c>
      <c r="AE705" s="70">
        <f>(F705*AE646+G705*AE647)*E705</f>
        <v>23.141249999999999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1982</v>
      </c>
      <c r="E706" s="72" t="s">
        <v>79</v>
      </c>
      <c r="F706" s="72"/>
      <c r="G706" s="70" t="s">
        <v>1475</v>
      </c>
      <c r="H706" s="86" t="str">
        <f>Settings!$B$3&amp;".mit.cbqch."&amp;$G706&amp;"."&amp;$J$404</f>
        <v>egy.mit.cbqch.cbam.tot.2</v>
      </c>
      <c r="I706" s="72"/>
      <c r="J706" s="72"/>
      <c r="K706" s="72"/>
      <c r="L706" s="98">
        <f t="shared" ref="L706:AE706" si="238">IF(SUMPRODUCT((L$729:L$736+L$740:L$747)*(1+L$719:L$726)^(-$J$675:$J$682))=0,0,L$717/SUMPRODUCT((L$729:L$736+L$740:L$747)*(1+L$719:L$726)^(-$J$675:$J$682)))</f>
        <v>0</v>
      </c>
      <c r="M706" s="98">
        <f t="shared" si="238"/>
        <v>0</v>
      </c>
      <c r="N706" s="98">
        <f t="shared" si="238"/>
        <v>0</v>
      </c>
      <c r="O706" s="98">
        <f t="shared" si="238"/>
        <v>0</v>
      </c>
      <c r="P706" s="98">
        <f t="shared" si="238"/>
        <v>0</v>
      </c>
      <c r="Q706" s="98">
        <f t="shared" si="238"/>
        <v>0</v>
      </c>
      <c r="R706" s="98">
        <f t="shared" si="238"/>
        <v>0</v>
      </c>
      <c r="S706" s="98">
        <f t="shared" si="238"/>
        <v>0</v>
      </c>
      <c r="T706" s="98">
        <f t="shared" si="238"/>
        <v>0</v>
      </c>
      <c r="U706" s="98">
        <f t="shared" si="238"/>
        <v>0</v>
      </c>
      <c r="V706" s="98">
        <f t="shared" si="238"/>
        <v>0</v>
      </c>
      <c r="W706" s="98">
        <f t="shared" si="238"/>
        <v>0</v>
      </c>
      <c r="X706" s="98">
        <f t="shared" si="238"/>
        <v>0</v>
      </c>
      <c r="Y706" s="98">
        <f t="shared" si="238"/>
        <v>0</v>
      </c>
      <c r="Z706" s="98">
        <f t="shared" si="238"/>
        <v>0</v>
      </c>
      <c r="AA706" s="98">
        <f t="shared" si="238"/>
        <v>0</v>
      </c>
      <c r="AB706" s="98">
        <f t="shared" si="238"/>
        <v>0</v>
      </c>
      <c r="AC706" s="98">
        <f t="shared" si="238"/>
        <v>0</v>
      </c>
      <c r="AD706" s="98">
        <f t="shared" si="238"/>
        <v>0</v>
      </c>
      <c r="AE706" s="98">
        <f t="shared" si="238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1900</v>
      </c>
      <c r="E707" s="71" t="s">
        <v>1398</v>
      </c>
      <c r="F707" s="71" t="s">
        <v>26</v>
      </c>
      <c r="G707" s="85" t="str">
        <f>Settings!$B$3&amp;".mit.pptraj."&amp;$J$404</f>
        <v>egy.mit.pptraj.2</v>
      </c>
      <c r="H707" s="71"/>
      <c r="I707" s="71" t="s">
        <v>1901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1460</v>
      </c>
      <c r="D708" s="73"/>
      <c r="E708" s="72" t="s">
        <v>1880</v>
      </c>
      <c r="F708" s="70" t="s">
        <v>1461</v>
      </c>
      <c r="G708" s="70" t="s">
        <v>1462</v>
      </c>
      <c r="H708" s="71"/>
      <c r="I708" s="71"/>
      <c r="J708" s="71"/>
      <c r="K708" s="72"/>
      <c r="L708" s="74">
        <f t="shared" ref="L708:AE708" si="239">L697</f>
        <v>2022</v>
      </c>
      <c r="M708" s="74">
        <f t="shared" si="239"/>
        <v>2023</v>
      </c>
      <c r="N708" s="74">
        <f t="shared" si="239"/>
        <v>2024</v>
      </c>
      <c r="O708" s="74">
        <f t="shared" si="239"/>
        <v>2025</v>
      </c>
      <c r="P708" s="74">
        <f t="shared" si="239"/>
        <v>2026</v>
      </c>
      <c r="Q708" s="74">
        <f t="shared" si="239"/>
        <v>2027</v>
      </c>
      <c r="R708" s="74">
        <f t="shared" si="239"/>
        <v>2028</v>
      </c>
      <c r="S708" s="74">
        <f t="shared" si="239"/>
        <v>2029</v>
      </c>
      <c r="T708" s="74">
        <f t="shared" si="239"/>
        <v>2030</v>
      </c>
      <c r="U708" s="74">
        <f t="shared" si="239"/>
        <v>2031</v>
      </c>
      <c r="V708" s="74">
        <f t="shared" si="239"/>
        <v>2032</v>
      </c>
      <c r="W708" s="74">
        <f t="shared" si="239"/>
        <v>2033</v>
      </c>
      <c r="X708" s="74">
        <f t="shared" si="239"/>
        <v>2034</v>
      </c>
      <c r="Y708" s="74">
        <f t="shared" si="239"/>
        <v>2035</v>
      </c>
      <c r="Z708" s="74">
        <f t="shared" si="239"/>
        <v>2036</v>
      </c>
      <c r="AA708" s="74">
        <f t="shared" si="239"/>
        <v>2037</v>
      </c>
      <c r="AB708" s="74">
        <f t="shared" si="239"/>
        <v>2038</v>
      </c>
      <c r="AC708" s="74">
        <f t="shared" si="239"/>
        <v>2039</v>
      </c>
      <c r="AD708" s="74">
        <f t="shared" si="239"/>
        <v>2040</v>
      </c>
      <c r="AE708" s="74">
        <f t="shared" si="239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1433</v>
      </c>
      <c r="E709" s="72">
        <f t="shared" ref="E709:E716" si="240">MAX($J663,0)*$J$672+MAX($K663,0)*$K$672</f>
        <v>3.7901020000000001E-2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41">($F709*L$707+$G709*L$647)*$E709</f>
        <v>0</v>
      </c>
      <c r="M709" s="81">
        <f t="shared" si="241"/>
        <v>0</v>
      </c>
      <c r="N709" s="81">
        <f t="shared" si="241"/>
        <v>0</v>
      </c>
      <c r="O709" s="81">
        <f t="shared" si="241"/>
        <v>0</v>
      </c>
      <c r="P709" s="81">
        <f t="shared" si="241"/>
        <v>0</v>
      </c>
      <c r="Q709" s="81">
        <f t="shared" si="241"/>
        <v>0</v>
      </c>
      <c r="R709" s="81">
        <f t="shared" si="241"/>
        <v>0</v>
      </c>
      <c r="S709" s="81">
        <f t="shared" si="241"/>
        <v>0</v>
      </c>
      <c r="T709" s="81">
        <f t="shared" si="241"/>
        <v>0</v>
      </c>
      <c r="U709" s="81">
        <f t="shared" si="241"/>
        <v>0</v>
      </c>
      <c r="V709" s="81">
        <f t="shared" ref="V709:AE716" si="242">($F709*V$707+$G709*V$647)*$E709</f>
        <v>0</v>
      </c>
      <c r="W709" s="81">
        <f t="shared" si="242"/>
        <v>0</v>
      </c>
      <c r="X709" s="81">
        <f t="shared" si="242"/>
        <v>0</v>
      </c>
      <c r="Y709" s="81">
        <f t="shared" si="242"/>
        <v>0</v>
      </c>
      <c r="Z709" s="81">
        <f t="shared" si="242"/>
        <v>0</v>
      </c>
      <c r="AA709" s="81">
        <f t="shared" si="242"/>
        <v>0</v>
      </c>
      <c r="AB709" s="81">
        <f t="shared" si="242"/>
        <v>0</v>
      </c>
      <c r="AC709" s="81">
        <f t="shared" si="242"/>
        <v>0</v>
      </c>
      <c r="AD709" s="81">
        <f t="shared" si="242"/>
        <v>0</v>
      </c>
      <c r="AE709" s="81">
        <f t="shared" si="242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1436</v>
      </c>
      <c r="E710" s="72">
        <f t="shared" si="240"/>
        <v>4.3981149999999997E-2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41"/>
        <v>0</v>
      </c>
      <c r="M710" s="81">
        <f t="shared" si="241"/>
        <v>0</v>
      </c>
      <c r="N710" s="81">
        <f t="shared" si="241"/>
        <v>0</v>
      </c>
      <c r="O710" s="81">
        <f t="shared" si="241"/>
        <v>0</v>
      </c>
      <c r="P710" s="81">
        <f t="shared" si="241"/>
        <v>0</v>
      </c>
      <c r="Q710" s="81">
        <f t="shared" si="241"/>
        <v>0</v>
      </c>
      <c r="R710" s="81">
        <f t="shared" si="241"/>
        <v>0</v>
      </c>
      <c r="S710" s="81">
        <f t="shared" si="241"/>
        <v>0</v>
      </c>
      <c r="T710" s="81">
        <f t="shared" si="241"/>
        <v>0</v>
      </c>
      <c r="U710" s="81">
        <f t="shared" si="241"/>
        <v>0</v>
      </c>
      <c r="V710" s="81">
        <f t="shared" si="242"/>
        <v>0</v>
      </c>
      <c r="W710" s="81">
        <f t="shared" si="242"/>
        <v>0</v>
      </c>
      <c r="X710" s="81">
        <f t="shared" si="242"/>
        <v>0</v>
      </c>
      <c r="Y710" s="81">
        <f t="shared" si="242"/>
        <v>0</v>
      </c>
      <c r="Z710" s="81">
        <f t="shared" si="242"/>
        <v>0</v>
      </c>
      <c r="AA710" s="81">
        <f t="shared" si="242"/>
        <v>0</v>
      </c>
      <c r="AB710" s="81">
        <f t="shared" si="242"/>
        <v>0</v>
      </c>
      <c r="AC710" s="81">
        <f t="shared" si="242"/>
        <v>0</v>
      </c>
      <c r="AD710" s="81">
        <f t="shared" si="242"/>
        <v>0</v>
      </c>
      <c r="AE710" s="81">
        <f t="shared" si="242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1439</v>
      </c>
      <c r="E711" s="72">
        <f t="shared" si="240"/>
        <v>5.276542E-2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41"/>
        <v>0</v>
      </c>
      <c r="M711" s="81">
        <f t="shared" si="241"/>
        <v>0</v>
      </c>
      <c r="N711" s="81">
        <f t="shared" si="241"/>
        <v>0</v>
      </c>
      <c r="O711" s="81">
        <f t="shared" si="241"/>
        <v>0</v>
      </c>
      <c r="P711" s="81">
        <f t="shared" si="241"/>
        <v>0</v>
      </c>
      <c r="Q711" s="81">
        <f t="shared" si="241"/>
        <v>0</v>
      </c>
      <c r="R711" s="81">
        <f t="shared" si="241"/>
        <v>0</v>
      </c>
      <c r="S711" s="81">
        <f t="shared" si="241"/>
        <v>0</v>
      </c>
      <c r="T711" s="81">
        <f t="shared" si="241"/>
        <v>0</v>
      </c>
      <c r="U711" s="81">
        <f t="shared" si="241"/>
        <v>0</v>
      </c>
      <c r="V711" s="81">
        <f t="shared" si="242"/>
        <v>0</v>
      </c>
      <c r="W711" s="81">
        <f t="shared" si="242"/>
        <v>0</v>
      </c>
      <c r="X711" s="81">
        <f t="shared" si="242"/>
        <v>0</v>
      </c>
      <c r="Y711" s="81">
        <f t="shared" si="242"/>
        <v>0</v>
      </c>
      <c r="Z711" s="81">
        <f t="shared" si="242"/>
        <v>0</v>
      </c>
      <c r="AA711" s="81">
        <f t="shared" si="242"/>
        <v>0</v>
      </c>
      <c r="AB711" s="81">
        <f t="shared" si="242"/>
        <v>0</v>
      </c>
      <c r="AC711" s="81">
        <f t="shared" si="242"/>
        <v>0</v>
      </c>
      <c r="AD711" s="81">
        <f t="shared" si="242"/>
        <v>0</v>
      </c>
      <c r="AE711" s="81">
        <f t="shared" si="242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1442</v>
      </c>
      <c r="E712" s="72">
        <f t="shared" si="240"/>
        <v>0.53702616000000003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41"/>
        <v>0</v>
      </c>
      <c r="M712" s="81">
        <f t="shared" si="241"/>
        <v>0</v>
      </c>
      <c r="N712" s="81">
        <f t="shared" si="241"/>
        <v>0</v>
      </c>
      <c r="O712" s="81">
        <f t="shared" si="241"/>
        <v>0</v>
      </c>
      <c r="P712" s="81">
        <f t="shared" si="241"/>
        <v>0</v>
      </c>
      <c r="Q712" s="81">
        <f t="shared" si="241"/>
        <v>0</v>
      </c>
      <c r="R712" s="81">
        <f t="shared" si="241"/>
        <v>0</v>
      </c>
      <c r="S712" s="81">
        <f t="shared" si="241"/>
        <v>0</v>
      </c>
      <c r="T712" s="81">
        <f t="shared" si="241"/>
        <v>0</v>
      </c>
      <c r="U712" s="81">
        <f t="shared" si="241"/>
        <v>0</v>
      </c>
      <c r="V712" s="81">
        <f t="shared" si="242"/>
        <v>0</v>
      </c>
      <c r="W712" s="81">
        <f t="shared" si="242"/>
        <v>0</v>
      </c>
      <c r="X712" s="81">
        <f t="shared" si="242"/>
        <v>0</v>
      </c>
      <c r="Y712" s="81">
        <f t="shared" si="242"/>
        <v>0</v>
      </c>
      <c r="Z712" s="81">
        <f t="shared" si="242"/>
        <v>0</v>
      </c>
      <c r="AA712" s="81">
        <f t="shared" si="242"/>
        <v>0</v>
      </c>
      <c r="AB712" s="81">
        <f t="shared" si="242"/>
        <v>0</v>
      </c>
      <c r="AC712" s="81">
        <f t="shared" si="242"/>
        <v>0</v>
      </c>
      <c r="AD712" s="81">
        <f t="shared" si="242"/>
        <v>0</v>
      </c>
      <c r="AE712" s="81">
        <f t="shared" si="242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1445</v>
      </c>
      <c r="E713" s="72">
        <f t="shared" si="240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41"/>
        <v>0</v>
      </c>
      <c r="M713" s="81">
        <f t="shared" si="241"/>
        <v>0</v>
      </c>
      <c r="N713" s="81">
        <f t="shared" si="241"/>
        <v>0</v>
      </c>
      <c r="O713" s="81">
        <f t="shared" si="241"/>
        <v>0</v>
      </c>
      <c r="P713" s="81">
        <f t="shared" si="241"/>
        <v>0</v>
      </c>
      <c r="Q713" s="81">
        <f t="shared" si="241"/>
        <v>0</v>
      </c>
      <c r="R713" s="81">
        <f t="shared" si="241"/>
        <v>0</v>
      </c>
      <c r="S713" s="81">
        <f t="shared" si="241"/>
        <v>0</v>
      </c>
      <c r="T713" s="81">
        <f t="shared" si="241"/>
        <v>0</v>
      </c>
      <c r="U713" s="81">
        <f t="shared" si="241"/>
        <v>0</v>
      </c>
      <c r="V713" s="81">
        <f t="shared" si="242"/>
        <v>0</v>
      </c>
      <c r="W713" s="81">
        <f t="shared" si="242"/>
        <v>0</v>
      </c>
      <c r="X713" s="81">
        <f t="shared" si="242"/>
        <v>0</v>
      </c>
      <c r="Y713" s="81">
        <f t="shared" si="242"/>
        <v>0</v>
      </c>
      <c r="Z713" s="81">
        <f t="shared" si="242"/>
        <v>0</v>
      </c>
      <c r="AA713" s="81">
        <f t="shared" si="242"/>
        <v>0</v>
      </c>
      <c r="AB713" s="81">
        <f t="shared" si="242"/>
        <v>0</v>
      </c>
      <c r="AC713" s="81">
        <f t="shared" si="242"/>
        <v>0</v>
      </c>
      <c r="AD713" s="81">
        <f t="shared" si="242"/>
        <v>0</v>
      </c>
      <c r="AE713" s="81">
        <f t="shared" si="242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1448</v>
      </c>
      <c r="E714" s="72">
        <f t="shared" si="240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41"/>
        <v>0</v>
      </c>
      <c r="M714" s="81">
        <f t="shared" si="241"/>
        <v>0</v>
      </c>
      <c r="N714" s="81">
        <f t="shared" si="241"/>
        <v>0</v>
      </c>
      <c r="O714" s="81">
        <f t="shared" si="241"/>
        <v>0</v>
      </c>
      <c r="P714" s="81">
        <f t="shared" si="241"/>
        <v>0</v>
      </c>
      <c r="Q714" s="81">
        <f t="shared" si="241"/>
        <v>0</v>
      </c>
      <c r="R714" s="81">
        <f t="shared" si="241"/>
        <v>0</v>
      </c>
      <c r="S714" s="81">
        <f t="shared" si="241"/>
        <v>0</v>
      </c>
      <c r="T714" s="81">
        <f t="shared" si="241"/>
        <v>0</v>
      </c>
      <c r="U714" s="81">
        <f t="shared" si="241"/>
        <v>0</v>
      </c>
      <c r="V714" s="81">
        <f t="shared" si="242"/>
        <v>0</v>
      </c>
      <c r="W714" s="81">
        <f t="shared" si="242"/>
        <v>0</v>
      </c>
      <c r="X714" s="81">
        <f t="shared" si="242"/>
        <v>0</v>
      </c>
      <c r="Y714" s="81">
        <f t="shared" si="242"/>
        <v>0</v>
      </c>
      <c r="Z714" s="81">
        <f t="shared" si="242"/>
        <v>0</v>
      </c>
      <c r="AA714" s="81">
        <f t="shared" si="242"/>
        <v>0</v>
      </c>
      <c r="AB714" s="81">
        <f t="shared" si="242"/>
        <v>0</v>
      </c>
      <c r="AC714" s="81">
        <f t="shared" si="242"/>
        <v>0</v>
      </c>
      <c r="AD714" s="81">
        <f t="shared" si="242"/>
        <v>0</v>
      </c>
      <c r="AE714" s="81">
        <f t="shared" si="242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1451</v>
      </c>
      <c r="E715" s="72">
        <f t="shared" si="240"/>
        <v>0.99441250000000003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41"/>
        <v>0</v>
      </c>
      <c r="M715" s="81">
        <f t="shared" si="241"/>
        <v>0</v>
      </c>
      <c r="N715" s="81">
        <f t="shared" si="241"/>
        <v>0</v>
      </c>
      <c r="O715" s="81">
        <f t="shared" si="241"/>
        <v>0</v>
      </c>
      <c r="P715" s="81">
        <f t="shared" si="241"/>
        <v>0</v>
      </c>
      <c r="Q715" s="81">
        <f t="shared" si="241"/>
        <v>0</v>
      </c>
      <c r="R715" s="81">
        <f t="shared" si="241"/>
        <v>0</v>
      </c>
      <c r="S715" s="81">
        <f t="shared" si="241"/>
        <v>0</v>
      </c>
      <c r="T715" s="81">
        <f t="shared" si="241"/>
        <v>0</v>
      </c>
      <c r="U715" s="81">
        <f t="shared" si="241"/>
        <v>0</v>
      </c>
      <c r="V715" s="81">
        <f t="shared" si="242"/>
        <v>0</v>
      </c>
      <c r="W715" s="81">
        <f t="shared" si="242"/>
        <v>0</v>
      </c>
      <c r="X715" s="81">
        <f t="shared" si="242"/>
        <v>0</v>
      </c>
      <c r="Y715" s="81">
        <f t="shared" si="242"/>
        <v>0</v>
      </c>
      <c r="Z715" s="81">
        <f t="shared" si="242"/>
        <v>0</v>
      </c>
      <c r="AA715" s="81">
        <f t="shared" si="242"/>
        <v>0</v>
      </c>
      <c r="AB715" s="81">
        <f t="shared" si="242"/>
        <v>0</v>
      </c>
      <c r="AC715" s="81">
        <f t="shared" si="242"/>
        <v>0</v>
      </c>
      <c r="AD715" s="81">
        <f t="shared" si="242"/>
        <v>0</v>
      </c>
      <c r="AE715" s="81">
        <f t="shared" si="242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1454</v>
      </c>
      <c r="E716" s="72">
        <f t="shared" si="240"/>
        <v>2.3974930400000001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41"/>
        <v>0</v>
      </c>
      <c r="M716" s="81">
        <f t="shared" si="241"/>
        <v>0</v>
      </c>
      <c r="N716" s="81">
        <f t="shared" si="241"/>
        <v>0</v>
      </c>
      <c r="O716" s="81">
        <f t="shared" si="241"/>
        <v>0</v>
      </c>
      <c r="P716" s="81">
        <f t="shared" si="241"/>
        <v>0</v>
      </c>
      <c r="Q716" s="81">
        <f t="shared" si="241"/>
        <v>0</v>
      </c>
      <c r="R716" s="81">
        <f t="shared" si="241"/>
        <v>0</v>
      </c>
      <c r="S716" s="81">
        <f t="shared" si="241"/>
        <v>0</v>
      </c>
      <c r="T716" s="81">
        <f t="shared" si="241"/>
        <v>0</v>
      </c>
      <c r="U716" s="81">
        <f t="shared" si="241"/>
        <v>0</v>
      </c>
      <c r="V716" s="81">
        <f t="shared" si="242"/>
        <v>0</v>
      </c>
      <c r="W716" s="81">
        <f t="shared" si="242"/>
        <v>0</v>
      </c>
      <c r="X716" s="81">
        <f t="shared" si="242"/>
        <v>0</v>
      </c>
      <c r="Y716" s="81">
        <f t="shared" si="242"/>
        <v>0</v>
      </c>
      <c r="Z716" s="81">
        <f t="shared" si="242"/>
        <v>0</v>
      </c>
      <c r="AA716" s="81">
        <f t="shared" si="242"/>
        <v>0</v>
      </c>
      <c r="AB716" s="81">
        <f t="shared" si="242"/>
        <v>0</v>
      </c>
      <c r="AC716" s="81">
        <f t="shared" si="242"/>
        <v>0</v>
      </c>
      <c r="AD716" s="81">
        <f t="shared" si="242"/>
        <v>0</v>
      </c>
      <c r="AE716" s="81">
        <f t="shared" si="242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1983</v>
      </c>
      <c r="E717" s="72" t="s">
        <v>1852</v>
      </c>
      <c r="F717" s="72"/>
      <c r="G717" s="70" t="s">
        <v>1475</v>
      </c>
      <c r="H717" s="86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43">SUMPRODUCT((L$729:L$736+L$740:L$747)*(1-(1+L$719:L$726)^(-$J$675:$J$682)))</f>
        <v>0</v>
      </c>
      <c r="M717" s="72">
        <f t="shared" si="243"/>
        <v>0</v>
      </c>
      <c r="N717" s="72">
        <f t="shared" si="243"/>
        <v>0</v>
      </c>
      <c r="O717" s="72">
        <f t="shared" si="243"/>
        <v>0</v>
      </c>
      <c r="P717" s="72">
        <f t="shared" si="243"/>
        <v>0</v>
      </c>
      <c r="Q717" s="72">
        <f t="shared" si="243"/>
        <v>0</v>
      </c>
      <c r="R717" s="72">
        <f t="shared" si="243"/>
        <v>0</v>
      </c>
      <c r="S717" s="72">
        <f t="shared" si="243"/>
        <v>0</v>
      </c>
      <c r="T717" s="72">
        <f t="shared" si="243"/>
        <v>0</v>
      </c>
      <c r="U717" s="72">
        <f t="shared" si="243"/>
        <v>0</v>
      </c>
      <c r="V717" s="72">
        <f t="shared" si="243"/>
        <v>0</v>
      </c>
      <c r="W717" s="72">
        <f t="shared" si="243"/>
        <v>0</v>
      </c>
      <c r="X717" s="72">
        <f t="shared" si="243"/>
        <v>0</v>
      </c>
      <c r="Y717" s="72">
        <f t="shared" si="243"/>
        <v>0</v>
      </c>
      <c r="Z717" s="72">
        <f t="shared" si="243"/>
        <v>0</v>
      </c>
      <c r="AA717" s="72">
        <f t="shared" si="243"/>
        <v>0</v>
      </c>
      <c r="AB717" s="72">
        <f t="shared" si="243"/>
        <v>0</v>
      </c>
      <c r="AC717" s="72">
        <f t="shared" si="243"/>
        <v>0</v>
      </c>
      <c r="AD717" s="72">
        <f t="shared" si="243"/>
        <v>0</v>
      </c>
      <c r="AE717" s="72">
        <f t="shared" si="243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1979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4">L708</f>
        <v>2022</v>
      </c>
      <c r="M718" s="74">
        <f t="shared" si="244"/>
        <v>2023</v>
      </c>
      <c r="N718" s="74">
        <f t="shared" si="244"/>
        <v>2024</v>
      </c>
      <c r="O718" s="74">
        <f t="shared" si="244"/>
        <v>2025</v>
      </c>
      <c r="P718" s="74">
        <f t="shared" si="244"/>
        <v>2026</v>
      </c>
      <c r="Q718" s="74">
        <f t="shared" si="244"/>
        <v>2027</v>
      </c>
      <c r="R718" s="74">
        <f t="shared" si="244"/>
        <v>2028</v>
      </c>
      <c r="S718" s="74">
        <f t="shared" si="244"/>
        <v>2029</v>
      </c>
      <c r="T718" s="74">
        <f t="shared" si="244"/>
        <v>2030</v>
      </c>
      <c r="U718" s="74">
        <f t="shared" si="244"/>
        <v>2031</v>
      </c>
      <c r="V718" s="74">
        <f t="shared" si="244"/>
        <v>2032</v>
      </c>
      <c r="W718" s="74">
        <f t="shared" si="244"/>
        <v>2033</v>
      </c>
      <c r="X718" s="74">
        <f t="shared" si="244"/>
        <v>2034</v>
      </c>
      <c r="Y718" s="74">
        <f t="shared" si="244"/>
        <v>2035</v>
      </c>
      <c r="Z718" s="74">
        <f t="shared" si="244"/>
        <v>2036</v>
      </c>
      <c r="AA718" s="74">
        <f t="shared" si="244"/>
        <v>2037</v>
      </c>
      <c r="AB718" s="74">
        <f t="shared" si="244"/>
        <v>2038</v>
      </c>
      <c r="AC718" s="74">
        <f t="shared" si="244"/>
        <v>2039</v>
      </c>
      <c r="AD718" s="74">
        <f t="shared" si="244"/>
        <v>2040</v>
      </c>
      <c r="AE718" s="74">
        <f t="shared" si="244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1433</v>
      </c>
      <c r="E719" s="70"/>
      <c r="F719" s="70"/>
      <c r="G719" s="70"/>
      <c r="H719" s="70"/>
      <c r="I719" s="70"/>
      <c r="J719" s="70"/>
      <c r="K719" s="72"/>
      <c r="L719" s="78">
        <f t="shared" ref="L719:AE719" si="245">(L$709+L$698-MIN(L$650,L$646)*$F$698*$E$698-MIN(L$650,L$707)*$F$709*$E$709)/L$687</f>
        <v>0</v>
      </c>
      <c r="M719" s="78">
        <f t="shared" si="245"/>
        <v>0</v>
      </c>
      <c r="N719" s="78">
        <f t="shared" si="245"/>
        <v>0</v>
      </c>
      <c r="O719" s="78">
        <f t="shared" si="245"/>
        <v>0</v>
      </c>
      <c r="P719" s="78">
        <f t="shared" si="245"/>
        <v>0</v>
      </c>
      <c r="Q719" s="78">
        <f t="shared" si="245"/>
        <v>9.5165128333333342E-3</v>
      </c>
      <c r="R719" s="78">
        <f t="shared" si="245"/>
        <v>1.9033025666666668E-2</v>
      </c>
      <c r="S719" s="78">
        <f t="shared" si="245"/>
        <v>2.8549538499999996E-2</v>
      </c>
      <c r="T719" s="78">
        <f t="shared" si="245"/>
        <v>3.8066051333333337E-2</v>
      </c>
      <c r="U719" s="78">
        <f t="shared" si="245"/>
        <v>4.7582564166666667E-2</v>
      </c>
      <c r="V719" s="78">
        <f t="shared" si="245"/>
        <v>5.7099076999999991E-2</v>
      </c>
      <c r="W719" s="78">
        <f t="shared" si="245"/>
        <v>6.6615589833333336E-2</v>
      </c>
      <c r="X719" s="78">
        <f t="shared" si="245"/>
        <v>7.6132102666666673E-2</v>
      </c>
      <c r="Y719" s="78">
        <f t="shared" si="245"/>
        <v>8.5648615500000011E-2</v>
      </c>
      <c r="Z719" s="78">
        <f t="shared" si="245"/>
        <v>9.5165128333333335E-2</v>
      </c>
      <c r="AA719" s="78">
        <f t="shared" si="245"/>
        <v>0.10468164116666666</v>
      </c>
      <c r="AB719" s="78">
        <f t="shared" si="245"/>
        <v>0.11419815399999998</v>
      </c>
      <c r="AC719" s="78">
        <f t="shared" si="245"/>
        <v>0.12371466683333333</v>
      </c>
      <c r="AD719" s="78">
        <f t="shared" si="245"/>
        <v>0.13323117966666667</v>
      </c>
      <c r="AE719" s="78">
        <f t="shared" si="245"/>
        <v>0.1427476925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1436</v>
      </c>
      <c r="E720" s="70"/>
      <c r="F720" s="70"/>
      <c r="G720" s="70"/>
      <c r="H720" s="70"/>
      <c r="I720" s="70"/>
      <c r="J720" s="70"/>
      <c r="K720" s="72"/>
      <c r="L720" s="78">
        <f t="shared" ref="L720:AE720" si="246">(L$710+L$699-MIN(L$650,L$646)*$F$699*$E$699-MIN(L$650,L$707)*$F$710*$E$710)/L$688</f>
        <v>0</v>
      </c>
      <c r="M720" s="78">
        <f t="shared" si="246"/>
        <v>0</v>
      </c>
      <c r="N720" s="78">
        <f t="shared" si="246"/>
        <v>0</v>
      </c>
      <c r="O720" s="78">
        <f t="shared" si="246"/>
        <v>0</v>
      </c>
      <c r="P720" s="78">
        <f t="shared" si="246"/>
        <v>0</v>
      </c>
      <c r="Q720" s="78">
        <f t="shared" si="246"/>
        <v>8.250000000000001E-4</v>
      </c>
      <c r="R720" s="78">
        <f t="shared" si="246"/>
        <v>1.6500000000000002E-3</v>
      </c>
      <c r="S720" s="78">
        <f t="shared" si="246"/>
        <v>2.4750000000000002E-3</v>
      </c>
      <c r="T720" s="78">
        <f t="shared" si="246"/>
        <v>3.3000000000000004E-3</v>
      </c>
      <c r="U720" s="78">
        <f t="shared" si="246"/>
        <v>4.1250000000000002E-3</v>
      </c>
      <c r="V720" s="78">
        <f t="shared" si="246"/>
        <v>4.9500000000000004E-3</v>
      </c>
      <c r="W720" s="78">
        <f t="shared" si="246"/>
        <v>5.7750000000000006E-3</v>
      </c>
      <c r="X720" s="78">
        <f t="shared" si="246"/>
        <v>6.6000000000000008E-3</v>
      </c>
      <c r="Y720" s="78">
        <f t="shared" si="246"/>
        <v>7.4250000000000002E-3</v>
      </c>
      <c r="Z720" s="78">
        <f t="shared" si="246"/>
        <v>8.2500000000000004E-3</v>
      </c>
      <c r="AA720" s="78">
        <f t="shared" si="246"/>
        <v>9.0749999999999997E-3</v>
      </c>
      <c r="AB720" s="78">
        <f t="shared" si="246"/>
        <v>9.9000000000000008E-3</v>
      </c>
      <c r="AC720" s="78">
        <f t="shared" si="246"/>
        <v>1.0725E-2</v>
      </c>
      <c r="AD720" s="78">
        <f t="shared" si="246"/>
        <v>1.1550000000000001E-2</v>
      </c>
      <c r="AE720" s="78">
        <f t="shared" si="246"/>
        <v>1.2375000000000001E-2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1439</v>
      </c>
      <c r="E721" s="70"/>
      <c r="F721" s="70"/>
      <c r="G721" s="70"/>
      <c r="H721" s="70"/>
      <c r="I721" s="70"/>
      <c r="J721" s="70"/>
      <c r="K721" s="72"/>
      <c r="L721" s="78">
        <f t="shared" ref="L721:AE721" si="247">(L$711+L$700-MIN(L$650,L$646)*$F$700*$E$700-MIN(L$650,L$707)*$F$711*$E$711)/L$689</f>
        <v>0</v>
      </c>
      <c r="M721" s="78">
        <f t="shared" si="247"/>
        <v>0</v>
      </c>
      <c r="N721" s="78">
        <f t="shared" si="247"/>
        <v>0</v>
      </c>
      <c r="O721" s="78">
        <f t="shared" si="247"/>
        <v>0</v>
      </c>
      <c r="P721" s="78">
        <f t="shared" si="247"/>
        <v>0</v>
      </c>
      <c r="Q721" s="78">
        <f t="shared" si="247"/>
        <v>2.8729440927419352E-2</v>
      </c>
      <c r="R721" s="78">
        <f t="shared" si="247"/>
        <v>5.7458881854838703E-2</v>
      </c>
      <c r="S721" s="78">
        <f t="shared" si="247"/>
        <v>8.6188322782258048E-2</v>
      </c>
      <c r="T721" s="78">
        <f t="shared" si="247"/>
        <v>0.11491776370967741</v>
      </c>
      <c r="U721" s="78">
        <f t="shared" si="247"/>
        <v>0.14364720463709676</v>
      </c>
      <c r="V721" s="78">
        <f t="shared" si="247"/>
        <v>0.1723766455645161</v>
      </c>
      <c r="W721" s="78">
        <f t="shared" si="247"/>
        <v>0.20110608649193545</v>
      </c>
      <c r="X721" s="78">
        <f t="shared" si="247"/>
        <v>0.22983552741935481</v>
      </c>
      <c r="Y721" s="78">
        <f t="shared" si="247"/>
        <v>0.25856496834677417</v>
      </c>
      <c r="Z721" s="78">
        <f t="shared" si="247"/>
        <v>0.28729440927419353</v>
      </c>
      <c r="AA721" s="78">
        <f t="shared" si="247"/>
        <v>0.31602385020161289</v>
      </c>
      <c r="AB721" s="78">
        <f t="shared" si="247"/>
        <v>0.34475329112903219</v>
      </c>
      <c r="AC721" s="78">
        <f t="shared" si="247"/>
        <v>0.37348273205645161</v>
      </c>
      <c r="AD721" s="78">
        <f t="shared" si="247"/>
        <v>0.40221217298387091</v>
      </c>
      <c r="AE721" s="78">
        <f t="shared" si="247"/>
        <v>0.43094161391129021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1442</v>
      </c>
      <c r="E722" s="70"/>
      <c r="F722" s="70"/>
      <c r="G722" s="70"/>
      <c r="H722" s="70"/>
      <c r="I722" s="70"/>
      <c r="J722" s="70"/>
      <c r="K722" s="72"/>
      <c r="L722" s="78">
        <f t="shared" ref="L722:AE722" si="248">(L$712+L$701-MIN(L$650,L$646)*$F$701*$E$701-MIN(L$650,L$707)*$F$712*$E$712)/L$690</f>
        <v>0</v>
      </c>
      <c r="M722" s="78">
        <f t="shared" si="248"/>
        <v>0</v>
      </c>
      <c r="N722" s="78">
        <f t="shared" si="248"/>
        <v>0</v>
      </c>
      <c r="O722" s="78">
        <f t="shared" si="248"/>
        <v>0</v>
      </c>
      <c r="P722" s="78">
        <f t="shared" si="248"/>
        <v>0</v>
      </c>
      <c r="Q722" s="78">
        <f t="shared" si="248"/>
        <v>3.5632784090909086E-2</v>
      </c>
      <c r="R722" s="78">
        <f t="shared" si="248"/>
        <v>7.1265568181818173E-2</v>
      </c>
      <c r="S722" s="78">
        <f t="shared" si="248"/>
        <v>0.10689835227272727</v>
      </c>
      <c r="T722" s="78">
        <f t="shared" si="248"/>
        <v>0.14253113636363635</v>
      </c>
      <c r="U722" s="78">
        <f t="shared" si="248"/>
        <v>0.17816392045454543</v>
      </c>
      <c r="V722" s="78">
        <f t="shared" si="248"/>
        <v>0.21379670454545455</v>
      </c>
      <c r="W722" s="78">
        <f t="shared" si="248"/>
        <v>0.24942948863636361</v>
      </c>
      <c r="X722" s="78">
        <f t="shared" si="248"/>
        <v>0.28506227272727269</v>
      </c>
      <c r="Y722" s="78">
        <f t="shared" si="248"/>
        <v>0.32069505681818178</v>
      </c>
      <c r="Z722" s="78">
        <f t="shared" si="248"/>
        <v>0.35632784090909086</v>
      </c>
      <c r="AA722" s="78">
        <f t="shared" si="248"/>
        <v>0.39196062499999995</v>
      </c>
      <c r="AB722" s="78">
        <f t="shared" si="248"/>
        <v>0.42759340909090909</v>
      </c>
      <c r="AC722" s="78">
        <f t="shared" si="248"/>
        <v>0.46322619318181812</v>
      </c>
      <c r="AD722" s="78">
        <f t="shared" si="248"/>
        <v>0.49885897727272721</v>
      </c>
      <c r="AE722" s="78">
        <f t="shared" si="248"/>
        <v>0.5344917613636363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1445</v>
      </c>
      <c r="E723" s="70"/>
      <c r="F723" s="70"/>
      <c r="G723" s="70"/>
      <c r="H723" s="70"/>
      <c r="I723" s="70"/>
      <c r="J723" s="70"/>
      <c r="K723" s="72"/>
      <c r="L723" s="78">
        <f t="shared" ref="L723:AE723" si="249">(L$713+L$702-MIN(L$650,L$646)*$F$702*$E$702-MIN(L$650,L$707)*$F$713*$E$713)/L$691</f>
        <v>0</v>
      </c>
      <c r="M723" s="78">
        <f t="shared" si="249"/>
        <v>0</v>
      </c>
      <c r="N723" s="78">
        <f t="shared" si="249"/>
        <v>0</v>
      </c>
      <c r="O723" s="78">
        <f t="shared" si="249"/>
        <v>0</v>
      </c>
      <c r="P723" s="78">
        <f t="shared" si="249"/>
        <v>0</v>
      </c>
      <c r="Q723" s="78">
        <f t="shared" si="249"/>
        <v>5.4853333333333337E-2</v>
      </c>
      <c r="R723" s="78">
        <f t="shared" si="249"/>
        <v>0.10970666666666667</v>
      </c>
      <c r="S723" s="78">
        <f t="shared" si="249"/>
        <v>0.16456000000000001</v>
      </c>
      <c r="T723" s="78">
        <f t="shared" si="249"/>
        <v>0.21941333333333335</v>
      </c>
      <c r="U723" s="78">
        <f t="shared" si="249"/>
        <v>0.27426666666666666</v>
      </c>
      <c r="V723" s="78">
        <f t="shared" si="249"/>
        <v>0.32912000000000002</v>
      </c>
      <c r="W723" s="78">
        <f t="shared" si="249"/>
        <v>0.38397333333333333</v>
      </c>
      <c r="X723" s="78">
        <f t="shared" si="249"/>
        <v>0.4388266666666667</v>
      </c>
      <c r="Y723" s="78">
        <f t="shared" si="249"/>
        <v>0.49368000000000001</v>
      </c>
      <c r="Z723" s="78">
        <f t="shared" si="249"/>
        <v>0.54853333333333332</v>
      </c>
      <c r="AA723" s="78">
        <f t="shared" si="249"/>
        <v>0.60338666666666663</v>
      </c>
      <c r="AB723" s="78">
        <f t="shared" si="249"/>
        <v>0.65824000000000005</v>
      </c>
      <c r="AC723" s="78">
        <f t="shared" si="249"/>
        <v>0.71309333333333336</v>
      </c>
      <c r="AD723" s="78">
        <f t="shared" si="249"/>
        <v>0.76794666666666667</v>
      </c>
      <c r="AE723" s="78">
        <f t="shared" si="249"/>
        <v>0.82279999999999998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1448</v>
      </c>
      <c r="E724" s="70"/>
      <c r="F724" s="70"/>
      <c r="G724" s="70"/>
      <c r="H724" s="70"/>
      <c r="I724" s="70"/>
      <c r="J724" s="70"/>
      <c r="K724" s="72"/>
      <c r="L724" s="78">
        <f t="shared" ref="L724:AE724" si="250">(L$714+L$703-MIN(L$650,L$646)*$F$703*$E$703-MIN(L$650,L$707)*$F$714*$E$714)/L$692</f>
        <v>0</v>
      </c>
      <c r="M724" s="78">
        <f t="shared" si="250"/>
        <v>0</v>
      </c>
      <c r="N724" s="78">
        <f t="shared" si="250"/>
        <v>0</v>
      </c>
      <c r="O724" s="78">
        <f t="shared" si="250"/>
        <v>0</v>
      </c>
      <c r="P724" s="78">
        <f t="shared" si="250"/>
        <v>0</v>
      </c>
      <c r="Q724" s="78">
        <f t="shared" si="250"/>
        <v>3.6907894736842102E-3</v>
      </c>
      <c r="R724" s="78">
        <f t="shared" si="250"/>
        <v>7.3815789473684204E-3</v>
      </c>
      <c r="S724" s="78">
        <f t="shared" si="250"/>
        <v>1.1072368421052631E-2</v>
      </c>
      <c r="T724" s="78">
        <f t="shared" si="250"/>
        <v>1.4763157894736841E-2</v>
      </c>
      <c r="U724" s="78">
        <f t="shared" si="250"/>
        <v>1.8453947368421052E-2</v>
      </c>
      <c r="V724" s="78">
        <f t="shared" si="250"/>
        <v>2.2144736842105262E-2</v>
      </c>
      <c r="W724" s="78">
        <f t="shared" si="250"/>
        <v>2.5835526315789472E-2</v>
      </c>
      <c r="X724" s="78">
        <f t="shared" si="250"/>
        <v>2.9526315789473682E-2</v>
      </c>
      <c r="Y724" s="78">
        <f t="shared" si="250"/>
        <v>3.3217105263157888E-2</v>
      </c>
      <c r="Z724" s="78">
        <f t="shared" si="250"/>
        <v>3.6907894736842105E-2</v>
      </c>
      <c r="AA724" s="78">
        <f t="shared" si="250"/>
        <v>4.0598684210526315E-2</v>
      </c>
      <c r="AB724" s="78">
        <f t="shared" si="250"/>
        <v>4.4289473684210524E-2</v>
      </c>
      <c r="AC724" s="78">
        <f t="shared" si="250"/>
        <v>4.7980263157894734E-2</v>
      </c>
      <c r="AD724" s="78">
        <f t="shared" si="250"/>
        <v>5.1671052631578944E-2</v>
      </c>
      <c r="AE724" s="78">
        <f t="shared" si="250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1451</v>
      </c>
      <c r="E725" s="70"/>
      <c r="F725" s="70"/>
      <c r="G725" s="70"/>
      <c r="H725" s="70"/>
      <c r="I725" s="70"/>
      <c r="J725" s="70"/>
      <c r="K725" s="72"/>
      <c r="L725" s="78">
        <f t="shared" ref="L725:AE725" si="251">(L$715+L$704-MIN(L$650,L$646)*$F$704*$E$704-MIN(L$650,L$707)*$F$715*$E$715)/L$693</f>
        <v>0</v>
      </c>
      <c r="M725" s="78">
        <f t="shared" si="251"/>
        <v>0</v>
      </c>
      <c r="N725" s="78">
        <f t="shared" si="251"/>
        <v>0</v>
      </c>
      <c r="O725" s="78">
        <f t="shared" si="251"/>
        <v>0</v>
      </c>
      <c r="P725" s="78">
        <f t="shared" si="251"/>
        <v>0</v>
      </c>
      <c r="Q725" s="78">
        <f t="shared" si="251"/>
        <v>4.3828124999999996E-3</v>
      </c>
      <c r="R725" s="78">
        <f t="shared" si="251"/>
        <v>8.7656249999999991E-3</v>
      </c>
      <c r="S725" s="78">
        <f t="shared" si="251"/>
        <v>1.3148437499999999E-2</v>
      </c>
      <c r="T725" s="78">
        <f t="shared" si="251"/>
        <v>1.7531249999999998E-2</v>
      </c>
      <c r="U725" s="78">
        <f t="shared" si="251"/>
        <v>2.1914062499999998E-2</v>
      </c>
      <c r="V725" s="78">
        <f t="shared" si="251"/>
        <v>2.6296874999999997E-2</v>
      </c>
      <c r="W725" s="78">
        <f t="shared" si="251"/>
        <v>3.0679687499999997E-2</v>
      </c>
      <c r="X725" s="78">
        <f t="shared" si="251"/>
        <v>3.5062499999999996E-2</v>
      </c>
      <c r="Y725" s="78">
        <f t="shared" si="251"/>
        <v>3.9445312499999996E-2</v>
      </c>
      <c r="Z725" s="78">
        <f t="shared" si="251"/>
        <v>4.3828124999999996E-2</v>
      </c>
      <c r="AA725" s="78">
        <f t="shared" si="251"/>
        <v>4.8210937499999995E-2</v>
      </c>
      <c r="AB725" s="78">
        <f t="shared" si="251"/>
        <v>5.2593749999999995E-2</v>
      </c>
      <c r="AC725" s="78">
        <f t="shared" si="251"/>
        <v>5.6976562499999994E-2</v>
      </c>
      <c r="AD725" s="78">
        <f t="shared" si="251"/>
        <v>6.1359374999999994E-2</v>
      </c>
      <c r="AE725" s="78">
        <f t="shared" si="251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1454</v>
      </c>
      <c r="E726" s="70"/>
      <c r="F726" s="70"/>
      <c r="G726" s="70"/>
      <c r="H726" s="70"/>
      <c r="I726" s="70"/>
      <c r="J726" s="70"/>
      <c r="K726" s="72"/>
      <c r="L726" s="78">
        <f t="shared" ref="L726:AE726" si="252">(L$716+L$705-MIN(L$650,L$646)*$F$705*$E$705-MIN(L$650,L$707)*$F$716*$E$716)/L$694</f>
        <v>0</v>
      </c>
      <c r="M726" s="78">
        <f t="shared" si="252"/>
        <v>0</v>
      </c>
      <c r="N726" s="78">
        <f t="shared" si="252"/>
        <v>0</v>
      </c>
      <c r="O726" s="78">
        <f t="shared" si="252"/>
        <v>0</v>
      </c>
      <c r="P726" s="78">
        <f t="shared" si="252"/>
        <v>0</v>
      </c>
      <c r="Q726" s="78">
        <f t="shared" si="252"/>
        <v>6.4281250000000005E-4</v>
      </c>
      <c r="R726" s="78">
        <f t="shared" si="252"/>
        <v>1.2856250000000001E-3</v>
      </c>
      <c r="S726" s="78">
        <f t="shared" si="252"/>
        <v>1.9284375000000002E-3</v>
      </c>
      <c r="T726" s="78">
        <f t="shared" si="252"/>
        <v>2.5712500000000002E-3</v>
      </c>
      <c r="U726" s="78">
        <f t="shared" si="252"/>
        <v>3.2140624999999999E-3</v>
      </c>
      <c r="V726" s="78">
        <f t="shared" si="252"/>
        <v>3.8568750000000005E-3</v>
      </c>
      <c r="W726" s="78">
        <f t="shared" si="252"/>
        <v>4.4996875000000002E-3</v>
      </c>
      <c r="X726" s="78">
        <f t="shared" si="252"/>
        <v>5.1425000000000004E-3</v>
      </c>
      <c r="Y726" s="78">
        <f t="shared" si="252"/>
        <v>5.7853125000000005E-3</v>
      </c>
      <c r="Z726" s="78">
        <f t="shared" si="252"/>
        <v>6.4281249999999998E-3</v>
      </c>
      <c r="AA726" s="78">
        <f t="shared" si="252"/>
        <v>7.0709375E-3</v>
      </c>
      <c r="AB726" s="78">
        <f t="shared" si="252"/>
        <v>7.713750000000001E-3</v>
      </c>
      <c r="AC726" s="78">
        <f t="shared" si="252"/>
        <v>8.3565624999999994E-3</v>
      </c>
      <c r="AD726" s="78">
        <f t="shared" si="252"/>
        <v>8.9993750000000004E-3</v>
      </c>
      <c r="AE726" s="78">
        <f t="shared" si="252"/>
        <v>9.6421874999999997E-3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1984</v>
      </c>
      <c r="E727" s="72" t="s">
        <v>1852</v>
      </c>
      <c r="F727" s="72"/>
      <c r="G727" s="70" t="s">
        <v>1475</v>
      </c>
      <c r="H727" s="86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53">L$717+L$780</f>
        <v>0</v>
      </c>
      <c r="M727" s="72">
        <f t="shared" si="253"/>
        <v>0</v>
      </c>
      <c r="N727" s="72">
        <f t="shared" si="253"/>
        <v>0</v>
      </c>
      <c r="O727" s="72">
        <f t="shared" si="253"/>
        <v>0</v>
      </c>
      <c r="P727" s="72">
        <f t="shared" si="253"/>
        <v>0</v>
      </c>
      <c r="Q727" s="72">
        <f t="shared" si="253"/>
        <v>0</v>
      </c>
      <c r="R727" s="72">
        <f t="shared" si="253"/>
        <v>0</v>
      </c>
      <c r="S727" s="72">
        <f t="shared" si="253"/>
        <v>0</v>
      </c>
      <c r="T727" s="72">
        <f t="shared" si="253"/>
        <v>0</v>
      </c>
      <c r="U727" s="72">
        <f t="shared" si="253"/>
        <v>0</v>
      </c>
      <c r="V727" s="72">
        <f t="shared" si="253"/>
        <v>0</v>
      </c>
      <c r="W727" s="72">
        <f t="shared" si="253"/>
        <v>0</v>
      </c>
      <c r="X727" s="72">
        <f t="shared" si="253"/>
        <v>0</v>
      </c>
      <c r="Y727" s="72">
        <f t="shared" si="253"/>
        <v>0</v>
      </c>
      <c r="Z727" s="72">
        <f t="shared" si="253"/>
        <v>0</v>
      </c>
      <c r="AA727" s="72">
        <f t="shared" si="253"/>
        <v>0</v>
      </c>
      <c r="AB727" s="72">
        <f t="shared" si="253"/>
        <v>0</v>
      </c>
      <c r="AC727" s="72">
        <f t="shared" si="253"/>
        <v>0</v>
      </c>
      <c r="AD727" s="72">
        <f t="shared" si="253"/>
        <v>0</v>
      </c>
      <c r="AE727" s="72">
        <f t="shared" si="253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1980</v>
      </c>
      <c r="D728" s="73"/>
      <c r="E728" s="70"/>
      <c r="F728" s="72" t="s">
        <v>1465</v>
      </c>
      <c r="G728" s="72" t="s">
        <v>1466</v>
      </c>
      <c r="H728" s="72" t="s">
        <v>1467</v>
      </c>
      <c r="I728" s="72" t="s">
        <v>1881</v>
      </c>
      <c r="J728" s="72" t="s">
        <v>1882</v>
      </c>
      <c r="K728" s="72"/>
      <c r="L728" s="74">
        <f t="shared" ref="L728:AE728" si="254">L739</f>
        <v>2022</v>
      </c>
      <c r="M728" s="74">
        <f t="shared" si="254"/>
        <v>2023</v>
      </c>
      <c r="N728" s="74">
        <f t="shared" si="254"/>
        <v>2024</v>
      </c>
      <c r="O728" s="74">
        <f t="shared" si="254"/>
        <v>2025</v>
      </c>
      <c r="P728" s="74">
        <f t="shared" si="254"/>
        <v>2026</v>
      </c>
      <c r="Q728" s="74">
        <f t="shared" si="254"/>
        <v>2027</v>
      </c>
      <c r="R728" s="74">
        <f t="shared" si="254"/>
        <v>2028</v>
      </c>
      <c r="S728" s="74">
        <f t="shared" si="254"/>
        <v>2029</v>
      </c>
      <c r="T728" s="74">
        <f t="shared" si="254"/>
        <v>2030</v>
      </c>
      <c r="U728" s="74">
        <f t="shared" si="254"/>
        <v>2031</v>
      </c>
      <c r="V728" s="74">
        <f t="shared" si="254"/>
        <v>2032</v>
      </c>
      <c r="W728" s="74">
        <f t="shared" si="254"/>
        <v>2033</v>
      </c>
      <c r="X728" s="74">
        <f t="shared" si="254"/>
        <v>2034</v>
      </c>
      <c r="Y728" s="74">
        <f t="shared" si="254"/>
        <v>2035</v>
      </c>
      <c r="Z728" s="74">
        <f t="shared" si="254"/>
        <v>2036</v>
      </c>
      <c r="AA728" s="74">
        <f t="shared" si="254"/>
        <v>2037</v>
      </c>
      <c r="AB728" s="74">
        <f t="shared" si="254"/>
        <v>2038</v>
      </c>
      <c r="AC728" s="74">
        <f t="shared" si="254"/>
        <v>2039</v>
      </c>
      <c r="AD728" s="74">
        <f t="shared" si="254"/>
        <v>2040</v>
      </c>
      <c r="AE728" s="74">
        <f t="shared" si="254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1468</v>
      </c>
      <c r="F729" s="72">
        <f t="shared" ref="F729:F736" si="255">H663+I663</f>
        <v>0.57099076999999998</v>
      </c>
      <c r="G729" s="72">
        <f t="shared" ref="G729:G736" si="256">MAX($J663,0)+MAX($K663,0)</f>
        <v>3.7901020000000001E-2</v>
      </c>
      <c r="H729" s="72">
        <f t="shared" ref="H729:H736" si="257">G729/F729</f>
        <v>6.6377640395132831E-2</v>
      </c>
      <c r="I729" s="97">
        <f t="shared" ref="I729:I736" si="258">IF($F729=0,0,$E698/$F729)</f>
        <v>1</v>
      </c>
      <c r="J729" s="97">
        <f t="shared" ref="J729:J736" si="259">IF($G729=0,0,$E709/$G729)</f>
        <v>1</v>
      </c>
      <c r="K729" s="72"/>
      <c r="L729" s="72">
        <f t="shared" ref="L729:AE729" si="260">L675*$F729/1000</f>
        <v>2.6717650641872548</v>
      </c>
      <c r="M729" s="72">
        <f t="shared" si="260"/>
        <v>2.789322727011494</v>
      </c>
      <c r="N729" s="72">
        <f t="shared" si="260"/>
        <v>2.9120529269999995</v>
      </c>
      <c r="O729" s="72">
        <f t="shared" si="260"/>
        <v>3.0401832557880004</v>
      </c>
      <c r="P729" s="72">
        <f t="shared" si="260"/>
        <v>3.173951319042672</v>
      </c>
      <c r="Q729" s="72">
        <f t="shared" si="260"/>
        <v>3.3136051770805501</v>
      </c>
      <c r="R729" s="72">
        <f t="shared" si="260"/>
        <v>3.4594038048720939</v>
      </c>
      <c r="S729" s="72">
        <f t="shared" si="260"/>
        <v>3.6116175722864661</v>
      </c>
      <c r="T729" s="72">
        <f t="shared" si="260"/>
        <v>3.7705287454670713</v>
      </c>
      <c r="U729" s="72">
        <f t="shared" si="260"/>
        <v>3.9364320102676222</v>
      </c>
      <c r="V729" s="72">
        <f t="shared" si="260"/>
        <v>4.1096350187193975</v>
      </c>
      <c r="W729" s="72">
        <f t="shared" si="260"/>
        <v>4.2904589595430505</v>
      </c>
      <c r="X729" s="72">
        <f t="shared" si="260"/>
        <v>4.4792391537629452</v>
      </c>
      <c r="Y729" s="72">
        <f t="shared" si="260"/>
        <v>4.6763256765285162</v>
      </c>
      <c r="Z729" s="72">
        <f t="shared" si="260"/>
        <v>4.8820840062957691</v>
      </c>
      <c r="AA729" s="72">
        <f t="shared" si="260"/>
        <v>5.096895702572783</v>
      </c>
      <c r="AB729" s="72">
        <f t="shared" si="260"/>
        <v>5.3211591134859875</v>
      </c>
      <c r="AC729" s="72">
        <f t="shared" si="260"/>
        <v>5.5552901144793703</v>
      </c>
      <c r="AD729" s="72">
        <f t="shared" si="260"/>
        <v>5.7997228795164624</v>
      </c>
      <c r="AE729" s="72">
        <f t="shared" si="260"/>
        <v>6.0549106862151856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1355</v>
      </c>
      <c r="E730" s="71" t="s">
        <v>1468</v>
      </c>
      <c r="F730" s="72">
        <f t="shared" si="255"/>
        <v>4.4880000000000003E-2</v>
      </c>
      <c r="G730" s="72">
        <f t="shared" si="256"/>
        <v>4.3981149999999997E-2</v>
      </c>
      <c r="H730" s="72">
        <f t="shared" si="257"/>
        <v>0.97997214795008902</v>
      </c>
      <c r="I730" s="97">
        <f t="shared" si="258"/>
        <v>1</v>
      </c>
      <c r="J730" s="97">
        <f t="shared" si="259"/>
        <v>1</v>
      </c>
      <c r="K730" s="72"/>
      <c r="L730" s="72">
        <f t="shared" ref="L730:AE730" si="261">L676*$F730/1000</f>
        <v>0.19764830228563882</v>
      </c>
      <c r="M730" s="72">
        <f t="shared" si="261"/>
        <v>0.20634482758620692</v>
      </c>
      <c r="N730" s="72">
        <f t="shared" si="261"/>
        <v>0.215424</v>
      </c>
      <c r="O730" s="72">
        <f t="shared" si="261"/>
        <v>0.22490265600000001</v>
      </c>
      <c r="P730" s="72">
        <f t="shared" si="261"/>
        <v>0.23479837286400002</v>
      </c>
      <c r="Q730" s="72">
        <f t="shared" si="261"/>
        <v>0.24512950127001604</v>
      </c>
      <c r="R730" s="72">
        <f t="shared" si="261"/>
        <v>0.25591519932589668</v>
      </c>
      <c r="S730" s="72">
        <f t="shared" si="261"/>
        <v>0.26717546809623621</v>
      </c>
      <c r="T730" s="72">
        <f t="shared" si="261"/>
        <v>0.27893118869247063</v>
      </c>
      <c r="U730" s="72">
        <f t="shared" si="261"/>
        <v>0.29120416099493934</v>
      </c>
      <c r="V730" s="72">
        <f t="shared" si="261"/>
        <v>0.30401714407871661</v>
      </c>
      <c r="W730" s="72">
        <f t="shared" si="261"/>
        <v>0.31739389841818022</v>
      </c>
      <c r="X730" s="72">
        <f t="shared" si="261"/>
        <v>0.33135922994858014</v>
      </c>
      <c r="Y730" s="72">
        <f t="shared" si="261"/>
        <v>0.34593903606631771</v>
      </c>
      <c r="Z730" s="72">
        <f t="shared" si="261"/>
        <v>0.36116035365323562</v>
      </c>
      <c r="AA730" s="72">
        <f t="shared" si="261"/>
        <v>0.37705140921397801</v>
      </c>
      <c r="AB730" s="72">
        <f t="shared" si="261"/>
        <v>0.39364167121939314</v>
      </c>
      <c r="AC730" s="72">
        <f t="shared" si="261"/>
        <v>0.41096190475304639</v>
      </c>
      <c r="AD730" s="72">
        <f t="shared" si="261"/>
        <v>0.42904422856218044</v>
      </c>
      <c r="AE730" s="72">
        <f t="shared" si="261"/>
        <v>0.44792217461891631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1359</v>
      </c>
      <c r="E731" s="71" t="s">
        <v>1468</v>
      </c>
      <c r="F731" s="72">
        <f t="shared" si="255"/>
        <v>1.4249802699999998</v>
      </c>
      <c r="G731" s="72">
        <f t="shared" si="256"/>
        <v>5.276542E-2</v>
      </c>
      <c r="H731" s="72">
        <f t="shared" si="257"/>
        <v>3.7028877599828106E-2</v>
      </c>
      <c r="I731" s="97">
        <f t="shared" si="258"/>
        <v>1</v>
      </c>
      <c r="J731" s="97">
        <f t="shared" si="259"/>
        <v>1</v>
      </c>
      <c r="K731" s="72"/>
      <c r="L731" s="72">
        <f t="shared" ref="L731:AE731" si="262">L677*$F731/1000</f>
        <v>0</v>
      </c>
      <c r="M731" s="72">
        <f t="shared" si="262"/>
        <v>0</v>
      </c>
      <c r="N731" s="72">
        <f t="shared" si="262"/>
        <v>0</v>
      </c>
      <c r="O731" s="72">
        <f t="shared" si="262"/>
        <v>0</v>
      </c>
      <c r="P731" s="72">
        <f t="shared" si="262"/>
        <v>0</v>
      </c>
      <c r="Q731" s="72">
        <f t="shared" si="262"/>
        <v>0</v>
      </c>
      <c r="R731" s="72">
        <f t="shared" si="262"/>
        <v>0</v>
      </c>
      <c r="S731" s="72">
        <f t="shared" si="262"/>
        <v>0</v>
      </c>
      <c r="T731" s="72">
        <f t="shared" si="262"/>
        <v>0</v>
      </c>
      <c r="U731" s="72">
        <f t="shared" si="262"/>
        <v>0</v>
      </c>
      <c r="V731" s="72">
        <f t="shared" si="262"/>
        <v>0</v>
      </c>
      <c r="W731" s="72">
        <f t="shared" si="262"/>
        <v>0</v>
      </c>
      <c r="X731" s="72">
        <f t="shared" si="262"/>
        <v>0</v>
      </c>
      <c r="Y731" s="72">
        <f t="shared" si="262"/>
        <v>0</v>
      </c>
      <c r="Z731" s="72">
        <f t="shared" si="262"/>
        <v>0</v>
      </c>
      <c r="AA731" s="72">
        <f t="shared" si="262"/>
        <v>0</v>
      </c>
      <c r="AB731" s="72">
        <f t="shared" si="262"/>
        <v>0</v>
      </c>
      <c r="AC731" s="72">
        <f t="shared" si="262"/>
        <v>0</v>
      </c>
      <c r="AD731" s="72">
        <f t="shared" si="262"/>
        <v>0</v>
      </c>
      <c r="AE731" s="72">
        <f t="shared" si="262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1363</v>
      </c>
      <c r="E732" s="71" t="s">
        <v>1468</v>
      </c>
      <c r="F732" s="72">
        <f t="shared" si="255"/>
        <v>0.31356849999999997</v>
      </c>
      <c r="G732" s="72">
        <f t="shared" si="256"/>
        <v>0.53702616000000003</v>
      </c>
      <c r="H732" s="72">
        <f t="shared" si="257"/>
        <v>1.7126278947024336</v>
      </c>
      <c r="I732" s="97">
        <f t="shared" si="258"/>
        <v>1</v>
      </c>
      <c r="J732" s="97">
        <f t="shared" si="259"/>
        <v>1</v>
      </c>
      <c r="K732" s="72"/>
      <c r="L732" s="72">
        <f t="shared" ref="L732:AE732" si="263">L678*$F732/1000</f>
        <v>14.692706044200628</v>
      </c>
      <c r="M732" s="72">
        <f t="shared" si="263"/>
        <v>15.177565343659246</v>
      </c>
      <c r="N732" s="72">
        <f t="shared" si="263"/>
        <v>15.678424999999999</v>
      </c>
      <c r="O732" s="72">
        <f t="shared" si="263"/>
        <v>16.195813024999996</v>
      </c>
      <c r="P732" s="72">
        <f t="shared" si="263"/>
        <v>16.730274854824994</v>
      </c>
      <c r="Q732" s="72">
        <f t="shared" si="263"/>
        <v>17.282373925034218</v>
      </c>
      <c r="R732" s="72">
        <f t="shared" si="263"/>
        <v>17.852692264560343</v>
      </c>
      <c r="S732" s="72">
        <f t="shared" si="263"/>
        <v>18.441831109290838</v>
      </c>
      <c r="T732" s="72">
        <f t="shared" si="263"/>
        <v>19.050411535897432</v>
      </c>
      <c r="U732" s="72">
        <f t="shared" si="263"/>
        <v>19.679075116582045</v>
      </c>
      <c r="V732" s="72">
        <f t="shared" si="263"/>
        <v>20.328484595429249</v>
      </c>
      <c r="W732" s="72">
        <f t="shared" si="263"/>
        <v>20.999324587078412</v>
      </c>
      <c r="X732" s="72">
        <f t="shared" si="263"/>
        <v>21.692302298451992</v>
      </c>
      <c r="Y732" s="72">
        <f t="shared" si="263"/>
        <v>22.40814827430091</v>
      </c>
      <c r="Z732" s="72">
        <f t="shared" si="263"/>
        <v>23.147617167352838</v>
      </c>
      <c r="AA732" s="72">
        <f t="shared" si="263"/>
        <v>23.911488533875481</v>
      </c>
      <c r="AB732" s="72">
        <f t="shared" si="263"/>
        <v>24.700567655493362</v>
      </c>
      <c r="AC732" s="72">
        <f t="shared" si="263"/>
        <v>25.515686388124642</v>
      </c>
      <c r="AD732" s="72">
        <f t="shared" si="263"/>
        <v>26.357704038932756</v>
      </c>
      <c r="AE732" s="72">
        <f t="shared" si="263"/>
        <v>27.227508272217527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1425</v>
      </c>
      <c r="E733" s="71" t="s">
        <v>1468</v>
      </c>
      <c r="F733" s="72">
        <f t="shared" si="255"/>
        <v>1.97472</v>
      </c>
      <c r="G733" s="72">
        <f t="shared" si="256"/>
        <v>0</v>
      </c>
      <c r="H733" s="72">
        <f t="shared" si="257"/>
        <v>0</v>
      </c>
      <c r="I733" s="97">
        <f t="shared" si="258"/>
        <v>1</v>
      </c>
      <c r="J733" s="97">
        <f t="shared" si="259"/>
        <v>0</v>
      </c>
      <c r="K733" s="72"/>
      <c r="L733" s="72">
        <f t="shared" ref="L733:AE733" si="264">L679*$F733/1000</f>
        <v>3.3747527008551588</v>
      </c>
      <c r="M733" s="72">
        <f t="shared" si="264"/>
        <v>3.4489972602739725</v>
      </c>
      <c r="N733" s="72">
        <f t="shared" si="264"/>
        <v>3.5248751999999999</v>
      </c>
      <c r="O733" s="72">
        <f t="shared" si="264"/>
        <v>3.6024224544000001</v>
      </c>
      <c r="P733" s="72">
        <f t="shared" si="264"/>
        <v>3.6816757483967999</v>
      </c>
      <c r="Q733" s="72">
        <f t="shared" si="264"/>
        <v>3.7626726148615299</v>
      </c>
      <c r="R733" s="72">
        <f t="shared" si="264"/>
        <v>3.8454514123884831</v>
      </c>
      <c r="S733" s="72">
        <f t="shared" si="264"/>
        <v>3.9300513434610296</v>
      </c>
      <c r="T733" s="72">
        <f t="shared" si="264"/>
        <v>4.0165124730171726</v>
      </c>
      <c r="U733" s="72">
        <f t="shared" si="264"/>
        <v>4.1048757474235504</v>
      </c>
      <c r="V733" s="72">
        <f t="shared" si="264"/>
        <v>4.1951830138668695</v>
      </c>
      <c r="W733" s="72">
        <f t="shared" si="264"/>
        <v>4.2874770401719395</v>
      </c>
      <c r="X733" s="72">
        <f t="shared" si="264"/>
        <v>4.3818015350557227</v>
      </c>
      <c r="Y733" s="72">
        <f t="shared" si="264"/>
        <v>4.4782011688269483</v>
      </c>
      <c r="Z733" s="72">
        <f t="shared" si="264"/>
        <v>4.5767215945411417</v>
      </c>
      <c r="AA733" s="72">
        <f t="shared" si="264"/>
        <v>4.6774094696210469</v>
      </c>
      <c r="AB733" s="72">
        <f t="shared" si="264"/>
        <v>4.7803124779527089</v>
      </c>
      <c r="AC733" s="72">
        <f t="shared" si="264"/>
        <v>4.8854793524676694</v>
      </c>
      <c r="AD733" s="72">
        <f t="shared" si="264"/>
        <v>4.9929598982219581</v>
      </c>
      <c r="AE733" s="72">
        <f t="shared" si="264"/>
        <v>5.1028050159828409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1373</v>
      </c>
      <c r="E734" s="71" t="s">
        <v>1468</v>
      </c>
      <c r="F734" s="72">
        <f t="shared" si="255"/>
        <v>0.11219999999999999</v>
      </c>
      <c r="G734" s="72">
        <f t="shared" si="256"/>
        <v>0</v>
      </c>
      <c r="H734" s="72">
        <f t="shared" si="257"/>
        <v>0</v>
      </c>
      <c r="I734" s="97">
        <f t="shared" si="258"/>
        <v>1</v>
      </c>
      <c r="J734" s="97">
        <f t="shared" si="259"/>
        <v>0</v>
      </c>
      <c r="K734" s="72"/>
      <c r="L734" s="72">
        <f t="shared" ref="L734:AE734" si="265">L680*$F734/1000</f>
        <v>0.30078009811543305</v>
      </c>
      <c r="M734" s="72">
        <f t="shared" si="265"/>
        <v>0.30739726027397257</v>
      </c>
      <c r="N734" s="72">
        <f t="shared" si="265"/>
        <v>0.31415999999999999</v>
      </c>
      <c r="O734" s="72">
        <f t="shared" si="265"/>
        <v>0.32107151999999994</v>
      </c>
      <c r="P734" s="72">
        <f t="shared" si="265"/>
        <v>0.32813509343999991</v>
      </c>
      <c r="Q734" s="72">
        <f t="shared" si="265"/>
        <v>0.33535406549567992</v>
      </c>
      <c r="R734" s="72">
        <f t="shared" si="265"/>
        <v>0.34273185493658498</v>
      </c>
      <c r="S734" s="72">
        <f t="shared" si="265"/>
        <v>0.35027195574518982</v>
      </c>
      <c r="T734" s="72">
        <f t="shared" si="265"/>
        <v>0.3579779387715839</v>
      </c>
      <c r="U734" s="72">
        <f t="shared" si="265"/>
        <v>0.36585345342455883</v>
      </c>
      <c r="V734" s="72">
        <f t="shared" si="265"/>
        <v>0.37390222939989914</v>
      </c>
      <c r="W734" s="72">
        <f t="shared" si="265"/>
        <v>0.38212807844669694</v>
      </c>
      <c r="X734" s="72">
        <f t="shared" si="265"/>
        <v>0.39053489617252429</v>
      </c>
      <c r="Y734" s="72">
        <f t="shared" si="265"/>
        <v>0.39912666388831985</v>
      </c>
      <c r="Z734" s="72">
        <f t="shared" si="265"/>
        <v>0.4079074504938629</v>
      </c>
      <c r="AA734" s="72">
        <f t="shared" si="265"/>
        <v>0.41688141440472787</v>
      </c>
      <c r="AB734" s="72">
        <f t="shared" si="265"/>
        <v>0.42605280552163183</v>
      </c>
      <c r="AC734" s="72">
        <f t="shared" si="265"/>
        <v>0.43542596724310778</v>
      </c>
      <c r="AD734" s="72">
        <f t="shared" si="265"/>
        <v>0.44500533852245616</v>
      </c>
      <c r="AE734" s="72">
        <f t="shared" si="265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1378</v>
      </c>
      <c r="E735" s="71" t="s">
        <v>1468</v>
      </c>
      <c r="F735" s="72">
        <f t="shared" si="255"/>
        <v>0.11219999999999999</v>
      </c>
      <c r="G735" s="72">
        <f t="shared" si="256"/>
        <v>0.99441250000000003</v>
      </c>
      <c r="H735" s="72">
        <f t="shared" si="257"/>
        <v>8.8628565062388596</v>
      </c>
      <c r="I735" s="97">
        <f t="shared" si="258"/>
        <v>1</v>
      </c>
      <c r="J735" s="97">
        <f t="shared" si="259"/>
        <v>1</v>
      </c>
      <c r="K735" s="72"/>
      <c r="L735" s="72">
        <f t="shared" ref="L735:AE735" si="266">L681*$F735/1000</f>
        <v>6.4452878167592806E-2</v>
      </c>
      <c r="M735" s="72">
        <f t="shared" si="266"/>
        <v>6.5870841487279841E-2</v>
      </c>
      <c r="N735" s="72">
        <f t="shared" si="266"/>
        <v>6.7319999999999991E-2</v>
      </c>
      <c r="O735" s="72">
        <f t="shared" si="266"/>
        <v>6.8801039999999994E-2</v>
      </c>
      <c r="P735" s="72">
        <f t="shared" si="266"/>
        <v>7.031466287999999E-2</v>
      </c>
      <c r="Q735" s="72">
        <f t="shared" si="266"/>
        <v>7.1861585463359995E-2</v>
      </c>
      <c r="R735" s="72">
        <f t="shared" si="266"/>
        <v>7.3442540343553922E-2</v>
      </c>
      <c r="S735" s="72">
        <f t="shared" si="266"/>
        <v>7.5058276231112109E-2</v>
      </c>
      <c r="T735" s="72">
        <f t="shared" si="266"/>
        <v>7.6709558308196563E-2</v>
      </c>
      <c r="U735" s="72">
        <f t="shared" si="266"/>
        <v>7.8397168590976896E-2</v>
      </c>
      <c r="V735" s="72">
        <f t="shared" si="266"/>
        <v>8.012190629997841E-2</v>
      </c>
      <c r="W735" s="72">
        <f t="shared" si="266"/>
        <v>8.1884588238577902E-2</v>
      </c>
      <c r="X735" s="72">
        <f t="shared" si="266"/>
        <v>8.3686049179826624E-2</v>
      </c>
      <c r="Y735" s="72">
        <f t="shared" si="266"/>
        <v>8.5527142261782832E-2</v>
      </c>
      <c r="Z735" s="72">
        <f t="shared" si="266"/>
        <v>8.7408739391542062E-2</v>
      </c>
      <c r="AA735" s="72">
        <f t="shared" si="266"/>
        <v>8.9331731658155972E-2</v>
      </c>
      <c r="AB735" s="72">
        <f t="shared" si="266"/>
        <v>9.1297029754635384E-2</v>
      </c>
      <c r="AC735" s="72">
        <f t="shared" si="266"/>
        <v>9.3305564409237374E-2</v>
      </c>
      <c r="AD735" s="72">
        <f t="shared" si="266"/>
        <v>9.5358286826240604E-2</v>
      </c>
      <c r="AE735" s="72">
        <f t="shared" si="266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1383</v>
      </c>
      <c r="E736" s="71" t="s">
        <v>1468</v>
      </c>
      <c r="F736" s="72">
        <f t="shared" si="255"/>
        <v>0.12342</v>
      </c>
      <c r="G736" s="72">
        <f t="shared" si="256"/>
        <v>2.3974930400000001</v>
      </c>
      <c r="H736" s="72">
        <f t="shared" si="257"/>
        <v>19.425482417760492</v>
      </c>
      <c r="I736" s="97">
        <f t="shared" si="258"/>
        <v>1</v>
      </c>
      <c r="J736" s="97">
        <f t="shared" si="259"/>
        <v>1</v>
      </c>
      <c r="K736" s="72"/>
      <c r="L736" s="72">
        <f t="shared" ref="L736:AE736" si="267">L682*$F736/1000</f>
        <v>3.3266099144224071E-2</v>
      </c>
      <c r="M736" s="72">
        <f t="shared" si="267"/>
        <v>3.5095734597156404E-2</v>
      </c>
      <c r="N736" s="72">
        <f t="shared" si="267"/>
        <v>3.7026000000000003E-2</v>
      </c>
      <c r="O736" s="72">
        <f t="shared" si="267"/>
        <v>3.9062430000000002E-2</v>
      </c>
      <c r="P736" s="72">
        <f t="shared" si="267"/>
        <v>4.1210863649999999E-2</v>
      </c>
      <c r="Q736" s="72">
        <f t="shared" si="267"/>
        <v>4.3477461150749991E-2</v>
      </c>
      <c r="R736" s="72">
        <f t="shared" si="267"/>
        <v>4.5868721514041248E-2</v>
      </c>
      <c r="S736" s="72">
        <f t="shared" si="267"/>
        <v>4.8391501197313509E-2</v>
      </c>
      <c r="T736" s="72">
        <f t="shared" si="267"/>
        <v>5.105303376316575E-2</v>
      </c>
      <c r="U736" s="72">
        <f t="shared" si="267"/>
        <v>5.3860950620139861E-2</v>
      </c>
      <c r="V736" s="72">
        <f t="shared" si="267"/>
        <v>5.6823302904247558E-2</v>
      </c>
      <c r="W736" s="72">
        <f t="shared" si="267"/>
        <v>5.9948584563981173E-2</v>
      </c>
      <c r="X736" s="72">
        <f t="shared" si="267"/>
        <v>6.3245756715000129E-2</v>
      </c>
      <c r="Y736" s="72">
        <f t="shared" si="267"/>
        <v>6.6724273334325138E-2</v>
      </c>
      <c r="Z736" s="72">
        <f t="shared" si="267"/>
        <v>7.039410836771301E-2</v>
      </c>
      <c r="AA736" s="72">
        <f t="shared" si="267"/>
        <v>7.426578432793722E-2</v>
      </c>
      <c r="AB736" s="72">
        <f t="shared" si="267"/>
        <v>7.8350402465973787E-2</v>
      </c>
      <c r="AC736" s="72">
        <f t="shared" si="267"/>
        <v>8.2659674601602312E-2</v>
      </c>
      <c r="AD736" s="72">
        <f t="shared" si="267"/>
        <v>8.7205956704690446E-2</v>
      </c>
      <c r="AE736" s="72">
        <f t="shared" si="267"/>
        <v>9.2002284323448424E-2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1469</v>
      </c>
      <c r="E737" s="70"/>
      <c r="F737" s="70"/>
      <c r="G737" s="70"/>
      <c r="H737" s="70"/>
      <c r="I737" s="70"/>
      <c r="J737" s="70"/>
      <c r="K737" s="72"/>
      <c r="L737" s="72">
        <f t="shared" ref="L737:AE737" si="268">SUM(L729:L736)</f>
        <v>21.335371186955928</v>
      </c>
      <c r="M737" s="72">
        <f t="shared" si="268"/>
        <v>22.03059399488933</v>
      </c>
      <c r="N737" s="72">
        <f t="shared" si="268"/>
        <v>22.749283126999998</v>
      </c>
      <c r="O737" s="72">
        <f t="shared" si="268"/>
        <v>23.492256381187996</v>
      </c>
      <c r="P737" s="72">
        <f t="shared" si="268"/>
        <v>24.260360915098467</v>
      </c>
      <c r="Q737" s="72">
        <f t="shared" si="268"/>
        <v>25.054474330356101</v>
      </c>
      <c r="R737" s="72">
        <f t="shared" si="268"/>
        <v>25.875505797940995</v>
      </c>
      <c r="S737" s="72">
        <f t="shared" si="268"/>
        <v>26.724397226308188</v>
      </c>
      <c r="T737" s="72">
        <f t="shared" si="268"/>
        <v>27.60212447391709</v>
      </c>
      <c r="U737" s="72">
        <f t="shared" si="268"/>
        <v>28.509698607903836</v>
      </c>
      <c r="V737" s="72">
        <f t="shared" si="268"/>
        <v>29.448167210698362</v>
      </c>
      <c r="W737" s="72">
        <f t="shared" si="268"/>
        <v>30.418615736460836</v>
      </c>
      <c r="X737" s="72">
        <f t="shared" si="268"/>
        <v>31.422168919286591</v>
      </c>
      <c r="Y737" s="72">
        <f t="shared" si="268"/>
        <v>32.459992235207118</v>
      </c>
      <c r="Z737" s="72">
        <f t="shared" si="268"/>
        <v>33.533293420096108</v>
      </c>
      <c r="AA737" s="72">
        <f t="shared" si="268"/>
        <v>34.643324045674106</v>
      </c>
      <c r="AB737" s="72">
        <f t="shared" si="268"/>
        <v>35.791381155893689</v>
      </c>
      <c r="AC737" s="72">
        <f t="shared" si="268"/>
        <v>36.978808966078674</v>
      </c>
      <c r="AD737" s="72">
        <f t="shared" si="268"/>
        <v>38.207000627286739</v>
      </c>
      <c r="AE737" s="72">
        <f t="shared" si="268"/>
        <v>39.477400058464283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2012</v>
      </c>
      <c r="E738" s="70" t="s">
        <v>1854</v>
      </c>
      <c r="F738" s="70"/>
      <c r="G738" s="70" t="s">
        <v>1475</v>
      </c>
      <c r="H738" s="86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5.3403962478246232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2.8159181394737116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5.9053715904014688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20.277272749757948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57.513997156829475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75.74216104190252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95.432340166445002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116.68327754350085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143.13238177211616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140.42227913528455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140.99689283925528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141.46808281047421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141.82866519298312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142.07109507942477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142.18744985371978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142.16941175627531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1981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69">L673</f>
        <v>2022</v>
      </c>
      <c r="M739" s="74">
        <f t="shared" si="269"/>
        <v>2023</v>
      </c>
      <c r="N739" s="74">
        <f t="shared" si="269"/>
        <v>2024</v>
      </c>
      <c r="O739" s="74">
        <f t="shared" si="269"/>
        <v>2025</v>
      </c>
      <c r="P739" s="74">
        <f t="shared" si="269"/>
        <v>2026</v>
      </c>
      <c r="Q739" s="74">
        <f t="shared" si="269"/>
        <v>2027</v>
      </c>
      <c r="R739" s="74">
        <f t="shared" si="269"/>
        <v>2028</v>
      </c>
      <c r="S739" s="74">
        <f t="shared" si="269"/>
        <v>2029</v>
      </c>
      <c r="T739" s="74">
        <f t="shared" si="269"/>
        <v>2030</v>
      </c>
      <c r="U739" s="74">
        <f t="shared" si="269"/>
        <v>2031</v>
      </c>
      <c r="V739" s="74">
        <f t="shared" si="269"/>
        <v>2032</v>
      </c>
      <c r="W739" s="74">
        <f t="shared" si="269"/>
        <v>2033</v>
      </c>
      <c r="X739" s="74">
        <f t="shared" si="269"/>
        <v>2034</v>
      </c>
      <c r="Y739" s="74">
        <f t="shared" si="269"/>
        <v>2035</v>
      </c>
      <c r="Z739" s="74">
        <f t="shared" si="269"/>
        <v>2036</v>
      </c>
      <c r="AA739" s="74">
        <f t="shared" si="269"/>
        <v>2037</v>
      </c>
      <c r="AB739" s="74">
        <f t="shared" si="269"/>
        <v>2038</v>
      </c>
      <c r="AC739" s="74">
        <f t="shared" si="269"/>
        <v>2039</v>
      </c>
      <c r="AD739" s="74">
        <f t="shared" si="269"/>
        <v>2040</v>
      </c>
      <c r="AE739" s="74">
        <f t="shared" si="269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1468</v>
      </c>
      <c r="F740" s="70"/>
      <c r="G740" s="70"/>
      <c r="H740" s="70"/>
      <c r="I740" s="70"/>
      <c r="J740" s="70"/>
      <c r="K740" s="72"/>
      <c r="L740" s="72">
        <f t="shared" ref="L740:L747" si="270">L675*G729/1000</f>
        <v>0.17734546065090059</v>
      </c>
      <c r="M740" s="72">
        <f t="shared" ref="M740:M747" si="271">M675*G729/1000</f>
        <v>0.18514866091954021</v>
      </c>
      <c r="N740" s="72">
        <f t="shared" ref="N740:N747" si="272">N675*G729/1000</f>
        <v>0.193295202</v>
      </c>
      <c r="O740" s="72">
        <f t="shared" ref="O740:O747" si="273">O675*G729/1000</f>
        <v>0.20180019088800003</v>
      </c>
      <c r="P740" s="72">
        <f t="shared" ref="P740:P747" si="274">P675*G729/1000</f>
        <v>0.21067939928707202</v>
      </c>
      <c r="Q740" s="72">
        <f t="shared" ref="Q740:Q747" si="275">Q675*G729/1000</f>
        <v>0.21994929285570322</v>
      </c>
      <c r="R740" s="72">
        <f t="shared" ref="R740:R747" si="276">R675*G729/1000</f>
        <v>0.22962706174135414</v>
      </c>
      <c r="S740" s="72">
        <f t="shared" ref="S740:S747" si="277">S675*G729/1000</f>
        <v>0.2397306524579737</v>
      </c>
      <c r="T740" s="72">
        <f t="shared" ref="T740:T747" si="278">T675*G729/1000</f>
        <v>0.25027880116612461</v>
      </c>
      <c r="U740" s="72">
        <f t="shared" ref="U740:U747" si="279">U675*G729/1000</f>
        <v>0.2612910684174341</v>
      </c>
      <c r="V740" s="72">
        <f t="shared" ref="V740:V747" si="280">V675*G729/1000</f>
        <v>0.27278787542780114</v>
      </c>
      <c r="W740" s="72">
        <f t="shared" ref="W740:W747" si="281">W675*G729/1000</f>
        <v>0.28479054194662445</v>
      </c>
      <c r="X740" s="72">
        <f t="shared" ref="X740:X747" si="282">X675*G729/1000</f>
        <v>0.29732132579227588</v>
      </c>
      <c r="Y740" s="72">
        <f t="shared" ref="Y740:Y747" si="283">Y675*G729/1000</f>
        <v>0.3104034641271361</v>
      </c>
      <c r="Z740" s="72">
        <f t="shared" ref="Z740:Z747" si="284">Z675*G729/1000</f>
        <v>0.32406121654872999</v>
      </c>
      <c r="AA740" s="72">
        <f t="shared" ref="AA740:AA747" si="285">AA675*G729/1000</f>
        <v>0.33831991007687412</v>
      </c>
      <c r="AB740" s="72">
        <f t="shared" ref="AB740:AB747" si="286">AB675*G729/1000</f>
        <v>0.35320598612025667</v>
      </c>
      <c r="AC740" s="72">
        <f t="shared" ref="AC740:AC747" si="287">AC675*G729/1000</f>
        <v>0.36874704950954795</v>
      </c>
      <c r="AD740" s="72">
        <f t="shared" ref="AD740:AD747" si="288">AD675*G729/1000</f>
        <v>0.38497191968796801</v>
      </c>
      <c r="AE740" s="72">
        <f t="shared" ref="AE740:AE747" si="289">AE675*G729/1000</f>
        <v>0.40191068415423858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1355</v>
      </c>
      <c r="E741" s="71" t="s">
        <v>1468</v>
      </c>
      <c r="F741" s="70"/>
      <c r="G741" s="70"/>
      <c r="H741" s="70"/>
      <c r="I741" s="70"/>
      <c r="J741" s="70"/>
      <c r="K741" s="72"/>
      <c r="L741" s="72">
        <f t="shared" si="270"/>
        <v>0.19368983132954593</v>
      </c>
      <c r="M741" s="72">
        <f t="shared" si="271"/>
        <v>0.20221218390804596</v>
      </c>
      <c r="N741" s="72">
        <f t="shared" si="272"/>
        <v>0.21110951999999997</v>
      </c>
      <c r="O741" s="72">
        <f t="shared" si="273"/>
        <v>0.22039833887999999</v>
      </c>
      <c r="P741" s="72">
        <f t="shared" si="274"/>
        <v>0.23009586579071997</v>
      </c>
      <c r="Q741" s="72">
        <f t="shared" si="275"/>
        <v>0.24022008388551169</v>
      </c>
      <c r="R741" s="72">
        <f t="shared" si="276"/>
        <v>0.25078976757647414</v>
      </c>
      <c r="S741" s="72">
        <f t="shared" si="277"/>
        <v>0.26182451734983908</v>
      </c>
      <c r="T741" s="72">
        <f t="shared" si="278"/>
        <v>0.27334479611323198</v>
      </c>
      <c r="U741" s="72">
        <f t="shared" si="279"/>
        <v>0.28537196714221424</v>
      </c>
      <c r="V741" s="72">
        <f t="shared" si="280"/>
        <v>0.29792833369647159</v>
      </c>
      <c r="W741" s="72">
        <f t="shared" si="281"/>
        <v>0.31103718037911643</v>
      </c>
      <c r="X741" s="72">
        <f t="shared" si="282"/>
        <v>0.32472281631579752</v>
      </c>
      <c r="Y741" s="72">
        <f t="shared" si="283"/>
        <v>0.33901062023369266</v>
      </c>
      <c r="Z741" s="72">
        <f t="shared" si="284"/>
        <v>0.35392708752397511</v>
      </c>
      <c r="AA741" s="72">
        <f t="shared" si="285"/>
        <v>0.36949987937502998</v>
      </c>
      <c r="AB741" s="72">
        <f t="shared" si="286"/>
        <v>0.38575787406753137</v>
      </c>
      <c r="AC741" s="72">
        <f t="shared" si="287"/>
        <v>0.40273122052650273</v>
      </c>
      <c r="AD741" s="72">
        <f t="shared" si="288"/>
        <v>0.42045139422966882</v>
      </c>
      <c r="AE741" s="72">
        <f t="shared" si="289"/>
        <v>0.43895125557577425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1359</v>
      </c>
      <c r="E742" s="71" t="s">
        <v>1468</v>
      </c>
      <c r="F742" s="70"/>
      <c r="G742" s="70"/>
      <c r="H742" s="70"/>
      <c r="I742" s="70"/>
      <c r="J742" s="70"/>
      <c r="K742" s="72"/>
      <c r="L742" s="72">
        <f t="shared" si="270"/>
        <v>0</v>
      </c>
      <c r="M742" s="72">
        <f t="shared" si="271"/>
        <v>0</v>
      </c>
      <c r="N742" s="72">
        <f t="shared" si="272"/>
        <v>0</v>
      </c>
      <c r="O742" s="72">
        <f t="shared" si="273"/>
        <v>0</v>
      </c>
      <c r="P742" s="72">
        <f t="shared" si="274"/>
        <v>0</v>
      </c>
      <c r="Q742" s="72">
        <f t="shared" si="275"/>
        <v>0</v>
      </c>
      <c r="R742" s="72">
        <f t="shared" si="276"/>
        <v>0</v>
      </c>
      <c r="S742" s="72">
        <f t="shared" si="277"/>
        <v>0</v>
      </c>
      <c r="T742" s="72">
        <f t="shared" si="278"/>
        <v>0</v>
      </c>
      <c r="U742" s="72">
        <f t="shared" si="279"/>
        <v>0</v>
      </c>
      <c r="V742" s="72">
        <f t="shared" si="280"/>
        <v>0</v>
      </c>
      <c r="W742" s="72">
        <f t="shared" si="281"/>
        <v>0</v>
      </c>
      <c r="X742" s="72">
        <f t="shared" si="282"/>
        <v>0</v>
      </c>
      <c r="Y742" s="72">
        <f t="shared" si="283"/>
        <v>0</v>
      </c>
      <c r="Z742" s="72">
        <f t="shared" si="284"/>
        <v>0</v>
      </c>
      <c r="AA742" s="72">
        <f t="shared" si="285"/>
        <v>0</v>
      </c>
      <c r="AB742" s="72">
        <f t="shared" si="286"/>
        <v>0</v>
      </c>
      <c r="AC742" s="72">
        <f t="shared" si="287"/>
        <v>0</v>
      </c>
      <c r="AD742" s="72">
        <f t="shared" si="288"/>
        <v>0</v>
      </c>
      <c r="AE742" s="72">
        <f t="shared" si="289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1363</v>
      </c>
      <c r="E743" s="71" t="s">
        <v>1468</v>
      </c>
      <c r="F743" s="70"/>
      <c r="G743" s="70"/>
      <c r="H743" s="70"/>
      <c r="I743" s="70"/>
      <c r="J743" s="70"/>
      <c r="K743" s="72"/>
      <c r="L743" s="72">
        <f t="shared" si="270"/>
        <v>25.163138219961041</v>
      </c>
      <c r="M743" s="72">
        <f t="shared" si="271"/>
        <v>25.993521781219755</v>
      </c>
      <c r="N743" s="72">
        <f t="shared" si="272"/>
        <v>26.851308</v>
      </c>
      <c r="O743" s="72">
        <f t="shared" si="273"/>
        <v>27.737401163999998</v>
      </c>
      <c r="P743" s="72">
        <f t="shared" si="274"/>
        <v>28.652735402411995</v>
      </c>
      <c r="Q743" s="72">
        <f t="shared" si="275"/>
        <v>29.598275670691589</v>
      </c>
      <c r="R743" s="72">
        <f t="shared" si="276"/>
        <v>30.575018767824407</v>
      </c>
      <c r="S743" s="72">
        <f t="shared" si="277"/>
        <v>31.583994387162612</v>
      </c>
      <c r="T743" s="72">
        <f t="shared" si="278"/>
        <v>32.626266201938975</v>
      </c>
      <c r="U743" s="72">
        <f t="shared" si="279"/>
        <v>33.70293298660296</v>
      </c>
      <c r="V743" s="72">
        <f t="shared" si="280"/>
        <v>34.815129775160841</v>
      </c>
      <c r="W743" s="72">
        <f t="shared" si="281"/>
        <v>35.964029057741151</v>
      </c>
      <c r="X743" s="72">
        <f t="shared" si="282"/>
        <v>37.150842016646592</v>
      </c>
      <c r="Y743" s="72">
        <f t="shared" si="283"/>
        <v>38.376819803195943</v>
      </c>
      <c r="Z743" s="72">
        <f t="shared" si="284"/>
        <v>39.643254856701404</v>
      </c>
      <c r="AA743" s="72">
        <f t="shared" si="285"/>
        <v>40.951482266972548</v>
      </c>
      <c r="AB743" s="72">
        <f t="shared" si="286"/>
        <v>42.302881181782631</v>
      </c>
      <c r="AC743" s="72">
        <f t="shared" si="287"/>
        <v>43.698876260781446</v>
      </c>
      <c r="AD743" s="72">
        <f t="shared" si="288"/>
        <v>45.140939177387231</v>
      </c>
      <c r="AE743" s="72">
        <f t="shared" si="289"/>
        <v>46.630590170241007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1425</v>
      </c>
      <c r="E744" s="71" t="s">
        <v>1468</v>
      </c>
      <c r="F744" s="70"/>
      <c r="G744" s="70"/>
      <c r="H744" s="70"/>
      <c r="I744" s="70"/>
      <c r="J744" s="70"/>
      <c r="K744" s="72"/>
      <c r="L744" s="72">
        <f t="shared" si="270"/>
        <v>0</v>
      </c>
      <c r="M744" s="72">
        <f t="shared" si="271"/>
        <v>0</v>
      </c>
      <c r="N744" s="72">
        <f t="shared" si="272"/>
        <v>0</v>
      </c>
      <c r="O744" s="72">
        <f t="shared" si="273"/>
        <v>0</v>
      </c>
      <c r="P744" s="72">
        <f t="shared" si="274"/>
        <v>0</v>
      </c>
      <c r="Q744" s="72">
        <f t="shared" si="275"/>
        <v>0</v>
      </c>
      <c r="R744" s="72">
        <f t="shared" si="276"/>
        <v>0</v>
      </c>
      <c r="S744" s="72">
        <f t="shared" si="277"/>
        <v>0</v>
      </c>
      <c r="T744" s="72">
        <f t="shared" si="278"/>
        <v>0</v>
      </c>
      <c r="U744" s="72">
        <f t="shared" si="279"/>
        <v>0</v>
      </c>
      <c r="V744" s="72">
        <f t="shared" si="280"/>
        <v>0</v>
      </c>
      <c r="W744" s="72">
        <f t="shared" si="281"/>
        <v>0</v>
      </c>
      <c r="X744" s="72">
        <f t="shared" si="282"/>
        <v>0</v>
      </c>
      <c r="Y744" s="72">
        <f t="shared" si="283"/>
        <v>0</v>
      </c>
      <c r="Z744" s="72">
        <f t="shared" si="284"/>
        <v>0</v>
      </c>
      <c r="AA744" s="72">
        <f t="shared" si="285"/>
        <v>0</v>
      </c>
      <c r="AB744" s="72">
        <f t="shared" si="286"/>
        <v>0</v>
      </c>
      <c r="AC744" s="72">
        <f t="shared" si="287"/>
        <v>0</v>
      </c>
      <c r="AD744" s="72">
        <f t="shared" si="288"/>
        <v>0</v>
      </c>
      <c r="AE744" s="72">
        <f t="shared" si="289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1373</v>
      </c>
      <c r="E745" s="71" t="s">
        <v>1468</v>
      </c>
      <c r="F745" s="70"/>
      <c r="G745" s="70"/>
      <c r="H745" s="70"/>
      <c r="I745" s="70"/>
      <c r="J745" s="70"/>
      <c r="K745" s="72"/>
      <c r="L745" s="72">
        <f t="shared" si="270"/>
        <v>0</v>
      </c>
      <c r="M745" s="72">
        <f t="shared" si="271"/>
        <v>0</v>
      </c>
      <c r="N745" s="72">
        <f t="shared" si="272"/>
        <v>0</v>
      </c>
      <c r="O745" s="72">
        <f t="shared" si="273"/>
        <v>0</v>
      </c>
      <c r="P745" s="72">
        <f t="shared" si="274"/>
        <v>0</v>
      </c>
      <c r="Q745" s="72">
        <f t="shared" si="275"/>
        <v>0</v>
      </c>
      <c r="R745" s="72">
        <f t="shared" si="276"/>
        <v>0</v>
      </c>
      <c r="S745" s="72">
        <f t="shared" si="277"/>
        <v>0</v>
      </c>
      <c r="T745" s="72">
        <f t="shared" si="278"/>
        <v>0</v>
      </c>
      <c r="U745" s="72">
        <f t="shared" si="279"/>
        <v>0</v>
      </c>
      <c r="V745" s="72">
        <f t="shared" si="280"/>
        <v>0</v>
      </c>
      <c r="W745" s="72">
        <f t="shared" si="281"/>
        <v>0</v>
      </c>
      <c r="X745" s="72">
        <f t="shared" si="282"/>
        <v>0</v>
      </c>
      <c r="Y745" s="72">
        <f t="shared" si="283"/>
        <v>0</v>
      </c>
      <c r="Z745" s="72">
        <f t="shared" si="284"/>
        <v>0</v>
      </c>
      <c r="AA745" s="72">
        <f t="shared" si="285"/>
        <v>0</v>
      </c>
      <c r="AB745" s="72">
        <f t="shared" si="286"/>
        <v>0</v>
      </c>
      <c r="AC745" s="72">
        <f t="shared" si="287"/>
        <v>0</v>
      </c>
      <c r="AD745" s="72">
        <f t="shared" si="288"/>
        <v>0</v>
      </c>
      <c r="AE745" s="72">
        <f t="shared" si="289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1378</v>
      </c>
      <c r="E746" s="71" t="s">
        <v>1468</v>
      </c>
      <c r="F746" s="70"/>
      <c r="G746" s="70"/>
      <c r="H746" s="70"/>
      <c r="I746" s="70"/>
      <c r="J746" s="70"/>
      <c r="K746" s="72"/>
      <c r="L746" s="72">
        <f t="shared" si="270"/>
        <v>0.57123661061347031</v>
      </c>
      <c r="M746" s="72">
        <f t="shared" si="271"/>
        <v>0.58380381604696674</v>
      </c>
      <c r="N746" s="72">
        <f t="shared" si="272"/>
        <v>0.5966475</v>
      </c>
      <c r="O746" s="72">
        <f t="shared" si="273"/>
        <v>0.60977374500000003</v>
      </c>
      <c r="P746" s="72">
        <f t="shared" si="274"/>
        <v>0.62318876738999995</v>
      </c>
      <c r="Q746" s="72">
        <f t="shared" si="275"/>
        <v>0.6368989202725801</v>
      </c>
      <c r="R746" s="72">
        <f t="shared" si="276"/>
        <v>0.65091069651857669</v>
      </c>
      <c r="S746" s="72">
        <f t="shared" si="277"/>
        <v>0.66523073184198556</v>
      </c>
      <c r="T746" s="72">
        <f t="shared" si="278"/>
        <v>0.67986580794250906</v>
      </c>
      <c r="U746" s="72">
        <f t="shared" si="279"/>
        <v>0.69482285571724434</v>
      </c>
      <c r="V746" s="72">
        <f t="shared" si="280"/>
        <v>0.7101089585430238</v>
      </c>
      <c r="W746" s="72">
        <f t="shared" si="281"/>
        <v>0.72573135563097024</v>
      </c>
      <c r="X746" s="72">
        <f t="shared" si="282"/>
        <v>0.74169744545485172</v>
      </c>
      <c r="Y746" s="72">
        <f t="shared" si="283"/>
        <v>0.75801478925485843</v>
      </c>
      <c r="Z746" s="72">
        <f t="shared" si="284"/>
        <v>0.7746911146184654</v>
      </c>
      <c r="AA746" s="72">
        <f t="shared" si="285"/>
        <v>0.79173431914007153</v>
      </c>
      <c r="AB746" s="72">
        <f t="shared" si="286"/>
        <v>0.8091524741611531</v>
      </c>
      <c r="AC746" s="72">
        <f t="shared" si="287"/>
        <v>0.8269538285926985</v>
      </c>
      <c r="AD746" s="72">
        <f t="shared" si="288"/>
        <v>0.84514681282173787</v>
      </c>
      <c r="AE746" s="72">
        <f t="shared" si="289"/>
        <v>0.8637400427038161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1383</v>
      </c>
      <c r="E747" s="71" t="s">
        <v>1468</v>
      </c>
      <c r="F747" s="70"/>
      <c r="G747" s="70"/>
      <c r="H747" s="70"/>
      <c r="I747" s="70"/>
      <c r="J747" s="70"/>
      <c r="K747" s="72"/>
      <c r="L747" s="72">
        <f t="shared" si="270"/>
        <v>0.64621002403360217</v>
      </c>
      <c r="M747" s="72">
        <f t="shared" si="271"/>
        <v>0.68175157535545017</v>
      </c>
      <c r="N747" s="72">
        <f t="shared" si="272"/>
        <v>0.71924791200000004</v>
      </c>
      <c r="O747" s="72">
        <f t="shared" si="273"/>
        <v>0.75880654716000007</v>
      </c>
      <c r="P747" s="72">
        <f t="shared" si="274"/>
        <v>0.80054090725379989</v>
      </c>
      <c r="Q747" s="72">
        <f t="shared" si="275"/>
        <v>0.84457065715275881</v>
      </c>
      <c r="R747" s="72">
        <f t="shared" si="276"/>
        <v>0.89102204329616075</v>
      </c>
      <c r="S747" s="72">
        <f t="shared" si="277"/>
        <v>0.9400282556774493</v>
      </c>
      <c r="T747" s="72">
        <f t="shared" si="278"/>
        <v>0.99172980973970914</v>
      </c>
      <c r="U747" s="72">
        <f t="shared" si="279"/>
        <v>1.0462749492753931</v>
      </c>
      <c r="V747" s="72">
        <f t="shared" si="280"/>
        <v>1.1038200714855397</v>
      </c>
      <c r="W747" s="72">
        <f t="shared" si="281"/>
        <v>1.1645301754172441</v>
      </c>
      <c r="X747" s="72">
        <f t="shared" si="282"/>
        <v>1.2285793350651928</v>
      </c>
      <c r="Y747" s="72">
        <f t="shared" si="283"/>
        <v>1.2961511984937784</v>
      </c>
      <c r="Z747" s="72">
        <f t="shared" si="284"/>
        <v>1.3674395144109359</v>
      </c>
      <c r="AA747" s="72">
        <f t="shared" si="285"/>
        <v>1.4426486877035372</v>
      </c>
      <c r="AB747" s="72">
        <f t="shared" si="286"/>
        <v>1.5219943655272321</v>
      </c>
      <c r="AC747" s="72">
        <f t="shared" si="287"/>
        <v>1.6057040556312294</v>
      </c>
      <c r="AD747" s="72">
        <f t="shared" si="288"/>
        <v>1.6940177786909472</v>
      </c>
      <c r="AE747" s="72">
        <f t="shared" si="289"/>
        <v>1.787188756518949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1469</v>
      </c>
      <c r="E748" s="70"/>
      <c r="F748" s="70"/>
      <c r="G748" s="70"/>
      <c r="H748" s="70"/>
      <c r="I748" s="70"/>
      <c r="J748" s="70"/>
      <c r="K748" s="72"/>
      <c r="L748" s="72">
        <f t="shared" ref="L748:AE748" si="290">SUM(L740:L747)</f>
        <v>26.751620146588564</v>
      </c>
      <c r="M748" s="72">
        <f t="shared" si="290"/>
        <v>27.646438017449757</v>
      </c>
      <c r="N748" s="72">
        <f t="shared" si="290"/>
        <v>28.571608133999998</v>
      </c>
      <c r="O748" s="72">
        <f t="shared" si="290"/>
        <v>29.528179985927999</v>
      </c>
      <c r="P748" s="72">
        <f t="shared" si="290"/>
        <v>30.51724034213359</v>
      </c>
      <c r="Q748" s="72">
        <f t="shared" si="290"/>
        <v>31.539914624858142</v>
      </c>
      <c r="R748" s="72">
        <f t="shared" si="290"/>
        <v>32.597368336956968</v>
      </c>
      <c r="S748" s="72">
        <f t="shared" si="290"/>
        <v>33.690808544489862</v>
      </c>
      <c r="T748" s="72">
        <f t="shared" si="290"/>
        <v>34.821485416900551</v>
      </c>
      <c r="U748" s="72">
        <f t="shared" si="290"/>
        <v>35.990693827155241</v>
      </c>
      <c r="V748" s="72">
        <f t="shared" si="290"/>
        <v>37.199775014313673</v>
      </c>
      <c r="W748" s="72">
        <f t="shared" si="290"/>
        <v>38.450118311115105</v>
      </c>
      <c r="X748" s="72">
        <f t="shared" si="290"/>
        <v>39.743162939274711</v>
      </c>
      <c r="Y748" s="72">
        <f t="shared" si="290"/>
        <v>41.08039987530541</v>
      </c>
      <c r="Z748" s="72">
        <f t="shared" si="290"/>
        <v>42.463373789803505</v>
      </c>
      <c r="AA748" s="72">
        <f t="shared" si="290"/>
        <v>43.893685063268059</v>
      </c>
      <c r="AB748" s="72">
        <f t="shared" si="290"/>
        <v>45.372991881658805</v>
      </c>
      <c r="AC748" s="72">
        <f t="shared" si="290"/>
        <v>46.903012415041424</v>
      </c>
      <c r="AD748" s="72">
        <f t="shared" si="290"/>
        <v>48.485527082817555</v>
      </c>
      <c r="AE748" s="72">
        <f t="shared" si="290"/>
        <v>50.122380909193787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2013</v>
      </c>
      <c r="E749" s="70" t="s">
        <v>1854</v>
      </c>
      <c r="F749" s="70"/>
      <c r="G749" s="70" t="s">
        <v>1475</v>
      </c>
      <c r="H749" s="86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5.3403962478246232</v>
      </c>
      <c r="Q749" s="72">
        <f>SUMPRODUCT($I$675:$I$682*$N$675:$N$682*(1+$G$675:$G$682)^(Q$673-$N$673)/($N$675:$N$682+($N$675:$N$682=0))*'Manual inputs'!Q$81*'Manual inputs'!Q$79*($F$729:$F$736+$G$729:$G$736))/1000</f>
        <v>11.078559094261385</v>
      </c>
      <c r="R749" s="72">
        <f>SUMPRODUCT($I$675:$I$682*$N$675:$N$682*(1+$G$675:$G$682)^(R$673-$N$673)/($N$675:$N$682+($N$675:$N$682=0))*'Manual inputs'!R$81*'Manual inputs'!R$79*($F$729:$F$736+$G$729:$G$736))/1000</f>
        <v>22.98530087521716</v>
      </c>
      <c r="S749" s="72">
        <f>SUMPRODUCT($I$675:$I$682*$N$675:$N$682*(1+$G$675:$G$682)^(S$673-$N$673)/($N$675:$N$682+($N$675:$N$682=0))*'Manual inputs'!S$81*'Manual inputs'!S$79*($F$729:$F$736+$G$729:$G$736))/1000</f>
        <v>53.657060396137581</v>
      </c>
      <c r="T749" s="72">
        <f>SUMPRODUCT($I$675:$I$682*$N$675:$N$682*(1+$G$675:$G$682)^(T$673-$N$673)/($N$675:$N$682+($N$675:$N$682=0))*'Manual inputs'!T$81*'Manual inputs'!T$79*($F$729:$F$736+$G$729:$G$736))/1000</f>
        <v>120.0155796747419</v>
      </c>
      <c r="U749" s="72">
        <f>SUMPRODUCT($I$675:$I$682*$N$675:$N$682*(1+$G$675:$G$682)^(U$673-$N$673)/($N$675:$N$682+($N$675:$N$682=0))*'Manual inputs'!U$81*'Manual inputs'!U$79*($F$729:$F$736+$G$729:$G$736))/1000</f>
        <v>156.65156177105959</v>
      </c>
      <c r="V749" s="72">
        <f>SUMPRODUCT($I$675:$I$682*$N$675:$N$682*(1+$G$675:$G$682)^(V$673-$N$673)/($N$675:$N$682+($N$675:$N$682=0))*'Manual inputs'!V$81*'Manual inputs'!V$79*($F$729:$F$736+$G$729:$G$736))/1000</f>
        <v>195.91099651311984</v>
      </c>
      <c r="W749" s="72">
        <f>SUMPRODUCT($I$675:$I$682*$N$675:$N$682*(1+$G$675:$G$682)^(W$673-$N$673)/($N$675:$N$682+($N$675:$N$682=0))*'Manual inputs'!W$81*'Manual inputs'!W$79*($F$729:$F$736+$G$729:$G$736))/1000</f>
        <v>237.95463678403516</v>
      </c>
      <c r="X749" s="72">
        <f>SUMPRODUCT($I$675:$I$682*$N$675:$N$682*(1+$G$675:$G$682)^(X$673-$N$673)/($N$675:$N$682+($N$675:$N$682=0))*'Manual inputs'!X$81*'Manual inputs'!X$79*($F$729:$F$736+$G$729:$G$736))/1000</f>
        <v>287.26169102231927</v>
      </c>
      <c r="Y749" s="72">
        <f>SUMPRODUCT($I$675:$I$682*$N$675:$N$682*(1+$G$675:$G$682)^(Y$673-$N$673)/($N$675:$N$682+($N$675:$N$682=0))*'Manual inputs'!Y$81*'Manual inputs'!Y$79*($F$729:$F$736+$G$729:$G$736))/1000</f>
        <v>298.27545824009263</v>
      </c>
      <c r="Z749" s="72">
        <f>SUMPRODUCT($I$675:$I$682*$N$675:$N$682*(1+$G$675:$G$682)^(Z$673-$N$673)/($N$675:$N$682+($N$675:$N$682=0))*'Manual inputs'!Z$81*'Manual inputs'!Z$79*($F$729:$F$736+$G$729:$G$736))/1000</f>
        <v>309.75277665421947</v>
      </c>
      <c r="AA749" s="72">
        <f>SUMPRODUCT($I$675:$I$682*$N$675:$N$682*(1+$G$675:$G$682)^(AA$673-$N$673)/($N$675:$N$682+($N$675:$N$682=0))*'Manual inputs'!AA$81*'Manual inputs'!AA$79*($F$729:$F$736+$G$729:$G$736))/1000</f>
        <v>321.71463909494184</v>
      </c>
      <c r="AB749" s="72">
        <f>SUMPRODUCT($I$675:$I$682*$N$675:$N$682*(1+$G$675:$G$682)^(AB$673-$N$673)/($N$675:$N$682+($N$675:$N$682=0))*'Manual inputs'!AB$81*'Manual inputs'!AB$79*($F$729:$F$736+$G$729:$G$736))/1000</f>
        <v>334.1830417601422</v>
      </c>
      <c r="AC749" s="72">
        <f>SUMPRODUCT($I$675:$I$682*$N$675:$N$682*(1+$G$675:$G$682)^(AC$673-$N$673)/($N$675:$N$682+($N$675:$N$682=0))*'Manual inputs'!AC$81*'Manual inputs'!AC$79*($F$729:$F$736+$G$729:$G$736))/1000</f>
        <v>347.18103405019116</v>
      </c>
      <c r="AD749" s="72">
        <f>SUMPRODUCT($I$675:$I$682*$N$675:$N$682*(1+$G$675:$G$682)^(AD$673-$N$673)/($N$675:$N$682+($N$675:$N$682=0))*'Manual inputs'!AD$81*'Manual inputs'!AD$79*($F$729:$F$736+$G$729:$G$736))/1000</f>
        <v>360.73277094599149</v>
      </c>
      <c r="AE749" s="72">
        <f>SUMPRODUCT($I$675:$I$682*$N$675:$N$682*(1+$G$675:$G$682)^(AE$673-$N$673)/($N$675:$N$682+($N$675:$N$682=0))*'Manual inputs'!AE$81*'Manual inputs'!AE$79*($F$729:$F$736+$G$729:$G$736))/1000</f>
        <v>374.86356806252212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1471</v>
      </c>
      <c r="D750" s="73"/>
      <c r="E750" s="72" t="s">
        <v>1472</v>
      </c>
      <c r="F750" s="72" t="s">
        <v>1390</v>
      </c>
      <c r="G750" s="72" t="s">
        <v>1473</v>
      </c>
      <c r="H750" s="74"/>
      <c r="I750" s="74"/>
      <c r="J750" s="74"/>
      <c r="K750" s="74"/>
      <c r="L750" s="74">
        <f t="shared" ref="L750:AE750" si="291">L697</f>
        <v>2022</v>
      </c>
      <c r="M750" s="74">
        <f t="shared" si="291"/>
        <v>2023</v>
      </c>
      <c r="N750" s="74">
        <f t="shared" si="291"/>
        <v>2024</v>
      </c>
      <c r="O750" s="74">
        <f t="shared" si="291"/>
        <v>2025</v>
      </c>
      <c r="P750" s="74">
        <f t="shared" si="291"/>
        <v>2026</v>
      </c>
      <c r="Q750" s="74">
        <f t="shared" si="291"/>
        <v>2027</v>
      </c>
      <c r="R750" s="74">
        <f t="shared" si="291"/>
        <v>2028</v>
      </c>
      <c r="S750" s="74">
        <f t="shared" si="291"/>
        <v>2029</v>
      </c>
      <c r="T750" s="74">
        <f t="shared" si="291"/>
        <v>2030</v>
      </c>
      <c r="U750" s="74">
        <f t="shared" si="291"/>
        <v>2031</v>
      </c>
      <c r="V750" s="74">
        <f t="shared" si="291"/>
        <v>2032</v>
      </c>
      <c r="W750" s="74">
        <f t="shared" si="291"/>
        <v>2033</v>
      </c>
      <c r="X750" s="74">
        <f t="shared" si="291"/>
        <v>2034</v>
      </c>
      <c r="Y750" s="74">
        <f t="shared" si="291"/>
        <v>2035</v>
      </c>
      <c r="Z750" s="74">
        <f t="shared" si="291"/>
        <v>2036</v>
      </c>
      <c r="AA750" s="74">
        <f t="shared" si="291"/>
        <v>2037</v>
      </c>
      <c r="AB750" s="74">
        <f t="shared" si="291"/>
        <v>2038</v>
      </c>
      <c r="AC750" s="74">
        <f t="shared" si="291"/>
        <v>2039</v>
      </c>
      <c r="AD750" s="74">
        <f t="shared" si="291"/>
        <v>2040</v>
      </c>
      <c r="AE750" s="74">
        <f t="shared" si="291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92">L729*(EXP(-($E751)*(L648))-1)</f>
        <v>0</v>
      </c>
      <c r="M751" s="72">
        <f t="shared" si="292"/>
        <v>0</v>
      </c>
      <c r="N751" s="72">
        <f t="shared" si="292"/>
        <v>0</v>
      </c>
      <c r="O751" s="72">
        <f t="shared" si="292"/>
        <v>0</v>
      </c>
      <c r="P751" s="72">
        <f t="shared" si="292"/>
        <v>0</v>
      </c>
      <c r="Q751" s="72">
        <f t="shared" si="292"/>
        <v>0</v>
      </c>
      <c r="R751" s="72">
        <f t="shared" si="292"/>
        <v>0</v>
      </c>
      <c r="S751" s="72">
        <f t="shared" si="292"/>
        <v>0</v>
      </c>
      <c r="T751" s="72">
        <f t="shared" si="292"/>
        <v>0</v>
      </c>
      <c r="U751" s="72">
        <f t="shared" si="292"/>
        <v>0</v>
      </c>
      <c r="V751" s="72">
        <f t="shared" si="292"/>
        <v>0</v>
      </c>
      <c r="W751" s="72">
        <f t="shared" si="292"/>
        <v>0</v>
      </c>
      <c r="X751" s="72">
        <f t="shared" si="292"/>
        <v>0</v>
      </c>
      <c r="Y751" s="72">
        <f t="shared" si="292"/>
        <v>0</v>
      </c>
      <c r="Z751" s="72">
        <f t="shared" si="292"/>
        <v>0</v>
      </c>
      <c r="AA751" s="72">
        <f t="shared" si="292"/>
        <v>0</v>
      </c>
      <c r="AB751" s="72">
        <f t="shared" si="292"/>
        <v>0</v>
      </c>
      <c r="AC751" s="72">
        <f t="shared" si="292"/>
        <v>0</v>
      </c>
      <c r="AD751" s="72">
        <f t="shared" si="292"/>
        <v>0</v>
      </c>
      <c r="AE751" s="72">
        <f t="shared" si="292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1355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93">L730*(EXP(-($E752)*(L648))-1)</f>
        <v>0</v>
      </c>
      <c r="M752" s="72">
        <f t="shared" si="293"/>
        <v>0</v>
      </c>
      <c r="N752" s="72">
        <f t="shared" si="293"/>
        <v>0</v>
      </c>
      <c r="O752" s="72">
        <f t="shared" si="293"/>
        <v>0</v>
      </c>
      <c r="P752" s="72">
        <f t="shared" si="293"/>
        <v>0</v>
      </c>
      <c r="Q752" s="72">
        <f t="shared" si="293"/>
        <v>0</v>
      </c>
      <c r="R752" s="72">
        <f t="shared" si="293"/>
        <v>0</v>
      </c>
      <c r="S752" s="72">
        <f t="shared" si="293"/>
        <v>0</v>
      </c>
      <c r="T752" s="72">
        <f t="shared" si="293"/>
        <v>0</v>
      </c>
      <c r="U752" s="72">
        <f t="shared" si="293"/>
        <v>0</v>
      </c>
      <c r="V752" s="72">
        <f t="shared" si="293"/>
        <v>0</v>
      </c>
      <c r="W752" s="72">
        <f t="shared" si="293"/>
        <v>0</v>
      </c>
      <c r="X752" s="72">
        <f t="shared" si="293"/>
        <v>0</v>
      </c>
      <c r="Y752" s="72">
        <f t="shared" si="293"/>
        <v>0</v>
      </c>
      <c r="Z752" s="72">
        <f t="shared" si="293"/>
        <v>0</v>
      </c>
      <c r="AA752" s="72">
        <f t="shared" si="293"/>
        <v>0</v>
      </c>
      <c r="AB752" s="72">
        <f t="shared" si="293"/>
        <v>0</v>
      </c>
      <c r="AC752" s="72">
        <f t="shared" si="293"/>
        <v>0</v>
      </c>
      <c r="AD752" s="72">
        <f t="shared" si="293"/>
        <v>0</v>
      </c>
      <c r="AE752" s="72">
        <f t="shared" si="293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1391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4">L731*(EXP(-($E753)*(L648))-1)</f>
        <v>0</v>
      </c>
      <c r="M753" s="72">
        <f t="shared" si="294"/>
        <v>0</v>
      </c>
      <c r="N753" s="72">
        <f t="shared" si="294"/>
        <v>0</v>
      </c>
      <c r="O753" s="72">
        <f t="shared" si="294"/>
        <v>0</v>
      </c>
      <c r="P753" s="72">
        <f t="shared" si="294"/>
        <v>0</v>
      </c>
      <c r="Q753" s="72">
        <f t="shared" si="294"/>
        <v>0</v>
      </c>
      <c r="R753" s="72">
        <f t="shared" si="294"/>
        <v>0</v>
      </c>
      <c r="S753" s="72">
        <f t="shared" si="294"/>
        <v>0</v>
      </c>
      <c r="T753" s="72">
        <f t="shared" si="294"/>
        <v>0</v>
      </c>
      <c r="U753" s="72">
        <f t="shared" si="294"/>
        <v>0</v>
      </c>
      <c r="V753" s="72">
        <f t="shared" si="294"/>
        <v>0</v>
      </c>
      <c r="W753" s="72">
        <f t="shared" si="294"/>
        <v>0</v>
      </c>
      <c r="X753" s="72">
        <f t="shared" si="294"/>
        <v>0</v>
      </c>
      <c r="Y753" s="72">
        <f t="shared" si="294"/>
        <v>0</v>
      </c>
      <c r="Z753" s="72">
        <f t="shared" si="294"/>
        <v>0</v>
      </c>
      <c r="AA753" s="72">
        <f t="shared" si="294"/>
        <v>0</v>
      </c>
      <c r="AB753" s="72">
        <f t="shared" si="294"/>
        <v>0</v>
      </c>
      <c r="AC753" s="72">
        <f t="shared" si="294"/>
        <v>0</v>
      </c>
      <c r="AD753" s="72">
        <f t="shared" si="294"/>
        <v>0</v>
      </c>
      <c r="AE753" s="72">
        <f t="shared" si="294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1392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5">L732*(EXP(-($E754)*(L648))-1)</f>
        <v>0</v>
      </c>
      <c r="M754" s="72">
        <f t="shared" si="295"/>
        <v>0</v>
      </c>
      <c r="N754" s="72">
        <f t="shared" si="295"/>
        <v>0</v>
      </c>
      <c r="O754" s="72">
        <f t="shared" si="295"/>
        <v>0</v>
      </c>
      <c r="P754" s="72">
        <f t="shared" si="295"/>
        <v>0</v>
      </c>
      <c r="Q754" s="72">
        <f t="shared" si="295"/>
        <v>0</v>
      </c>
      <c r="R754" s="72">
        <f t="shared" si="295"/>
        <v>0</v>
      </c>
      <c r="S754" s="72">
        <f t="shared" si="295"/>
        <v>0</v>
      </c>
      <c r="T754" s="72">
        <f t="shared" si="295"/>
        <v>0</v>
      </c>
      <c r="U754" s="72">
        <f t="shared" si="295"/>
        <v>0</v>
      </c>
      <c r="V754" s="72">
        <f t="shared" si="295"/>
        <v>0</v>
      </c>
      <c r="W754" s="72">
        <f t="shared" si="295"/>
        <v>0</v>
      </c>
      <c r="X754" s="72">
        <f t="shared" si="295"/>
        <v>0</v>
      </c>
      <c r="Y754" s="72">
        <f t="shared" si="295"/>
        <v>0</v>
      </c>
      <c r="Z754" s="72">
        <f t="shared" si="295"/>
        <v>0</v>
      </c>
      <c r="AA754" s="72">
        <f t="shared" si="295"/>
        <v>0</v>
      </c>
      <c r="AB754" s="72">
        <f t="shared" si="295"/>
        <v>0</v>
      </c>
      <c r="AC754" s="72">
        <f t="shared" si="295"/>
        <v>0</v>
      </c>
      <c r="AD754" s="72">
        <f t="shared" si="295"/>
        <v>0</v>
      </c>
      <c r="AE754" s="72">
        <f t="shared" si="295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1393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6">L733*(EXP(-($E755)*(L648))-1)</f>
        <v>0</v>
      </c>
      <c r="M755" s="72">
        <f t="shared" si="296"/>
        <v>0</v>
      </c>
      <c r="N755" s="72">
        <f t="shared" si="296"/>
        <v>0</v>
      </c>
      <c r="O755" s="72">
        <f t="shared" si="296"/>
        <v>0</v>
      </c>
      <c r="P755" s="72">
        <f t="shared" si="296"/>
        <v>0</v>
      </c>
      <c r="Q755" s="72">
        <f t="shared" si="296"/>
        <v>0</v>
      </c>
      <c r="R755" s="72">
        <f t="shared" si="296"/>
        <v>0</v>
      </c>
      <c r="S755" s="72">
        <f t="shared" si="296"/>
        <v>0</v>
      </c>
      <c r="T755" s="72">
        <f t="shared" si="296"/>
        <v>0</v>
      </c>
      <c r="U755" s="72">
        <f t="shared" si="296"/>
        <v>0</v>
      </c>
      <c r="V755" s="72">
        <f t="shared" si="296"/>
        <v>0</v>
      </c>
      <c r="W755" s="72">
        <f t="shared" si="296"/>
        <v>0</v>
      </c>
      <c r="X755" s="72">
        <f t="shared" si="296"/>
        <v>0</v>
      </c>
      <c r="Y755" s="72">
        <f t="shared" si="296"/>
        <v>0</v>
      </c>
      <c r="Z755" s="72">
        <f t="shared" si="296"/>
        <v>0</v>
      </c>
      <c r="AA755" s="72">
        <f t="shared" si="296"/>
        <v>0</v>
      </c>
      <c r="AB755" s="72">
        <f t="shared" si="296"/>
        <v>0</v>
      </c>
      <c r="AC755" s="72">
        <f t="shared" si="296"/>
        <v>0</v>
      </c>
      <c r="AD755" s="72">
        <f t="shared" si="296"/>
        <v>0</v>
      </c>
      <c r="AE755" s="72">
        <f t="shared" si="296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1373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7">L734*(EXP(-($E756)*(L648))-1)</f>
        <v>0</v>
      </c>
      <c r="M756" s="72">
        <f t="shared" si="297"/>
        <v>0</v>
      </c>
      <c r="N756" s="72">
        <f t="shared" si="297"/>
        <v>0</v>
      </c>
      <c r="O756" s="72">
        <f t="shared" si="297"/>
        <v>0</v>
      </c>
      <c r="P756" s="72">
        <f t="shared" si="297"/>
        <v>0</v>
      </c>
      <c r="Q756" s="72">
        <f t="shared" si="297"/>
        <v>0</v>
      </c>
      <c r="R756" s="72">
        <f t="shared" si="297"/>
        <v>0</v>
      </c>
      <c r="S756" s="72">
        <f t="shared" si="297"/>
        <v>0</v>
      </c>
      <c r="T756" s="72">
        <f t="shared" si="297"/>
        <v>0</v>
      </c>
      <c r="U756" s="72">
        <f t="shared" si="297"/>
        <v>0</v>
      </c>
      <c r="V756" s="72">
        <f t="shared" si="297"/>
        <v>0</v>
      </c>
      <c r="W756" s="72">
        <f t="shared" si="297"/>
        <v>0</v>
      </c>
      <c r="X756" s="72">
        <f t="shared" si="297"/>
        <v>0</v>
      </c>
      <c r="Y756" s="72">
        <f t="shared" si="297"/>
        <v>0</v>
      </c>
      <c r="Z756" s="72">
        <f t="shared" si="297"/>
        <v>0</v>
      </c>
      <c r="AA756" s="72">
        <f t="shared" si="297"/>
        <v>0</v>
      </c>
      <c r="AB756" s="72">
        <f t="shared" si="297"/>
        <v>0</v>
      </c>
      <c r="AC756" s="72">
        <f t="shared" si="297"/>
        <v>0</v>
      </c>
      <c r="AD756" s="72">
        <f t="shared" si="297"/>
        <v>0</v>
      </c>
      <c r="AE756" s="72">
        <f t="shared" si="297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1394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8">L735*(EXP(-($E757)*(L648))-1)</f>
        <v>0</v>
      </c>
      <c r="M757" s="72">
        <f t="shared" si="298"/>
        <v>0</v>
      </c>
      <c r="N757" s="72">
        <f t="shared" si="298"/>
        <v>0</v>
      </c>
      <c r="O757" s="72">
        <f t="shared" si="298"/>
        <v>0</v>
      </c>
      <c r="P757" s="72">
        <f t="shared" si="298"/>
        <v>0</v>
      </c>
      <c r="Q757" s="72">
        <f t="shared" si="298"/>
        <v>0</v>
      </c>
      <c r="R757" s="72">
        <f t="shared" si="298"/>
        <v>0</v>
      </c>
      <c r="S757" s="72">
        <f t="shared" si="298"/>
        <v>0</v>
      </c>
      <c r="T757" s="72">
        <f t="shared" si="298"/>
        <v>0</v>
      </c>
      <c r="U757" s="72">
        <f t="shared" si="298"/>
        <v>0</v>
      </c>
      <c r="V757" s="72">
        <f t="shared" si="298"/>
        <v>0</v>
      </c>
      <c r="W757" s="72">
        <f t="shared" si="298"/>
        <v>0</v>
      </c>
      <c r="X757" s="72">
        <f t="shared" si="298"/>
        <v>0</v>
      </c>
      <c r="Y757" s="72">
        <f t="shared" si="298"/>
        <v>0</v>
      </c>
      <c r="Z757" s="72">
        <f t="shared" si="298"/>
        <v>0</v>
      </c>
      <c r="AA757" s="72">
        <f t="shared" si="298"/>
        <v>0</v>
      </c>
      <c r="AB757" s="72">
        <f t="shared" si="298"/>
        <v>0</v>
      </c>
      <c r="AC757" s="72">
        <f t="shared" si="298"/>
        <v>0</v>
      </c>
      <c r="AD757" s="72">
        <f t="shared" si="298"/>
        <v>0</v>
      </c>
      <c r="AE757" s="72">
        <f t="shared" si="298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1383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99">L736*(EXP(-($E758)*(L648))-1)</f>
        <v>0</v>
      </c>
      <c r="M758" s="72">
        <f t="shared" si="299"/>
        <v>0</v>
      </c>
      <c r="N758" s="72">
        <f t="shared" si="299"/>
        <v>0</v>
      </c>
      <c r="O758" s="72">
        <f t="shared" si="299"/>
        <v>0</v>
      </c>
      <c r="P758" s="72">
        <f t="shared" si="299"/>
        <v>0</v>
      </c>
      <c r="Q758" s="72">
        <f t="shared" si="299"/>
        <v>0</v>
      </c>
      <c r="R758" s="72">
        <f t="shared" si="299"/>
        <v>0</v>
      </c>
      <c r="S758" s="72">
        <f t="shared" si="299"/>
        <v>0</v>
      </c>
      <c r="T758" s="72">
        <f t="shared" si="299"/>
        <v>0</v>
      </c>
      <c r="U758" s="72">
        <f t="shared" si="299"/>
        <v>0</v>
      </c>
      <c r="V758" s="72">
        <f t="shared" si="299"/>
        <v>0</v>
      </c>
      <c r="W758" s="72">
        <f t="shared" si="299"/>
        <v>0</v>
      </c>
      <c r="X758" s="72">
        <f t="shared" si="299"/>
        <v>0</v>
      </c>
      <c r="Y758" s="72">
        <f t="shared" si="299"/>
        <v>0</v>
      </c>
      <c r="Z758" s="72">
        <f t="shared" si="299"/>
        <v>0</v>
      </c>
      <c r="AA758" s="72">
        <f t="shared" si="299"/>
        <v>0</v>
      </c>
      <c r="AB758" s="72">
        <f t="shared" si="299"/>
        <v>0</v>
      </c>
      <c r="AC758" s="72">
        <f t="shared" si="299"/>
        <v>0</v>
      </c>
      <c r="AD758" s="72">
        <f t="shared" si="299"/>
        <v>0</v>
      </c>
      <c r="AE758" s="72">
        <f t="shared" si="299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1475</v>
      </c>
      <c r="H759" s="86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00">SUM(L751:L758)</f>
        <v>0</v>
      </c>
      <c r="M759" s="72">
        <f t="shared" si="300"/>
        <v>0</v>
      </c>
      <c r="N759" s="72">
        <f t="shared" si="300"/>
        <v>0</v>
      </c>
      <c r="O759" s="72">
        <f t="shared" si="300"/>
        <v>0</v>
      </c>
      <c r="P759" s="72">
        <f t="shared" si="300"/>
        <v>0</v>
      </c>
      <c r="Q759" s="72">
        <f t="shared" si="300"/>
        <v>0</v>
      </c>
      <c r="R759" s="72">
        <f t="shared" si="300"/>
        <v>0</v>
      </c>
      <c r="S759" s="72">
        <f t="shared" si="300"/>
        <v>0</v>
      </c>
      <c r="T759" s="72">
        <f t="shared" si="300"/>
        <v>0</v>
      </c>
      <c r="U759" s="72">
        <f t="shared" si="300"/>
        <v>0</v>
      </c>
      <c r="V759" s="72">
        <f t="shared" si="300"/>
        <v>0</v>
      </c>
      <c r="W759" s="72">
        <f t="shared" si="300"/>
        <v>0</v>
      </c>
      <c r="X759" s="72">
        <f t="shared" si="300"/>
        <v>0</v>
      </c>
      <c r="Y759" s="72">
        <f t="shared" si="300"/>
        <v>0</v>
      </c>
      <c r="Z759" s="72">
        <f t="shared" si="300"/>
        <v>0</v>
      </c>
      <c r="AA759" s="72">
        <f t="shared" si="300"/>
        <v>0</v>
      </c>
      <c r="AB759" s="72">
        <f t="shared" si="300"/>
        <v>0</v>
      </c>
      <c r="AC759" s="72">
        <f t="shared" si="300"/>
        <v>0</v>
      </c>
      <c r="AD759" s="72">
        <f t="shared" si="300"/>
        <v>0</v>
      </c>
      <c r="AE759" s="72">
        <f t="shared" si="300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2014</v>
      </c>
      <c r="E760" s="72" t="s">
        <v>79</v>
      </c>
      <c r="F760" s="72"/>
      <c r="G760" s="70" t="s">
        <v>1475</v>
      </c>
      <c r="H760" s="86" t="str">
        <f>Settings!$B$3&amp;".mit.cbobch."&amp;$G760&amp;"."&amp;$J$404</f>
        <v>egy.mit.cbobch.cbam.tot.2</v>
      </c>
      <c r="I760" s="72"/>
      <c r="J760" s="72"/>
      <c r="K760" s="72"/>
      <c r="L760" s="98">
        <f t="shared" ref="L760:AE760" si="301">IF(L$749=0,0,L$738/L$749-1)</f>
        <v>0</v>
      </c>
      <c r="M760" s="98">
        <f t="shared" si="301"/>
        <v>0</v>
      </c>
      <c r="N760" s="98">
        <f t="shared" si="301"/>
        <v>0</v>
      </c>
      <c r="O760" s="98">
        <f t="shared" si="301"/>
        <v>0</v>
      </c>
      <c r="P760" s="98">
        <f t="shared" si="301"/>
        <v>0</v>
      </c>
      <c r="Q760" s="98">
        <f t="shared" si="301"/>
        <v>-0.74582270893582747</v>
      </c>
      <c r="R760" s="98">
        <f t="shared" si="301"/>
        <v>-0.74308051817722065</v>
      </c>
      <c r="S760" s="98">
        <f t="shared" si="301"/>
        <v>-0.6220949750125041</v>
      </c>
      <c r="T760" s="98">
        <f t="shared" si="301"/>
        <v>-0.52077890793261994</v>
      </c>
      <c r="U760" s="98">
        <f t="shared" si="301"/>
        <v>-0.51649278062993798</v>
      </c>
      <c r="V760" s="98">
        <f t="shared" si="301"/>
        <v>-0.51287910395548386</v>
      </c>
      <c r="W760" s="98">
        <f t="shared" si="301"/>
        <v>-0.50964066462213453</v>
      </c>
      <c r="X760" s="98">
        <f t="shared" si="301"/>
        <v>-0.5017352252479943</v>
      </c>
      <c r="Y760" s="98">
        <f t="shared" si="301"/>
        <v>-0.52921946725414593</v>
      </c>
      <c r="Z760" s="98">
        <f t="shared" si="301"/>
        <v>-0.54480830047037254</v>
      </c>
      <c r="AA760" s="98">
        <f t="shared" si="301"/>
        <v>-0.56026843164968532</v>
      </c>
      <c r="AB760" s="98">
        <f t="shared" si="301"/>
        <v>-0.57559586373392413</v>
      </c>
      <c r="AC760" s="98">
        <f t="shared" si="301"/>
        <v>-0.59078670449813253</v>
      </c>
      <c r="AD760" s="98">
        <f t="shared" si="301"/>
        <v>-0.60583717004461479</v>
      </c>
      <c r="AE760" s="98">
        <f t="shared" si="301"/>
        <v>-0.62074358815108055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1474</v>
      </c>
      <c r="D761" s="73"/>
      <c r="E761" s="72" t="s">
        <v>1953</v>
      </c>
      <c r="F761" s="72" t="s">
        <v>1954</v>
      </c>
      <c r="G761" s="72" t="s">
        <v>1955</v>
      </c>
      <c r="H761" s="74" t="s">
        <v>1956</v>
      </c>
      <c r="I761" s="74"/>
      <c r="J761" s="74"/>
      <c r="K761" s="74"/>
      <c r="L761" s="74">
        <f t="shared" ref="L761:AE761" si="302">L708</f>
        <v>2022</v>
      </c>
      <c r="M761" s="74">
        <f t="shared" si="302"/>
        <v>2023</v>
      </c>
      <c r="N761" s="74">
        <f t="shared" si="302"/>
        <v>2024</v>
      </c>
      <c r="O761" s="74">
        <f t="shared" si="302"/>
        <v>2025</v>
      </c>
      <c r="P761" s="74">
        <f t="shared" si="302"/>
        <v>2026</v>
      </c>
      <c r="Q761" s="74">
        <f t="shared" si="302"/>
        <v>2027</v>
      </c>
      <c r="R761" s="74">
        <f t="shared" si="302"/>
        <v>2028</v>
      </c>
      <c r="S761" s="74">
        <f t="shared" si="302"/>
        <v>2029</v>
      </c>
      <c r="T761" s="74">
        <f t="shared" si="302"/>
        <v>2030</v>
      </c>
      <c r="U761" s="74">
        <f t="shared" si="302"/>
        <v>2031</v>
      </c>
      <c r="V761" s="74">
        <f t="shared" si="302"/>
        <v>2032</v>
      </c>
      <c r="W761" s="74">
        <f t="shared" si="302"/>
        <v>2033</v>
      </c>
      <c r="X761" s="74">
        <f t="shared" si="302"/>
        <v>2034</v>
      </c>
      <c r="Y761" s="74">
        <f t="shared" si="302"/>
        <v>2035</v>
      </c>
      <c r="Z761" s="74">
        <f t="shared" si="302"/>
        <v>2036</v>
      </c>
      <c r="AA761" s="74">
        <f t="shared" si="302"/>
        <v>2037</v>
      </c>
      <c r="AB761" s="74">
        <f t="shared" si="302"/>
        <v>2038</v>
      </c>
      <c r="AC761" s="74">
        <f t="shared" si="302"/>
        <v>2039</v>
      </c>
      <c r="AD761" s="74">
        <f t="shared" si="302"/>
        <v>2040</v>
      </c>
      <c r="AE761" s="74">
        <f t="shared" si="30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3.4469507031574592E-3</v>
      </c>
      <c r="F762" s="78">
        <f>'Manual inputs'!U$53</f>
        <v>1</v>
      </c>
      <c r="G762" s="71">
        <f>'Manual inputs'!V$53</f>
        <v>0</v>
      </c>
      <c r="H762" s="78">
        <f>'Manual inputs'!W$53</f>
        <v>0</v>
      </c>
      <c r="I762" s="70" t="s">
        <v>2885</v>
      </c>
      <c r="J762" s="70"/>
      <c r="K762" s="70"/>
      <c r="L762" s="72">
        <f t="shared" ref="L762:AE762" si="303">-L$675/1000*($J$672*MAX($J$663,0)*$F762*(1-EXP(-$E762*($F$709*L$707+$G$709*L$647+L$648)))+$K$672*MAX($K$663,0)*$H762*(1-EXP(-$G762*($F$709*L$707+$G$709*L$647+L$648))))</f>
        <v>0</v>
      </c>
      <c r="M762" s="72">
        <f t="shared" si="303"/>
        <v>0</v>
      </c>
      <c r="N762" s="72">
        <f t="shared" si="303"/>
        <v>0</v>
      </c>
      <c r="O762" s="72">
        <f t="shared" si="303"/>
        <v>0</v>
      </c>
      <c r="P762" s="72">
        <f t="shared" si="303"/>
        <v>0</v>
      </c>
      <c r="Q762" s="72">
        <f t="shared" si="303"/>
        <v>0</v>
      </c>
      <c r="R762" s="72">
        <f t="shared" si="303"/>
        <v>0</v>
      </c>
      <c r="S762" s="72">
        <f t="shared" si="303"/>
        <v>0</v>
      </c>
      <c r="T762" s="72">
        <f t="shared" si="303"/>
        <v>0</v>
      </c>
      <c r="U762" s="72">
        <f t="shared" si="303"/>
        <v>0</v>
      </c>
      <c r="V762" s="72">
        <f t="shared" si="303"/>
        <v>0</v>
      </c>
      <c r="W762" s="72">
        <f t="shared" si="303"/>
        <v>0</v>
      </c>
      <c r="X762" s="72">
        <f t="shared" si="303"/>
        <v>0</v>
      </c>
      <c r="Y762" s="72">
        <f t="shared" si="303"/>
        <v>0</v>
      </c>
      <c r="Z762" s="72">
        <f t="shared" si="303"/>
        <v>0</v>
      </c>
      <c r="AA762" s="72">
        <f t="shared" si="303"/>
        <v>0</v>
      </c>
      <c r="AB762" s="72">
        <f t="shared" si="303"/>
        <v>0</v>
      </c>
      <c r="AC762" s="72">
        <f t="shared" si="303"/>
        <v>0</v>
      </c>
      <c r="AD762" s="72">
        <f t="shared" si="303"/>
        <v>0</v>
      </c>
      <c r="AE762" s="72">
        <f t="shared" si="303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1355</v>
      </c>
      <c r="E763" s="71">
        <f>'Manual inputs'!T$54</f>
        <v>1.6366491404021942E-3</v>
      </c>
      <c r="F763" s="78">
        <f>'Manual inputs'!U$54</f>
        <v>1</v>
      </c>
      <c r="G763" s="71">
        <f>'Manual inputs'!V$54</f>
        <v>0</v>
      </c>
      <c r="H763" s="78">
        <f>'Manual inputs'!W$54</f>
        <v>0</v>
      </c>
      <c r="I763" s="70"/>
      <c r="J763" s="70"/>
      <c r="K763" s="70"/>
      <c r="L763" s="72">
        <f t="shared" ref="L763:AE763" si="304">-L$676/1000*($J$672*MAX($J$664,0)*$F763*(1-EXP(-$E763*($F$710*L$707+$G$710*L$647+L$648)))+$K$672*MAX($K$664,0)*$H763*(1-EXP(-$G763*($F$710*L$707+$G$710*L$647+L$648))))</f>
        <v>0</v>
      </c>
      <c r="M763" s="72">
        <f t="shared" si="304"/>
        <v>0</v>
      </c>
      <c r="N763" s="72">
        <f t="shared" si="304"/>
        <v>0</v>
      </c>
      <c r="O763" s="72">
        <f t="shared" si="304"/>
        <v>0</v>
      </c>
      <c r="P763" s="72">
        <f t="shared" si="304"/>
        <v>0</v>
      </c>
      <c r="Q763" s="72">
        <f t="shared" si="304"/>
        <v>0</v>
      </c>
      <c r="R763" s="72">
        <f t="shared" si="304"/>
        <v>0</v>
      </c>
      <c r="S763" s="72">
        <f t="shared" si="304"/>
        <v>0</v>
      </c>
      <c r="T763" s="72">
        <f t="shared" si="304"/>
        <v>0</v>
      </c>
      <c r="U763" s="72">
        <f t="shared" si="304"/>
        <v>0</v>
      </c>
      <c r="V763" s="72">
        <f t="shared" si="304"/>
        <v>0</v>
      </c>
      <c r="W763" s="72">
        <f t="shared" si="304"/>
        <v>0</v>
      </c>
      <c r="X763" s="72">
        <f t="shared" si="304"/>
        <v>0</v>
      </c>
      <c r="Y763" s="72">
        <f t="shared" si="304"/>
        <v>0</v>
      </c>
      <c r="Z763" s="72">
        <f t="shared" si="304"/>
        <v>0</v>
      </c>
      <c r="AA763" s="72">
        <f t="shared" si="304"/>
        <v>0</v>
      </c>
      <c r="AB763" s="72">
        <f t="shared" si="304"/>
        <v>0</v>
      </c>
      <c r="AC763" s="72">
        <f t="shared" si="304"/>
        <v>0</v>
      </c>
      <c r="AD763" s="72">
        <f t="shared" si="304"/>
        <v>0</v>
      </c>
      <c r="AE763" s="72">
        <f t="shared" si="304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1391</v>
      </c>
      <c r="E764" s="71">
        <f>'Manual inputs'!T$55</f>
        <v>2.6960722989211347E-3</v>
      </c>
      <c r="F764" s="78">
        <f>'Manual inputs'!U$55</f>
        <v>1</v>
      </c>
      <c r="G764" s="71">
        <f>'Manual inputs'!V$55</f>
        <v>0</v>
      </c>
      <c r="H764" s="78">
        <f>'Manual inputs'!W$55</f>
        <v>0</v>
      </c>
      <c r="I764" s="70"/>
      <c r="J764" s="70"/>
      <c r="K764" s="70"/>
      <c r="L764" s="72">
        <f t="shared" ref="L764:AE764" si="305">-L$677/1000*($J$672*MAX($J$665,0)*$F764*(1-EXP(-$E764*($F$711*L$707+$G$711*L$647+L$648)))+$K$672*MAX($K$665,0)*$H764*(1-EXP(-$G764*($F$711*L$707+$G$711*L$647+L$648))))</f>
        <v>0</v>
      </c>
      <c r="M764" s="72">
        <f t="shared" si="305"/>
        <v>0</v>
      </c>
      <c r="N764" s="72">
        <f t="shared" si="305"/>
        <v>0</v>
      </c>
      <c r="O764" s="72">
        <f t="shared" si="305"/>
        <v>0</v>
      </c>
      <c r="P764" s="72">
        <f t="shared" si="305"/>
        <v>0</v>
      </c>
      <c r="Q764" s="72">
        <f t="shared" si="305"/>
        <v>0</v>
      </c>
      <c r="R764" s="72">
        <f t="shared" si="305"/>
        <v>0</v>
      </c>
      <c r="S764" s="72">
        <f t="shared" si="305"/>
        <v>0</v>
      </c>
      <c r="T764" s="72">
        <f t="shared" si="305"/>
        <v>0</v>
      </c>
      <c r="U764" s="72">
        <f t="shared" si="305"/>
        <v>0</v>
      </c>
      <c r="V764" s="72">
        <f t="shared" si="305"/>
        <v>0</v>
      </c>
      <c r="W764" s="72">
        <f t="shared" si="305"/>
        <v>0</v>
      </c>
      <c r="X764" s="72">
        <f t="shared" si="305"/>
        <v>0</v>
      </c>
      <c r="Y764" s="72">
        <f t="shared" si="305"/>
        <v>0</v>
      </c>
      <c r="Z764" s="72">
        <f t="shared" si="305"/>
        <v>0</v>
      </c>
      <c r="AA764" s="72">
        <f t="shared" si="305"/>
        <v>0</v>
      </c>
      <c r="AB764" s="72">
        <f t="shared" si="305"/>
        <v>0</v>
      </c>
      <c r="AC764" s="72">
        <f t="shared" si="305"/>
        <v>0</v>
      </c>
      <c r="AD764" s="72">
        <f t="shared" si="305"/>
        <v>0</v>
      </c>
      <c r="AE764" s="72">
        <f t="shared" si="305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1392</v>
      </c>
      <c r="E765" s="71">
        <f>'Manual inputs'!T$56</f>
        <v>3.3464675036139224E-3</v>
      </c>
      <c r="F765" s="78">
        <f>'Manual inputs'!U$56</f>
        <v>1</v>
      </c>
      <c r="G765" s="71">
        <f>'Manual inputs'!V$56</f>
        <v>0</v>
      </c>
      <c r="H765" s="78">
        <f>'Manual inputs'!W$56</f>
        <v>0</v>
      </c>
      <c r="I765" s="70"/>
      <c r="J765" s="70"/>
      <c r="K765" s="70"/>
      <c r="L765" s="72">
        <f t="shared" ref="L765:AE765" si="306">-L$678/1000*($J$672*MAX($J$666,0)*$F765*(1-EXP(-$E765*($F$712*L$707+$G$712*L$647+L$648)))+$K$672*MAX($K$666,0)*$H765*(1-EXP(-$G765*($F$712*L$707+$G$712*L$647+L$648))))</f>
        <v>0</v>
      </c>
      <c r="M765" s="72">
        <f t="shared" si="306"/>
        <v>0</v>
      </c>
      <c r="N765" s="72">
        <f t="shared" si="306"/>
        <v>0</v>
      </c>
      <c r="O765" s="72">
        <f t="shared" si="306"/>
        <v>0</v>
      </c>
      <c r="P765" s="72">
        <f t="shared" si="306"/>
        <v>0</v>
      </c>
      <c r="Q765" s="72">
        <f t="shared" si="306"/>
        <v>0</v>
      </c>
      <c r="R765" s="72">
        <f t="shared" si="306"/>
        <v>0</v>
      </c>
      <c r="S765" s="72">
        <f t="shared" si="306"/>
        <v>0</v>
      </c>
      <c r="T765" s="72">
        <f t="shared" si="306"/>
        <v>0</v>
      </c>
      <c r="U765" s="72">
        <f t="shared" si="306"/>
        <v>0</v>
      </c>
      <c r="V765" s="72">
        <f t="shared" si="306"/>
        <v>0</v>
      </c>
      <c r="W765" s="72">
        <f t="shared" si="306"/>
        <v>0</v>
      </c>
      <c r="X765" s="72">
        <f t="shared" si="306"/>
        <v>0</v>
      </c>
      <c r="Y765" s="72">
        <f t="shared" si="306"/>
        <v>0</v>
      </c>
      <c r="Z765" s="72">
        <f t="shared" si="306"/>
        <v>0</v>
      </c>
      <c r="AA765" s="72">
        <f t="shared" si="306"/>
        <v>0</v>
      </c>
      <c r="AB765" s="72">
        <f t="shared" si="306"/>
        <v>0</v>
      </c>
      <c r="AC765" s="72">
        <f t="shared" si="306"/>
        <v>0</v>
      </c>
      <c r="AD765" s="72">
        <f t="shared" si="306"/>
        <v>0</v>
      </c>
      <c r="AE765" s="72">
        <f t="shared" si="306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1393</v>
      </c>
      <c r="E766" s="71">
        <f>'Manual inputs'!T$57</f>
        <v>0</v>
      </c>
      <c r="F766" s="78">
        <f>'Manual inputs'!U$57</f>
        <v>0</v>
      </c>
      <c r="G766" s="71">
        <f>'Manual inputs'!V$57</f>
        <v>0</v>
      </c>
      <c r="H766" s="78">
        <f>'Manual inputs'!W$57</f>
        <v>0</v>
      </c>
      <c r="I766" s="70"/>
      <c r="J766" s="70"/>
      <c r="K766" s="70"/>
      <c r="L766" s="72">
        <f t="shared" ref="L766:AE766" si="307">-L$679/1000*($J$672*MAX($J$667,0)*$F766*(1-EXP(-$E766*($F$713*L$707+$G$713*L$647+L$648)))+$K$672*MAX($K$667,0)*$H766*(1-EXP(-$G766*($F$713*L$707+$G$713*L$647+L$648))))</f>
        <v>0</v>
      </c>
      <c r="M766" s="72">
        <f t="shared" si="307"/>
        <v>0</v>
      </c>
      <c r="N766" s="72">
        <f t="shared" si="307"/>
        <v>0</v>
      </c>
      <c r="O766" s="72">
        <f t="shared" si="307"/>
        <v>0</v>
      </c>
      <c r="P766" s="72">
        <f t="shared" si="307"/>
        <v>0</v>
      </c>
      <c r="Q766" s="72">
        <f t="shared" si="307"/>
        <v>0</v>
      </c>
      <c r="R766" s="72">
        <f t="shared" si="307"/>
        <v>0</v>
      </c>
      <c r="S766" s="72">
        <f t="shared" si="307"/>
        <v>0</v>
      </c>
      <c r="T766" s="72">
        <f t="shared" si="307"/>
        <v>0</v>
      </c>
      <c r="U766" s="72">
        <f t="shared" si="307"/>
        <v>0</v>
      </c>
      <c r="V766" s="72">
        <f t="shared" si="307"/>
        <v>0</v>
      </c>
      <c r="W766" s="72">
        <f t="shared" si="307"/>
        <v>0</v>
      </c>
      <c r="X766" s="72">
        <f t="shared" si="307"/>
        <v>0</v>
      </c>
      <c r="Y766" s="72">
        <f t="shared" si="307"/>
        <v>0</v>
      </c>
      <c r="Z766" s="72">
        <f t="shared" si="307"/>
        <v>0</v>
      </c>
      <c r="AA766" s="72">
        <f t="shared" si="307"/>
        <v>0</v>
      </c>
      <c r="AB766" s="72">
        <f t="shared" si="307"/>
        <v>0</v>
      </c>
      <c r="AC766" s="72">
        <f t="shared" si="307"/>
        <v>0</v>
      </c>
      <c r="AD766" s="72">
        <f t="shared" si="307"/>
        <v>0</v>
      </c>
      <c r="AE766" s="72">
        <f t="shared" si="307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1373</v>
      </c>
      <c r="E767" s="71">
        <f>'Manual inputs'!T$58</f>
        <v>0</v>
      </c>
      <c r="F767" s="78">
        <f>'Manual inputs'!U$58</f>
        <v>0</v>
      </c>
      <c r="G767" s="71">
        <f>'Manual inputs'!V$58</f>
        <v>0</v>
      </c>
      <c r="H767" s="78">
        <f>'Manual inputs'!W$58</f>
        <v>0</v>
      </c>
      <c r="I767" s="70"/>
      <c r="J767" s="70"/>
      <c r="K767" s="70"/>
      <c r="L767" s="72">
        <f t="shared" ref="L767:AE767" si="308">-L$680/1000*($J$672*MAX($J$668,0)*$F767*(1-EXP(-$E767*($F$714*L$707+$G$714*L$647+L$648)))+$K$672*MAX($K$668,0)*$H767*(1-EXP(-$G767*($F$714*L$707+$G$714*L$647+L$648))))</f>
        <v>0</v>
      </c>
      <c r="M767" s="72">
        <f t="shared" si="308"/>
        <v>0</v>
      </c>
      <c r="N767" s="72">
        <f t="shared" si="308"/>
        <v>0</v>
      </c>
      <c r="O767" s="72">
        <f t="shared" si="308"/>
        <v>0</v>
      </c>
      <c r="P767" s="72">
        <f t="shared" si="308"/>
        <v>0</v>
      </c>
      <c r="Q767" s="72">
        <f t="shared" si="308"/>
        <v>0</v>
      </c>
      <c r="R767" s="72">
        <f t="shared" si="308"/>
        <v>0</v>
      </c>
      <c r="S767" s="72">
        <f t="shared" si="308"/>
        <v>0</v>
      </c>
      <c r="T767" s="72">
        <f t="shared" si="308"/>
        <v>0</v>
      </c>
      <c r="U767" s="72">
        <f t="shared" si="308"/>
        <v>0</v>
      </c>
      <c r="V767" s="72">
        <f t="shared" si="308"/>
        <v>0</v>
      </c>
      <c r="W767" s="72">
        <f t="shared" si="308"/>
        <v>0</v>
      </c>
      <c r="X767" s="72">
        <f t="shared" si="308"/>
        <v>0</v>
      </c>
      <c r="Y767" s="72">
        <f t="shared" si="308"/>
        <v>0</v>
      </c>
      <c r="Z767" s="72">
        <f t="shared" si="308"/>
        <v>0</v>
      </c>
      <c r="AA767" s="72">
        <f t="shared" si="308"/>
        <v>0</v>
      </c>
      <c r="AB767" s="72">
        <f t="shared" si="308"/>
        <v>0</v>
      </c>
      <c r="AC767" s="72">
        <f t="shared" si="308"/>
        <v>0</v>
      </c>
      <c r="AD767" s="72">
        <f t="shared" si="308"/>
        <v>0</v>
      </c>
      <c r="AE767" s="72">
        <f t="shared" si="308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1394</v>
      </c>
      <c r="E768" s="71">
        <f>'Manual inputs'!T$59</f>
        <v>0</v>
      </c>
      <c r="F768" s="78">
        <f>'Manual inputs'!U$59</f>
        <v>0</v>
      </c>
      <c r="G768" s="71">
        <f>'Manual inputs'!V$59</f>
        <v>7.8858436436826454E-3</v>
      </c>
      <c r="H768" s="78">
        <f>'Manual inputs'!W$59</f>
        <v>1</v>
      </c>
      <c r="I768" s="70"/>
      <c r="J768" s="70"/>
      <c r="K768" s="70"/>
      <c r="L768" s="72">
        <f t="shared" ref="L768:AE768" si="309">-L$681/1000*($J$672*MAX($J$669,0)*$F768*(1-EXP(-$E768*($F$715*L$707+$G$715*L$647+L$648)))+$K$672*MAX($K$669,0)*$H768*(1-EXP(-$G768*($F$715*L$707+$G$715*L$647+L$648))))</f>
        <v>0</v>
      </c>
      <c r="M768" s="72">
        <f t="shared" si="309"/>
        <v>0</v>
      </c>
      <c r="N768" s="72">
        <f t="shared" si="309"/>
        <v>0</v>
      </c>
      <c r="O768" s="72">
        <f t="shared" si="309"/>
        <v>0</v>
      </c>
      <c r="P768" s="72">
        <f t="shared" si="309"/>
        <v>0</v>
      </c>
      <c r="Q768" s="72">
        <f t="shared" si="309"/>
        <v>0</v>
      </c>
      <c r="R768" s="72">
        <f t="shared" si="309"/>
        <v>0</v>
      </c>
      <c r="S768" s="72">
        <f t="shared" si="309"/>
        <v>0</v>
      </c>
      <c r="T768" s="72">
        <f t="shared" si="309"/>
        <v>0</v>
      </c>
      <c r="U768" s="72">
        <f t="shared" si="309"/>
        <v>0</v>
      </c>
      <c r="V768" s="72">
        <f t="shared" si="309"/>
        <v>0</v>
      </c>
      <c r="W768" s="72">
        <f t="shared" si="309"/>
        <v>0</v>
      </c>
      <c r="X768" s="72">
        <f t="shared" si="309"/>
        <v>0</v>
      </c>
      <c r="Y768" s="72">
        <f t="shared" si="309"/>
        <v>0</v>
      </c>
      <c r="Z768" s="72">
        <f t="shared" si="309"/>
        <v>0</v>
      </c>
      <c r="AA768" s="72">
        <f t="shared" si="309"/>
        <v>0</v>
      </c>
      <c r="AB768" s="72">
        <f t="shared" si="309"/>
        <v>0</v>
      </c>
      <c r="AC768" s="72">
        <f t="shared" si="309"/>
        <v>0</v>
      </c>
      <c r="AD768" s="72">
        <f t="shared" si="309"/>
        <v>0</v>
      </c>
      <c r="AE768" s="72">
        <f t="shared" si="309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1383</v>
      </c>
      <c r="E769" s="71">
        <f>'Manual inputs'!T$60</f>
        <v>1.9988245320635362E-3</v>
      </c>
      <c r="F769" s="78">
        <f>'Manual inputs'!U$60</f>
        <v>1</v>
      </c>
      <c r="G769" s="71">
        <f>'Manual inputs'!V$60</f>
        <v>1.9988245320635362E-3</v>
      </c>
      <c r="H769" s="78">
        <f>'Manual inputs'!W$60</f>
        <v>1</v>
      </c>
      <c r="I769" s="72"/>
      <c r="J769" s="72"/>
      <c r="K769" s="72"/>
      <c r="L769" s="72">
        <f t="shared" ref="L769:AE769" si="310">-L$682/1000*($J$672*MAX($J$670,0)*$F769*(1-EXP(-$E769*($F$716*L$707+$G$716*L$647+L$648)))+$K$672*MAX($K$670,0)*$H769*(1-EXP(-$G769*($F$716*L$707+$G$716*L$647+L$648))))</f>
        <v>0</v>
      </c>
      <c r="M769" s="72">
        <f t="shared" si="310"/>
        <v>0</v>
      </c>
      <c r="N769" s="72">
        <f t="shared" si="310"/>
        <v>0</v>
      </c>
      <c r="O769" s="72">
        <f t="shared" si="310"/>
        <v>0</v>
      </c>
      <c r="P769" s="72">
        <f t="shared" si="310"/>
        <v>0</v>
      </c>
      <c r="Q769" s="72">
        <f t="shared" si="310"/>
        <v>0</v>
      </c>
      <c r="R769" s="72">
        <f t="shared" si="310"/>
        <v>0</v>
      </c>
      <c r="S769" s="72">
        <f t="shared" si="310"/>
        <v>0</v>
      </c>
      <c r="T769" s="72">
        <f t="shared" si="310"/>
        <v>0</v>
      </c>
      <c r="U769" s="72">
        <f t="shared" si="310"/>
        <v>0</v>
      </c>
      <c r="V769" s="72">
        <f t="shared" si="310"/>
        <v>0</v>
      </c>
      <c r="W769" s="72">
        <f t="shared" si="310"/>
        <v>0</v>
      </c>
      <c r="X769" s="72">
        <f t="shared" si="310"/>
        <v>0</v>
      </c>
      <c r="Y769" s="72">
        <f t="shared" si="310"/>
        <v>0</v>
      </c>
      <c r="Z769" s="72">
        <f t="shared" si="310"/>
        <v>0</v>
      </c>
      <c r="AA769" s="72">
        <f t="shared" si="310"/>
        <v>0</v>
      </c>
      <c r="AB769" s="72">
        <f t="shared" si="310"/>
        <v>0</v>
      </c>
      <c r="AC769" s="72">
        <f t="shared" si="310"/>
        <v>0</v>
      </c>
      <c r="AD769" s="72">
        <f t="shared" si="310"/>
        <v>0</v>
      </c>
      <c r="AE769" s="72">
        <f t="shared" si="310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1475</v>
      </c>
      <c r="H770" s="86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11">SUM(L762:L769)</f>
        <v>0</v>
      </c>
      <c r="M770" s="72">
        <f t="shared" si="311"/>
        <v>0</v>
      </c>
      <c r="N770" s="72">
        <f t="shared" si="311"/>
        <v>0</v>
      </c>
      <c r="O770" s="72">
        <f t="shared" si="311"/>
        <v>0</v>
      </c>
      <c r="P770" s="72">
        <f t="shared" si="311"/>
        <v>0</v>
      </c>
      <c r="Q770" s="72">
        <f t="shared" si="311"/>
        <v>0</v>
      </c>
      <c r="R770" s="72">
        <f t="shared" si="311"/>
        <v>0</v>
      </c>
      <c r="S770" s="72">
        <f t="shared" si="311"/>
        <v>0</v>
      </c>
      <c r="T770" s="72">
        <f t="shared" si="311"/>
        <v>0</v>
      </c>
      <c r="U770" s="72">
        <f t="shared" si="311"/>
        <v>0</v>
      </c>
      <c r="V770" s="72">
        <f t="shared" si="311"/>
        <v>0</v>
      </c>
      <c r="W770" s="72">
        <f t="shared" si="311"/>
        <v>0</v>
      </c>
      <c r="X770" s="72">
        <f t="shared" si="311"/>
        <v>0</v>
      </c>
      <c r="Y770" s="72">
        <f t="shared" si="311"/>
        <v>0</v>
      </c>
      <c r="Z770" s="72">
        <f t="shared" si="311"/>
        <v>0</v>
      </c>
      <c r="AA770" s="72">
        <f t="shared" si="311"/>
        <v>0</v>
      </c>
      <c r="AB770" s="72">
        <f t="shared" si="311"/>
        <v>0</v>
      </c>
      <c r="AC770" s="72">
        <f t="shared" si="311"/>
        <v>0</v>
      </c>
      <c r="AD770" s="72">
        <f t="shared" si="311"/>
        <v>0</v>
      </c>
      <c r="AE770" s="72">
        <f t="shared" si="31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2015</v>
      </c>
      <c r="E771" s="72" t="s">
        <v>79</v>
      </c>
      <c r="F771" s="72"/>
      <c r="G771" s="70" t="s">
        <v>1475</v>
      </c>
      <c r="H771" s="86" t="str">
        <f>Settings!$B$3&amp;".mit.cbobchu."&amp;$G771&amp;"."&amp;$J$404</f>
        <v>egy.mit.cbobchu.cbam.tot.2</v>
      </c>
      <c r="I771" s="72"/>
      <c r="J771" s="72"/>
      <c r="K771" s="72"/>
      <c r="L771" s="98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98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98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98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98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-2.2204460492503131E-16</v>
      </c>
      <c r="Q771" s="98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-0.75386771619452342</v>
      </c>
      <c r="R771" s="98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-0.75386771619452331</v>
      </c>
      <c r="S771" s="98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-0.63408719017979909</v>
      </c>
      <c r="T771" s="98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-0.53410854810573127</v>
      </c>
      <c r="U771" s="98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-0.53211410779092594</v>
      </c>
      <c r="V771" s="98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-0.53079804853557833</v>
      </c>
      <c r="W771" s="98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-0.5298645646451573</v>
      </c>
      <c r="X771" s="98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-0.52437567936948148</v>
      </c>
      <c r="Y771" s="98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-0.55393861451477044</v>
      </c>
      <c r="Z771" s="98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-0.57243443966823881</v>
      </c>
      <c r="AA771" s="98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-0.59093026482170674</v>
      </c>
      <c r="AB771" s="98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-0.60942608997517489</v>
      </c>
      <c r="AC771" s="98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-0.62792191512864304</v>
      </c>
      <c r="AD771" s="98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-0.64641774028211119</v>
      </c>
      <c r="AE771" s="98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-0.66491356543557933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1476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1477</v>
      </c>
      <c r="H773" s="86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12">SUM(L733:L735)+SUM(L755:L757)</f>
        <v>3.7399856771381845</v>
      </c>
      <c r="M773" s="72">
        <f t="shared" si="312"/>
        <v>3.8222653620352247</v>
      </c>
      <c r="N773" s="72">
        <f t="shared" si="312"/>
        <v>3.9063551999999997</v>
      </c>
      <c r="O773" s="72">
        <f t="shared" si="312"/>
        <v>3.9922950143999998</v>
      </c>
      <c r="P773" s="72">
        <f t="shared" si="312"/>
        <v>4.0801255047168006</v>
      </c>
      <c r="Q773" s="72">
        <f t="shared" si="312"/>
        <v>4.1698882658205694</v>
      </c>
      <c r="R773" s="72">
        <f t="shared" si="312"/>
        <v>4.2616258076686222</v>
      </c>
      <c r="S773" s="72">
        <f t="shared" si="312"/>
        <v>4.3553815754373311</v>
      </c>
      <c r="T773" s="72">
        <f t="shared" si="312"/>
        <v>4.4511999700969529</v>
      </c>
      <c r="U773" s="72">
        <f t="shared" si="312"/>
        <v>4.5491263694390858</v>
      </c>
      <c r="V773" s="72">
        <f t="shared" si="312"/>
        <v>4.6492071495667471</v>
      </c>
      <c r="W773" s="72">
        <f t="shared" si="312"/>
        <v>4.7514897068572139</v>
      </c>
      <c r="X773" s="72">
        <f t="shared" si="312"/>
        <v>4.8560224804080736</v>
      </c>
      <c r="Y773" s="72">
        <f t="shared" si="312"/>
        <v>4.9628549749770512</v>
      </c>
      <c r="Z773" s="72">
        <f t="shared" si="312"/>
        <v>5.0720377844265467</v>
      </c>
      <c r="AA773" s="72">
        <f t="shared" si="312"/>
        <v>5.1836226156839302</v>
      </c>
      <c r="AB773" s="72">
        <f t="shared" si="312"/>
        <v>5.297662313228976</v>
      </c>
      <c r="AC773" s="72">
        <f t="shared" si="312"/>
        <v>5.4142108841200143</v>
      </c>
      <c r="AD773" s="72">
        <f t="shared" si="312"/>
        <v>5.5333235235706555</v>
      </c>
      <c r="AE773" s="72">
        <f t="shared" si="312"/>
        <v>5.6550566410892094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1478</v>
      </c>
      <c r="H774" s="86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13">SUM(L729:L731)+SUM(L751:L753)</f>
        <v>2.8694133664728936</v>
      </c>
      <c r="M774" s="72">
        <f t="shared" si="313"/>
        <v>2.9956675545977007</v>
      </c>
      <c r="N774" s="72">
        <f t="shared" si="313"/>
        <v>3.1274769269999996</v>
      </c>
      <c r="O774" s="72">
        <f t="shared" si="313"/>
        <v>3.2650859117880002</v>
      </c>
      <c r="P774" s="72">
        <f t="shared" si="313"/>
        <v>3.4087496919066722</v>
      </c>
      <c r="Q774" s="72">
        <f t="shared" si="313"/>
        <v>3.5587346783505662</v>
      </c>
      <c r="R774" s="72">
        <f t="shared" si="313"/>
        <v>3.7153190041979904</v>
      </c>
      <c r="S774" s="72">
        <f t="shared" si="313"/>
        <v>3.8787930403827025</v>
      </c>
      <c r="T774" s="72">
        <f t="shared" si="313"/>
        <v>4.0494599341595423</v>
      </c>
      <c r="U774" s="72">
        <f t="shared" si="313"/>
        <v>4.2276361712625619</v>
      </c>
      <c r="V774" s="72">
        <f t="shared" si="313"/>
        <v>4.4136521627981145</v>
      </c>
      <c r="W774" s="72">
        <f t="shared" si="313"/>
        <v>4.6078528579612303</v>
      </c>
      <c r="X774" s="72">
        <f t="shared" si="313"/>
        <v>4.8105983837115254</v>
      </c>
      <c r="Y774" s="72">
        <f t="shared" si="313"/>
        <v>5.0222647125948336</v>
      </c>
      <c r="Z774" s="72">
        <f t="shared" si="313"/>
        <v>5.2432443599490046</v>
      </c>
      <c r="AA774" s="72">
        <f t="shared" si="313"/>
        <v>5.4739471117867611</v>
      </c>
      <c r="AB774" s="72">
        <f t="shared" si="313"/>
        <v>5.714800784705381</v>
      </c>
      <c r="AC774" s="72">
        <f t="shared" si="313"/>
        <v>5.9662520192324164</v>
      </c>
      <c r="AD774" s="72">
        <f t="shared" si="313"/>
        <v>6.2287671080786424</v>
      </c>
      <c r="AE774" s="72">
        <f t="shared" si="313"/>
        <v>6.5028328608341015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1479</v>
      </c>
      <c r="H775" s="86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4">L736+L758</f>
        <v>3.3266099144224071E-2</v>
      </c>
      <c r="M775" s="72">
        <f t="shared" si="314"/>
        <v>3.5095734597156404E-2</v>
      </c>
      <c r="N775" s="72">
        <f t="shared" si="314"/>
        <v>3.7026000000000003E-2</v>
      </c>
      <c r="O775" s="72">
        <f t="shared" si="314"/>
        <v>3.9062430000000002E-2</v>
      </c>
      <c r="P775" s="72">
        <f t="shared" si="314"/>
        <v>4.1210863649999999E-2</v>
      </c>
      <c r="Q775" s="72">
        <f t="shared" si="314"/>
        <v>4.3477461150749991E-2</v>
      </c>
      <c r="R775" s="72">
        <f t="shared" si="314"/>
        <v>4.5868721514041248E-2</v>
      </c>
      <c r="S775" s="72">
        <f t="shared" si="314"/>
        <v>4.8391501197313509E-2</v>
      </c>
      <c r="T775" s="72">
        <f t="shared" si="314"/>
        <v>5.105303376316575E-2</v>
      </c>
      <c r="U775" s="72">
        <f t="shared" si="314"/>
        <v>5.3860950620139861E-2</v>
      </c>
      <c r="V775" s="72">
        <f t="shared" si="314"/>
        <v>5.6823302904247558E-2</v>
      </c>
      <c r="W775" s="72">
        <f t="shared" si="314"/>
        <v>5.9948584563981173E-2</v>
      </c>
      <c r="X775" s="72">
        <f t="shared" si="314"/>
        <v>6.3245756715000129E-2</v>
      </c>
      <c r="Y775" s="72">
        <f t="shared" si="314"/>
        <v>6.6724273334325138E-2</v>
      </c>
      <c r="Z775" s="72">
        <f t="shared" si="314"/>
        <v>7.039410836771301E-2</v>
      </c>
      <c r="AA775" s="72">
        <f t="shared" si="314"/>
        <v>7.426578432793722E-2</v>
      </c>
      <c r="AB775" s="72">
        <f t="shared" si="314"/>
        <v>7.8350402465973787E-2</v>
      </c>
      <c r="AC775" s="72">
        <f t="shared" si="314"/>
        <v>8.2659674601602312E-2</v>
      </c>
      <c r="AD775" s="72">
        <f t="shared" si="314"/>
        <v>8.7205956704690446E-2</v>
      </c>
      <c r="AE775" s="72">
        <f t="shared" si="314"/>
        <v>9.2002284323448424E-2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1480</v>
      </c>
      <c r="H776" s="86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1481</v>
      </c>
      <c r="H777" s="86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5">L732+L754</f>
        <v>14.692706044200628</v>
      </c>
      <c r="M777" s="72">
        <f t="shared" si="315"/>
        <v>15.177565343659246</v>
      </c>
      <c r="N777" s="72">
        <f t="shared" si="315"/>
        <v>15.678424999999999</v>
      </c>
      <c r="O777" s="72">
        <f t="shared" si="315"/>
        <v>16.195813024999996</v>
      </c>
      <c r="P777" s="72">
        <f t="shared" si="315"/>
        <v>16.730274854824994</v>
      </c>
      <c r="Q777" s="72">
        <f t="shared" si="315"/>
        <v>17.282373925034218</v>
      </c>
      <c r="R777" s="72">
        <f t="shared" si="315"/>
        <v>17.852692264560343</v>
      </c>
      <c r="S777" s="72">
        <f t="shared" si="315"/>
        <v>18.441831109290838</v>
      </c>
      <c r="T777" s="72">
        <f t="shared" si="315"/>
        <v>19.050411535897432</v>
      </c>
      <c r="U777" s="72">
        <f t="shared" si="315"/>
        <v>19.679075116582045</v>
      </c>
      <c r="V777" s="72">
        <f t="shared" si="315"/>
        <v>20.328484595429249</v>
      </c>
      <c r="W777" s="72">
        <f t="shared" si="315"/>
        <v>20.999324587078412</v>
      </c>
      <c r="X777" s="72">
        <f t="shared" si="315"/>
        <v>21.692302298451992</v>
      </c>
      <c r="Y777" s="72">
        <f t="shared" si="315"/>
        <v>22.40814827430091</v>
      </c>
      <c r="Z777" s="72">
        <f t="shared" si="315"/>
        <v>23.147617167352838</v>
      </c>
      <c r="AA777" s="72">
        <f t="shared" si="315"/>
        <v>23.911488533875481</v>
      </c>
      <c r="AB777" s="72">
        <f t="shared" si="315"/>
        <v>24.700567655493362</v>
      </c>
      <c r="AC777" s="72">
        <f t="shared" si="315"/>
        <v>25.515686388124642</v>
      </c>
      <c r="AD777" s="72">
        <f t="shared" si="315"/>
        <v>26.357704038932756</v>
      </c>
      <c r="AE777" s="72">
        <f t="shared" si="315"/>
        <v>27.227508272217527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1475</v>
      </c>
      <c r="H778" s="86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6">SUM(L773:L777)</f>
        <v>21.335371186955932</v>
      </c>
      <c r="M778" s="72">
        <f t="shared" si="316"/>
        <v>22.03059399488933</v>
      </c>
      <c r="N778" s="72">
        <f t="shared" si="316"/>
        <v>22.749283126999998</v>
      </c>
      <c r="O778" s="72">
        <f t="shared" si="316"/>
        <v>23.492256381187996</v>
      </c>
      <c r="P778" s="72">
        <f t="shared" si="316"/>
        <v>24.260360915098467</v>
      </c>
      <c r="Q778" s="72">
        <f t="shared" si="316"/>
        <v>25.054474330356104</v>
      </c>
      <c r="R778" s="72">
        <f t="shared" si="316"/>
        <v>25.875505797940995</v>
      </c>
      <c r="S778" s="72">
        <f t="shared" si="316"/>
        <v>26.724397226308184</v>
      </c>
      <c r="T778" s="72">
        <f t="shared" si="316"/>
        <v>27.602124473917094</v>
      </c>
      <c r="U778" s="72">
        <f t="shared" si="316"/>
        <v>28.509698607903829</v>
      </c>
      <c r="V778" s="72">
        <f t="shared" si="316"/>
        <v>29.448167210698358</v>
      </c>
      <c r="W778" s="72">
        <f t="shared" si="316"/>
        <v>30.418615736460836</v>
      </c>
      <c r="X778" s="72">
        <f t="shared" si="316"/>
        <v>31.422168919286591</v>
      </c>
      <c r="Y778" s="72">
        <f t="shared" si="316"/>
        <v>32.459992235207118</v>
      </c>
      <c r="Z778" s="72">
        <f t="shared" si="316"/>
        <v>33.533293420096101</v>
      </c>
      <c r="AA778" s="72">
        <f t="shared" si="316"/>
        <v>34.643324045674106</v>
      </c>
      <c r="AB778" s="72">
        <f t="shared" si="316"/>
        <v>35.791381155893696</v>
      </c>
      <c r="AC778" s="72">
        <f t="shared" si="316"/>
        <v>36.978808966078674</v>
      </c>
      <c r="AD778" s="72">
        <f t="shared" si="316"/>
        <v>38.207000627286746</v>
      </c>
      <c r="AE778" s="72">
        <f t="shared" si="316"/>
        <v>39.477400058464283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1851</v>
      </c>
      <c r="E779" s="72" t="s">
        <v>1852</v>
      </c>
      <c r="F779" s="72"/>
      <c r="G779" s="70" t="s">
        <v>1475</v>
      </c>
      <c r="H779" s="86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7">L$778+L$789</f>
        <v>48.086991333544489</v>
      </c>
      <c r="M779" s="72">
        <f t="shared" si="317"/>
        <v>49.677032012339083</v>
      </c>
      <c r="N779" s="72">
        <f t="shared" si="317"/>
        <v>51.320891261</v>
      </c>
      <c r="O779" s="72">
        <f t="shared" si="317"/>
        <v>53.020436367115991</v>
      </c>
      <c r="P779" s="72">
        <f t="shared" si="317"/>
        <v>54.77760125723205</v>
      </c>
      <c r="Q779" s="72">
        <f t="shared" si="317"/>
        <v>56.594388955214242</v>
      </c>
      <c r="R779" s="72">
        <f t="shared" si="317"/>
        <v>58.472874134897971</v>
      </c>
      <c r="S779" s="72">
        <f t="shared" si="317"/>
        <v>60.415205770798046</v>
      </c>
      <c r="T779" s="72">
        <f t="shared" si="317"/>
        <v>62.423609890817644</v>
      </c>
      <c r="U779" s="72">
        <f t="shared" si="317"/>
        <v>64.500392435059069</v>
      </c>
      <c r="V779" s="72">
        <f t="shared" si="317"/>
        <v>66.647942225012031</v>
      </c>
      <c r="W779" s="72">
        <f t="shared" si="317"/>
        <v>68.868734047575941</v>
      </c>
      <c r="X779" s="72">
        <f t="shared" si="317"/>
        <v>71.165331858561302</v>
      </c>
      <c r="Y779" s="72">
        <f t="shared" si="317"/>
        <v>73.540392110512528</v>
      </c>
      <c r="Z779" s="72">
        <f t="shared" si="317"/>
        <v>75.996667209899613</v>
      </c>
      <c r="AA779" s="72">
        <f t="shared" si="317"/>
        <v>78.537009108942158</v>
      </c>
      <c r="AB779" s="72">
        <f t="shared" si="317"/>
        <v>81.164373037552508</v>
      </c>
      <c r="AC779" s="72">
        <f t="shared" si="317"/>
        <v>83.881821381120091</v>
      </c>
      <c r="AD779" s="72">
        <f t="shared" si="317"/>
        <v>86.692527710104301</v>
      </c>
      <c r="AE779" s="72">
        <f t="shared" si="317"/>
        <v>89.599780967658063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1853</v>
      </c>
      <c r="E780" s="72" t="s">
        <v>1852</v>
      </c>
      <c r="F780" s="72"/>
      <c r="G780" s="70" t="s">
        <v>1475</v>
      </c>
      <c r="H780" s="86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8">L$759+L$770</f>
        <v>0</v>
      </c>
      <c r="M780" s="72">
        <f t="shared" si="318"/>
        <v>0</v>
      </c>
      <c r="N780" s="72">
        <f t="shared" si="318"/>
        <v>0</v>
      </c>
      <c r="O780" s="72">
        <f t="shared" si="318"/>
        <v>0</v>
      </c>
      <c r="P780" s="72">
        <f t="shared" si="318"/>
        <v>0</v>
      </c>
      <c r="Q780" s="72">
        <f t="shared" si="318"/>
        <v>0</v>
      </c>
      <c r="R780" s="72">
        <f t="shared" si="318"/>
        <v>0</v>
      </c>
      <c r="S780" s="72">
        <f t="shared" si="318"/>
        <v>0</v>
      </c>
      <c r="T780" s="72">
        <f t="shared" si="318"/>
        <v>0</v>
      </c>
      <c r="U780" s="72">
        <f t="shared" si="318"/>
        <v>0</v>
      </c>
      <c r="V780" s="72">
        <f t="shared" si="318"/>
        <v>0</v>
      </c>
      <c r="W780" s="72">
        <f t="shared" si="318"/>
        <v>0</v>
      </c>
      <c r="X780" s="72">
        <f t="shared" si="318"/>
        <v>0</v>
      </c>
      <c r="Y780" s="72">
        <f t="shared" si="318"/>
        <v>0</v>
      </c>
      <c r="Z780" s="72">
        <f t="shared" si="318"/>
        <v>0</v>
      </c>
      <c r="AA780" s="72">
        <f t="shared" si="318"/>
        <v>0</v>
      </c>
      <c r="AB780" s="72">
        <f t="shared" si="318"/>
        <v>0</v>
      </c>
      <c r="AC780" s="72">
        <f t="shared" si="318"/>
        <v>0</v>
      </c>
      <c r="AD780" s="72">
        <f t="shared" si="318"/>
        <v>0</v>
      </c>
      <c r="AE780" s="72">
        <f t="shared" si="31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1883</v>
      </c>
      <c r="E781" s="72" t="s">
        <v>1854</v>
      </c>
      <c r="F781" s="72"/>
      <c r="G781" s="70" t="s">
        <v>1475</v>
      </c>
      <c r="H781" s="86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9">SUMPRODUCT((L$729:L$736+L$751:L$758)*$I$729:$I$736*($F$698:$F$705*L$646+$G$698:$G$705*L$647))</f>
        <v>0</v>
      </c>
      <c r="M781" s="72">
        <f t="shared" si="319"/>
        <v>0</v>
      </c>
      <c r="N781" s="72">
        <f t="shared" si="319"/>
        <v>0</v>
      </c>
      <c r="O781" s="72">
        <f t="shared" si="319"/>
        <v>0</v>
      </c>
      <c r="P781" s="72">
        <f t="shared" si="319"/>
        <v>0</v>
      </c>
      <c r="Q781" s="72">
        <f t="shared" si="319"/>
        <v>313.18092912945133</v>
      </c>
      <c r="R781" s="72">
        <f t="shared" si="319"/>
        <v>646.88764494852489</v>
      </c>
      <c r="S781" s="72">
        <f t="shared" si="319"/>
        <v>1002.1648959865571</v>
      </c>
      <c r="T781" s="72">
        <f t="shared" si="319"/>
        <v>1380.1062236958546</v>
      </c>
      <c r="U781" s="72">
        <f t="shared" si="319"/>
        <v>1781.8561629939895</v>
      </c>
      <c r="V781" s="72">
        <f t="shared" si="319"/>
        <v>2208.6125408023772</v>
      </c>
      <c r="W781" s="72">
        <f t="shared" si="319"/>
        <v>2661.6288769403232</v>
      </c>
      <c r="X781" s="72">
        <f t="shared" si="319"/>
        <v>3142.2168919286596</v>
      </c>
      <c r="Y781" s="72">
        <f t="shared" si="319"/>
        <v>3651.7491264608011</v>
      </c>
      <c r="Z781" s="72">
        <f t="shared" si="319"/>
        <v>4191.6616775120128</v>
      </c>
      <c r="AA781" s="72">
        <f t="shared" si="319"/>
        <v>4763.45705628019</v>
      </c>
      <c r="AB781" s="72">
        <f t="shared" si="319"/>
        <v>5368.7071733840539</v>
      </c>
      <c r="AC781" s="72">
        <f t="shared" si="319"/>
        <v>6009.0564569877843</v>
      </c>
      <c r="AD781" s="72">
        <f t="shared" si="319"/>
        <v>6686.2251097751796</v>
      </c>
      <c r="AE781" s="72">
        <f t="shared" si="319"/>
        <v>7402.012510962054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1902</v>
      </c>
      <c r="E782" s="72" t="s">
        <v>1854</v>
      </c>
      <c r="F782" s="72"/>
      <c r="G782" s="70" t="s">
        <v>1475</v>
      </c>
      <c r="H782" s="86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20">SUMPRODUCT((L$740:L$747*$J$729:$J$736+L$762:L$769)*($F$709:$F$716*L$707+$G$709:$G$716*L$647))</f>
        <v>0</v>
      </c>
      <c r="M782" s="72">
        <f t="shared" si="320"/>
        <v>0</v>
      </c>
      <c r="N782" s="72">
        <f t="shared" si="320"/>
        <v>0</v>
      </c>
      <c r="O782" s="72">
        <f t="shared" si="320"/>
        <v>0</v>
      </c>
      <c r="P782" s="72">
        <f t="shared" si="320"/>
        <v>0</v>
      </c>
      <c r="Q782" s="72">
        <f t="shared" si="320"/>
        <v>0</v>
      </c>
      <c r="R782" s="72">
        <f t="shared" si="320"/>
        <v>0</v>
      </c>
      <c r="S782" s="72">
        <f t="shared" si="320"/>
        <v>0</v>
      </c>
      <c r="T782" s="72">
        <f t="shared" si="320"/>
        <v>0</v>
      </c>
      <c r="U782" s="72">
        <f t="shared" si="320"/>
        <v>0</v>
      </c>
      <c r="V782" s="72">
        <f t="shared" si="320"/>
        <v>0</v>
      </c>
      <c r="W782" s="72">
        <f t="shared" si="320"/>
        <v>0</v>
      </c>
      <c r="X782" s="72">
        <f t="shared" si="320"/>
        <v>0</v>
      </c>
      <c r="Y782" s="72">
        <f t="shared" si="320"/>
        <v>0</v>
      </c>
      <c r="Z782" s="72">
        <f t="shared" si="320"/>
        <v>0</v>
      </c>
      <c r="AA782" s="72">
        <f t="shared" si="320"/>
        <v>0</v>
      </c>
      <c r="AB782" s="72">
        <f t="shared" si="320"/>
        <v>0</v>
      </c>
      <c r="AC782" s="72">
        <f t="shared" si="320"/>
        <v>0</v>
      </c>
      <c r="AD782" s="72">
        <f t="shared" si="320"/>
        <v>0</v>
      </c>
      <c r="AE782" s="72">
        <f t="shared" si="32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1482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1477</v>
      </c>
      <c r="H784" s="86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21">SUM(L744:L746)+SUM(L766:L768)</f>
        <v>0.57123661061347031</v>
      </c>
      <c r="M784" s="72">
        <f t="shared" si="321"/>
        <v>0.58380381604696674</v>
      </c>
      <c r="N784" s="72">
        <f t="shared" si="321"/>
        <v>0.5966475</v>
      </c>
      <c r="O784" s="72">
        <f t="shared" si="321"/>
        <v>0.60977374500000003</v>
      </c>
      <c r="P784" s="72">
        <f t="shared" si="321"/>
        <v>0.62318876738999995</v>
      </c>
      <c r="Q784" s="72">
        <f t="shared" si="321"/>
        <v>0.6368989202725801</v>
      </c>
      <c r="R784" s="72">
        <f t="shared" si="321"/>
        <v>0.65091069651857669</v>
      </c>
      <c r="S784" s="72">
        <f t="shared" si="321"/>
        <v>0.66523073184198556</v>
      </c>
      <c r="T784" s="72">
        <f t="shared" si="321"/>
        <v>0.67986580794250906</v>
      </c>
      <c r="U784" s="72">
        <f t="shared" si="321"/>
        <v>0.69482285571724434</v>
      </c>
      <c r="V784" s="72">
        <f t="shared" si="321"/>
        <v>0.7101089585430238</v>
      </c>
      <c r="W784" s="72">
        <f t="shared" si="321"/>
        <v>0.72573135563097024</v>
      </c>
      <c r="X784" s="72">
        <f t="shared" si="321"/>
        <v>0.74169744545485172</v>
      </c>
      <c r="Y784" s="72">
        <f t="shared" si="321"/>
        <v>0.75801478925485843</v>
      </c>
      <c r="Z784" s="72">
        <f t="shared" si="321"/>
        <v>0.7746911146184654</v>
      </c>
      <c r="AA784" s="72">
        <f t="shared" si="321"/>
        <v>0.79173431914007153</v>
      </c>
      <c r="AB784" s="72">
        <f t="shared" si="321"/>
        <v>0.8091524741611531</v>
      </c>
      <c r="AC784" s="72">
        <f t="shared" si="321"/>
        <v>0.8269538285926985</v>
      </c>
      <c r="AD784" s="72">
        <f t="shared" si="321"/>
        <v>0.84514681282173787</v>
      </c>
      <c r="AE784" s="72">
        <f t="shared" si="321"/>
        <v>0.8637400427038161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1478</v>
      </c>
      <c r="H785" s="86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22">SUM(L740:L742)+SUM(L762:L764)</f>
        <v>0.37103529198044649</v>
      </c>
      <c r="M785" s="72">
        <f t="shared" si="322"/>
        <v>0.38736084482758615</v>
      </c>
      <c r="N785" s="72">
        <f t="shared" si="322"/>
        <v>0.40440472199999999</v>
      </c>
      <c r="O785" s="72">
        <f t="shared" si="322"/>
        <v>0.42219852976799999</v>
      </c>
      <c r="P785" s="72">
        <f t="shared" si="322"/>
        <v>0.44077526507779197</v>
      </c>
      <c r="Q785" s="72">
        <f t="shared" si="322"/>
        <v>0.46016937674121494</v>
      </c>
      <c r="R785" s="72">
        <f t="shared" si="322"/>
        <v>0.48041682931782825</v>
      </c>
      <c r="S785" s="72">
        <f t="shared" si="322"/>
        <v>0.50155516980781278</v>
      </c>
      <c r="T785" s="72">
        <f t="shared" si="322"/>
        <v>0.52362359727935659</v>
      </c>
      <c r="U785" s="72">
        <f t="shared" si="322"/>
        <v>0.54666303555964835</v>
      </c>
      <c r="V785" s="72">
        <f t="shared" si="322"/>
        <v>0.57071620912427279</v>
      </c>
      <c r="W785" s="72">
        <f t="shared" si="322"/>
        <v>0.59582772232574088</v>
      </c>
      <c r="X785" s="72">
        <f t="shared" si="322"/>
        <v>0.62204414210807335</v>
      </c>
      <c r="Y785" s="72">
        <f t="shared" si="322"/>
        <v>0.6494140843608287</v>
      </c>
      <c r="Z785" s="72">
        <f t="shared" si="322"/>
        <v>0.67798830407270505</v>
      </c>
      <c r="AA785" s="72">
        <f t="shared" si="322"/>
        <v>0.70781978945190405</v>
      </c>
      <c r="AB785" s="72">
        <f t="shared" si="322"/>
        <v>0.73896386018778804</v>
      </c>
      <c r="AC785" s="72">
        <f t="shared" si="322"/>
        <v>0.77147827003605074</v>
      </c>
      <c r="AD785" s="72">
        <f t="shared" si="322"/>
        <v>0.80542331391763677</v>
      </c>
      <c r="AE785" s="72">
        <f t="shared" si="322"/>
        <v>0.84086193973001278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1479</v>
      </c>
      <c r="H786" s="86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23">L747+L769</f>
        <v>0.64621002403360217</v>
      </c>
      <c r="M786" s="72">
        <f t="shared" si="323"/>
        <v>0.68175157535545017</v>
      </c>
      <c r="N786" s="72">
        <f t="shared" si="323"/>
        <v>0.71924791200000004</v>
      </c>
      <c r="O786" s="72">
        <f t="shared" si="323"/>
        <v>0.75880654716000007</v>
      </c>
      <c r="P786" s="72">
        <f t="shared" si="323"/>
        <v>0.80054090725379989</v>
      </c>
      <c r="Q786" s="72">
        <f t="shared" si="323"/>
        <v>0.84457065715275881</v>
      </c>
      <c r="R786" s="72">
        <f t="shared" si="323"/>
        <v>0.89102204329616075</v>
      </c>
      <c r="S786" s="72">
        <f t="shared" si="323"/>
        <v>0.9400282556774493</v>
      </c>
      <c r="T786" s="72">
        <f t="shared" si="323"/>
        <v>0.99172980973970914</v>
      </c>
      <c r="U786" s="72">
        <f t="shared" si="323"/>
        <v>1.0462749492753931</v>
      </c>
      <c r="V786" s="72">
        <f t="shared" si="323"/>
        <v>1.1038200714855397</v>
      </c>
      <c r="W786" s="72">
        <f t="shared" si="323"/>
        <v>1.1645301754172441</v>
      </c>
      <c r="X786" s="72">
        <f t="shared" si="323"/>
        <v>1.2285793350651928</v>
      </c>
      <c r="Y786" s="72">
        <f t="shared" si="323"/>
        <v>1.2961511984937784</v>
      </c>
      <c r="Z786" s="72">
        <f t="shared" si="323"/>
        <v>1.3674395144109359</v>
      </c>
      <c r="AA786" s="72">
        <f t="shared" si="323"/>
        <v>1.4426486877035372</v>
      </c>
      <c r="AB786" s="72">
        <f t="shared" si="323"/>
        <v>1.5219943655272321</v>
      </c>
      <c r="AC786" s="72">
        <f t="shared" si="323"/>
        <v>1.6057040556312294</v>
      </c>
      <c r="AD786" s="72">
        <f t="shared" si="323"/>
        <v>1.6940177786909472</v>
      </c>
      <c r="AE786" s="72">
        <f t="shared" si="323"/>
        <v>1.787188756518949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1480</v>
      </c>
      <c r="H787" s="86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1481</v>
      </c>
      <c r="H788" s="86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4">L743+L765</f>
        <v>25.163138219961041</v>
      </c>
      <c r="M788" s="72">
        <f t="shared" si="324"/>
        <v>25.993521781219755</v>
      </c>
      <c r="N788" s="72">
        <f t="shared" si="324"/>
        <v>26.851308</v>
      </c>
      <c r="O788" s="72">
        <f t="shared" si="324"/>
        <v>27.737401163999998</v>
      </c>
      <c r="P788" s="72">
        <f t="shared" si="324"/>
        <v>28.652735402411995</v>
      </c>
      <c r="Q788" s="72">
        <f t="shared" si="324"/>
        <v>29.598275670691589</v>
      </c>
      <c r="R788" s="72">
        <f t="shared" si="324"/>
        <v>30.575018767824407</v>
      </c>
      <c r="S788" s="72">
        <f t="shared" si="324"/>
        <v>31.583994387162612</v>
      </c>
      <c r="T788" s="72">
        <f t="shared" si="324"/>
        <v>32.626266201938975</v>
      </c>
      <c r="U788" s="72">
        <f t="shared" si="324"/>
        <v>33.70293298660296</v>
      </c>
      <c r="V788" s="72">
        <f t="shared" si="324"/>
        <v>34.815129775160841</v>
      </c>
      <c r="W788" s="72">
        <f t="shared" si="324"/>
        <v>35.964029057741151</v>
      </c>
      <c r="X788" s="72">
        <f t="shared" si="324"/>
        <v>37.150842016646592</v>
      </c>
      <c r="Y788" s="72">
        <f t="shared" si="324"/>
        <v>38.376819803195943</v>
      </c>
      <c r="Z788" s="72">
        <f t="shared" si="324"/>
        <v>39.643254856701404</v>
      </c>
      <c r="AA788" s="72">
        <f t="shared" si="324"/>
        <v>40.951482266972548</v>
      </c>
      <c r="AB788" s="72">
        <f t="shared" si="324"/>
        <v>42.302881181782631</v>
      </c>
      <c r="AC788" s="72">
        <f t="shared" si="324"/>
        <v>43.698876260781446</v>
      </c>
      <c r="AD788" s="72">
        <f t="shared" si="324"/>
        <v>45.140939177387231</v>
      </c>
      <c r="AE788" s="72">
        <f t="shared" si="324"/>
        <v>46.630590170241007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1475</v>
      </c>
      <c r="H789" s="86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5">SUM(L784:L788)</f>
        <v>26.751620146588561</v>
      </c>
      <c r="M789" s="72">
        <f t="shared" si="325"/>
        <v>27.646438017449757</v>
      </c>
      <c r="N789" s="72">
        <f t="shared" si="325"/>
        <v>28.571608133999998</v>
      </c>
      <c r="O789" s="72">
        <f t="shared" si="325"/>
        <v>29.528179985927999</v>
      </c>
      <c r="P789" s="72">
        <f t="shared" si="325"/>
        <v>30.517240342133586</v>
      </c>
      <c r="Q789" s="72">
        <f t="shared" si="325"/>
        <v>31.539914624858142</v>
      </c>
      <c r="R789" s="72">
        <f t="shared" si="325"/>
        <v>32.597368336956976</v>
      </c>
      <c r="S789" s="72">
        <f t="shared" si="325"/>
        <v>33.690808544489862</v>
      </c>
      <c r="T789" s="72">
        <f t="shared" si="325"/>
        <v>34.821485416900551</v>
      </c>
      <c r="U789" s="72">
        <f t="shared" si="325"/>
        <v>35.990693827155248</v>
      </c>
      <c r="V789" s="72">
        <f t="shared" si="325"/>
        <v>37.19977501431368</v>
      </c>
      <c r="W789" s="72">
        <f t="shared" si="325"/>
        <v>38.450118311115105</v>
      </c>
      <c r="X789" s="72">
        <f t="shared" si="325"/>
        <v>39.743162939274711</v>
      </c>
      <c r="Y789" s="72">
        <f t="shared" si="325"/>
        <v>41.08039987530541</v>
      </c>
      <c r="Z789" s="72">
        <f t="shared" si="325"/>
        <v>42.463373789803512</v>
      </c>
      <c r="AA789" s="72">
        <f t="shared" si="325"/>
        <v>43.893685063268059</v>
      </c>
      <c r="AB789" s="72">
        <f t="shared" si="325"/>
        <v>45.372991881658805</v>
      </c>
      <c r="AC789" s="72">
        <f t="shared" si="325"/>
        <v>46.903012415041424</v>
      </c>
      <c r="AD789" s="72">
        <f t="shared" si="325"/>
        <v>48.485527082817555</v>
      </c>
      <c r="AE789" s="72">
        <f t="shared" si="325"/>
        <v>50.122380909193787</v>
      </c>
      <c r="AF789" s="70"/>
      <c r="AG789" s="70"/>
      <c r="AH789" s="70"/>
      <c r="AI789" s="70"/>
    </row>
    <row r="790" spans="1:35" x14ac:dyDescent="0.45">
      <c r="A790" s="70"/>
      <c r="B790" s="52" t="s">
        <v>1855</v>
      </c>
      <c r="C790" s="73" t="s">
        <v>1483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6">L761</f>
        <v>2022</v>
      </c>
      <c r="M790" s="74">
        <f t="shared" si="326"/>
        <v>2023</v>
      </c>
      <c r="N790" s="74">
        <f t="shared" si="326"/>
        <v>2024</v>
      </c>
      <c r="O790" s="74">
        <f t="shared" si="326"/>
        <v>2025</v>
      </c>
      <c r="P790" s="74">
        <f t="shared" si="326"/>
        <v>2026</v>
      </c>
      <c r="Q790" s="74">
        <f t="shared" si="326"/>
        <v>2027</v>
      </c>
      <c r="R790" s="74">
        <f t="shared" si="326"/>
        <v>2028</v>
      </c>
      <c r="S790" s="74">
        <f t="shared" si="326"/>
        <v>2029</v>
      </c>
      <c r="T790" s="74">
        <f t="shared" si="326"/>
        <v>2030</v>
      </c>
      <c r="U790" s="74">
        <f t="shared" si="326"/>
        <v>2031</v>
      </c>
      <c r="V790" s="74">
        <f t="shared" si="326"/>
        <v>2032</v>
      </c>
      <c r="W790" s="74">
        <f t="shared" si="326"/>
        <v>2033</v>
      </c>
      <c r="X790" s="74">
        <f t="shared" si="326"/>
        <v>2034</v>
      </c>
      <c r="Y790" s="74">
        <f t="shared" si="326"/>
        <v>2035</v>
      </c>
      <c r="Z790" s="74">
        <f t="shared" si="326"/>
        <v>2036</v>
      </c>
      <c r="AA790" s="74">
        <f t="shared" si="326"/>
        <v>2037</v>
      </c>
      <c r="AB790" s="74">
        <f t="shared" si="326"/>
        <v>2038</v>
      </c>
      <c r="AC790" s="74">
        <f t="shared" si="326"/>
        <v>2039</v>
      </c>
      <c r="AD790" s="74">
        <f t="shared" si="326"/>
        <v>2040</v>
      </c>
      <c r="AE790" s="74">
        <f t="shared" si="32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7">(L729+L751)*$I729*($F698*L$646+$G698*L$647)+(L740*$J729+L762)*($F709*L$707+$G709*L$647)</f>
        <v>0</v>
      </c>
      <c r="M791" s="72">
        <f t="shared" si="327"/>
        <v>0</v>
      </c>
      <c r="N791" s="72">
        <f t="shared" si="327"/>
        <v>0</v>
      </c>
      <c r="O791" s="72">
        <f t="shared" si="327"/>
        <v>0</v>
      </c>
      <c r="P791" s="72">
        <f t="shared" si="327"/>
        <v>0</v>
      </c>
      <c r="Q791" s="72">
        <f t="shared" si="327"/>
        <v>41.420064713506875</v>
      </c>
      <c r="R791" s="72">
        <f t="shared" si="327"/>
        <v>86.485095121802345</v>
      </c>
      <c r="S791" s="72">
        <f t="shared" si="327"/>
        <v>135.43565896074247</v>
      </c>
      <c r="T791" s="72">
        <f t="shared" si="327"/>
        <v>188.52643727335357</v>
      </c>
      <c r="U791" s="72">
        <f t="shared" si="327"/>
        <v>246.0270006417264</v>
      </c>
      <c r="V791" s="72">
        <f t="shared" si="327"/>
        <v>308.22262640395479</v>
      </c>
      <c r="W791" s="72">
        <f t="shared" si="327"/>
        <v>375.41515896001692</v>
      </c>
      <c r="X791" s="72">
        <f t="shared" si="327"/>
        <v>447.92391537629453</v>
      </c>
      <c r="Y791" s="72">
        <f t="shared" si="327"/>
        <v>526.08663860945808</v>
      </c>
      <c r="Z791" s="72">
        <f t="shared" si="327"/>
        <v>610.26050078697119</v>
      </c>
      <c r="AA791" s="72">
        <f t="shared" si="327"/>
        <v>700.82315910375769</v>
      </c>
      <c r="AB791" s="72">
        <f t="shared" si="327"/>
        <v>798.17386702289809</v>
      </c>
      <c r="AC791" s="72">
        <f t="shared" si="327"/>
        <v>902.73464360289768</v>
      </c>
      <c r="AD791" s="72">
        <f t="shared" si="327"/>
        <v>1014.951503915381</v>
      </c>
      <c r="AE791" s="72">
        <f t="shared" si="327"/>
        <v>1135.2957536653473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1355</v>
      </c>
      <c r="E792" s="70"/>
      <c r="F792" s="70"/>
      <c r="G792" s="70"/>
      <c r="H792" s="70"/>
      <c r="I792" s="70"/>
      <c r="J792" s="70"/>
      <c r="K792" s="72"/>
      <c r="L792" s="72">
        <f t="shared" ref="L792:AE792" si="328">(L730+L752)*$I730*($F699*L$646+$G699*L$647)+(L741*$J730+L763)*($F710*L$707+$G710*L$647)</f>
        <v>0</v>
      </c>
      <c r="M792" s="72">
        <f t="shared" si="328"/>
        <v>0</v>
      </c>
      <c r="N792" s="72">
        <f t="shared" si="328"/>
        <v>0</v>
      </c>
      <c r="O792" s="72">
        <f t="shared" si="328"/>
        <v>0</v>
      </c>
      <c r="P792" s="72">
        <f t="shared" si="328"/>
        <v>0</v>
      </c>
      <c r="Q792" s="72">
        <f t="shared" si="328"/>
        <v>3.0641187658752003</v>
      </c>
      <c r="R792" s="72">
        <f t="shared" si="328"/>
        <v>6.3978799831474173</v>
      </c>
      <c r="S792" s="72">
        <f t="shared" si="328"/>
        <v>10.019080053608858</v>
      </c>
      <c r="T792" s="72">
        <f t="shared" si="328"/>
        <v>13.946559434623532</v>
      </c>
      <c r="U792" s="72">
        <f t="shared" si="328"/>
        <v>18.200260062183709</v>
      </c>
      <c r="V792" s="72">
        <f t="shared" si="328"/>
        <v>22.801285805903746</v>
      </c>
      <c r="W792" s="72">
        <f t="shared" si="328"/>
        <v>27.771966111590768</v>
      </c>
      <c r="X792" s="72">
        <f t="shared" si="328"/>
        <v>33.135922994858014</v>
      </c>
      <c r="Y792" s="72">
        <f t="shared" si="328"/>
        <v>38.918141557460743</v>
      </c>
      <c r="Z792" s="72">
        <f t="shared" si="328"/>
        <v>45.145044206654454</v>
      </c>
      <c r="AA792" s="72">
        <f t="shared" si="328"/>
        <v>51.844568766921974</v>
      </c>
      <c r="AB792" s="72">
        <f t="shared" si="328"/>
        <v>59.046250682908969</v>
      </c>
      <c r="AC792" s="72">
        <f t="shared" si="328"/>
        <v>66.781309522370037</v>
      </c>
      <c r="AD792" s="72">
        <f t="shared" si="328"/>
        <v>75.082739998381584</v>
      </c>
      <c r="AE792" s="72">
        <f t="shared" si="328"/>
        <v>83.985407741046814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1359</v>
      </c>
      <c r="E793" s="70"/>
      <c r="F793" s="70"/>
      <c r="G793" s="70"/>
      <c r="H793" s="70"/>
      <c r="I793" s="70"/>
      <c r="J793" s="70"/>
      <c r="K793" s="72"/>
      <c r="L793" s="72">
        <f t="shared" ref="L793:AE793" si="329">(L731+L753)*$I731*($F700*L$646+$G700*L$647)+(L742*$J731+L764)*($F711*L$707+$G711*L$647)</f>
        <v>0</v>
      </c>
      <c r="M793" s="72">
        <f t="shared" si="329"/>
        <v>0</v>
      </c>
      <c r="N793" s="72">
        <f t="shared" si="329"/>
        <v>0</v>
      </c>
      <c r="O793" s="72">
        <f t="shared" si="329"/>
        <v>0</v>
      </c>
      <c r="P793" s="72">
        <f t="shared" si="329"/>
        <v>0</v>
      </c>
      <c r="Q793" s="72">
        <f t="shared" si="329"/>
        <v>0</v>
      </c>
      <c r="R793" s="72">
        <f t="shared" si="329"/>
        <v>0</v>
      </c>
      <c r="S793" s="72">
        <f t="shared" si="329"/>
        <v>0</v>
      </c>
      <c r="T793" s="72">
        <f t="shared" si="329"/>
        <v>0</v>
      </c>
      <c r="U793" s="72">
        <f t="shared" si="329"/>
        <v>0</v>
      </c>
      <c r="V793" s="72">
        <f t="shared" si="329"/>
        <v>0</v>
      </c>
      <c r="W793" s="72">
        <f t="shared" si="329"/>
        <v>0</v>
      </c>
      <c r="X793" s="72">
        <f t="shared" si="329"/>
        <v>0</v>
      </c>
      <c r="Y793" s="72">
        <f t="shared" si="329"/>
        <v>0</v>
      </c>
      <c r="Z793" s="72">
        <f t="shared" si="329"/>
        <v>0</v>
      </c>
      <c r="AA793" s="72">
        <f t="shared" si="329"/>
        <v>0</v>
      </c>
      <c r="AB793" s="72">
        <f t="shared" si="329"/>
        <v>0</v>
      </c>
      <c r="AC793" s="72">
        <f t="shared" si="329"/>
        <v>0</v>
      </c>
      <c r="AD793" s="72">
        <f t="shared" si="329"/>
        <v>0</v>
      </c>
      <c r="AE793" s="72">
        <f t="shared" si="32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1363</v>
      </c>
      <c r="E794" s="70"/>
      <c r="F794" s="70"/>
      <c r="G794" s="70"/>
      <c r="H794" s="70"/>
      <c r="I794" s="70"/>
      <c r="J794" s="70"/>
      <c r="K794" s="72"/>
      <c r="L794" s="72">
        <f t="shared" ref="L794:AE794" si="330">(L732+L754)*$I732*($F701*L$646+$G701*L$647)+(L743*$J732+L765)*($F712*L$707+$G712*L$647)</f>
        <v>0</v>
      </c>
      <c r="M794" s="72">
        <f t="shared" si="330"/>
        <v>0</v>
      </c>
      <c r="N794" s="72">
        <f t="shared" si="330"/>
        <v>0</v>
      </c>
      <c r="O794" s="72">
        <f t="shared" si="330"/>
        <v>0</v>
      </c>
      <c r="P794" s="72">
        <f t="shared" si="330"/>
        <v>0</v>
      </c>
      <c r="Q794" s="72">
        <f t="shared" si="330"/>
        <v>216.02967406292771</v>
      </c>
      <c r="R794" s="72">
        <f t="shared" si="330"/>
        <v>446.31730661400854</v>
      </c>
      <c r="S794" s="72">
        <f t="shared" si="330"/>
        <v>691.56866659840648</v>
      </c>
      <c r="T794" s="72">
        <f t="shared" si="330"/>
        <v>952.52057679487154</v>
      </c>
      <c r="U794" s="72">
        <f t="shared" si="330"/>
        <v>1229.9421947863777</v>
      </c>
      <c r="V794" s="72">
        <f t="shared" si="330"/>
        <v>1524.6363446571936</v>
      </c>
      <c r="W794" s="72">
        <f t="shared" si="330"/>
        <v>1837.440901369361</v>
      </c>
      <c r="X794" s="72">
        <f t="shared" si="330"/>
        <v>2169.2302298451991</v>
      </c>
      <c r="Y794" s="72">
        <f t="shared" si="330"/>
        <v>2520.9166808588525</v>
      </c>
      <c r="Z794" s="72">
        <f t="shared" si="330"/>
        <v>2893.4521459191046</v>
      </c>
      <c r="AA794" s="72">
        <f t="shared" si="330"/>
        <v>3287.8296734078785</v>
      </c>
      <c r="AB794" s="72">
        <f t="shared" si="330"/>
        <v>3705.0851483240044</v>
      </c>
      <c r="AC794" s="72">
        <f t="shared" si="330"/>
        <v>4146.299038070254</v>
      </c>
      <c r="AD794" s="72">
        <f t="shared" si="330"/>
        <v>4612.5982068132325</v>
      </c>
      <c r="AE794" s="72">
        <f t="shared" si="330"/>
        <v>5105.1578010407866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1425</v>
      </c>
      <c r="E795" s="70"/>
      <c r="F795" s="70"/>
      <c r="G795" s="70"/>
      <c r="H795" s="70"/>
      <c r="I795" s="70"/>
      <c r="J795" s="70"/>
      <c r="K795" s="72"/>
      <c r="L795" s="72">
        <f t="shared" ref="L795:AE795" si="331">(L733+L755)*$I733*($F702*L$646+$G702*L$647)+(L744*$J733+L766)*($F713*L$707+$G713*L$647)</f>
        <v>0</v>
      </c>
      <c r="M795" s="72">
        <f t="shared" si="331"/>
        <v>0</v>
      </c>
      <c r="N795" s="72">
        <f t="shared" si="331"/>
        <v>0</v>
      </c>
      <c r="O795" s="72">
        <f t="shared" si="331"/>
        <v>0</v>
      </c>
      <c r="P795" s="72">
        <f t="shared" si="331"/>
        <v>0</v>
      </c>
      <c r="Q795" s="72">
        <f t="shared" si="331"/>
        <v>47.033407685769127</v>
      </c>
      <c r="R795" s="72">
        <f t="shared" si="331"/>
        <v>96.136285309712079</v>
      </c>
      <c r="S795" s="72">
        <f t="shared" si="331"/>
        <v>147.37692537978862</v>
      </c>
      <c r="T795" s="72">
        <f t="shared" si="331"/>
        <v>200.82562365085863</v>
      </c>
      <c r="U795" s="72">
        <f t="shared" si="331"/>
        <v>256.55473421397193</v>
      </c>
      <c r="V795" s="72">
        <f t="shared" si="331"/>
        <v>314.63872604001523</v>
      </c>
      <c r="W795" s="72">
        <f t="shared" si="331"/>
        <v>375.1542410150447</v>
      </c>
      <c r="X795" s="72">
        <f t="shared" si="331"/>
        <v>438.18015350557226</v>
      </c>
      <c r="Y795" s="72">
        <f t="shared" si="331"/>
        <v>503.7976314930317</v>
      </c>
      <c r="Z795" s="72">
        <f t="shared" si="331"/>
        <v>572.09019931764271</v>
      </c>
      <c r="AA795" s="72">
        <f t="shared" si="331"/>
        <v>643.14380207289389</v>
      </c>
      <c r="AB795" s="72">
        <f t="shared" si="331"/>
        <v>717.04687169290628</v>
      </c>
      <c r="AC795" s="72">
        <f t="shared" si="331"/>
        <v>793.89039477599624</v>
      </c>
      <c r="AD795" s="72">
        <f t="shared" si="331"/>
        <v>873.76798218884267</v>
      </c>
      <c r="AE795" s="72">
        <f t="shared" si="331"/>
        <v>956.77594049678271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1373</v>
      </c>
      <c r="E796" s="70"/>
      <c r="F796" s="70"/>
      <c r="G796" s="70"/>
      <c r="H796" s="70"/>
      <c r="I796" s="70"/>
      <c r="J796" s="70"/>
      <c r="K796" s="72"/>
      <c r="L796" s="72">
        <f t="shared" ref="L796:AE796" si="332">(L734+L756)*$I734*($F703*L$646+$G703*L$647)+(L745*$J734+L767)*($F714*L$707+$G714*L$647)</f>
        <v>0</v>
      </c>
      <c r="M796" s="72">
        <f t="shared" si="332"/>
        <v>0</v>
      </c>
      <c r="N796" s="72">
        <f t="shared" si="332"/>
        <v>0</v>
      </c>
      <c r="O796" s="72">
        <f t="shared" si="332"/>
        <v>0</v>
      </c>
      <c r="P796" s="72">
        <f t="shared" si="332"/>
        <v>0</v>
      </c>
      <c r="Q796" s="72">
        <f t="shared" si="332"/>
        <v>4.1919258186959993</v>
      </c>
      <c r="R796" s="72">
        <f t="shared" si="332"/>
        <v>8.5682963734146238</v>
      </c>
      <c r="S796" s="72">
        <f t="shared" si="332"/>
        <v>13.135198340444619</v>
      </c>
      <c r="T796" s="72">
        <f t="shared" si="332"/>
        <v>17.898896938579195</v>
      </c>
      <c r="U796" s="72">
        <f t="shared" si="332"/>
        <v>22.865840839034927</v>
      </c>
      <c r="V796" s="72">
        <f t="shared" si="332"/>
        <v>28.042667204992437</v>
      </c>
      <c r="W796" s="72">
        <f t="shared" si="332"/>
        <v>33.436206864085982</v>
      </c>
      <c r="X796" s="72">
        <f t="shared" si="332"/>
        <v>39.053489617252431</v>
      </c>
      <c r="Y796" s="72">
        <f t="shared" si="332"/>
        <v>44.901749687435981</v>
      </c>
      <c r="Z796" s="72">
        <f t="shared" si="332"/>
        <v>50.98843131173286</v>
      </c>
      <c r="AA796" s="72">
        <f t="shared" si="332"/>
        <v>57.321194480650085</v>
      </c>
      <c r="AB796" s="72">
        <f t="shared" si="332"/>
        <v>63.907920828244777</v>
      </c>
      <c r="AC796" s="72">
        <f t="shared" si="332"/>
        <v>70.756719677005009</v>
      </c>
      <c r="AD796" s="72">
        <f t="shared" si="332"/>
        <v>77.875934241429832</v>
      </c>
      <c r="AE796" s="72">
        <f t="shared" si="332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1378</v>
      </c>
      <c r="E797" s="70"/>
      <c r="F797" s="70"/>
      <c r="G797" s="70"/>
      <c r="H797" s="70"/>
      <c r="I797" s="70"/>
      <c r="J797" s="70"/>
      <c r="K797" s="72"/>
      <c r="L797" s="72">
        <f t="shared" ref="L797:AE797" si="333">(L735+L757)*$I735*($F704*L$646+$G704*L$647)+(L746*$J735+L768)*($F715*L$707+$G715*L$647)</f>
        <v>0</v>
      </c>
      <c r="M797" s="72">
        <f t="shared" si="333"/>
        <v>0</v>
      </c>
      <c r="N797" s="72">
        <f t="shared" si="333"/>
        <v>0</v>
      </c>
      <c r="O797" s="72">
        <f t="shared" si="333"/>
        <v>0</v>
      </c>
      <c r="P797" s="72">
        <f t="shared" si="333"/>
        <v>0</v>
      </c>
      <c r="Q797" s="72">
        <f t="shared" si="333"/>
        <v>0.89826981829199992</v>
      </c>
      <c r="R797" s="72">
        <f t="shared" si="333"/>
        <v>1.8360635085888481</v>
      </c>
      <c r="S797" s="72">
        <f t="shared" si="333"/>
        <v>2.8146853586667042</v>
      </c>
      <c r="T797" s="72">
        <f t="shared" si="333"/>
        <v>3.835477915409828</v>
      </c>
      <c r="U797" s="72">
        <f t="shared" si="333"/>
        <v>4.8998230369360556</v>
      </c>
      <c r="V797" s="72">
        <f t="shared" si="333"/>
        <v>6.0091429724983811</v>
      </c>
      <c r="W797" s="72">
        <f t="shared" si="333"/>
        <v>7.1649014708755665</v>
      </c>
      <c r="X797" s="72">
        <f t="shared" si="333"/>
        <v>8.3686049179826618</v>
      </c>
      <c r="Y797" s="72">
        <f t="shared" si="333"/>
        <v>9.6218035044505683</v>
      </c>
      <c r="Z797" s="72">
        <f t="shared" si="333"/>
        <v>10.926092423942757</v>
      </c>
      <c r="AA797" s="72">
        <f t="shared" si="333"/>
        <v>12.283113102996445</v>
      </c>
      <c r="AB797" s="72">
        <f t="shared" si="333"/>
        <v>13.694554463195308</v>
      </c>
      <c r="AC797" s="72">
        <f t="shared" si="333"/>
        <v>15.162154216501074</v>
      </c>
      <c r="AD797" s="72">
        <f t="shared" si="333"/>
        <v>16.687700194592107</v>
      </c>
      <c r="AE797" s="72">
        <f t="shared" si="333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1383</v>
      </c>
      <c r="E798" s="83"/>
      <c r="F798" s="84"/>
      <c r="G798" s="70"/>
      <c r="H798" s="70"/>
      <c r="I798" s="70"/>
      <c r="J798" s="70"/>
      <c r="K798" s="72"/>
      <c r="L798" s="72">
        <f t="shared" ref="L798:AE798" si="334">(L736+L758)*$I736*($F705*L$646+$G705*L$647)+(L747*$J736+L769)*($F716*L$707+$G716*L$647)</f>
        <v>0</v>
      </c>
      <c r="M798" s="72">
        <f t="shared" si="334"/>
        <v>0</v>
      </c>
      <c r="N798" s="72">
        <f t="shared" si="334"/>
        <v>0</v>
      </c>
      <c r="O798" s="72">
        <f t="shared" si="334"/>
        <v>0</v>
      </c>
      <c r="P798" s="72">
        <f t="shared" si="334"/>
        <v>0</v>
      </c>
      <c r="Q798" s="72">
        <f t="shared" si="334"/>
        <v>0.5434682643843749</v>
      </c>
      <c r="R798" s="72">
        <f t="shared" si="334"/>
        <v>1.1467180378510311</v>
      </c>
      <c r="S798" s="72">
        <f t="shared" si="334"/>
        <v>1.8146812948992566</v>
      </c>
      <c r="T798" s="72">
        <f t="shared" si="334"/>
        <v>2.5526516881582877</v>
      </c>
      <c r="U798" s="72">
        <f t="shared" si="334"/>
        <v>3.3663094137587413</v>
      </c>
      <c r="V798" s="72">
        <f t="shared" si="334"/>
        <v>4.261747717818567</v>
      </c>
      <c r="W798" s="72">
        <f t="shared" si="334"/>
        <v>5.2455011493483523</v>
      </c>
      <c r="X798" s="72">
        <f t="shared" si="334"/>
        <v>6.3245756715000132</v>
      </c>
      <c r="Y798" s="72">
        <f t="shared" si="334"/>
        <v>7.506480750111578</v>
      </c>
      <c r="Z798" s="72">
        <f t="shared" si="334"/>
        <v>8.7992635459641271</v>
      </c>
      <c r="AA798" s="72">
        <f t="shared" si="334"/>
        <v>10.211545345091368</v>
      </c>
      <c r="AB798" s="72">
        <f t="shared" si="334"/>
        <v>11.752560369896068</v>
      </c>
      <c r="AC798" s="72">
        <f t="shared" si="334"/>
        <v>13.432197122760376</v>
      </c>
      <c r="AD798" s="72">
        <f t="shared" si="334"/>
        <v>15.261042423320829</v>
      </c>
      <c r="AE798" s="72">
        <f t="shared" si="334"/>
        <v>17.25042831064658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1484</v>
      </c>
      <c r="E799" s="70" t="s">
        <v>1854</v>
      </c>
      <c r="F799" s="70"/>
      <c r="G799" s="70" t="s">
        <v>110</v>
      </c>
      <c r="H799" s="86" t="str">
        <f>Settings!$B$3&amp;".mit.rev.cbam."&amp;G799&amp;"."&amp;$J$404</f>
        <v>egy.mit.rev.cbam.tot.2</v>
      </c>
      <c r="I799" s="70" t="s">
        <v>1856</v>
      </c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313.18092912945133</v>
      </c>
      <c r="R799" s="72">
        <f t="shared" si="335"/>
        <v>646.88764494852489</v>
      </c>
      <c r="S799" s="72">
        <f t="shared" si="335"/>
        <v>1002.1648959865571</v>
      </c>
      <c r="T799" s="72">
        <f t="shared" si="335"/>
        <v>1380.1062236958546</v>
      </c>
      <c r="U799" s="72">
        <f t="shared" si="335"/>
        <v>1781.8561629939895</v>
      </c>
      <c r="V799" s="72">
        <f t="shared" si="335"/>
        <v>2208.6125408023772</v>
      </c>
      <c r="W799" s="72">
        <f t="shared" si="335"/>
        <v>2661.6288769403232</v>
      </c>
      <c r="X799" s="72">
        <f t="shared" si="335"/>
        <v>3142.2168919286596</v>
      </c>
      <c r="Y799" s="72">
        <f t="shared" si="335"/>
        <v>3651.7491264608011</v>
      </c>
      <c r="Z799" s="72">
        <f t="shared" si="335"/>
        <v>4191.6616775120128</v>
      </c>
      <c r="AA799" s="72">
        <f t="shared" si="335"/>
        <v>4763.45705628019</v>
      </c>
      <c r="AB799" s="72">
        <f t="shared" si="335"/>
        <v>5368.7071733840539</v>
      </c>
      <c r="AC799" s="72">
        <f t="shared" si="335"/>
        <v>6009.0564569877843</v>
      </c>
      <c r="AD799" s="72">
        <f t="shared" si="335"/>
        <v>6686.2251097751796</v>
      </c>
      <c r="AE799" s="72">
        <f t="shared" si="335"/>
        <v>7402.012510962054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2065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2066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2067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2068</v>
      </c>
      <c r="F6" s="14" t="s">
        <v>2069</v>
      </c>
      <c r="G6" s="125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2070</v>
      </c>
      <c r="L6" s="126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2068</v>
      </c>
      <c r="F7" s="14" t="s">
        <v>2069</v>
      </c>
      <c r="G7" s="125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2071</v>
      </c>
      <c r="L7" s="126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2068</v>
      </c>
      <c r="F8" s="14" t="s">
        <v>2069</v>
      </c>
      <c r="G8" s="125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2072</v>
      </c>
      <c r="L8" s="126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2068</v>
      </c>
      <c r="F9" s="14" t="s">
        <v>2069</v>
      </c>
      <c r="G9" s="125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2073</v>
      </c>
      <c r="L9" s="126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2068</v>
      </c>
      <c r="F10" s="14" t="s">
        <v>2069</v>
      </c>
      <c r="G10" s="125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2074</v>
      </c>
      <c r="L10" s="126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2068</v>
      </c>
      <c r="F11" s="14" t="s">
        <v>2069</v>
      </c>
      <c r="G11" s="125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2075</v>
      </c>
      <c r="L11" s="126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2068</v>
      </c>
      <c r="F12" s="14" t="s">
        <v>2069</v>
      </c>
      <c r="G12" s="125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2076</v>
      </c>
      <c r="L12" s="126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2068</v>
      </c>
      <c r="F13" s="14" t="s">
        <v>2069</v>
      </c>
      <c r="G13" s="125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2077</v>
      </c>
      <c r="L13" s="126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2068</v>
      </c>
      <c r="F14" s="14" t="s">
        <v>2069</v>
      </c>
      <c r="G14" s="125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2078</v>
      </c>
      <c r="L14" s="126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2068</v>
      </c>
      <c r="F15" s="14" t="s">
        <v>2069</v>
      </c>
      <c r="H15" s="45" t="str">
        <f>Settings!$B$3&amp;".mit.eco2."&amp;$C$5&amp;".tot.e."&amp;$J$5</f>
        <v>egy.mit.eco2.irn.tot.e.1</v>
      </c>
      <c r="L15" s="127">
        <f t="shared" ref="L15:AE15" si="1">SUM(L6:L14)</f>
        <v>4.5303835184019645</v>
      </c>
      <c r="M15" s="127">
        <f t="shared" si="1"/>
        <v>3.8469033618625206</v>
      </c>
      <c r="N15" s="127">
        <f t="shared" si="1"/>
        <v>4.3290746208215198</v>
      </c>
      <c r="O15" s="127">
        <f t="shared" si="1"/>
        <v>4.5451606543512009</v>
      </c>
      <c r="P15" s="127">
        <f t="shared" si="1"/>
        <v>4.6606527233890995</v>
      </c>
      <c r="Q15" s="127">
        <f t="shared" si="1"/>
        <v>4.8330795942744347</v>
      </c>
      <c r="R15" s="127">
        <f t="shared" si="1"/>
        <v>5.0529306123252606</v>
      </c>
      <c r="S15" s="127">
        <f t="shared" si="1"/>
        <v>5.2667916999615381</v>
      </c>
      <c r="T15" s="127">
        <f t="shared" si="1"/>
        <v>5.4699790897750464</v>
      </c>
      <c r="U15" s="127">
        <f t="shared" si="1"/>
        <v>5.6771103604276671</v>
      </c>
      <c r="V15" s="127">
        <f t="shared" si="1"/>
        <v>5.8842858461533165</v>
      </c>
      <c r="W15" s="127">
        <f t="shared" si="1"/>
        <v>6.0960674143926461</v>
      </c>
      <c r="X15" s="127">
        <f t="shared" si="1"/>
        <v>6.3124466882788575</v>
      </c>
      <c r="Y15" s="127">
        <f t="shared" si="1"/>
        <v>6.5334118787127196</v>
      </c>
      <c r="Z15" s="127">
        <f t="shared" si="1"/>
        <v>6.7589477212745512</v>
      </c>
      <c r="AA15" s="127">
        <f t="shared" si="1"/>
        <v>6.9890354050403589</v>
      </c>
      <c r="AB15" s="127">
        <f t="shared" si="1"/>
        <v>7.2236524927720804</v>
      </c>
      <c r="AC15" s="127">
        <f t="shared" si="1"/>
        <v>7.4627728319721847</v>
      </c>
      <c r="AD15" s="127">
        <f t="shared" si="1"/>
        <v>7.7063664563130869</v>
      </c>
      <c r="AE15" s="127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2067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2068</v>
      </c>
      <c r="F18" s="14" t="s">
        <v>2069</v>
      </c>
      <c r="G18" s="125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2079</v>
      </c>
      <c r="L18" s="126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2068</v>
      </c>
      <c r="F19" s="14" t="s">
        <v>2069</v>
      </c>
      <c r="G19" s="125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2080</v>
      </c>
      <c r="L19" s="126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2068</v>
      </c>
      <c r="F20" s="14" t="s">
        <v>2069</v>
      </c>
      <c r="G20" s="125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2081</v>
      </c>
      <c r="L20" s="126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2068</v>
      </c>
      <c r="F21" s="14" t="s">
        <v>2069</v>
      </c>
      <c r="G21" s="125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2082</v>
      </c>
      <c r="L21" s="126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2068</v>
      </c>
      <c r="F22" s="14" t="s">
        <v>2069</v>
      </c>
      <c r="G22" s="125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2083</v>
      </c>
      <c r="L22" s="126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2068</v>
      </c>
      <c r="F23" s="14" t="s">
        <v>2069</v>
      </c>
      <c r="G23" s="125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2084</v>
      </c>
      <c r="L23" s="126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2068</v>
      </c>
      <c r="F24" s="14" t="s">
        <v>2069</v>
      </c>
      <c r="G24" s="125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2085</v>
      </c>
      <c r="L24" s="126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2068</v>
      </c>
      <c r="F25" s="14" t="s">
        <v>2069</v>
      </c>
      <c r="G25" s="125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2086</v>
      </c>
      <c r="L25" s="126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2068</v>
      </c>
      <c r="F26" s="14" t="s">
        <v>2069</v>
      </c>
      <c r="G26" s="125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2087</v>
      </c>
      <c r="L26" s="126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2068</v>
      </c>
      <c r="F27" s="14" t="s">
        <v>2069</v>
      </c>
      <c r="H27" s="45" t="str">
        <f>Settings!$B$3&amp;".mit.eco2."&amp;$C$17&amp;".tot.e."&amp;$J$17</f>
        <v>egy.mit.eco2.cem.tot.e.1</v>
      </c>
      <c r="L27" s="127">
        <f t="shared" ref="L27:AE27" si="3">SUM(L18:L26)</f>
        <v>9.4893574461323063</v>
      </c>
      <c r="M27" s="127">
        <f t="shared" si="3"/>
        <v>7.892397868173477</v>
      </c>
      <c r="N27" s="127">
        <f t="shared" si="3"/>
        <v>8.974049898041585</v>
      </c>
      <c r="O27" s="127">
        <f t="shared" si="3"/>
        <v>9.6117389440758174</v>
      </c>
      <c r="P27" s="127">
        <f t="shared" si="3"/>
        <v>9.6255920185944621</v>
      </c>
      <c r="Q27" s="127">
        <f t="shared" si="3"/>
        <v>9.8610476555574511</v>
      </c>
      <c r="R27" s="127">
        <f t="shared" si="3"/>
        <v>10.224041222352259</v>
      </c>
      <c r="S27" s="127">
        <f t="shared" si="3"/>
        <v>10.577278178288619</v>
      </c>
      <c r="T27" s="127">
        <f t="shared" si="3"/>
        <v>10.913917324515168</v>
      </c>
      <c r="U27" s="127">
        <f t="shared" si="3"/>
        <v>11.254980886600027</v>
      </c>
      <c r="V27" s="127">
        <f t="shared" si="3"/>
        <v>11.572436051134584</v>
      </c>
      <c r="W27" s="127">
        <f t="shared" si="3"/>
        <v>11.894967219383652</v>
      </c>
      <c r="X27" s="127">
        <f t="shared" si="3"/>
        <v>12.222536887315171</v>
      </c>
      <c r="Y27" s="127">
        <f t="shared" si="3"/>
        <v>12.55510423174249</v>
      </c>
      <c r="Z27" s="127">
        <f t="shared" si="3"/>
        <v>12.892625020155874</v>
      </c>
      <c r="AA27" s="127">
        <f t="shared" si="3"/>
        <v>13.235051509488891</v>
      </c>
      <c r="AB27" s="127">
        <f t="shared" si="3"/>
        <v>13.582332333397812</v>
      </c>
      <c r="AC27" s="127">
        <f t="shared" si="3"/>
        <v>13.934412377644653</v>
      </c>
      <c r="AD27" s="127">
        <f t="shared" si="3"/>
        <v>14.291232643187328</v>
      </c>
      <c r="AE27" s="127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2067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2068</v>
      </c>
      <c r="F30" s="14" t="s">
        <v>2069</v>
      </c>
      <c r="G30" s="125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2088</v>
      </c>
      <c r="L30" s="126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2068</v>
      </c>
      <c r="F31" s="14" t="s">
        <v>2069</v>
      </c>
      <c r="G31" s="125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2089</v>
      </c>
      <c r="L31" s="126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2068</v>
      </c>
      <c r="F32" s="14" t="s">
        <v>2069</v>
      </c>
      <c r="G32" s="125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2090</v>
      </c>
      <c r="L32" s="126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2068</v>
      </c>
      <c r="F33" s="14" t="s">
        <v>2069</v>
      </c>
      <c r="G33" s="125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2091</v>
      </c>
      <c r="L33" s="126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2068</v>
      </c>
      <c r="F34" s="14" t="s">
        <v>2069</v>
      </c>
      <c r="G34" s="125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2092</v>
      </c>
      <c r="L34" s="126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2068</v>
      </c>
      <c r="F35" s="14" t="s">
        <v>2069</v>
      </c>
      <c r="G35" s="125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2093</v>
      </c>
      <c r="L35" s="126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2068</v>
      </c>
      <c r="F36" s="14" t="s">
        <v>2069</v>
      </c>
      <c r="G36" s="125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2094</v>
      </c>
      <c r="L36" s="126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2068</v>
      </c>
      <c r="F37" s="14" t="s">
        <v>2069</v>
      </c>
      <c r="G37" s="125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2095</v>
      </c>
      <c r="L37" s="126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2068</v>
      </c>
      <c r="F38" s="14" t="s">
        <v>2069</v>
      </c>
      <c r="G38" s="125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2096</v>
      </c>
      <c r="L38" s="126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2068</v>
      </c>
      <c r="F39" s="14" t="s">
        <v>2069</v>
      </c>
      <c r="H39" s="45" t="str">
        <f>Settings!$B$3&amp;".mit.eco2."&amp;$C$29&amp;".tot.e."&amp;$J$29</f>
        <v>egy.mit.eco2.nfm.tot.e.1</v>
      </c>
      <c r="L39" s="127">
        <f t="shared" ref="L39:AE39" si="5">SUM(L30:L38)</f>
        <v>0</v>
      </c>
      <c r="M39" s="127">
        <f t="shared" si="5"/>
        <v>0</v>
      </c>
      <c r="N39" s="127">
        <f t="shared" si="5"/>
        <v>0</v>
      </c>
      <c r="O39" s="127">
        <f t="shared" si="5"/>
        <v>0</v>
      </c>
      <c r="P39" s="127">
        <f t="shared" si="5"/>
        <v>0</v>
      </c>
      <c r="Q39" s="127">
        <f t="shared" si="5"/>
        <v>0</v>
      </c>
      <c r="R39" s="127">
        <f t="shared" si="5"/>
        <v>0</v>
      </c>
      <c r="S39" s="127">
        <f t="shared" si="5"/>
        <v>0</v>
      </c>
      <c r="T39" s="127">
        <f t="shared" si="5"/>
        <v>0</v>
      </c>
      <c r="U39" s="127">
        <f t="shared" si="5"/>
        <v>0</v>
      </c>
      <c r="V39" s="127">
        <f t="shared" si="5"/>
        <v>0</v>
      </c>
      <c r="W39" s="127">
        <f t="shared" si="5"/>
        <v>0</v>
      </c>
      <c r="X39" s="127">
        <f t="shared" si="5"/>
        <v>0</v>
      </c>
      <c r="Y39" s="127">
        <f t="shared" si="5"/>
        <v>0</v>
      </c>
      <c r="Z39" s="127">
        <f t="shared" si="5"/>
        <v>0</v>
      </c>
      <c r="AA39" s="127">
        <f t="shared" si="5"/>
        <v>0</v>
      </c>
      <c r="AB39" s="127">
        <f t="shared" si="5"/>
        <v>0</v>
      </c>
      <c r="AC39" s="127">
        <f t="shared" si="5"/>
        <v>0</v>
      </c>
      <c r="AD39" s="127">
        <f t="shared" si="5"/>
        <v>0</v>
      </c>
      <c r="AE39" s="127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2067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2068</v>
      </c>
      <c r="F42" s="14" t="s">
        <v>2069</v>
      </c>
      <c r="G42" s="125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2097</v>
      </c>
      <c r="L42" s="126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2068</v>
      </c>
      <c r="F43" s="14" t="s">
        <v>2069</v>
      </c>
      <c r="G43" s="125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2098</v>
      </c>
      <c r="L43" s="126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2068</v>
      </c>
      <c r="F44" s="14" t="s">
        <v>2069</v>
      </c>
      <c r="G44" s="125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2099</v>
      </c>
      <c r="L44" s="126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2068</v>
      </c>
      <c r="F45" s="14" t="s">
        <v>2069</v>
      </c>
      <c r="G45" s="125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2100</v>
      </c>
      <c r="L45" s="126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2068</v>
      </c>
      <c r="F46" s="14" t="s">
        <v>2069</v>
      </c>
      <c r="G46" s="125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2101</v>
      </c>
      <c r="L46" s="126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2068</v>
      </c>
      <c r="F47" s="14" t="s">
        <v>2069</v>
      </c>
      <c r="G47" s="125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2102</v>
      </c>
      <c r="L47" s="126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2068</v>
      </c>
      <c r="F48" s="14" t="s">
        <v>2069</v>
      </c>
      <c r="G48" s="125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2103</v>
      </c>
      <c r="L48" s="126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2068</v>
      </c>
      <c r="F49" s="14" t="s">
        <v>2069</v>
      </c>
      <c r="G49" s="125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2104</v>
      </c>
      <c r="L49" s="126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2068</v>
      </c>
      <c r="F50" s="14" t="s">
        <v>2069</v>
      </c>
      <c r="G50" s="125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2105</v>
      </c>
      <c r="L50" s="126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2068</v>
      </c>
      <c r="F51" s="14" t="s">
        <v>2069</v>
      </c>
      <c r="H51" s="45" t="str">
        <f>Settings!$B$3&amp;".mit.eco2."&amp;$C$41&amp;".tot.e."&amp;$J$41</f>
        <v>egy.mit.eco2.mch.tot.e.1</v>
      </c>
      <c r="L51" s="127">
        <f t="shared" ref="L51:AE51" si="7">SUM(L42:L50)</f>
        <v>0</v>
      </c>
      <c r="M51" s="127">
        <f t="shared" si="7"/>
        <v>0</v>
      </c>
      <c r="N51" s="127">
        <f t="shared" si="7"/>
        <v>0</v>
      </c>
      <c r="O51" s="127">
        <f t="shared" si="7"/>
        <v>0</v>
      </c>
      <c r="P51" s="127">
        <f t="shared" si="7"/>
        <v>0</v>
      </c>
      <c r="Q51" s="127">
        <f t="shared" si="7"/>
        <v>0</v>
      </c>
      <c r="R51" s="127">
        <f t="shared" si="7"/>
        <v>0</v>
      </c>
      <c r="S51" s="127">
        <f t="shared" si="7"/>
        <v>0</v>
      </c>
      <c r="T51" s="127">
        <f t="shared" si="7"/>
        <v>0</v>
      </c>
      <c r="U51" s="127">
        <f t="shared" si="7"/>
        <v>0</v>
      </c>
      <c r="V51" s="127">
        <f t="shared" si="7"/>
        <v>0</v>
      </c>
      <c r="W51" s="127">
        <f t="shared" si="7"/>
        <v>0</v>
      </c>
      <c r="X51" s="127">
        <f t="shared" si="7"/>
        <v>0</v>
      </c>
      <c r="Y51" s="127">
        <f t="shared" si="7"/>
        <v>0</v>
      </c>
      <c r="Z51" s="127">
        <f t="shared" si="7"/>
        <v>0</v>
      </c>
      <c r="AA51" s="127">
        <f t="shared" si="7"/>
        <v>0</v>
      </c>
      <c r="AB51" s="127">
        <f t="shared" si="7"/>
        <v>0</v>
      </c>
      <c r="AC51" s="127">
        <f t="shared" si="7"/>
        <v>0</v>
      </c>
      <c r="AD51" s="127">
        <f t="shared" si="7"/>
        <v>0</v>
      </c>
      <c r="AE51" s="127">
        <f t="shared" si="7"/>
        <v>0</v>
      </c>
    </row>
    <row r="54" spans="1:35" customFormat="1" ht="18" customHeight="1" x14ac:dyDescent="0.45">
      <c r="A54" s="8"/>
      <c r="B54" s="9" t="s">
        <v>2106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2067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2068</v>
      </c>
      <c r="F57" s="14" t="s">
        <v>2069</v>
      </c>
      <c r="G57" s="125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2107</v>
      </c>
      <c r="L57" s="126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2068</v>
      </c>
      <c r="F58" s="14" t="s">
        <v>2069</v>
      </c>
      <c r="G58" s="125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2108</v>
      </c>
      <c r="L58" s="126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2068</v>
      </c>
      <c r="F59" s="14" t="s">
        <v>2069</v>
      </c>
      <c r="G59" s="125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2109</v>
      </c>
      <c r="L59" s="126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2068</v>
      </c>
      <c r="F60" s="14" t="s">
        <v>2069</v>
      </c>
      <c r="G60" s="125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2110</v>
      </c>
      <c r="L60" s="126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2068</v>
      </c>
      <c r="F61" s="14" t="s">
        <v>2069</v>
      </c>
      <c r="G61" s="125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2111</v>
      </c>
      <c r="L61" s="126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2068</v>
      </c>
      <c r="F62" s="14" t="s">
        <v>2069</v>
      </c>
      <c r="G62" s="125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2112</v>
      </c>
      <c r="L62" s="126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2068</v>
      </c>
      <c r="F63" s="14" t="s">
        <v>2069</v>
      </c>
      <c r="G63" s="125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2113</v>
      </c>
      <c r="L63" s="126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2068</v>
      </c>
      <c r="F64" s="14" t="s">
        <v>2069</v>
      </c>
      <c r="G64" s="125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2114</v>
      </c>
      <c r="L64" s="126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2068</v>
      </c>
      <c r="F65" s="14" t="s">
        <v>2069</v>
      </c>
      <c r="G65" s="125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2115</v>
      </c>
      <c r="L65" s="126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2068</v>
      </c>
      <c r="F66" s="14" t="s">
        <v>2069</v>
      </c>
      <c r="H66" s="45" t="str">
        <f>Settings!$B$3&amp;".mit.eco2."&amp;$C$56&amp;".tot.e."&amp;$J$56</f>
        <v>egy.mit.eco2.irn.tot.e.2</v>
      </c>
      <c r="L66" s="127">
        <f t="shared" ref="L66:AE66" si="9">SUM(L57:L65)</f>
        <v>4.5303835184019645</v>
      </c>
      <c r="M66" s="127">
        <f t="shared" si="9"/>
        <v>3.8469033618625206</v>
      </c>
      <c r="N66" s="127">
        <f t="shared" si="9"/>
        <v>4.3290746208215198</v>
      </c>
      <c r="O66" s="127">
        <f t="shared" si="9"/>
        <v>4.5451606543512009</v>
      </c>
      <c r="P66" s="127">
        <f t="shared" si="9"/>
        <v>4.6606527233890995</v>
      </c>
      <c r="Q66" s="127">
        <f t="shared" si="9"/>
        <v>4.4078296144020142</v>
      </c>
      <c r="R66" s="127">
        <f t="shared" si="9"/>
        <v>4.246993475594202</v>
      </c>
      <c r="S66" s="127">
        <f t="shared" si="9"/>
        <v>4.1117536252780678</v>
      </c>
      <c r="T66" s="127">
        <f t="shared" si="9"/>
        <v>3.9924395556502268</v>
      </c>
      <c r="U66" s="127">
        <f t="shared" si="9"/>
        <v>3.8941902155876629</v>
      </c>
      <c r="V66" s="127">
        <f t="shared" si="9"/>
        <v>3.8124028190221151</v>
      </c>
      <c r="W66" s="127">
        <f t="shared" si="9"/>
        <v>3.7471168511266315</v>
      </c>
      <c r="X66" s="127">
        <f t="shared" si="9"/>
        <v>3.6964075936068812</v>
      </c>
      <c r="Y66" s="127">
        <f t="shared" si="9"/>
        <v>3.6591659054499268</v>
      </c>
      <c r="Z66" s="127">
        <f t="shared" si="9"/>
        <v>3.6352380271397982</v>
      </c>
      <c r="AA66" s="127">
        <f t="shared" si="9"/>
        <v>3.623938569338653</v>
      </c>
      <c r="AB66" s="127">
        <f t="shared" si="9"/>
        <v>3.6245334840846737</v>
      </c>
      <c r="AC66" s="127">
        <f t="shared" si="9"/>
        <v>3.6357614325971319</v>
      </c>
      <c r="AD66" s="127">
        <f t="shared" si="9"/>
        <v>3.656572990259491</v>
      </c>
      <c r="AE66" s="127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2067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2068</v>
      </c>
      <c r="F69" s="14" t="s">
        <v>2069</v>
      </c>
      <c r="G69" s="125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2116</v>
      </c>
      <c r="L69" s="126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2068</v>
      </c>
      <c r="F70" s="14" t="s">
        <v>2069</v>
      </c>
      <c r="G70" s="125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2117</v>
      </c>
      <c r="L70" s="126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2068</v>
      </c>
      <c r="F71" s="14" t="s">
        <v>2069</v>
      </c>
      <c r="G71" s="125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2118</v>
      </c>
      <c r="L71" s="126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2068</v>
      </c>
      <c r="F72" s="14" t="s">
        <v>2069</v>
      </c>
      <c r="G72" s="125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2119</v>
      </c>
      <c r="L72" s="126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2068</v>
      </c>
      <c r="F73" s="14" t="s">
        <v>2069</v>
      </c>
      <c r="G73" s="125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2120</v>
      </c>
      <c r="L73" s="126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2068</v>
      </c>
      <c r="F74" s="14" t="s">
        <v>2069</v>
      </c>
      <c r="G74" s="125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2121</v>
      </c>
      <c r="L74" s="126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2068</v>
      </c>
      <c r="F75" s="14" t="s">
        <v>2069</v>
      </c>
      <c r="G75" s="125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2122</v>
      </c>
      <c r="L75" s="126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2068</v>
      </c>
      <c r="F76" s="14" t="s">
        <v>2069</v>
      </c>
      <c r="G76" s="125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2123</v>
      </c>
      <c r="L76" s="126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2068</v>
      </c>
      <c r="F77" s="14" t="s">
        <v>2069</v>
      </c>
      <c r="G77" s="125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2124</v>
      </c>
      <c r="L77" s="126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2068</v>
      </c>
      <c r="F78" s="14" t="s">
        <v>2069</v>
      </c>
      <c r="H78" s="45" t="str">
        <f>Settings!$B$3&amp;".mit.eco2."&amp;$C$68&amp;".tot.e."&amp;$J$68</f>
        <v>egy.mit.eco2.cem.tot.e.2</v>
      </c>
      <c r="L78" s="127">
        <f t="shared" ref="L78:AE78" si="11">SUM(L69:L77)</f>
        <v>9.4893574461323063</v>
      </c>
      <c r="M78" s="127">
        <f t="shared" si="11"/>
        <v>7.892397868173477</v>
      </c>
      <c r="N78" s="127">
        <f t="shared" si="11"/>
        <v>8.974049898041585</v>
      </c>
      <c r="O78" s="127">
        <f t="shared" si="11"/>
        <v>9.6117389440758174</v>
      </c>
      <c r="P78" s="127">
        <f t="shared" si="11"/>
        <v>9.6255920185944621</v>
      </c>
      <c r="Q78" s="127">
        <f t="shared" si="11"/>
        <v>9.0746501749675428</v>
      </c>
      <c r="R78" s="127">
        <f t="shared" si="11"/>
        <v>8.7362574382654046</v>
      </c>
      <c r="S78" s="127">
        <f t="shared" si="11"/>
        <v>8.4490397368747985</v>
      </c>
      <c r="T78" s="127">
        <f t="shared" si="11"/>
        <v>8.1955178569750267</v>
      </c>
      <c r="U78" s="127">
        <f t="shared" si="11"/>
        <v>7.9814424709644749</v>
      </c>
      <c r="V78" s="127">
        <f t="shared" si="11"/>
        <v>7.7902867807190201</v>
      </c>
      <c r="W78" s="127">
        <f t="shared" si="11"/>
        <v>7.6314031195294163</v>
      </c>
      <c r="X78" s="127">
        <f t="shared" si="11"/>
        <v>7.5006570964300785</v>
      </c>
      <c r="Y78" s="127">
        <f t="shared" si="11"/>
        <v>7.3954239718464407</v>
      </c>
      <c r="Z78" s="127">
        <f t="shared" si="11"/>
        <v>7.3147393259951752</v>
      </c>
      <c r="AA78" s="127">
        <f t="shared" si="11"/>
        <v>7.2568985784252265</v>
      </c>
      <c r="AB78" s="127">
        <f t="shared" si="11"/>
        <v>7.2202035238785385</v>
      </c>
      <c r="AC78" s="127">
        <f t="shared" si="11"/>
        <v>7.2022011866219096</v>
      </c>
      <c r="AD78" s="127">
        <f t="shared" si="11"/>
        <v>7.2008394296116975</v>
      </c>
      <c r="AE78" s="127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2067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2068</v>
      </c>
      <c r="F81" s="14" t="s">
        <v>2069</v>
      </c>
      <c r="G81" s="125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2125</v>
      </c>
      <c r="L81" s="126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2068</v>
      </c>
      <c r="F82" s="14" t="s">
        <v>2069</v>
      </c>
      <c r="G82" s="125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2126</v>
      </c>
      <c r="L82" s="126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2068</v>
      </c>
      <c r="F83" s="14" t="s">
        <v>2069</v>
      </c>
      <c r="G83" s="125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2127</v>
      </c>
      <c r="L83" s="126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2068</v>
      </c>
      <c r="F84" s="14" t="s">
        <v>2069</v>
      </c>
      <c r="G84" s="125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2128</v>
      </c>
      <c r="L84" s="126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2068</v>
      </c>
      <c r="F85" s="14" t="s">
        <v>2069</v>
      </c>
      <c r="G85" s="125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2129</v>
      </c>
      <c r="L85" s="126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2068</v>
      </c>
      <c r="F86" s="14" t="s">
        <v>2069</v>
      </c>
      <c r="G86" s="125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2130</v>
      </c>
      <c r="L86" s="126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2068</v>
      </c>
      <c r="F87" s="14" t="s">
        <v>2069</v>
      </c>
      <c r="G87" s="125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2131</v>
      </c>
      <c r="L87" s="126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2068</v>
      </c>
      <c r="F88" s="14" t="s">
        <v>2069</v>
      </c>
      <c r="G88" s="125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2132</v>
      </c>
      <c r="L88" s="126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2068</v>
      </c>
      <c r="F89" s="14" t="s">
        <v>2069</v>
      </c>
      <c r="G89" s="125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2133</v>
      </c>
      <c r="L89" s="126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2068</v>
      </c>
      <c r="F90" s="14" t="s">
        <v>2069</v>
      </c>
      <c r="H90" s="45" t="str">
        <f>Settings!$B$3&amp;".mit.eco2."&amp;$C$80&amp;".tot.e."&amp;$J$80</f>
        <v>egy.mit.eco2.nfm.tot.e.2</v>
      </c>
      <c r="L90" s="127">
        <f t="shared" ref="L90:AE90" si="13">SUM(L81:L89)</f>
        <v>0</v>
      </c>
      <c r="M90" s="127">
        <f t="shared" si="13"/>
        <v>0</v>
      </c>
      <c r="N90" s="127">
        <f t="shared" si="13"/>
        <v>0</v>
      </c>
      <c r="O90" s="127">
        <f t="shared" si="13"/>
        <v>0</v>
      </c>
      <c r="P90" s="127">
        <f t="shared" si="13"/>
        <v>0</v>
      </c>
      <c r="Q90" s="127">
        <f t="shared" si="13"/>
        <v>0</v>
      </c>
      <c r="R90" s="127">
        <f t="shared" si="13"/>
        <v>0</v>
      </c>
      <c r="S90" s="127">
        <f t="shared" si="13"/>
        <v>0</v>
      </c>
      <c r="T90" s="127">
        <f t="shared" si="13"/>
        <v>0</v>
      </c>
      <c r="U90" s="127">
        <f t="shared" si="13"/>
        <v>0</v>
      </c>
      <c r="V90" s="127">
        <f t="shared" si="13"/>
        <v>0</v>
      </c>
      <c r="W90" s="127">
        <f t="shared" si="13"/>
        <v>0</v>
      </c>
      <c r="X90" s="127">
        <f t="shared" si="13"/>
        <v>0</v>
      </c>
      <c r="Y90" s="127">
        <f t="shared" si="13"/>
        <v>0</v>
      </c>
      <c r="Z90" s="127">
        <f t="shared" si="13"/>
        <v>0</v>
      </c>
      <c r="AA90" s="127">
        <f t="shared" si="13"/>
        <v>0</v>
      </c>
      <c r="AB90" s="127">
        <f t="shared" si="13"/>
        <v>0</v>
      </c>
      <c r="AC90" s="127">
        <f t="shared" si="13"/>
        <v>0</v>
      </c>
      <c r="AD90" s="127">
        <f t="shared" si="13"/>
        <v>0</v>
      </c>
      <c r="AE90" s="127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2067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2068</v>
      </c>
      <c r="F93" s="14" t="s">
        <v>2069</v>
      </c>
      <c r="G93" s="125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2134</v>
      </c>
      <c r="L93" s="126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2068</v>
      </c>
      <c r="F94" s="14" t="s">
        <v>2069</v>
      </c>
      <c r="G94" s="125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2135</v>
      </c>
      <c r="L94" s="126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2068</v>
      </c>
      <c r="F95" s="14" t="s">
        <v>2069</v>
      </c>
      <c r="G95" s="125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2136</v>
      </c>
      <c r="L95" s="126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2068</v>
      </c>
      <c r="F96" s="14" t="s">
        <v>2069</v>
      </c>
      <c r="G96" s="125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2137</v>
      </c>
      <c r="L96" s="126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2068</v>
      </c>
      <c r="F97" s="14" t="s">
        <v>2069</v>
      </c>
      <c r="G97" s="125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2138</v>
      </c>
      <c r="L97" s="126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2068</v>
      </c>
      <c r="F98" s="14" t="s">
        <v>2069</v>
      </c>
      <c r="G98" s="125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2139</v>
      </c>
      <c r="L98" s="126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2068</v>
      </c>
      <c r="F99" s="14" t="s">
        <v>2069</v>
      </c>
      <c r="G99" s="125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2140</v>
      </c>
      <c r="L99" s="126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2068</v>
      </c>
      <c r="F100" s="14" t="s">
        <v>2069</v>
      </c>
      <c r="G100" s="125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2141</v>
      </c>
      <c r="L100" s="126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2068</v>
      </c>
      <c r="F101" s="14" t="s">
        <v>2069</v>
      </c>
      <c r="G101" s="125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2142</v>
      </c>
      <c r="L101" s="126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2068</v>
      </c>
      <c r="F102" s="14" t="s">
        <v>2069</v>
      </c>
      <c r="H102" s="45" t="str">
        <f>Settings!$B$3&amp;".mit.eco2."&amp;$C$92&amp;".tot.e."&amp;$J$92</f>
        <v>egy.mit.eco2.mch.tot.e.2</v>
      </c>
      <c r="L102" s="127">
        <f t="shared" ref="L102:AE102" si="15">SUM(L93:L101)</f>
        <v>0</v>
      </c>
      <c r="M102" s="127">
        <f t="shared" si="15"/>
        <v>0</v>
      </c>
      <c r="N102" s="127">
        <f t="shared" si="15"/>
        <v>0</v>
      </c>
      <c r="O102" s="127">
        <f t="shared" si="15"/>
        <v>0</v>
      </c>
      <c r="P102" s="127">
        <f t="shared" si="15"/>
        <v>0</v>
      </c>
      <c r="Q102" s="127">
        <f t="shared" si="15"/>
        <v>0</v>
      </c>
      <c r="R102" s="127">
        <f t="shared" si="15"/>
        <v>0</v>
      </c>
      <c r="S102" s="127">
        <f t="shared" si="15"/>
        <v>0</v>
      </c>
      <c r="T102" s="127">
        <f t="shared" si="15"/>
        <v>0</v>
      </c>
      <c r="U102" s="127">
        <f t="shared" si="15"/>
        <v>0</v>
      </c>
      <c r="V102" s="127">
        <f t="shared" si="15"/>
        <v>0</v>
      </c>
      <c r="W102" s="127">
        <f t="shared" si="15"/>
        <v>0</v>
      </c>
      <c r="X102" s="127">
        <f t="shared" si="15"/>
        <v>0</v>
      </c>
      <c r="Y102" s="127">
        <f t="shared" si="15"/>
        <v>0</v>
      </c>
      <c r="Z102" s="127">
        <f t="shared" si="15"/>
        <v>0</v>
      </c>
      <c r="AA102" s="127">
        <f t="shared" si="15"/>
        <v>0</v>
      </c>
      <c r="AB102" s="127">
        <f t="shared" si="15"/>
        <v>0</v>
      </c>
      <c r="AC102" s="127">
        <f t="shared" si="15"/>
        <v>0</v>
      </c>
      <c r="AD102" s="127">
        <f t="shared" si="15"/>
        <v>0</v>
      </c>
      <c r="AE102" s="127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40.5976562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55.597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2174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2175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2176</v>
      </c>
      <c r="D5" s="6" t="s">
        <v>1488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1782</v>
      </c>
      <c r="C6" s="14"/>
      <c r="D6" s="15" t="s">
        <v>2177</v>
      </c>
      <c r="E6" s="16" t="s">
        <v>79</v>
      </c>
      <c r="F6" s="14" t="s">
        <v>1782</v>
      </c>
      <c r="G6" s="125" t="s">
        <v>1840</v>
      </c>
      <c r="H6" s="17"/>
      <c r="I6" t="s">
        <v>2178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1786</v>
      </c>
      <c r="C7" s="14"/>
      <c r="D7" s="15" t="s">
        <v>2179</v>
      </c>
      <c r="E7" s="16" t="s">
        <v>1398</v>
      </c>
      <c r="F7" s="14" t="s">
        <v>1786</v>
      </c>
      <c r="G7" s="125" t="s">
        <v>1841</v>
      </c>
      <c r="H7" s="17"/>
      <c r="I7" t="s">
        <v>2180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2181</v>
      </c>
      <c r="D9" s="6" t="s">
        <v>1488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1435</v>
      </c>
      <c r="C10" s="14" t="s">
        <v>43</v>
      </c>
      <c r="D10" s="15" t="s">
        <v>2182</v>
      </c>
      <c r="E10" s="16" t="s">
        <v>2183</v>
      </c>
      <c r="F10" s="14" t="s">
        <v>2181</v>
      </c>
      <c r="G10" s="17"/>
      <c r="H10" s="125" t="str">
        <f>Settings!$B$3&amp;".mit.obrbm.stl.drg.1"</f>
        <v>egy.mit.obrbm.stl.drg.1</v>
      </c>
      <c r="I10" t="s">
        <v>2184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1438</v>
      </c>
      <c r="C11" s="14" t="s">
        <v>43</v>
      </c>
      <c r="D11" s="15" t="s">
        <v>2185</v>
      </c>
      <c r="E11" s="16" t="s">
        <v>2183</v>
      </c>
      <c r="F11" s="14" t="s">
        <v>2181</v>
      </c>
      <c r="G11" s="17"/>
      <c r="H11" s="125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1441</v>
      </c>
      <c r="C12" s="14" t="s">
        <v>43</v>
      </c>
      <c r="D12" s="15" t="s">
        <v>2186</v>
      </c>
      <c r="E12" s="16" t="s">
        <v>2183</v>
      </c>
      <c r="F12" s="14" t="s">
        <v>2181</v>
      </c>
      <c r="G12" s="17"/>
      <c r="H12" s="125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1444</v>
      </c>
      <c r="C13" s="14" t="s">
        <v>113</v>
      </c>
      <c r="D13" s="15" t="s">
        <v>2187</v>
      </c>
      <c r="E13" s="16" t="s">
        <v>2183</v>
      </c>
      <c r="F13" s="14" t="s">
        <v>2181</v>
      </c>
      <c r="G13" s="17"/>
      <c r="H13" s="125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1447</v>
      </c>
      <c r="C14" s="14" t="s">
        <v>117</v>
      </c>
      <c r="D14" s="15" t="s">
        <v>2188</v>
      </c>
      <c r="E14" s="16" t="s">
        <v>2183</v>
      </c>
      <c r="F14" s="14" t="s">
        <v>2181</v>
      </c>
      <c r="G14" s="17"/>
      <c r="H14" s="125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1450</v>
      </c>
      <c r="C15" s="14" t="s">
        <v>117</v>
      </c>
      <c r="D15" s="15" t="s">
        <v>2189</v>
      </c>
      <c r="E15" s="16" t="s">
        <v>2183</v>
      </c>
      <c r="F15" s="14" t="s">
        <v>2181</v>
      </c>
      <c r="G15" s="17"/>
      <c r="H15" s="125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1453</v>
      </c>
      <c r="C16" s="14" t="s">
        <v>117</v>
      </c>
      <c r="D16" s="15" t="s">
        <v>2190</v>
      </c>
      <c r="E16" s="16" t="s">
        <v>2183</v>
      </c>
      <c r="F16" s="14" t="s">
        <v>2181</v>
      </c>
      <c r="G16" s="17"/>
      <c r="H16" s="125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1456</v>
      </c>
      <c r="C17" s="14" t="s">
        <v>115</v>
      </c>
      <c r="D17" s="15" t="s">
        <v>2191</v>
      </c>
      <c r="E17" s="16" t="s">
        <v>2183</v>
      </c>
      <c r="F17" s="14" t="s">
        <v>2181</v>
      </c>
      <c r="G17" s="17"/>
      <c r="H17" s="125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2192</v>
      </c>
      <c r="D19" s="6" t="s">
        <v>1488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1435</v>
      </c>
      <c r="C20" s="14" t="s">
        <v>43</v>
      </c>
      <c r="D20" s="15" t="s">
        <v>2193</v>
      </c>
      <c r="E20" s="16" t="s">
        <v>2194</v>
      </c>
      <c r="F20" s="14" t="s">
        <v>2192</v>
      </c>
      <c r="G20" s="17"/>
      <c r="H20" s="125" t="str">
        <f>Settings!$B$3&amp;".mit.ccpt.stl.drg.1"</f>
        <v>egy.mit.ccpt.stl.drg.1</v>
      </c>
      <c r="I20" t="s">
        <v>2195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1438</v>
      </c>
      <c r="C21" s="14" t="s">
        <v>43</v>
      </c>
      <c r="D21" s="15" t="s">
        <v>2196</v>
      </c>
      <c r="E21" s="16" t="s">
        <v>2194</v>
      </c>
      <c r="F21" s="14" t="s">
        <v>2192</v>
      </c>
      <c r="G21" s="17"/>
      <c r="H21" s="125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1441</v>
      </c>
      <c r="C22" s="14" t="s">
        <v>43</v>
      </c>
      <c r="D22" s="15" t="s">
        <v>2197</v>
      </c>
      <c r="E22" s="16" t="s">
        <v>2194</v>
      </c>
      <c r="F22" s="14" t="s">
        <v>2192</v>
      </c>
      <c r="G22" s="17"/>
      <c r="H22" s="125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1444</v>
      </c>
      <c r="C23" s="14" t="s">
        <v>113</v>
      </c>
      <c r="D23" s="15" t="s">
        <v>2198</v>
      </c>
      <c r="E23" s="16" t="s">
        <v>2194</v>
      </c>
      <c r="F23" s="14" t="s">
        <v>2192</v>
      </c>
      <c r="G23" s="17"/>
      <c r="H23" s="125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1447</v>
      </c>
      <c r="C24" s="14" t="s">
        <v>117</v>
      </c>
      <c r="D24" s="15" t="s">
        <v>2199</v>
      </c>
      <c r="E24" s="16" t="s">
        <v>2194</v>
      </c>
      <c r="F24" s="14" t="s">
        <v>2192</v>
      </c>
      <c r="G24" s="17"/>
      <c r="H24" s="125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1450</v>
      </c>
      <c r="C25" s="14" t="s">
        <v>117</v>
      </c>
      <c r="D25" s="15" t="s">
        <v>2200</v>
      </c>
      <c r="E25" s="16" t="s">
        <v>2194</v>
      </c>
      <c r="F25" s="14" t="s">
        <v>2192</v>
      </c>
      <c r="G25" s="17"/>
      <c r="H25" s="125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1453</v>
      </c>
      <c r="C26" s="14" t="s">
        <v>117</v>
      </c>
      <c r="D26" s="15" t="s">
        <v>2201</v>
      </c>
      <c r="E26" s="16" t="s">
        <v>2194</v>
      </c>
      <c r="F26" s="14" t="s">
        <v>2192</v>
      </c>
      <c r="G26" s="17"/>
      <c r="H26" s="125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1456</v>
      </c>
      <c r="C27" s="14" t="s">
        <v>115</v>
      </c>
      <c r="D27" s="15" t="s">
        <v>2202</v>
      </c>
      <c r="E27" s="16" t="s">
        <v>2194</v>
      </c>
      <c r="F27" s="14" t="s">
        <v>2192</v>
      </c>
      <c r="G27" s="17"/>
      <c r="H27" s="125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2203</v>
      </c>
      <c r="D29" s="6" t="s">
        <v>1488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1435</v>
      </c>
      <c r="C30" s="14" t="s">
        <v>43</v>
      </c>
      <c r="D30" s="15" t="s">
        <v>2204</v>
      </c>
      <c r="E30" s="16" t="s">
        <v>2194</v>
      </c>
      <c r="F30" s="14" t="s">
        <v>2203</v>
      </c>
      <c r="G30" s="17"/>
      <c r="H30" s="125" t="str">
        <f>Settings!$B$3&amp;".mit.obrpu.stl.drg.1"</f>
        <v>egy.mit.obrpu.stl.drg.1</v>
      </c>
      <c r="I30" t="s">
        <v>2205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1438</v>
      </c>
      <c r="C31" s="14" t="s">
        <v>43</v>
      </c>
      <c r="D31" s="15" t="s">
        <v>2206</v>
      </c>
      <c r="E31" s="16" t="s">
        <v>2194</v>
      </c>
      <c r="F31" s="14" t="s">
        <v>2203</v>
      </c>
      <c r="G31" s="17"/>
      <c r="H31" s="125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1441</v>
      </c>
      <c r="C32" s="14" t="s">
        <v>43</v>
      </c>
      <c r="D32" s="15" t="s">
        <v>2207</v>
      </c>
      <c r="E32" s="16" t="s">
        <v>2194</v>
      </c>
      <c r="F32" s="14" t="s">
        <v>2203</v>
      </c>
      <c r="G32" s="17"/>
      <c r="H32" s="125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1444</v>
      </c>
      <c r="C33" s="14" t="s">
        <v>113</v>
      </c>
      <c r="D33" s="15" t="s">
        <v>2208</v>
      </c>
      <c r="E33" s="16" t="s">
        <v>2194</v>
      </c>
      <c r="F33" s="14" t="s">
        <v>2203</v>
      </c>
      <c r="G33" s="17"/>
      <c r="H33" s="125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1447</v>
      </c>
      <c r="C34" s="14" t="s">
        <v>117</v>
      </c>
      <c r="D34" s="15" t="s">
        <v>2209</v>
      </c>
      <c r="E34" s="16" t="s">
        <v>2194</v>
      </c>
      <c r="F34" s="14" t="s">
        <v>2203</v>
      </c>
      <c r="G34" s="17"/>
      <c r="H34" s="125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1450</v>
      </c>
      <c r="C35" s="14" t="s">
        <v>117</v>
      </c>
      <c r="D35" s="15" t="s">
        <v>2210</v>
      </c>
      <c r="E35" s="16" t="s">
        <v>2194</v>
      </c>
      <c r="F35" s="14" t="s">
        <v>2203</v>
      </c>
      <c r="G35" s="17"/>
      <c r="H35" s="125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1453</v>
      </c>
      <c r="C36" s="14" t="s">
        <v>117</v>
      </c>
      <c r="D36" s="15" t="s">
        <v>2211</v>
      </c>
      <c r="E36" s="16" t="s">
        <v>2194</v>
      </c>
      <c r="F36" s="14" t="s">
        <v>2203</v>
      </c>
      <c r="G36" s="17"/>
      <c r="H36" s="125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1456</v>
      </c>
      <c r="C37" s="14" t="s">
        <v>115</v>
      </c>
      <c r="D37" s="15" t="s">
        <v>2212</v>
      </c>
      <c r="E37" s="16" t="s">
        <v>2194</v>
      </c>
      <c r="F37" s="14" t="s">
        <v>2203</v>
      </c>
      <c r="G37" s="17"/>
      <c r="H37" s="125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2213</v>
      </c>
      <c r="D39" s="6" t="s">
        <v>1488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1435</v>
      </c>
      <c r="C40" s="14" t="s">
        <v>43</v>
      </c>
      <c r="D40" s="15" t="s">
        <v>2214</v>
      </c>
      <c r="E40" s="16" t="s">
        <v>2194</v>
      </c>
      <c r="F40" s="14" t="s">
        <v>2213</v>
      </c>
      <c r="G40" s="17"/>
      <c r="H40" s="125" t="str">
        <f>Settings!$B$3&amp;".mit.obrpt.stl.drg.1"</f>
        <v>egy.mit.obrpt.stl.drg.1</v>
      </c>
      <c r="I40" t="s">
        <v>2215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1438</v>
      </c>
      <c r="C41" s="14" t="s">
        <v>43</v>
      </c>
      <c r="D41" s="15" t="s">
        <v>2216</v>
      </c>
      <c r="E41" s="16" t="s">
        <v>2194</v>
      </c>
      <c r="F41" s="14" t="s">
        <v>2213</v>
      </c>
      <c r="G41" s="17"/>
      <c r="H41" s="125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1441</v>
      </c>
      <c r="C42" s="14" t="s">
        <v>43</v>
      </c>
      <c r="D42" s="15" t="s">
        <v>2217</v>
      </c>
      <c r="E42" s="16" t="s">
        <v>2194</v>
      </c>
      <c r="F42" s="14" t="s">
        <v>2213</v>
      </c>
      <c r="G42" s="17"/>
      <c r="H42" s="125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1444</v>
      </c>
      <c r="C43" s="14" t="s">
        <v>113</v>
      </c>
      <c r="D43" s="15" t="s">
        <v>2218</v>
      </c>
      <c r="E43" s="16" t="s">
        <v>2194</v>
      </c>
      <c r="F43" s="14" t="s">
        <v>2213</v>
      </c>
      <c r="G43" s="17"/>
      <c r="H43" s="125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1447</v>
      </c>
      <c r="C44" s="14" t="s">
        <v>117</v>
      </c>
      <c r="D44" s="15" t="s">
        <v>2219</v>
      </c>
      <c r="E44" s="16" t="s">
        <v>2194</v>
      </c>
      <c r="F44" s="14" t="s">
        <v>2213</v>
      </c>
      <c r="G44" s="17"/>
      <c r="H44" s="125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1450</v>
      </c>
      <c r="C45" s="14" t="s">
        <v>117</v>
      </c>
      <c r="D45" s="15" t="s">
        <v>2220</v>
      </c>
      <c r="E45" s="16" t="s">
        <v>2194</v>
      </c>
      <c r="F45" s="14" t="s">
        <v>2213</v>
      </c>
      <c r="G45" s="17"/>
      <c r="H45" s="125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1453</v>
      </c>
      <c r="C46" s="14" t="s">
        <v>117</v>
      </c>
      <c r="D46" s="15" t="s">
        <v>2221</v>
      </c>
      <c r="E46" s="16" t="s">
        <v>2194</v>
      </c>
      <c r="F46" s="14" t="s">
        <v>2213</v>
      </c>
      <c r="G46" s="17"/>
      <c r="H46" s="125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1456</v>
      </c>
      <c r="C47" s="14" t="s">
        <v>115</v>
      </c>
      <c r="D47" s="15" t="s">
        <v>2222</v>
      </c>
      <c r="E47" s="16" t="s">
        <v>2194</v>
      </c>
      <c r="F47" s="14" t="s">
        <v>2213</v>
      </c>
      <c r="G47" s="17"/>
      <c r="H47" s="125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2223</v>
      </c>
      <c r="D49" s="6" t="s">
        <v>1488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1435</v>
      </c>
      <c r="C50" s="14" t="s">
        <v>43</v>
      </c>
      <c r="D50" s="15" t="s">
        <v>2224</v>
      </c>
      <c r="E50" s="16" t="s">
        <v>2194</v>
      </c>
      <c r="F50" s="14" t="s">
        <v>2223</v>
      </c>
      <c r="G50" s="17"/>
      <c r="H50" s="125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1438</v>
      </c>
      <c r="C51" s="14" t="s">
        <v>43</v>
      </c>
      <c r="D51" s="15" t="s">
        <v>2225</v>
      </c>
      <c r="E51" s="16" t="s">
        <v>2194</v>
      </c>
      <c r="F51" s="14" t="s">
        <v>2223</v>
      </c>
      <c r="G51" s="17"/>
      <c r="H51" s="125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1441</v>
      </c>
      <c r="C52" s="14" t="s">
        <v>43</v>
      </c>
      <c r="D52" s="15" t="s">
        <v>2226</v>
      </c>
      <c r="E52" s="16" t="s">
        <v>2194</v>
      </c>
      <c r="F52" s="14" t="s">
        <v>2223</v>
      </c>
      <c r="G52" s="17"/>
      <c r="H52" s="125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1444</v>
      </c>
      <c r="C53" s="14" t="s">
        <v>113</v>
      </c>
      <c r="D53" s="15" t="s">
        <v>2227</v>
      </c>
      <c r="E53" s="16" t="s">
        <v>2194</v>
      </c>
      <c r="F53" s="14" t="s">
        <v>2223</v>
      </c>
      <c r="G53" s="17"/>
      <c r="H53" s="125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1447</v>
      </c>
      <c r="C54" s="14" t="s">
        <v>117</v>
      </c>
      <c r="D54" s="15" t="s">
        <v>2228</v>
      </c>
      <c r="E54" s="16" t="s">
        <v>2194</v>
      </c>
      <c r="F54" s="14" t="s">
        <v>2223</v>
      </c>
      <c r="G54" s="17"/>
      <c r="H54" s="125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1450</v>
      </c>
      <c r="C55" s="14" t="s">
        <v>117</v>
      </c>
      <c r="D55" s="15" t="s">
        <v>2229</v>
      </c>
      <c r="E55" s="16" t="s">
        <v>2194</v>
      </c>
      <c r="F55" s="14" t="s">
        <v>2223</v>
      </c>
      <c r="G55" s="17"/>
      <c r="H55" s="125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1453</v>
      </c>
      <c r="C56" s="14" t="s">
        <v>117</v>
      </c>
      <c r="D56" s="15" t="s">
        <v>2230</v>
      </c>
      <c r="E56" s="16" t="s">
        <v>2194</v>
      </c>
      <c r="F56" s="14" t="s">
        <v>2223</v>
      </c>
      <c r="G56" s="17"/>
      <c r="H56" s="125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1456</v>
      </c>
      <c r="C57" s="14" t="s">
        <v>115</v>
      </c>
      <c r="D57" s="15" t="s">
        <v>2231</v>
      </c>
      <c r="E57" s="16" t="s">
        <v>2194</v>
      </c>
      <c r="F57" s="14" t="s">
        <v>2223</v>
      </c>
      <c r="G57" s="17"/>
      <c r="H57" s="125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2232</v>
      </c>
      <c r="D59" s="6" t="s">
        <v>1488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1435</v>
      </c>
      <c r="C60" s="14" t="s">
        <v>43</v>
      </c>
      <c r="D60" s="15" t="s">
        <v>2233</v>
      </c>
      <c r="E60" s="16" t="s">
        <v>79</v>
      </c>
      <c r="F60" s="14" t="s">
        <v>2232</v>
      </c>
      <c r="G60" s="17"/>
      <c r="H60" s="125" t="str">
        <f>Settings!$B$3&amp;".mit.ppin.stl.drg.1"</f>
        <v>egy.mit.ppin.stl.drg.1</v>
      </c>
      <c r="I60" t="s">
        <v>2234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1438</v>
      </c>
      <c r="C61" s="14" t="s">
        <v>43</v>
      </c>
      <c r="D61" s="15" t="s">
        <v>2235</v>
      </c>
      <c r="E61" s="16" t="s">
        <v>79</v>
      </c>
      <c r="F61" s="14" t="s">
        <v>2232</v>
      </c>
      <c r="G61" s="17"/>
      <c r="H61" s="125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1441</v>
      </c>
      <c r="C62" s="14" t="s">
        <v>43</v>
      </c>
      <c r="D62" s="15" t="s">
        <v>2236</v>
      </c>
      <c r="E62" s="16" t="s">
        <v>79</v>
      </c>
      <c r="F62" s="14" t="s">
        <v>2232</v>
      </c>
      <c r="G62" s="17"/>
      <c r="H62" s="125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1444</v>
      </c>
      <c r="C63" s="14" t="s">
        <v>113</v>
      </c>
      <c r="D63" s="15" t="s">
        <v>2237</v>
      </c>
      <c r="E63" s="16" t="s">
        <v>79</v>
      </c>
      <c r="F63" s="14" t="s">
        <v>2232</v>
      </c>
      <c r="G63" s="17"/>
      <c r="H63" s="125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1447</v>
      </c>
      <c r="C64" s="14" t="s">
        <v>117</v>
      </c>
      <c r="D64" s="15" t="s">
        <v>2238</v>
      </c>
      <c r="E64" s="16" t="s">
        <v>79</v>
      </c>
      <c r="F64" s="14" t="s">
        <v>2232</v>
      </c>
      <c r="G64" s="17"/>
      <c r="H64" s="125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1450</v>
      </c>
      <c r="C65" s="14" t="s">
        <v>117</v>
      </c>
      <c r="D65" s="15" t="s">
        <v>2239</v>
      </c>
      <c r="E65" s="16" t="s">
        <v>79</v>
      </c>
      <c r="F65" s="14" t="s">
        <v>2232</v>
      </c>
      <c r="G65" s="17"/>
      <c r="H65" s="125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1453</v>
      </c>
      <c r="C66" s="14" t="s">
        <v>117</v>
      </c>
      <c r="D66" s="15" t="s">
        <v>2240</v>
      </c>
      <c r="E66" s="16" t="s">
        <v>79</v>
      </c>
      <c r="F66" s="14" t="s">
        <v>2232</v>
      </c>
      <c r="G66" s="17"/>
      <c r="H66" s="125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1456</v>
      </c>
      <c r="C67" s="14" t="s">
        <v>115</v>
      </c>
      <c r="D67" s="15" t="s">
        <v>2241</v>
      </c>
      <c r="E67" s="16" t="s">
        <v>79</v>
      </c>
      <c r="F67" s="14" t="s">
        <v>2232</v>
      </c>
      <c r="G67" s="17"/>
      <c r="H67" s="125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2242</v>
      </c>
      <c r="D69" s="6" t="s">
        <v>1488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1435</v>
      </c>
      <c r="C70" s="14" t="s">
        <v>43</v>
      </c>
      <c r="D70" s="15" t="s">
        <v>2243</v>
      </c>
      <c r="E70" s="16" t="s">
        <v>1854</v>
      </c>
      <c r="F70" s="14" t="s">
        <v>2242</v>
      </c>
      <c r="G70" s="17"/>
      <c r="H70" s="125" t="str">
        <f>Settings!$B$3&amp;".mit.obr.stl.drg.1"</f>
        <v>egy.mit.obr.stl.drg.1</v>
      </c>
      <c r="I70" t="s">
        <v>2244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1438</v>
      </c>
      <c r="C71" s="14" t="s">
        <v>43</v>
      </c>
      <c r="D71" s="15" t="s">
        <v>2245</v>
      </c>
      <c r="E71" s="16" t="s">
        <v>1854</v>
      </c>
      <c r="F71" s="14" t="s">
        <v>2242</v>
      </c>
      <c r="G71" s="17"/>
      <c r="H71" s="125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1441</v>
      </c>
      <c r="C72" s="14" t="s">
        <v>43</v>
      </c>
      <c r="D72" s="15" t="s">
        <v>2246</v>
      </c>
      <c r="E72" s="16" t="s">
        <v>1854</v>
      </c>
      <c r="F72" s="14" t="s">
        <v>2242</v>
      </c>
      <c r="G72" s="17"/>
      <c r="H72" s="125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1444</v>
      </c>
      <c r="C73" s="14" t="s">
        <v>113</v>
      </c>
      <c r="D73" s="15" t="s">
        <v>2247</v>
      </c>
      <c r="E73" s="16" t="s">
        <v>1854</v>
      </c>
      <c r="F73" s="14" t="s">
        <v>2242</v>
      </c>
      <c r="G73" s="17"/>
      <c r="H73" s="125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1447</v>
      </c>
      <c r="C74" s="14" t="s">
        <v>117</v>
      </c>
      <c r="D74" s="15" t="s">
        <v>2248</v>
      </c>
      <c r="E74" s="16" t="s">
        <v>1854</v>
      </c>
      <c r="F74" s="14" t="s">
        <v>2242</v>
      </c>
      <c r="G74" s="17"/>
      <c r="H74" s="125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1450</v>
      </c>
      <c r="C75" s="14" t="s">
        <v>117</v>
      </c>
      <c r="D75" s="15" t="s">
        <v>2249</v>
      </c>
      <c r="E75" s="16" t="s">
        <v>1854</v>
      </c>
      <c r="F75" s="14" t="s">
        <v>2242</v>
      </c>
      <c r="G75" s="17"/>
      <c r="H75" s="125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1453</v>
      </c>
      <c r="C76" s="14" t="s">
        <v>117</v>
      </c>
      <c r="D76" s="15" t="s">
        <v>2250</v>
      </c>
      <c r="E76" s="16" t="s">
        <v>1854</v>
      </c>
      <c r="F76" s="14" t="s">
        <v>2242</v>
      </c>
      <c r="G76" s="17"/>
      <c r="H76" s="125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1456</v>
      </c>
      <c r="C77" s="14" t="s">
        <v>115</v>
      </c>
      <c r="D77" s="15" t="s">
        <v>2251</v>
      </c>
      <c r="E77" s="16" t="s">
        <v>1854</v>
      </c>
      <c r="F77" s="14" t="s">
        <v>2242</v>
      </c>
      <c r="G77" s="17"/>
      <c r="H77" s="125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2252</v>
      </c>
      <c r="E78" s="16" t="s">
        <v>1854</v>
      </c>
      <c r="F78" s="14" t="s">
        <v>2242</v>
      </c>
      <c r="H78" s="125" t="str">
        <f>Settings!$B$3&amp;".mit.obr.cbam.tot.1"</f>
        <v>egy.mit.obr.cbam.tot.1</v>
      </c>
      <c r="L78" s="127">
        <f t="shared" ref="L78:AE78" si="24">SUM(L70:L77)</f>
        <v>0</v>
      </c>
      <c r="M78" s="127">
        <f t="shared" si="24"/>
        <v>0</v>
      </c>
      <c r="N78" s="127">
        <f t="shared" si="24"/>
        <v>0</v>
      </c>
      <c r="O78" s="127">
        <f t="shared" si="24"/>
        <v>0</v>
      </c>
      <c r="P78" s="127">
        <f t="shared" si="24"/>
        <v>0</v>
      </c>
      <c r="Q78" s="127">
        <f t="shared" si="24"/>
        <v>0</v>
      </c>
      <c r="R78" s="127">
        <f t="shared" si="24"/>
        <v>0</v>
      </c>
      <c r="S78" s="127">
        <f t="shared" si="24"/>
        <v>0</v>
      </c>
      <c r="T78" s="127">
        <f t="shared" si="24"/>
        <v>0</v>
      </c>
      <c r="U78" s="127">
        <f t="shared" si="24"/>
        <v>0</v>
      </c>
      <c r="V78" s="127">
        <f t="shared" si="24"/>
        <v>0</v>
      </c>
      <c r="W78" s="127">
        <f t="shared" si="24"/>
        <v>0</v>
      </c>
      <c r="X78" s="127">
        <f t="shared" si="24"/>
        <v>0</v>
      </c>
      <c r="Y78" s="127">
        <f t="shared" si="24"/>
        <v>0</v>
      </c>
      <c r="Z78" s="127">
        <f t="shared" si="24"/>
        <v>0</v>
      </c>
      <c r="AA78" s="127">
        <f t="shared" si="24"/>
        <v>0</v>
      </c>
      <c r="AB78" s="127">
        <f t="shared" si="24"/>
        <v>0</v>
      </c>
      <c r="AC78" s="127">
        <f t="shared" si="24"/>
        <v>0</v>
      </c>
      <c r="AD78" s="127">
        <f t="shared" si="24"/>
        <v>0</v>
      </c>
      <c r="AE78" s="127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1488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2253</v>
      </c>
      <c r="E81" s="16" t="s">
        <v>1854</v>
      </c>
      <c r="F81" s="14" t="s">
        <v>2242</v>
      </c>
      <c r="H81" s="125" t="str">
        <f>Settings!$B$3&amp;".mit.obr.ind.irn.1"</f>
        <v>egy.mit.obr.ind.irn.1</v>
      </c>
      <c r="I81" t="s">
        <v>2254</v>
      </c>
      <c r="L81" s="127">
        <f t="shared" ref="L81:AE81" si="25">L$70+L$71+L$72</f>
        <v>0</v>
      </c>
      <c r="M81" s="127">
        <f t="shared" si="25"/>
        <v>0</v>
      </c>
      <c r="N81" s="127">
        <f t="shared" si="25"/>
        <v>0</v>
      </c>
      <c r="O81" s="127">
        <f t="shared" si="25"/>
        <v>0</v>
      </c>
      <c r="P81" s="127">
        <f t="shared" si="25"/>
        <v>0</v>
      </c>
      <c r="Q81" s="127">
        <f t="shared" si="25"/>
        <v>0</v>
      </c>
      <c r="R81" s="127">
        <f t="shared" si="25"/>
        <v>0</v>
      </c>
      <c r="S81" s="127">
        <f t="shared" si="25"/>
        <v>0</v>
      </c>
      <c r="T81" s="127">
        <f t="shared" si="25"/>
        <v>0</v>
      </c>
      <c r="U81" s="127">
        <f t="shared" si="25"/>
        <v>0</v>
      </c>
      <c r="V81" s="127">
        <f t="shared" si="25"/>
        <v>0</v>
      </c>
      <c r="W81" s="127">
        <f t="shared" si="25"/>
        <v>0</v>
      </c>
      <c r="X81" s="127">
        <f t="shared" si="25"/>
        <v>0</v>
      </c>
      <c r="Y81" s="127">
        <f t="shared" si="25"/>
        <v>0</v>
      </c>
      <c r="Z81" s="127">
        <f t="shared" si="25"/>
        <v>0</v>
      </c>
      <c r="AA81" s="127">
        <f t="shared" si="25"/>
        <v>0</v>
      </c>
      <c r="AB81" s="127">
        <f t="shared" si="25"/>
        <v>0</v>
      </c>
      <c r="AC81" s="127">
        <f t="shared" si="25"/>
        <v>0</v>
      </c>
      <c r="AD81" s="127">
        <f t="shared" si="25"/>
        <v>0</v>
      </c>
      <c r="AE81" s="127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2255</v>
      </c>
      <c r="E82" s="16" t="s">
        <v>1854</v>
      </c>
      <c r="F82" s="14" t="s">
        <v>2256</v>
      </c>
      <c r="H82" s="125" t="str">
        <f>Settings!$B$3&amp;".mit.ccf.ind.irn.1"</f>
        <v>egy.mit.ccf.ind.irn.1</v>
      </c>
      <c r="L82" s="127">
        <f>L$20*Mitigation_Industry!L$276/1000+L$21*Mitigation_Industry!L$277/1000+L$22*Mitigation_Industry!L$278/1000</f>
        <v>0</v>
      </c>
      <c r="M82" s="127">
        <f>M$20*Mitigation_Industry!M$276/1000+M$21*Mitigation_Industry!M$277/1000+M$22*Mitigation_Industry!M$278/1000</f>
        <v>0</v>
      </c>
      <c r="N82" s="127">
        <f>N$20*Mitigation_Industry!N$276/1000+N$21*Mitigation_Industry!N$277/1000+N$22*Mitigation_Industry!N$278/1000</f>
        <v>0</v>
      </c>
      <c r="O82" s="127">
        <f>O$20*Mitigation_Industry!O$276/1000+O$21*Mitigation_Industry!O$277/1000+O$22*Mitigation_Industry!O$278/1000</f>
        <v>0</v>
      </c>
      <c r="P82" s="127">
        <f>P$20*Mitigation_Industry!P$276/1000+P$21*Mitigation_Industry!P$277/1000+P$22*Mitigation_Industry!P$278/1000</f>
        <v>0</v>
      </c>
      <c r="Q82" s="127">
        <f>Q$20*Mitigation_Industry!Q$276/1000+Q$21*Mitigation_Industry!Q$277/1000+Q$22*Mitigation_Industry!Q$278/1000</f>
        <v>0</v>
      </c>
      <c r="R82" s="127">
        <f>R$20*Mitigation_Industry!R$276/1000+R$21*Mitigation_Industry!R$277/1000+R$22*Mitigation_Industry!R$278/1000</f>
        <v>0</v>
      </c>
      <c r="S82" s="127">
        <f>S$20*Mitigation_Industry!S$276/1000+S$21*Mitigation_Industry!S$277/1000+S$22*Mitigation_Industry!S$278/1000</f>
        <v>0</v>
      </c>
      <c r="T82" s="127">
        <f>T$20*Mitigation_Industry!T$276/1000+T$21*Mitigation_Industry!T$277/1000+T$22*Mitigation_Industry!T$278/1000</f>
        <v>0</v>
      </c>
      <c r="U82" s="127">
        <f>U$20*Mitigation_Industry!U$276/1000+U$21*Mitigation_Industry!U$277/1000+U$22*Mitigation_Industry!U$278/1000</f>
        <v>0</v>
      </c>
      <c r="V82" s="127">
        <f>V$20*Mitigation_Industry!V$276/1000+V$21*Mitigation_Industry!V$277/1000+V$22*Mitigation_Industry!V$278/1000</f>
        <v>0</v>
      </c>
      <c r="W82" s="127">
        <f>W$20*Mitigation_Industry!W$276/1000+W$21*Mitigation_Industry!W$277/1000+W$22*Mitigation_Industry!W$278/1000</f>
        <v>0</v>
      </c>
      <c r="X82" s="127">
        <f>X$20*Mitigation_Industry!X$276/1000+X$21*Mitigation_Industry!X$277/1000+X$22*Mitigation_Industry!X$278/1000</f>
        <v>0</v>
      </c>
      <c r="Y82" s="127">
        <f>Y$20*Mitigation_Industry!Y$276/1000+Y$21*Mitigation_Industry!Y$277/1000+Y$22*Mitigation_Industry!Y$278/1000</f>
        <v>0</v>
      </c>
      <c r="Z82" s="127">
        <f>Z$20*Mitigation_Industry!Z$276/1000+Z$21*Mitigation_Industry!Z$277/1000+Z$22*Mitigation_Industry!Z$278/1000</f>
        <v>0</v>
      </c>
      <c r="AA82" s="127">
        <f>AA$20*Mitigation_Industry!AA$276/1000+AA$21*Mitigation_Industry!AA$277/1000+AA$22*Mitigation_Industry!AA$278/1000</f>
        <v>0</v>
      </c>
      <c r="AB82" s="127">
        <f>AB$20*Mitigation_Industry!AB$276/1000+AB$21*Mitigation_Industry!AB$277/1000+AB$22*Mitigation_Industry!AB$278/1000</f>
        <v>0</v>
      </c>
      <c r="AC82" s="127">
        <f>AC$20*Mitigation_Industry!AC$276/1000+AC$21*Mitigation_Industry!AC$277/1000+AC$22*Mitigation_Industry!AC$278/1000</f>
        <v>0</v>
      </c>
      <c r="AD82" s="127">
        <f>AD$20*Mitigation_Industry!AD$276/1000+AD$21*Mitigation_Industry!AD$277/1000+AD$22*Mitigation_Industry!AD$278/1000</f>
        <v>0</v>
      </c>
      <c r="AE82" s="127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2257</v>
      </c>
      <c r="E83" s="16" t="s">
        <v>79</v>
      </c>
      <c r="F83" s="14" t="s">
        <v>2258</v>
      </c>
      <c r="H83" s="125" t="str">
        <f>Settings!$B$3&amp;".mit.rsh.ind.irn.1"</f>
        <v>egy.mit.rsh.ind.irn.1</v>
      </c>
      <c r="I83" t="s">
        <v>2259</v>
      </c>
      <c r="L83" s="127">
        <f t="shared" ref="L83:AE83" si="26">IF(L$82&lt;=0,0,MIN(1,L$81/L$82))</f>
        <v>0</v>
      </c>
      <c r="M83" s="127">
        <f t="shared" si="26"/>
        <v>0</v>
      </c>
      <c r="N83" s="127">
        <f t="shared" si="26"/>
        <v>0</v>
      </c>
      <c r="O83" s="127">
        <f t="shared" si="26"/>
        <v>0</v>
      </c>
      <c r="P83" s="127">
        <f t="shared" si="26"/>
        <v>0</v>
      </c>
      <c r="Q83" s="127">
        <f t="shared" si="26"/>
        <v>0</v>
      </c>
      <c r="R83" s="127">
        <f t="shared" si="26"/>
        <v>0</v>
      </c>
      <c r="S83" s="127">
        <f t="shared" si="26"/>
        <v>0</v>
      </c>
      <c r="T83" s="127">
        <f t="shared" si="26"/>
        <v>0</v>
      </c>
      <c r="U83" s="127">
        <f t="shared" si="26"/>
        <v>0</v>
      </c>
      <c r="V83" s="127">
        <f t="shared" si="26"/>
        <v>0</v>
      </c>
      <c r="W83" s="127">
        <f t="shared" si="26"/>
        <v>0</v>
      </c>
      <c r="X83" s="127">
        <f t="shared" si="26"/>
        <v>0</v>
      </c>
      <c r="Y83" s="127">
        <f t="shared" si="26"/>
        <v>0</v>
      </c>
      <c r="Z83" s="127">
        <f t="shared" si="26"/>
        <v>0</v>
      </c>
      <c r="AA83" s="127">
        <f t="shared" si="26"/>
        <v>0</v>
      </c>
      <c r="AB83" s="127">
        <f t="shared" si="26"/>
        <v>0</v>
      </c>
      <c r="AC83" s="127">
        <f t="shared" si="26"/>
        <v>0</v>
      </c>
      <c r="AD83" s="127">
        <f t="shared" si="26"/>
        <v>0</v>
      </c>
      <c r="AE83" s="127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2260</v>
      </c>
      <c r="E84" s="16" t="s">
        <v>51</v>
      </c>
      <c r="F84" s="14" t="s">
        <v>2261</v>
      </c>
      <c r="G84" s="17"/>
      <c r="H84" s="125" t="str">
        <f>Settings!$B$3&amp;".mit.atpn.irn.coa.e.1"</f>
        <v>egy.mit.atpn.irn.coa.e.1</v>
      </c>
      <c r="I84" t="s">
        <v>2262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2263</v>
      </c>
      <c r="E85" s="16" t="s">
        <v>51</v>
      </c>
      <c r="F85" s="14" t="s">
        <v>2261</v>
      </c>
      <c r="G85" s="17"/>
      <c r="H85" s="125" t="str">
        <f>Settings!$B$3&amp;".mit.atpn.irn.nga.e.1"</f>
        <v>egy.mit.atpn.irn.nga.e.1</v>
      </c>
      <c r="I85" t="s">
        <v>2264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2265</v>
      </c>
      <c r="E86" s="16" t="s">
        <v>57</v>
      </c>
      <c r="F86" s="14" t="s">
        <v>2261</v>
      </c>
      <c r="G86" s="17"/>
      <c r="H86" s="125" t="str">
        <f>Settings!$B$3&amp;".mit.atpn.irn.gso.e.1"</f>
        <v>egy.mit.atpn.irn.gso.e.1</v>
      </c>
      <c r="I86" t="s">
        <v>2266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2267</v>
      </c>
      <c r="E87" s="16" t="s">
        <v>57</v>
      </c>
      <c r="F87" s="14" t="s">
        <v>2261</v>
      </c>
      <c r="G87" s="17"/>
      <c r="H87" s="125" t="str">
        <f>Settings!$B$3&amp;".mit.atpn.irn.die.e.1"</f>
        <v>egy.mit.atpn.irn.die.e.1</v>
      </c>
      <c r="I87" t="s">
        <v>2268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2269</v>
      </c>
      <c r="E88" s="16" t="s">
        <v>57</v>
      </c>
      <c r="F88" s="14" t="s">
        <v>2261</v>
      </c>
      <c r="G88" s="17"/>
      <c r="H88" s="125" t="str">
        <f>Settings!$B$3&amp;".mit.atpn.irn.lpg.e.1"</f>
        <v>egy.mit.atpn.irn.lpg.e.1</v>
      </c>
      <c r="I88" t="s">
        <v>2270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2271</v>
      </c>
      <c r="E89" s="16" t="s">
        <v>57</v>
      </c>
      <c r="F89" s="14" t="s">
        <v>2261</v>
      </c>
      <c r="G89" s="17"/>
      <c r="H89" s="125" t="str">
        <f>Settings!$B$3&amp;".mit.atpn.irn.ker.e.1"</f>
        <v>egy.mit.atpn.irn.ker.e.1</v>
      </c>
      <c r="I89" t="s">
        <v>2272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2273</v>
      </c>
      <c r="E90" s="16" t="s">
        <v>66</v>
      </c>
      <c r="F90" s="14" t="s">
        <v>2261</v>
      </c>
      <c r="G90" s="17"/>
      <c r="H90" s="125" t="str">
        <f>Settings!$B$3&amp;".mit.atpn.irn.oop.e.1"</f>
        <v>egy.mit.atpn.irn.oop.e.1</v>
      </c>
      <c r="I90" t="s">
        <v>2274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2275</v>
      </c>
      <c r="E91" s="16" t="s">
        <v>51</v>
      </c>
      <c r="F91" s="14" t="s">
        <v>2261</v>
      </c>
      <c r="G91" s="17"/>
      <c r="H91" s="125" t="str">
        <f>Settings!$B$3&amp;".mit.atpn.irn.bio.e.1"</f>
        <v>egy.mit.atpn.irn.bio.e.1</v>
      </c>
      <c r="I91" t="s">
        <v>2276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2277</v>
      </c>
      <c r="E92" s="16" t="s">
        <v>71</v>
      </c>
      <c r="F92" s="14" t="s">
        <v>2261</v>
      </c>
      <c r="G92" s="17"/>
      <c r="H92" s="125" t="str">
        <f>Settings!$B$3&amp;".mit.atpn.irn.ren.e.1"</f>
        <v>egy.mit.atpn.irn.ren.e.1</v>
      </c>
      <c r="I92" t="s">
        <v>2278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1488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2253</v>
      </c>
      <c r="E95" s="16" t="s">
        <v>1854</v>
      </c>
      <c r="F95" s="14" t="s">
        <v>2242</v>
      </c>
      <c r="H95" s="125" t="str">
        <f>Settings!$B$3&amp;".mit.obr.ind.cem.1"</f>
        <v>egy.mit.obr.ind.cem.1</v>
      </c>
      <c r="I95" t="s">
        <v>2279</v>
      </c>
      <c r="L95" s="127">
        <f t="shared" ref="L95:AE95" si="27">L$73</f>
        <v>0</v>
      </c>
      <c r="M95" s="127">
        <f t="shared" si="27"/>
        <v>0</v>
      </c>
      <c r="N95" s="127">
        <f t="shared" si="27"/>
        <v>0</v>
      </c>
      <c r="O95" s="127">
        <f t="shared" si="27"/>
        <v>0</v>
      </c>
      <c r="P95" s="127">
        <f t="shared" si="27"/>
        <v>0</v>
      </c>
      <c r="Q95" s="127">
        <f t="shared" si="27"/>
        <v>0</v>
      </c>
      <c r="R95" s="127">
        <f t="shared" si="27"/>
        <v>0</v>
      </c>
      <c r="S95" s="127">
        <f t="shared" si="27"/>
        <v>0</v>
      </c>
      <c r="T95" s="127">
        <f t="shared" si="27"/>
        <v>0</v>
      </c>
      <c r="U95" s="127">
        <f t="shared" si="27"/>
        <v>0</v>
      </c>
      <c r="V95" s="127">
        <f t="shared" si="27"/>
        <v>0</v>
      </c>
      <c r="W95" s="127">
        <f t="shared" si="27"/>
        <v>0</v>
      </c>
      <c r="X95" s="127">
        <f t="shared" si="27"/>
        <v>0</v>
      </c>
      <c r="Y95" s="127">
        <f t="shared" si="27"/>
        <v>0</v>
      </c>
      <c r="Z95" s="127">
        <f t="shared" si="27"/>
        <v>0</v>
      </c>
      <c r="AA95" s="127">
        <f t="shared" si="27"/>
        <v>0</v>
      </c>
      <c r="AB95" s="127">
        <f t="shared" si="27"/>
        <v>0</v>
      </c>
      <c r="AC95" s="127">
        <f t="shared" si="27"/>
        <v>0</v>
      </c>
      <c r="AD95" s="127">
        <f t="shared" si="27"/>
        <v>0</v>
      </c>
      <c r="AE95" s="127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2255</v>
      </c>
      <c r="E96" s="16" t="s">
        <v>1854</v>
      </c>
      <c r="F96" s="14" t="s">
        <v>2256</v>
      </c>
      <c r="H96" s="125" t="str">
        <f>Settings!$B$3&amp;".mit.ccf.ind.cem.1"</f>
        <v>egy.mit.ccf.ind.cem.1</v>
      </c>
      <c r="L96" s="127">
        <f>L$23*Mitigation_Industry!L$279/1000</f>
        <v>0</v>
      </c>
      <c r="M96" s="127">
        <f>M$23*Mitigation_Industry!M$279/1000</f>
        <v>0</v>
      </c>
      <c r="N96" s="127">
        <f>N$23*Mitigation_Industry!N$279/1000</f>
        <v>0</v>
      </c>
      <c r="O96" s="127">
        <f>O$23*Mitigation_Industry!O$279/1000</f>
        <v>0</v>
      </c>
      <c r="P96" s="127">
        <f>P$23*Mitigation_Industry!P$279/1000</f>
        <v>0</v>
      </c>
      <c r="Q96" s="127">
        <f>Q$23*Mitigation_Industry!Q$279/1000</f>
        <v>0</v>
      </c>
      <c r="R96" s="127">
        <f>R$23*Mitigation_Industry!R$279/1000</f>
        <v>0</v>
      </c>
      <c r="S96" s="127">
        <f>S$23*Mitigation_Industry!S$279/1000</f>
        <v>0</v>
      </c>
      <c r="T96" s="127">
        <f>T$23*Mitigation_Industry!T$279/1000</f>
        <v>0</v>
      </c>
      <c r="U96" s="127">
        <f>U$23*Mitigation_Industry!U$279/1000</f>
        <v>0</v>
      </c>
      <c r="V96" s="127">
        <f>V$23*Mitigation_Industry!V$279/1000</f>
        <v>0</v>
      </c>
      <c r="W96" s="127">
        <f>W$23*Mitigation_Industry!W$279/1000</f>
        <v>0</v>
      </c>
      <c r="X96" s="127">
        <f>X$23*Mitigation_Industry!X$279/1000</f>
        <v>0</v>
      </c>
      <c r="Y96" s="127">
        <f>Y$23*Mitigation_Industry!Y$279/1000</f>
        <v>0</v>
      </c>
      <c r="Z96" s="127">
        <f>Z$23*Mitigation_Industry!Z$279/1000</f>
        <v>0</v>
      </c>
      <c r="AA96" s="127">
        <f>AA$23*Mitigation_Industry!AA$279/1000</f>
        <v>0</v>
      </c>
      <c r="AB96" s="127">
        <f>AB$23*Mitigation_Industry!AB$279/1000</f>
        <v>0</v>
      </c>
      <c r="AC96" s="127">
        <f>AC$23*Mitigation_Industry!AC$279/1000</f>
        <v>0</v>
      </c>
      <c r="AD96" s="127">
        <f>AD$23*Mitigation_Industry!AD$279/1000</f>
        <v>0</v>
      </c>
      <c r="AE96" s="127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2257</v>
      </c>
      <c r="E97" s="16" t="s">
        <v>79</v>
      </c>
      <c r="F97" s="14" t="s">
        <v>2258</v>
      </c>
      <c r="H97" s="125" t="str">
        <f>Settings!$B$3&amp;".mit.rsh.ind.cem.1"</f>
        <v>egy.mit.rsh.ind.cem.1</v>
      </c>
      <c r="I97" t="s">
        <v>2259</v>
      </c>
      <c r="L97" s="127">
        <f t="shared" ref="L97:AE97" si="28">IF(L$96&lt;=0,0,MIN(1,L$95/L$96))</f>
        <v>0</v>
      </c>
      <c r="M97" s="127">
        <f t="shared" si="28"/>
        <v>0</v>
      </c>
      <c r="N97" s="127">
        <f t="shared" si="28"/>
        <v>0</v>
      </c>
      <c r="O97" s="127">
        <f t="shared" si="28"/>
        <v>0</v>
      </c>
      <c r="P97" s="127">
        <f t="shared" si="28"/>
        <v>0</v>
      </c>
      <c r="Q97" s="127">
        <f t="shared" si="28"/>
        <v>0</v>
      </c>
      <c r="R97" s="127">
        <f t="shared" si="28"/>
        <v>0</v>
      </c>
      <c r="S97" s="127">
        <f t="shared" si="28"/>
        <v>0</v>
      </c>
      <c r="T97" s="127">
        <f t="shared" si="28"/>
        <v>0</v>
      </c>
      <c r="U97" s="127">
        <f t="shared" si="28"/>
        <v>0</v>
      </c>
      <c r="V97" s="127">
        <f t="shared" si="28"/>
        <v>0</v>
      </c>
      <c r="W97" s="127">
        <f t="shared" si="28"/>
        <v>0</v>
      </c>
      <c r="X97" s="127">
        <f t="shared" si="28"/>
        <v>0</v>
      </c>
      <c r="Y97" s="127">
        <f t="shared" si="28"/>
        <v>0</v>
      </c>
      <c r="Z97" s="127">
        <f t="shared" si="28"/>
        <v>0</v>
      </c>
      <c r="AA97" s="127">
        <f t="shared" si="28"/>
        <v>0</v>
      </c>
      <c r="AB97" s="127">
        <f t="shared" si="28"/>
        <v>0</v>
      </c>
      <c r="AC97" s="127">
        <f t="shared" si="28"/>
        <v>0</v>
      </c>
      <c r="AD97" s="127">
        <f t="shared" si="28"/>
        <v>0</v>
      </c>
      <c r="AE97" s="127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2260</v>
      </c>
      <c r="E98" s="16" t="s">
        <v>51</v>
      </c>
      <c r="F98" s="14" t="s">
        <v>2261</v>
      </c>
      <c r="G98" s="17"/>
      <c r="H98" s="125" t="str">
        <f>Settings!$B$3&amp;".mit.atpn.cem.coa.e.1"</f>
        <v>egy.mit.atpn.cem.coa.e.1</v>
      </c>
      <c r="I98" t="s">
        <v>2280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2263</v>
      </c>
      <c r="E99" s="16" t="s">
        <v>51</v>
      </c>
      <c r="F99" s="14" t="s">
        <v>2261</v>
      </c>
      <c r="G99" s="17"/>
      <c r="H99" s="125" t="str">
        <f>Settings!$B$3&amp;".mit.atpn.cem.nga.e.1"</f>
        <v>egy.mit.atpn.cem.nga.e.1</v>
      </c>
      <c r="I99" t="s">
        <v>2281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2265</v>
      </c>
      <c r="E100" s="16" t="s">
        <v>57</v>
      </c>
      <c r="F100" s="14" t="s">
        <v>2261</v>
      </c>
      <c r="G100" s="17"/>
      <c r="H100" s="125" t="str">
        <f>Settings!$B$3&amp;".mit.atpn.cem.gso.e.1"</f>
        <v>egy.mit.atpn.cem.gso.e.1</v>
      </c>
      <c r="I100" t="s">
        <v>2282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2267</v>
      </c>
      <c r="E101" s="16" t="s">
        <v>57</v>
      </c>
      <c r="F101" s="14" t="s">
        <v>2261</v>
      </c>
      <c r="G101" s="17"/>
      <c r="H101" s="125" t="str">
        <f>Settings!$B$3&amp;".mit.atpn.cem.die.e.1"</f>
        <v>egy.mit.atpn.cem.die.e.1</v>
      </c>
      <c r="I101" t="s">
        <v>2283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2269</v>
      </c>
      <c r="E102" s="16" t="s">
        <v>57</v>
      </c>
      <c r="F102" s="14" t="s">
        <v>2261</v>
      </c>
      <c r="G102" s="17"/>
      <c r="H102" s="125" t="str">
        <f>Settings!$B$3&amp;".mit.atpn.cem.lpg.e.1"</f>
        <v>egy.mit.atpn.cem.lpg.e.1</v>
      </c>
      <c r="I102" t="s">
        <v>2284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2271</v>
      </c>
      <c r="E103" s="16" t="s">
        <v>57</v>
      </c>
      <c r="F103" s="14" t="s">
        <v>2261</v>
      </c>
      <c r="G103" s="17"/>
      <c r="H103" s="125" t="str">
        <f>Settings!$B$3&amp;".mit.atpn.cem.ker.e.1"</f>
        <v>egy.mit.atpn.cem.ker.e.1</v>
      </c>
      <c r="I103" t="s">
        <v>2285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2273</v>
      </c>
      <c r="E104" s="16" t="s">
        <v>66</v>
      </c>
      <c r="F104" s="14" t="s">
        <v>2261</v>
      </c>
      <c r="G104" s="17"/>
      <c r="H104" s="125" t="str">
        <f>Settings!$B$3&amp;".mit.atpn.cem.oop.e.1"</f>
        <v>egy.mit.atpn.cem.oop.e.1</v>
      </c>
      <c r="I104" t="s">
        <v>2286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2275</v>
      </c>
      <c r="E105" s="16" t="s">
        <v>51</v>
      </c>
      <c r="F105" s="14" t="s">
        <v>2261</v>
      </c>
      <c r="G105" s="17"/>
      <c r="H105" s="125" t="str">
        <f>Settings!$B$3&amp;".mit.atpn.cem.bio.e.1"</f>
        <v>egy.mit.atpn.cem.bio.e.1</v>
      </c>
      <c r="I105" t="s">
        <v>2287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2277</v>
      </c>
      <c r="E106" s="16" t="s">
        <v>71</v>
      </c>
      <c r="F106" s="14" t="s">
        <v>2261</v>
      </c>
      <c r="G106" s="17"/>
      <c r="H106" s="125" t="str">
        <f>Settings!$B$3&amp;".mit.atpn.cem.ren.e.1"</f>
        <v>egy.mit.atpn.cem.ren.e.1</v>
      </c>
      <c r="I106" t="s">
        <v>2288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1488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2253</v>
      </c>
      <c r="E109" s="16" t="s">
        <v>1854</v>
      </c>
      <c r="F109" s="14" t="s">
        <v>2242</v>
      </c>
      <c r="H109" s="125" t="str">
        <f>Settings!$B$3&amp;".mit.obr.ind.nfm.1"</f>
        <v>egy.mit.obr.ind.nfm.1</v>
      </c>
      <c r="I109" t="s">
        <v>2289</v>
      </c>
      <c r="L109" s="127">
        <f t="shared" ref="L109:AE109" si="29">L$77</f>
        <v>0</v>
      </c>
      <c r="M109" s="127">
        <f t="shared" si="29"/>
        <v>0</v>
      </c>
      <c r="N109" s="127">
        <f t="shared" si="29"/>
        <v>0</v>
      </c>
      <c r="O109" s="127">
        <f t="shared" si="29"/>
        <v>0</v>
      </c>
      <c r="P109" s="127">
        <f t="shared" si="29"/>
        <v>0</v>
      </c>
      <c r="Q109" s="127">
        <f t="shared" si="29"/>
        <v>0</v>
      </c>
      <c r="R109" s="127">
        <f t="shared" si="29"/>
        <v>0</v>
      </c>
      <c r="S109" s="127">
        <f t="shared" si="29"/>
        <v>0</v>
      </c>
      <c r="T109" s="127">
        <f t="shared" si="29"/>
        <v>0</v>
      </c>
      <c r="U109" s="127">
        <f t="shared" si="29"/>
        <v>0</v>
      </c>
      <c r="V109" s="127">
        <f t="shared" si="29"/>
        <v>0</v>
      </c>
      <c r="W109" s="127">
        <f t="shared" si="29"/>
        <v>0</v>
      </c>
      <c r="X109" s="127">
        <f t="shared" si="29"/>
        <v>0</v>
      </c>
      <c r="Y109" s="127">
        <f t="shared" si="29"/>
        <v>0</v>
      </c>
      <c r="Z109" s="127">
        <f t="shared" si="29"/>
        <v>0</v>
      </c>
      <c r="AA109" s="127">
        <f t="shared" si="29"/>
        <v>0</v>
      </c>
      <c r="AB109" s="127">
        <f t="shared" si="29"/>
        <v>0</v>
      </c>
      <c r="AC109" s="127">
        <f t="shared" si="29"/>
        <v>0</v>
      </c>
      <c r="AD109" s="127">
        <f t="shared" si="29"/>
        <v>0</v>
      </c>
      <c r="AE109" s="127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2255</v>
      </c>
      <c r="E110" s="16" t="s">
        <v>1854</v>
      </c>
      <c r="F110" s="14" t="s">
        <v>2256</v>
      </c>
      <c r="H110" s="125" t="str">
        <f>Settings!$B$3&amp;".mit.ccf.ind.nfm.1"</f>
        <v>egy.mit.ccf.ind.nfm.1</v>
      </c>
      <c r="L110" s="127">
        <f>L$27*Mitigation_Industry!L$283/1000</f>
        <v>0</v>
      </c>
      <c r="M110" s="127">
        <f>M$27*Mitigation_Industry!M$283/1000</f>
        <v>0</v>
      </c>
      <c r="N110" s="127">
        <f>N$27*Mitigation_Industry!N$283/1000</f>
        <v>0</v>
      </c>
      <c r="O110" s="127">
        <f>O$27*Mitigation_Industry!O$283/1000</f>
        <v>0</v>
      </c>
      <c r="P110" s="127">
        <f>P$27*Mitigation_Industry!P$283/1000</f>
        <v>0</v>
      </c>
      <c r="Q110" s="127">
        <f>Q$27*Mitigation_Industry!Q$283/1000</f>
        <v>0</v>
      </c>
      <c r="R110" s="127">
        <f>R$27*Mitigation_Industry!R$283/1000</f>
        <v>0</v>
      </c>
      <c r="S110" s="127">
        <f>S$27*Mitigation_Industry!S$283/1000</f>
        <v>0</v>
      </c>
      <c r="T110" s="127">
        <f>T$27*Mitigation_Industry!T$283/1000</f>
        <v>0</v>
      </c>
      <c r="U110" s="127">
        <f>U$27*Mitigation_Industry!U$283/1000</f>
        <v>0</v>
      </c>
      <c r="V110" s="127">
        <f>V$27*Mitigation_Industry!V$283/1000</f>
        <v>0</v>
      </c>
      <c r="W110" s="127">
        <f>W$27*Mitigation_Industry!W$283/1000</f>
        <v>0</v>
      </c>
      <c r="X110" s="127">
        <f>X$27*Mitigation_Industry!X$283/1000</f>
        <v>0</v>
      </c>
      <c r="Y110" s="127">
        <f>Y$27*Mitigation_Industry!Y$283/1000</f>
        <v>0</v>
      </c>
      <c r="Z110" s="127">
        <f>Z$27*Mitigation_Industry!Z$283/1000</f>
        <v>0</v>
      </c>
      <c r="AA110" s="127">
        <f>AA$27*Mitigation_Industry!AA$283/1000</f>
        <v>0</v>
      </c>
      <c r="AB110" s="127">
        <f>AB$27*Mitigation_Industry!AB$283/1000</f>
        <v>0</v>
      </c>
      <c r="AC110" s="127">
        <f>AC$27*Mitigation_Industry!AC$283/1000</f>
        <v>0</v>
      </c>
      <c r="AD110" s="127">
        <f>AD$27*Mitigation_Industry!AD$283/1000</f>
        <v>0</v>
      </c>
      <c r="AE110" s="127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2257</v>
      </c>
      <c r="E111" s="16" t="s">
        <v>79</v>
      </c>
      <c r="F111" s="14" t="s">
        <v>2258</v>
      </c>
      <c r="H111" s="125" t="str">
        <f>Settings!$B$3&amp;".mit.rsh.ind.nfm.1"</f>
        <v>egy.mit.rsh.ind.nfm.1</v>
      </c>
      <c r="I111" t="s">
        <v>2259</v>
      </c>
      <c r="L111" s="127">
        <f t="shared" ref="L111:AE111" si="30">IF(L$110&lt;=0,0,MIN(1,L$109/L$110))</f>
        <v>0</v>
      </c>
      <c r="M111" s="127">
        <f t="shared" si="30"/>
        <v>0</v>
      </c>
      <c r="N111" s="127">
        <f t="shared" si="30"/>
        <v>0</v>
      </c>
      <c r="O111" s="127">
        <f t="shared" si="30"/>
        <v>0</v>
      </c>
      <c r="P111" s="127">
        <f t="shared" si="30"/>
        <v>0</v>
      </c>
      <c r="Q111" s="127">
        <f t="shared" si="30"/>
        <v>0</v>
      </c>
      <c r="R111" s="127">
        <f t="shared" si="30"/>
        <v>0</v>
      </c>
      <c r="S111" s="127">
        <f t="shared" si="30"/>
        <v>0</v>
      </c>
      <c r="T111" s="127">
        <f t="shared" si="30"/>
        <v>0</v>
      </c>
      <c r="U111" s="127">
        <f t="shared" si="30"/>
        <v>0</v>
      </c>
      <c r="V111" s="127">
        <f t="shared" si="30"/>
        <v>0</v>
      </c>
      <c r="W111" s="127">
        <f t="shared" si="30"/>
        <v>0</v>
      </c>
      <c r="X111" s="127">
        <f t="shared" si="30"/>
        <v>0</v>
      </c>
      <c r="Y111" s="127">
        <f t="shared" si="30"/>
        <v>0</v>
      </c>
      <c r="Z111" s="127">
        <f t="shared" si="30"/>
        <v>0</v>
      </c>
      <c r="AA111" s="127">
        <f t="shared" si="30"/>
        <v>0</v>
      </c>
      <c r="AB111" s="127">
        <f t="shared" si="30"/>
        <v>0</v>
      </c>
      <c r="AC111" s="127">
        <f t="shared" si="30"/>
        <v>0</v>
      </c>
      <c r="AD111" s="127">
        <f t="shared" si="30"/>
        <v>0</v>
      </c>
      <c r="AE111" s="127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2260</v>
      </c>
      <c r="E112" s="16" t="s">
        <v>51</v>
      </c>
      <c r="F112" s="14" t="s">
        <v>2261</v>
      </c>
      <c r="G112" s="17"/>
      <c r="H112" s="125" t="str">
        <f>Settings!$B$3&amp;".mit.atpn.nfm.coa.e.1"</f>
        <v>egy.mit.atpn.nfm.coa.e.1</v>
      </c>
      <c r="I112" t="s">
        <v>2290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2263</v>
      </c>
      <c r="E113" s="16" t="s">
        <v>51</v>
      </c>
      <c r="F113" s="14" t="s">
        <v>2261</v>
      </c>
      <c r="G113" s="17"/>
      <c r="H113" s="125" t="str">
        <f>Settings!$B$3&amp;".mit.atpn.nfm.nga.e.1"</f>
        <v>egy.mit.atpn.nfm.nga.e.1</v>
      </c>
      <c r="I113" t="s">
        <v>2291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2265</v>
      </c>
      <c r="E114" s="16" t="s">
        <v>57</v>
      </c>
      <c r="F114" s="14" t="s">
        <v>2261</v>
      </c>
      <c r="G114" s="17"/>
      <c r="H114" s="125" t="str">
        <f>Settings!$B$3&amp;".mit.atpn.nfm.gso.e.1"</f>
        <v>egy.mit.atpn.nfm.gso.e.1</v>
      </c>
      <c r="I114" t="s">
        <v>2292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2267</v>
      </c>
      <c r="E115" s="16" t="s">
        <v>57</v>
      </c>
      <c r="F115" s="14" t="s">
        <v>2261</v>
      </c>
      <c r="G115" s="17"/>
      <c r="H115" s="125" t="str">
        <f>Settings!$B$3&amp;".mit.atpn.nfm.die.e.1"</f>
        <v>egy.mit.atpn.nfm.die.e.1</v>
      </c>
      <c r="I115" t="s">
        <v>2293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2269</v>
      </c>
      <c r="E116" s="16" t="s">
        <v>57</v>
      </c>
      <c r="F116" s="14" t="s">
        <v>2261</v>
      </c>
      <c r="G116" s="17"/>
      <c r="H116" s="125" t="str">
        <f>Settings!$B$3&amp;".mit.atpn.nfm.lpg.e.1"</f>
        <v>egy.mit.atpn.nfm.lpg.e.1</v>
      </c>
      <c r="I116" t="s">
        <v>2294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2271</v>
      </c>
      <c r="E117" s="16" t="s">
        <v>57</v>
      </c>
      <c r="F117" s="14" t="s">
        <v>2261</v>
      </c>
      <c r="G117" s="17"/>
      <c r="H117" s="125" t="str">
        <f>Settings!$B$3&amp;".mit.atpn.nfm.ker.e.1"</f>
        <v>egy.mit.atpn.nfm.ker.e.1</v>
      </c>
      <c r="I117" t="s">
        <v>2295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2273</v>
      </c>
      <c r="E118" s="16" t="s">
        <v>66</v>
      </c>
      <c r="F118" s="14" t="s">
        <v>2261</v>
      </c>
      <c r="G118" s="17"/>
      <c r="H118" s="125" t="str">
        <f>Settings!$B$3&amp;".mit.atpn.nfm.oop.e.1"</f>
        <v>egy.mit.atpn.nfm.oop.e.1</v>
      </c>
      <c r="I118" t="s">
        <v>2296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2275</v>
      </c>
      <c r="E119" s="16" t="s">
        <v>51</v>
      </c>
      <c r="F119" s="14" t="s">
        <v>2261</v>
      </c>
      <c r="G119" s="17"/>
      <c r="H119" s="125" t="str">
        <f>Settings!$B$3&amp;".mit.atpn.nfm.bio.e.1"</f>
        <v>egy.mit.atpn.nfm.bio.e.1</v>
      </c>
      <c r="I119" t="s">
        <v>2297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2277</v>
      </c>
      <c r="E120" s="16" t="s">
        <v>71</v>
      </c>
      <c r="F120" s="14" t="s">
        <v>2261</v>
      </c>
      <c r="G120" s="17"/>
      <c r="H120" s="125" t="str">
        <f>Settings!$B$3&amp;".mit.atpn.nfm.ren.e.1"</f>
        <v>egy.mit.atpn.nfm.ren.e.1</v>
      </c>
      <c r="I120" t="s">
        <v>2298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1488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2253</v>
      </c>
      <c r="E123" s="16" t="s">
        <v>1854</v>
      </c>
      <c r="F123" s="14" t="s">
        <v>2242</v>
      </c>
      <c r="H123" s="125" t="str">
        <f>Settings!$B$3&amp;".mit.obr.ind.mch.1"</f>
        <v>egy.mit.obr.ind.mch.1</v>
      </c>
      <c r="I123" t="s">
        <v>2299</v>
      </c>
      <c r="L123" s="127">
        <f t="shared" ref="L123:AE123" si="31">L$74+L$75+L$76</f>
        <v>0</v>
      </c>
      <c r="M123" s="127">
        <f t="shared" si="31"/>
        <v>0</v>
      </c>
      <c r="N123" s="127">
        <f t="shared" si="31"/>
        <v>0</v>
      </c>
      <c r="O123" s="127">
        <f t="shared" si="31"/>
        <v>0</v>
      </c>
      <c r="P123" s="127">
        <f t="shared" si="31"/>
        <v>0</v>
      </c>
      <c r="Q123" s="127">
        <f t="shared" si="31"/>
        <v>0</v>
      </c>
      <c r="R123" s="127">
        <f t="shared" si="31"/>
        <v>0</v>
      </c>
      <c r="S123" s="127">
        <f t="shared" si="31"/>
        <v>0</v>
      </c>
      <c r="T123" s="127">
        <f t="shared" si="31"/>
        <v>0</v>
      </c>
      <c r="U123" s="127">
        <f t="shared" si="31"/>
        <v>0</v>
      </c>
      <c r="V123" s="127">
        <f t="shared" si="31"/>
        <v>0</v>
      </c>
      <c r="W123" s="127">
        <f t="shared" si="31"/>
        <v>0</v>
      </c>
      <c r="X123" s="127">
        <f t="shared" si="31"/>
        <v>0</v>
      </c>
      <c r="Y123" s="127">
        <f t="shared" si="31"/>
        <v>0</v>
      </c>
      <c r="Z123" s="127">
        <f t="shared" si="31"/>
        <v>0</v>
      </c>
      <c r="AA123" s="127">
        <f t="shared" si="31"/>
        <v>0</v>
      </c>
      <c r="AB123" s="127">
        <f t="shared" si="31"/>
        <v>0</v>
      </c>
      <c r="AC123" s="127">
        <f t="shared" si="31"/>
        <v>0</v>
      </c>
      <c r="AD123" s="127">
        <f t="shared" si="31"/>
        <v>0</v>
      </c>
      <c r="AE123" s="127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2255</v>
      </c>
      <c r="E124" s="16" t="s">
        <v>1854</v>
      </c>
      <c r="F124" s="14" t="s">
        <v>2256</v>
      </c>
      <c r="H124" s="125" t="str">
        <f>Settings!$B$3&amp;".mit.ccf.ind.mch.1"</f>
        <v>egy.mit.ccf.ind.mch.1</v>
      </c>
      <c r="L124" s="127">
        <f>L$24*Mitigation_Industry!L$280/1000+L$25*Mitigation_Industry!L$281/1000+L$26*Mitigation_Industry!L$282/1000</f>
        <v>0</v>
      </c>
      <c r="M124" s="127">
        <f>M$24*Mitigation_Industry!M$280/1000+M$25*Mitigation_Industry!M$281/1000+M$26*Mitigation_Industry!M$282/1000</f>
        <v>0</v>
      </c>
      <c r="N124" s="127">
        <f>N$24*Mitigation_Industry!N$280/1000+N$25*Mitigation_Industry!N$281/1000+N$26*Mitigation_Industry!N$282/1000</f>
        <v>0</v>
      </c>
      <c r="O124" s="127">
        <f>O$24*Mitigation_Industry!O$280/1000+O$25*Mitigation_Industry!O$281/1000+O$26*Mitigation_Industry!O$282/1000</f>
        <v>0</v>
      </c>
      <c r="P124" s="127">
        <f>P$24*Mitigation_Industry!P$280/1000+P$25*Mitigation_Industry!P$281/1000+P$26*Mitigation_Industry!P$282/1000</f>
        <v>0</v>
      </c>
      <c r="Q124" s="127">
        <f>Q$24*Mitigation_Industry!Q$280/1000+Q$25*Mitigation_Industry!Q$281/1000+Q$26*Mitigation_Industry!Q$282/1000</f>
        <v>0</v>
      </c>
      <c r="R124" s="127">
        <f>R$24*Mitigation_Industry!R$280/1000+R$25*Mitigation_Industry!R$281/1000+R$26*Mitigation_Industry!R$282/1000</f>
        <v>0</v>
      </c>
      <c r="S124" s="127">
        <f>S$24*Mitigation_Industry!S$280/1000+S$25*Mitigation_Industry!S$281/1000+S$26*Mitigation_Industry!S$282/1000</f>
        <v>0</v>
      </c>
      <c r="T124" s="127">
        <f>T$24*Mitigation_Industry!T$280/1000+T$25*Mitigation_Industry!T$281/1000+T$26*Mitigation_Industry!T$282/1000</f>
        <v>0</v>
      </c>
      <c r="U124" s="127">
        <f>U$24*Mitigation_Industry!U$280/1000+U$25*Mitigation_Industry!U$281/1000+U$26*Mitigation_Industry!U$282/1000</f>
        <v>0</v>
      </c>
      <c r="V124" s="127">
        <f>V$24*Mitigation_Industry!V$280/1000+V$25*Mitigation_Industry!V$281/1000+V$26*Mitigation_Industry!V$282/1000</f>
        <v>0</v>
      </c>
      <c r="W124" s="127">
        <f>W$24*Mitigation_Industry!W$280/1000+W$25*Mitigation_Industry!W$281/1000+W$26*Mitigation_Industry!W$282/1000</f>
        <v>0</v>
      </c>
      <c r="X124" s="127">
        <f>X$24*Mitigation_Industry!X$280/1000+X$25*Mitigation_Industry!X$281/1000+X$26*Mitigation_Industry!X$282/1000</f>
        <v>0</v>
      </c>
      <c r="Y124" s="127">
        <f>Y$24*Mitigation_Industry!Y$280/1000+Y$25*Mitigation_Industry!Y$281/1000+Y$26*Mitigation_Industry!Y$282/1000</f>
        <v>0</v>
      </c>
      <c r="Z124" s="127">
        <f>Z$24*Mitigation_Industry!Z$280/1000+Z$25*Mitigation_Industry!Z$281/1000+Z$26*Mitigation_Industry!Z$282/1000</f>
        <v>0</v>
      </c>
      <c r="AA124" s="127">
        <f>AA$24*Mitigation_Industry!AA$280/1000+AA$25*Mitigation_Industry!AA$281/1000+AA$26*Mitigation_Industry!AA$282/1000</f>
        <v>0</v>
      </c>
      <c r="AB124" s="127">
        <f>AB$24*Mitigation_Industry!AB$280/1000+AB$25*Mitigation_Industry!AB$281/1000+AB$26*Mitigation_Industry!AB$282/1000</f>
        <v>0</v>
      </c>
      <c r="AC124" s="127">
        <f>AC$24*Mitigation_Industry!AC$280/1000+AC$25*Mitigation_Industry!AC$281/1000+AC$26*Mitigation_Industry!AC$282/1000</f>
        <v>0</v>
      </c>
      <c r="AD124" s="127">
        <f>AD$24*Mitigation_Industry!AD$280/1000+AD$25*Mitigation_Industry!AD$281/1000+AD$26*Mitigation_Industry!AD$282/1000</f>
        <v>0</v>
      </c>
      <c r="AE124" s="127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2257</v>
      </c>
      <c r="E125" s="16" t="s">
        <v>79</v>
      </c>
      <c r="F125" s="14" t="s">
        <v>2258</v>
      </c>
      <c r="H125" s="125" t="str">
        <f>Settings!$B$3&amp;".mit.rsh.ind.mch.1"</f>
        <v>egy.mit.rsh.ind.mch.1</v>
      </c>
      <c r="I125" t="s">
        <v>2259</v>
      </c>
      <c r="L125" s="127">
        <f t="shared" ref="L125:AE125" si="32">IF(L$124&lt;=0,0,MIN(1,L$123/L$124))</f>
        <v>0</v>
      </c>
      <c r="M125" s="127">
        <f t="shared" si="32"/>
        <v>0</v>
      </c>
      <c r="N125" s="127">
        <f t="shared" si="32"/>
        <v>0</v>
      </c>
      <c r="O125" s="127">
        <f t="shared" si="32"/>
        <v>0</v>
      </c>
      <c r="P125" s="127">
        <f t="shared" si="32"/>
        <v>0</v>
      </c>
      <c r="Q125" s="127">
        <f t="shared" si="32"/>
        <v>0</v>
      </c>
      <c r="R125" s="127">
        <f t="shared" si="32"/>
        <v>0</v>
      </c>
      <c r="S125" s="127">
        <f t="shared" si="32"/>
        <v>0</v>
      </c>
      <c r="T125" s="127">
        <f t="shared" si="32"/>
        <v>0</v>
      </c>
      <c r="U125" s="127">
        <f t="shared" si="32"/>
        <v>0</v>
      </c>
      <c r="V125" s="127">
        <f t="shared" si="32"/>
        <v>0</v>
      </c>
      <c r="W125" s="127">
        <f t="shared" si="32"/>
        <v>0</v>
      </c>
      <c r="X125" s="127">
        <f t="shared" si="32"/>
        <v>0</v>
      </c>
      <c r="Y125" s="127">
        <f t="shared" si="32"/>
        <v>0</v>
      </c>
      <c r="Z125" s="127">
        <f t="shared" si="32"/>
        <v>0</v>
      </c>
      <c r="AA125" s="127">
        <f t="shared" si="32"/>
        <v>0</v>
      </c>
      <c r="AB125" s="127">
        <f t="shared" si="32"/>
        <v>0</v>
      </c>
      <c r="AC125" s="127">
        <f t="shared" si="32"/>
        <v>0</v>
      </c>
      <c r="AD125" s="127">
        <f t="shared" si="32"/>
        <v>0</v>
      </c>
      <c r="AE125" s="127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2260</v>
      </c>
      <c r="E126" s="16" t="s">
        <v>51</v>
      </c>
      <c r="F126" s="14" t="s">
        <v>2261</v>
      </c>
      <c r="G126" s="17"/>
      <c r="H126" s="125" t="str">
        <f>Settings!$B$3&amp;".mit.atpn.mch.coa.e.1"</f>
        <v>egy.mit.atpn.mch.coa.e.1</v>
      </c>
      <c r="I126" t="s">
        <v>2300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2263</v>
      </c>
      <c r="E127" s="16" t="s">
        <v>51</v>
      </c>
      <c r="F127" s="14" t="s">
        <v>2261</v>
      </c>
      <c r="G127" s="17"/>
      <c r="H127" s="125" t="str">
        <f>Settings!$B$3&amp;".mit.atpn.mch.nga.e.1"</f>
        <v>egy.mit.atpn.mch.nga.e.1</v>
      </c>
      <c r="I127" t="s">
        <v>2301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2265</v>
      </c>
      <c r="E128" s="16" t="s">
        <v>57</v>
      </c>
      <c r="F128" s="14" t="s">
        <v>2261</v>
      </c>
      <c r="G128" s="17"/>
      <c r="H128" s="125" t="str">
        <f>Settings!$B$3&amp;".mit.atpn.mch.gso.e.1"</f>
        <v>egy.mit.atpn.mch.gso.e.1</v>
      </c>
      <c r="I128" t="s">
        <v>2302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2267</v>
      </c>
      <c r="E129" s="16" t="s">
        <v>57</v>
      </c>
      <c r="F129" s="14" t="s">
        <v>2261</v>
      </c>
      <c r="G129" s="17"/>
      <c r="H129" s="125" t="str">
        <f>Settings!$B$3&amp;".mit.atpn.mch.die.e.1"</f>
        <v>egy.mit.atpn.mch.die.e.1</v>
      </c>
      <c r="I129" t="s">
        <v>2303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2269</v>
      </c>
      <c r="E130" s="16" t="s">
        <v>57</v>
      </c>
      <c r="F130" s="14" t="s">
        <v>2261</v>
      </c>
      <c r="G130" s="17"/>
      <c r="H130" s="125" t="str">
        <f>Settings!$B$3&amp;".mit.atpn.mch.lpg.e.1"</f>
        <v>egy.mit.atpn.mch.lpg.e.1</v>
      </c>
      <c r="I130" t="s">
        <v>2304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2271</v>
      </c>
      <c r="E131" s="16" t="s">
        <v>57</v>
      </c>
      <c r="F131" s="14" t="s">
        <v>2261</v>
      </c>
      <c r="G131" s="17"/>
      <c r="H131" s="125" t="str">
        <f>Settings!$B$3&amp;".mit.atpn.mch.ker.e.1"</f>
        <v>egy.mit.atpn.mch.ker.e.1</v>
      </c>
      <c r="I131" t="s">
        <v>2305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2273</v>
      </c>
      <c r="E132" s="16" t="s">
        <v>66</v>
      </c>
      <c r="F132" s="14" t="s">
        <v>2261</v>
      </c>
      <c r="G132" s="17"/>
      <c r="H132" s="125" t="str">
        <f>Settings!$B$3&amp;".mit.atpn.mch.oop.e.1"</f>
        <v>egy.mit.atpn.mch.oop.e.1</v>
      </c>
      <c r="I132" t="s">
        <v>2306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2275</v>
      </c>
      <c r="E133" s="16" t="s">
        <v>51</v>
      </c>
      <c r="F133" s="14" t="s">
        <v>2261</v>
      </c>
      <c r="G133" s="17"/>
      <c r="H133" s="125" t="str">
        <f>Settings!$B$3&amp;".mit.atpn.mch.bio.e.1"</f>
        <v>egy.mit.atpn.mch.bio.e.1</v>
      </c>
      <c r="I133" t="s">
        <v>2307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2277</v>
      </c>
      <c r="E134" s="16" t="s">
        <v>71</v>
      </c>
      <c r="F134" s="14" t="s">
        <v>2261</v>
      </c>
      <c r="G134" s="17"/>
      <c r="H134" s="125" t="str">
        <f>Settings!$B$3&amp;".mit.atpn.mch.ren.e.1"</f>
        <v>egy.mit.atpn.mch.ren.e.1</v>
      </c>
      <c r="I134" t="s">
        <v>2308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2309</v>
      </c>
      <c r="D136" s="6" t="s">
        <v>1488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2310</v>
      </c>
      <c r="E137" s="16" t="s">
        <v>1854</v>
      </c>
      <c r="F137" s="14" t="s">
        <v>2311</v>
      </c>
      <c r="H137" s="17"/>
      <c r="I137" t="s">
        <v>2312</v>
      </c>
      <c r="L137" s="127">
        <f>Mitigation_Industry!L$400</f>
        <v>0</v>
      </c>
      <c r="M137" s="127">
        <f>Mitigation_Industry!M$400</f>
        <v>0</v>
      </c>
      <c r="N137" s="127">
        <f>Mitigation_Industry!N$400</f>
        <v>0</v>
      </c>
      <c r="O137" s="127">
        <f>Mitigation_Industry!O$400</f>
        <v>0</v>
      </c>
      <c r="P137" s="127">
        <f>Mitigation_Industry!P$400</f>
        <v>0</v>
      </c>
      <c r="Q137" s="127">
        <f>Mitigation_Industry!Q$400</f>
        <v>0</v>
      </c>
      <c r="R137" s="127">
        <f>Mitigation_Industry!R$400</f>
        <v>0</v>
      </c>
      <c r="S137" s="127">
        <f>Mitigation_Industry!S$400</f>
        <v>0</v>
      </c>
      <c r="T137" s="127">
        <f>Mitigation_Industry!T$400</f>
        <v>0</v>
      </c>
      <c r="U137" s="127">
        <f>Mitigation_Industry!U$400</f>
        <v>0</v>
      </c>
      <c r="V137" s="127">
        <f>Mitigation_Industry!V$400</f>
        <v>0</v>
      </c>
      <c r="W137" s="127">
        <f>Mitigation_Industry!W$400</f>
        <v>0</v>
      </c>
      <c r="X137" s="127">
        <f>Mitigation_Industry!X$400</f>
        <v>0</v>
      </c>
      <c r="Y137" s="127">
        <f>Mitigation_Industry!Y$400</f>
        <v>0</v>
      </c>
      <c r="Z137" s="127">
        <f>Mitigation_Industry!Z$400</f>
        <v>0</v>
      </c>
      <c r="AA137" s="127">
        <f>Mitigation_Industry!AA$400</f>
        <v>0</v>
      </c>
      <c r="AB137" s="127">
        <f>Mitigation_Industry!AB$400</f>
        <v>0</v>
      </c>
      <c r="AC137" s="127">
        <f>Mitigation_Industry!AC$400</f>
        <v>0</v>
      </c>
      <c r="AD137" s="127">
        <f>Mitigation_Industry!AD$400</f>
        <v>0</v>
      </c>
      <c r="AE137" s="127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2313</v>
      </c>
      <c r="E138" s="16" t="s">
        <v>1854</v>
      </c>
      <c r="F138" s="14" t="s">
        <v>2242</v>
      </c>
      <c r="H138" s="17"/>
      <c r="L138" s="127">
        <f t="shared" ref="L138:AE138" si="33">L$78</f>
        <v>0</v>
      </c>
      <c r="M138" s="127">
        <f t="shared" si="33"/>
        <v>0</v>
      </c>
      <c r="N138" s="127">
        <f t="shared" si="33"/>
        <v>0</v>
      </c>
      <c r="O138" s="127">
        <f t="shared" si="33"/>
        <v>0</v>
      </c>
      <c r="P138" s="127">
        <f t="shared" si="33"/>
        <v>0</v>
      </c>
      <c r="Q138" s="127">
        <f t="shared" si="33"/>
        <v>0</v>
      </c>
      <c r="R138" s="127">
        <f t="shared" si="33"/>
        <v>0</v>
      </c>
      <c r="S138" s="127">
        <f t="shared" si="33"/>
        <v>0</v>
      </c>
      <c r="T138" s="127">
        <f t="shared" si="33"/>
        <v>0</v>
      </c>
      <c r="U138" s="127">
        <f t="shared" si="33"/>
        <v>0</v>
      </c>
      <c r="V138" s="127">
        <f t="shared" si="33"/>
        <v>0</v>
      </c>
      <c r="W138" s="127">
        <f t="shared" si="33"/>
        <v>0</v>
      </c>
      <c r="X138" s="127">
        <f t="shared" si="33"/>
        <v>0</v>
      </c>
      <c r="Y138" s="127">
        <f t="shared" si="33"/>
        <v>0</v>
      </c>
      <c r="Z138" s="127">
        <f t="shared" si="33"/>
        <v>0</v>
      </c>
      <c r="AA138" s="127">
        <f t="shared" si="33"/>
        <v>0</v>
      </c>
      <c r="AB138" s="127">
        <f t="shared" si="33"/>
        <v>0</v>
      </c>
      <c r="AC138" s="127">
        <f t="shared" si="33"/>
        <v>0</v>
      </c>
      <c r="AD138" s="127">
        <f t="shared" si="33"/>
        <v>0</v>
      </c>
      <c r="AE138" s="127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2314</v>
      </c>
      <c r="E139" s="16" t="s">
        <v>1854</v>
      </c>
      <c r="F139" s="14" t="s">
        <v>2315</v>
      </c>
      <c r="H139" s="125" t="str">
        <f>Settings!$B$3&amp;".mit.revnet.cbam.tot.1"</f>
        <v>egy.mit.revnet.cbam.tot.1</v>
      </c>
      <c r="L139" s="127">
        <f t="shared" ref="L139:AE139" si="34">L137-L138</f>
        <v>0</v>
      </c>
      <c r="M139" s="127">
        <f t="shared" si="34"/>
        <v>0</v>
      </c>
      <c r="N139" s="127">
        <f t="shared" si="34"/>
        <v>0</v>
      </c>
      <c r="O139" s="127">
        <f t="shared" si="34"/>
        <v>0</v>
      </c>
      <c r="P139" s="127">
        <f t="shared" si="34"/>
        <v>0</v>
      </c>
      <c r="Q139" s="127">
        <f t="shared" si="34"/>
        <v>0</v>
      </c>
      <c r="R139" s="127">
        <f t="shared" si="34"/>
        <v>0</v>
      </c>
      <c r="S139" s="127">
        <f t="shared" si="34"/>
        <v>0</v>
      </c>
      <c r="T139" s="127">
        <f t="shared" si="34"/>
        <v>0</v>
      </c>
      <c r="U139" s="127">
        <f t="shared" si="34"/>
        <v>0</v>
      </c>
      <c r="V139" s="127">
        <f t="shared" si="34"/>
        <v>0</v>
      </c>
      <c r="W139" s="127">
        <f t="shared" si="34"/>
        <v>0</v>
      </c>
      <c r="X139" s="127">
        <f t="shared" si="34"/>
        <v>0</v>
      </c>
      <c r="Y139" s="127">
        <f t="shared" si="34"/>
        <v>0</v>
      </c>
      <c r="Z139" s="127">
        <f t="shared" si="34"/>
        <v>0</v>
      </c>
      <c r="AA139" s="127">
        <f t="shared" si="34"/>
        <v>0</v>
      </c>
      <c r="AB139" s="127">
        <f t="shared" si="34"/>
        <v>0</v>
      </c>
      <c r="AC139" s="127">
        <f t="shared" si="34"/>
        <v>0</v>
      </c>
      <c r="AD139" s="127">
        <f t="shared" si="34"/>
        <v>0</v>
      </c>
      <c r="AE139" s="127">
        <f t="shared" si="34"/>
        <v>0</v>
      </c>
    </row>
    <row r="142" spans="1:35" customFormat="1" ht="18" customHeight="1" x14ac:dyDescent="0.45">
      <c r="A142" s="8"/>
      <c r="B142" s="9" t="s">
        <v>2316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2176</v>
      </c>
      <c r="D144" s="6" t="s">
        <v>1488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1782</v>
      </c>
      <c r="C145" s="14"/>
      <c r="D145" s="15" t="s">
        <v>2177</v>
      </c>
      <c r="E145" s="16" t="s">
        <v>79</v>
      </c>
      <c r="F145" s="14" t="s">
        <v>1782</v>
      </c>
      <c r="G145" s="125" t="s">
        <v>1785</v>
      </c>
      <c r="H145" s="17"/>
      <c r="I145" t="s">
        <v>2178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1786</v>
      </c>
      <c r="C146" s="14"/>
      <c r="D146" s="15" t="s">
        <v>2179</v>
      </c>
      <c r="E146" s="16" t="s">
        <v>1398</v>
      </c>
      <c r="F146" s="14" t="s">
        <v>1786</v>
      </c>
      <c r="G146" s="125" t="s">
        <v>1788</v>
      </c>
      <c r="H146" s="17"/>
      <c r="I146" t="s">
        <v>2317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2181</v>
      </c>
      <c r="D148" s="6" t="s">
        <v>1488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1435</v>
      </c>
      <c r="C149" s="14" t="s">
        <v>43</v>
      </c>
      <c r="D149" s="15" t="s">
        <v>2182</v>
      </c>
      <c r="E149" s="16" t="s">
        <v>2183</v>
      </c>
      <c r="F149" s="14" t="s">
        <v>2181</v>
      </c>
      <c r="G149" s="17"/>
      <c r="H149" s="125" t="str">
        <f>Settings!$B$3&amp;".mit.obrbm.stl.drg.2"</f>
        <v>egy.mit.obrbm.stl.drg.2</v>
      </c>
      <c r="I149" t="s">
        <v>2184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1438</v>
      </c>
      <c r="C150" s="14" t="s">
        <v>43</v>
      </c>
      <c r="D150" s="15" t="s">
        <v>2185</v>
      </c>
      <c r="E150" s="16" t="s">
        <v>2183</v>
      </c>
      <c r="F150" s="14" t="s">
        <v>2181</v>
      </c>
      <c r="G150" s="17"/>
      <c r="H150" s="125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1441</v>
      </c>
      <c r="C151" s="14" t="s">
        <v>43</v>
      </c>
      <c r="D151" s="15" t="s">
        <v>2186</v>
      </c>
      <c r="E151" s="16" t="s">
        <v>2183</v>
      </c>
      <c r="F151" s="14" t="s">
        <v>2181</v>
      </c>
      <c r="G151" s="17"/>
      <c r="H151" s="125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1444</v>
      </c>
      <c r="C152" s="14" t="s">
        <v>113</v>
      </c>
      <c r="D152" s="15" t="s">
        <v>2187</v>
      </c>
      <c r="E152" s="16" t="s">
        <v>2183</v>
      </c>
      <c r="F152" s="14" t="s">
        <v>2181</v>
      </c>
      <c r="G152" s="17"/>
      <c r="H152" s="125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1447</v>
      </c>
      <c r="C153" s="14" t="s">
        <v>117</v>
      </c>
      <c r="D153" s="15" t="s">
        <v>2188</v>
      </c>
      <c r="E153" s="16" t="s">
        <v>2183</v>
      </c>
      <c r="F153" s="14" t="s">
        <v>2181</v>
      </c>
      <c r="G153" s="17"/>
      <c r="H153" s="125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1450</v>
      </c>
      <c r="C154" s="14" t="s">
        <v>117</v>
      </c>
      <c r="D154" s="15" t="s">
        <v>2189</v>
      </c>
      <c r="E154" s="16" t="s">
        <v>2183</v>
      </c>
      <c r="F154" s="14" t="s">
        <v>2181</v>
      </c>
      <c r="G154" s="17"/>
      <c r="H154" s="125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1453</v>
      </c>
      <c r="C155" s="14" t="s">
        <v>117</v>
      </c>
      <c r="D155" s="15" t="s">
        <v>2190</v>
      </c>
      <c r="E155" s="16" t="s">
        <v>2183</v>
      </c>
      <c r="F155" s="14" t="s">
        <v>2181</v>
      </c>
      <c r="G155" s="17"/>
      <c r="H155" s="125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1456</v>
      </c>
      <c r="C156" s="14" t="s">
        <v>115</v>
      </c>
      <c r="D156" s="15" t="s">
        <v>2191</v>
      </c>
      <c r="E156" s="16" t="s">
        <v>2183</v>
      </c>
      <c r="F156" s="14" t="s">
        <v>2181</v>
      </c>
      <c r="G156" s="17"/>
      <c r="H156" s="125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2192</v>
      </c>
      <c r="D158" s="6" t="s">
        <v>1488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1435</v>
      </c>
      <c r="C159" s="14" t="s">
        <v>43</v>
      </c>
      <c r="D159" s="15" t="s">
        <v>2193</v>
      </c>
      <c r="E159" s="16" t="s">
        <v>2194</v>
      </c>
      <c r="F159" s="14" t="s">
        <v>2192</v>
      </c>
      <c r="G159" s="17"/>
      <c r="H159" s="125" t="str">
        <f>Settings!$B$3&amp;".mit.ccpt.stl.drg.2"</f>
        <v>egy.mit.ccpt.stl.drg.2</v>
      </c>
      <c r="I159" t="s">
        <v>2195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7.1373846250000001</v>
      </c>
      <c r="R159" s="19">
        <f>Mitigation_Industry!R$698+Mitigation_Industry!R$709</f>
        <v>14.27476925</v>
      </c>
      <c r="S159" s="19">
        <f>Mitigation_Industry!S$698+Mitigation_Industry!S$709</f>
        <v>21.412153874999998</v>
      </c>
      <c r="T159" s="19">
        <f>Mitigation_Industry!T$698+Mitigation_Industry!T$709</f>
        <v>28.549538500000001</v>
      </c>
      <c r="U159" s="19">
        <f>Mitigation_Industry!U$698+Mitigation_Industry!U$709</f>
        <v>35.686923125</v>
      </c>
      <c r="V159" s="19">
        <f>Mitigation_Industry!V$698+Mitigation_Industry!V$709</f>
        <v>42.824307749999996</v>
      </c>
      <c r="W159" s="19">
        <f>Mitigation_Industry!W$698+Mitigation_Industry!W$709</f>
        <v>49.961692374999998</v>
      </c>
      <c r="X159" s="19">
        <f>Mitigation_Industry!X$698+Mitigation_Industry!X$709</f>
        <v>57.099077000000001</v>
      </c>
      <c r="Y159" s="19">
        <f>Mitigation_Industry!Y$698+Mitigation_Industry!Y$709</f>
        <v>64.236461625000004</v>
      </c>
      <c r="Z159" s="19">
        <f>Mitigation_Industry!Z$698+Mitigation_Industry!Z$709</f>
        <v>71.37384625</v>
      </c>
      <c r="AA159" s="19">
        <f>Mitigation_Industry!AA$698+Mitigation_Industry!AA$709</f>
        <v>78.511230874999995</v>
      </c>
      <c r="AB159" s="19">
        <f>Mitigation_Industry!AB$698+Mitigation_Industry!AB$709</f>
        <v>85.648615499999991</v>
      </c>
      <c r="AC159" s="19">
        <f>Mitigation_Industry!AC$698+Mitigation_Industry!AC$709</f>
        <v>92.786000125000001</v>
      </c>
      <c r="AD159" s="19">
        <f>Mitigation_Industry!AD$698+Mitigation_Industry!AD$709</f>
        <v>99.923384749999997</v>
      </c>
      <c r="AE159" s="19">
        <f>Mitigation_Industry!AE$698+Mitigation_Industry!AE$709</f>
        <v>107.06076937499999</v>
      </c>
    </row>
    <row r="160" spans="1:35" customFormat="1" ht="14.25" x14ac:dyDescent="0.45">
      <c r="B160" s="14" t="s">
        <v>1438</v>
      </c>
      <c r="C160" s="14" t="s">
        <v>43</v>
      </c>
      <c r="D160" s="15" t="s">
        <v>2196</v>
      </c>
      <c r="E160" s="16" t="s">
        <v>2194</v>
      </c>
      <c r="F160" s="14" t="s">
        <v>2192</v>
      </c>
      <c r="G160" s="17"/>
      <c r="H160" s="125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0.56100000000000005</v>
      </c>
      <c r="R160" s="19">
        <f>Mitigation_Industry!R$699+Mitigation_Industry!R$710</f>
        <v>1.1220000000000001</v>
      </c>
      <c r="S160" s="19">
        <f>Mitigation_Industry!S$699+Mitigation_Industry!S$710</f>
        <v>1.6830000000000001</v>
      </c>
      <c r="T160" s="19">
        <f>Mitigation_Industry!T$699+Mitigation_Industry!T$710</f>
        <v>2.2440000000000002</v>
      </c>
      <c r="U160" s="19">
        <f>Mitigation_Industry!U$699+Mitigation_Industry!U$710</f>
        <v>2.8050000000000002</v>
      </c>
      <c r="V160" s="19">
        <f>Mitigation_Industry!V$699+Mitigation_Industry!V$710</f>
        <v>3.3660000000000001</v>
      </c>
      <c r="W160" s="19">
        <f>Mitigation_Industry!W$699+Mitigation_Industry!W$710</f>
        <v>3.9270000000000005</v>
      </c>
      <c r="X160" s="19">
        <f>Mitigation_Industry!X$699+Mitigation_Industry!X$710</f>
        <v>4.4880000000000004</v>
      </c>
      <c r="Y160" s="19">
        <f>Mitigation_Industry!Y$699+Mitigation_Industry!Y$710</f>
        <v>5.0490000000000004</v>
      </c>
      <c r="Z160" s="19">
        <f>Mitigation_Industry!Z$699+Mitigation_Industry!Z$710</f>
        <v>5.61</v>
      </c>
      <c r="AA160" s="19">
        <f>Mitigation_Industry!AA$699+Mitigation_Industry!AA$710</f>
        <v>6.1710000000000003</v>
      </c>
      <c r="AB160" s="19">
        <f>Mitigation_Industry!AB$699+Mitigation_Industry!AB$710</f>
        <v>6.7320000000000002</v>
      </c>
      <c r="AC160" s="19">
        <f>Mitigation_Industry!AC$699+Mitigation_Industry!AC$710</f>
        <v>7.2930000000000001</v>
      </c>
      <c r="AD160" s="19">
        <f>Mitigation_Industry!AD$699+Mitigation_Industry!AD$710</f>
        <v>7.854000000000001</v>
      </c>
      <c r="AE160" s="19">
        <f>Mitigation_Industry!AE$699+Mitigation_Industry!AE$710</f>
        <v>8.4150000000000009</v>
      </c>
    </row>
    <row r="161" spans="1:35" customFormat="1" ht="14.25" x14ac:dyDescent="0.45">
      <c r="B161" s="14" t="s">
        <v>1441</v>
      </c>
      <c r="C161" s="14" t="s">
        <v>43</v>
      </c>
      <c r="D161" s="15" t="s">
        <v>2197</v>
      </c>
      <c r="E161" s="16" t="s">
        <v>2194</v>
      </c>
      <c r="F161" s="14" t="s">
        <v>2192</v>
      </c>
      <c r="G161" s="17"/>
      <c r="H161" s="125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17.812253374999997</v>
      </c>
      <c r="R161" s="19">
        <f>Mitigation_Industry!R$700+Mitigation_Industry!R$711</f>
        <v>35.624506749999995</v>
      </c>
      <c r="S161" s="19">
        <f>Mitigation_Industry!S$700+Mitigation_Industry!S$711</f>
        <v>53.436760124999992</v>
      </c>
      <c r="T161" s="19">
        <f>Mitigation_Industry!T$700+Mitigation_Industry!T$711</f>
        <v>71.24901349999999</v>
      </c>
      <c r="U161" s="19">
        <f>Mitigation_Industry!U$700+Mitigation_Industry!U$711</f>
        <v>89.061266874999987</v>
      </c>
      <c r="V161" s="19">
        <f>Mitigation_Industry!V$700+Mitigation_Industry!V$711</f>
        <v>106.87352024999998</v>
      </c>
      <c r="W161" s="19">
        <f>Mitigation_Industry!W$700+Mitigation_Industry!W$711</f>
        <v>124.68577362499998</v>
      </c>
      <c r="X161" s="19">
        <f>Mitigation_Industry!X$700+Mitigation_Industry!X$711</f>
        <v>142.49802699999998</v>
      </c>
      <c r="Y161" s="19">
        <f>Mitigation_Industry!Y$700+Mitigation_Industry!Y$711</f>
        <v>160.31028037499999</v>
      </c>
      <c r="Z161" s="19">
        <f>Mitigation_Industry!Z$700+Mitigation_Industry!Z$711</f>
        <v>178.12253374999997</v>
      </c>
      <c r="AA161" s="19">
        <f>Mitigation_Industry!AA$700+Mitigation_Industry!AA$711</f>
        <v>195.93478712499999</v>
      </c>
      <c r="AB161" s="19">
        <f>Mitigation_Industry!AB$700+Mitigation_Industry!AB$711</f>
        <v>213.74704049999997</v>
      </c>
      <c r="AC161" s="19">
        <f>Mitigation_Industry!AC$700+Mitigation_Industry!AC$711</f>
        <v>231.55929387499998</v>
      </c>
      <c r="AD161" s="19">
        <f>Mitigation_Industry!AD$700+Mitigation_Industry!AD$711</f>
        <v>249.37154724999996</v>
      </c>
      <c r="AE161" s="19">
        <f>Mitigation_Industry!AE$700+Mitigation_Industry!AE$711</f>
        <v>267.18380062499995</v>
      </c>
    </row>
    <row r="162" spans="1:35" customFormat="1" ht="14.25" x14ac:dyDescent="0.45">
      <c r="B162" s="14" t="s">
        <v>1444</v>
      </c>
      <c r="C162" s="14" t="s">
        <v>113</v>
      </c>
      <c r="D162" s="15" t="s">
        <v>2198</v>
      </c>
      <c r="E162" s="16" t="s">
        <v>2194</v>
      </c>
      <c r="F162" s="14" t="s">
        <v>2192</v>
      </c>
      <c r="G162" s="17"/>
      <c r="H162" s="125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3.9196062499999997</v>
      </c>
      <c r="R162" s="19">
        <f>Mitigation_Industry!R$701+Mitigation_Industry!R$712</f>
        <v>7.8392124999999995</v>
      </c>
      <c r="S162" s="19">
        <f>Mitigation_Industry!S$701+Mitigation_Industry!S$712</f>
        <v>11.75881875</v>
      </c>
      <c r="T162" s="19">
        <f>Mitigation_Industry!T$701+Mitigation_Industry!T$712</f>
        <v>15.678424999999999</v>
      </c>
      <c r="U162" s="19">
        <f>Mitigation_Industry!U$701+Mitigation_Industry!U$712</f>
        <v>19.598031249999998</v>
      </c>
      <c r="V162" s="19">
        <f>Mitigation_Industry!V$701+Mitigation_Industry!V$712</f>
        <v>23.517637499999999</v>
      </c>
      <c r="W162" s="19">
        <f>Mitigation_Industry!W$701+Mitigation_Industry!W$712</f>
        <v>27.437243749999997</v>
      </c>
      <c r="X162" s="19">
        <f>Mitigation_Industry!X$701+Mitigation_Industry!X$712</f>
        <v>31.356849999999998</v>
      </c>
      <c r="Y162" s="19">
        <f>Mitigation_Industry!Y$701+Mitigation_Industry!Y$712</f>
        <v>35.276456249999995</v>
      </c>
      <c r="Z162" s="19">
        <f>Mitigation_Industry!Z$701+Mitigation_Industry!Z$712</f>
        <v>39.196062499999996</v>
      </c>
      <c r="AA162" s="19">
        <f>Mitigation_Industry!AA$701+Mitigation_Industry!AA$712</f>
        <v>43.115668749999998</v>
      </c>
      <c r="AB162" s="19">
        <f>Mitigation_Industry!AB$701+Mitigation_Industry!AB$712</f>
        <v>47.035274999999999</v>
      </c>
      <c r="AC162" s="19">
        <f>Mitigation_Industry!AC$701+Mitigation_Industry!AC$712</f>
        <v>50.954881249999993</v>
      </c>
      <c r="AD162" s="19">
        <f>Mitigation_Industry!AD$701+Mitigation_Industry!AD$712</f>
        <v>54.874487499999994</v>
      </c>
      <c r="AE162" s="19">
        <f>Mitigation_Industry!AE$701+Mitigation_Industry!AE$712</f>
        <v>58.794093749999995</v>
      </c>
    </row>
    <row r="163" spans="1:35" customFormat="1" ht="14.25" x14ac:dyDescent="0.45">
      <c r="B163" s="14" t="s">
        <v>1447</v>
      </c>
      <c r="C163" s="14" t="s">
        <v>117</v>
      </c>
      <c r="D163" s="15" t="s">
        <v>2199</v>
      </c>
      <c r="E163" s="16" t="s">
        <v>2194</v>
      </c>
      <c r="F163" s="14" t="s">
        <v>2192</v>
      </c>
      <c r="G163" s="17"/>
      <c r="H163" s="125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24.684000000000001</v>
      </c>
      <c r="R163" s="19">
        <f>Mitigation_Industry!R$702+Mitigation_Industry!R$713</f>
        <v>49.368000000000002</v>
      </c>
      <c r="S163" s="19">
        <f>Mitigation_Industry!S$702+Mitigation_Industry!S$713</f>
        <v>74.052000000000007</v>
      </c>
      <c r="T163" s="19">
        <f>Mitigation_Industry!T$702+Mitigation_Industry!T$713</f>
        <v>98.736000000000004</v>
      </c>
      <c r="U163" s="19">
        <f>Mitigation_Industry!U$702+Mitigation_Industry!U$713</f>
        <v>123.42</v>
      </c>
      <c r="V163" s="19">
        <f>Mitigation_Industry!V$702+Mitigation_Industry!V$713</f>
        <v>148.10400000000001</v>
      </c>
      <c r="W163" s="19">
        <f>Mitigation_Industry!W$702+Mitigation_Industry!W$713</f>
        <v>172.78800000000001</v>
      </c>
      <c r="X163" s="19">
        <f>Mitigation_Industry!X$702+Mitigation_Industry!X$713</f>
        <v>197.47200000000001</v>
      </c>
      <c r="Y163" s="19">
        <f>Mitigation_Industry!Y$702+Mitigation_Industry!Y$713</f>
        <v>222.15600000000001</v>
      </c>
      <c r="Z163" s="19">
        <f>Mitigation_Industry!Z$702+Mitigation_Industry!Z$713</f>
        <v>246.84</v>
      </c>
      <c r="AA163" s="19">
        <f>Mitigation_Industry!AA$702+Mitigation_Industry!AA$713</f>
        <v>271.524</v>
      </c>
      <c r="AB163" s="19">
        <f>Mitigation_Industry!AB$702+Mitigation_Industry!AB$713</f>
        <v>296.20800000000003</v>
      </c>
      <c r="AC163" s="19">
        <f>Mitigation_Industry!AC$702+Mitigation_Industry!AC$713</f>
        <v>320.892</v>
      </c>
      <c r="AD163" s="19">
        <f>Mitigation_Industry!AD$702+Mitigation_Industry!AD$713</f>
        <v>345.57600000000002</v>
      </c>
      <c r="AE163" s="19">
        <f>Mitigation_Industry!AE$702+Mitigation_Industry!AE$713</f>
        <v>370.26</v>
      </c>
    </row>
    <row r="164" spans="1:35" customFormat="1" ht="14.25" x14ac:dyDescent="0.45">
      <c r="B164" s="14" t="s">
        <v>1450</v>
      </c>
      <c r="C164" s="14" t="s">
        <v>117</v>
      </c>
      <c r="D164" s="15" t="s">
        <v>2200</v>
      </c>
      <c r="E164" s="16" t="s">
        <v>2194</v>
      </c>
      <c r="F164" s="14" t="s">
        <v>2192</v>
      </c>
      <c r="G164" s="17"/>
      <c r="H164" s="125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1453</v>
      </c>
      <c r="C165" s="14" t="s">
        <v>117</v>
      </c>
      <c r="D165" s="15" t="s">
        <v>2201</v>
      </c>
      <c r="E165" s="16" t="s">
        <v>2194</v>
      </c>
      <c r="F165" s="14" t="s">
        <v>2192</v>
      </c>
      <c r="G165" s="17"/>
      <c r="H165" s="125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1456</v>
      </c>
      <c r="C166" s="14" t="s">
        <v>115</v>
      </c>
      <c r="D166" s="15" t="s">
        <v>2202</v>
      </c>
      <c r="E166" s="16" t="s">
        <v>2194</v>
      </c>
      <c r="F166" s="14" t="s">
        <v>2192</v>
      </c>
      <c r="G166" s="17"/>
      <c r="H166" s="125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1.5427500000000001</v>
      </c>
      <c r="R166" s="19">
        <f>Mitigation_Industry!R$705+Mitigation_Industry!R$716</f>
        <v>3.0855000000000001</v>
      </c>
      <c r="S166" s="19">
        <f>Mitigation_Industry!S$705+Mitigation_Industry!S$716</f>
        <v>4.6282500000000004</v>
      </c>
      <c r="T166" s="19">
        <f>Mitigation_Industry!T$705+Mitigation_Industry!T$716</f>
        <v>6.1710000000000003</v>
      </c>
      <c r="U166" s="19">
        <f>Mitigation_Industry!U$705+Mitigation_Industry!U$716</f>
        <v>7.7137500000000001</v>
      </c>
      <c r="V166" s="19">
        <f>Mitigation_Industry!V$705+Mitigation_Industry!V$716</f>
        <v>9.2565000000000008</v>
      </c>
      <c r="W166" s="19">
        <f>Mitigation_Industry!W$705+Mitigation_Industry!W$716</f>
        <v>10.799250000000001</v>
      </c>
      <c r="X166" s="19">
        <f>Mitigation_Industry!X$705+Mitigation_Industry!X$716</f>
        <v>12.342000000000001</v>
      </c>
      <c r="Y166" s="19">
        <f>Mitigation_Industry!Y$705+Mitigation_Industry!Y$716</f>
        <v>13.88475</v>
      </c>
      <c r="Z166" s="19">
        <f>Mitigation_Industry!Z$705+Mitigation_Industry!Z$716</f>
        <v>15.4275</v>
      </c>
      <c r="AA166" s="19">
        <f>Mitigation_Industry!AA$705+Mitigation_Industry!AA$716</f>
        <v>16.97025</v>
      </c>
      <c r="AB166" s="19">
        <f>Mitigation_Industry!AB$705+Mitigation_Industry!AB$716</f>
        <v>18.513000000000002</v>
      </c>
      <c r="AC166" s="19">
        <f>Mitigation_Industry!AC$705+Mitigation_Industry!AC$716</f>
        <v>20.05575</v>
      </c>
      <c r="AD166" s="19">
        <f>Mitigation_Industry!AD$705+Mitigation_Industry!AD$716</f>
        <v>21.598500000000001</v>
      </c>
      <c r="AE166" s="19">
        <f>Mitigation_Industry!AE$705+Mitigation_Industry!AE$716</f>
        <v>23.141249999999999</v>
      </c>
    </row>
    <row r="168" spans="1:35" customFormat="1" ht="14.25" x14ac:dyDescent="0.45">
      <c r="A168" s="11"/>
      <c r="B168" s="6"/>
      <c r="C168" s="7" t="s">
        <v>2203</v>
      </c>
      <c r="D168" s="6" t="s">
        <v>1488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1435</v>
      </c>
      <c r="C169" s="14" t="s">
        <v>43</v>
      </c>
      <c r="D169" s="15" t="s">
        <v>2204</v>
      </c>
      <c r="E169" s="16" t="s">
        <v>2194</v>
      </c>
      <c r="F169" s="14" t="s">
        <v>2203</v>
      </c>
      <c r="G169" s="17"/>
      <c r="H169" s="125" t="str">
        <f>Settings!$B$3&amp;".mit.obrpu.stl.drg.2"</f>
        <v>egy.mit.obrpu.stl.drg.2</v>
      </c>
      <c r="I169" t="s">
        <v>2205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1438</v>
      </c>
      <c r="C170" s="14" t="s">
        <v>43</v>
      </c>
      <c r="D170" s="15" t="s">
        <v>2206</v>
      </c>
      <c r="E170" s="16" t="s">
        <v>2194</v>
      </c>
      <c r="F170" s="14" t="s">
        <v>2203</v>
      </c>
      <c r="G170" s="17"/>
      <c r="H170" s="125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1441</v>
      </c>
      <c r="C171" s="14" t="s">
        <v>43</v>
      </c>
      <c r="D171" s="15" t="s">
        <v>2207</v>
      </c>
      <c r="E171" s="16" t="s">
        <v>2194</v>
      </c>
      <c r="F171" s="14" t="s">
        <v>2203</v>
      </c>
      <c r="G171" s="17"/>
      <c r="H171" s="125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1444</v>
      </c>
      <c r="C172" s="14" t="s">
        <v>113</v>
      </c>
      <c r="D172" s="15" t="s">
        <v>2208</v>
      </c>
      <c r="E172" s="16" t="s">
        <v>2194</v>
      </c>
      <c r="F172" s="14" t="s">
        <v>2203</v>
      </c>
      <c r="G172" s="17"/>
      <c r="H172" s="125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1447</v>
      </c>
      <c r="C173" s="14" t="s">
        <v>117</v>
      </c>
      <c r="D173" s="15" t="s">
        <v>2209</v>
      </c>
      <c r="E173" s="16" t="s">
        <v>2194</v>
      </c>
      <c r="F173" s="14" t="s">
        <v>2203</v>
      </c>
      <c r="G173" s="17"/>
      <c r="H173" s="125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1450</v>
      </c>
      <c r="C174" s="14" t="s">
        <v>117</v>
      </c>
      <c r="D174" s="15" t="s">
        <v>2210</v>
      </c>
      <c r="E174" s="16" t="s">
        <v>2194</v>
      </c>
      <c r="F174" s="14" t="s">
        <v>2203</v>
      </c>
      <c r="G174" s="17"/>
      <c r="H174" s="125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1453</v>
      </c>
      <c r="C175" s="14" t="s">
        <v>117</v>
      </c>
      <c r="D175" s="15" t="s">
        <v>2211</v>
      </c>
      <c r="E175" s="16" t="s">
        <v>2194</v>
      </c>
      <c r="F175" s="14" t="s">
        <v>2203</v>
      </c>
      <c r="G175" s="17"/>
      <c r="H175" s="125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1456</v>
      </c>
      <c r="C176" s="14" t="s">
        <v>115</v>
      </c>
      <c r="D176" s="15" t="s">
        <v>2212</v>
      </c>
      <c r="E176" s="16" t="s">
        <v>2194</v>
      </c>
      <c r="F176" s="14" t="s">
        <v>2203</v>
      </c>
      <c r="G176" s="17"/>
      <c r="H176" s="125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2213</v>
      </c>
      <c r="D178" s="6" t="s">
        <v>1488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1435</v>
      </c>
      <c r="C179" s="14" t="s">
        <v>43</v>
      </c>
      <c r="D179" s="15" t="s">
        <v>2214</v>
      </c>
      <c r="E179" s="16" t="s">
        <v>2194</v>
      </c>
      <c r="F179" s="14" t="s">
        <v>2213</v>
      </c>
      <c r="G179" s="17"/>
      <c r="H179" s="125" t="str">
        <f>Settings!$B$3&amp;".mit.obrpt.stl.drg.2"</f>
        <v>egy.mit.obrpt.stl.drg.2</v>
      </c>
      <c r="I179" t="s">
        <v>2215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1438</v>
      </c>
      <c r="C180" s="14" t="s">
        <v>43</v>
      </c>
      <c r="D180" s="15" t="s">
        <v>2216</v>
      </c>
      <c r="E180" s="16" t="s">
        <v>2194</v>
      </c>
      <c r="F180" s="14" t="s">
        <v>2213</v>
      </c>
      <c r="G180" s="17"/>
      <c r="H180" s="125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1441</v>
      </c>
      <c r="C181" s="14" t="s">
        <v>43</v>
      </c>
      <c r="D181" s="15" t="s">
        <v>2217</v>
      </c>
      <c r="E181" s="16" t="s">
        <v>2194</v>
      </c>
      <c r="F181" s="14" t="s">
        <v>2213</v>
      </c>
      <c r="G181" s="17"/>
      <c r="H181" s="125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1444</v>
      </c>
      <c r="C182" s="14" t="s">
        <v>113</v>
      </c>
      <c r="D182" s="15" t="s">
        <v>2218</v>
      </c>
      <c r="E182" s="16" t="s">
        <v>2194</v>
      </c>
      <c r="F182" s="14" t="s">
        <v>2213</v>
      </c>
      <c r="G182" s="17"/>
      <c r="H182" s="125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1447</v>
      </c>
      <c r="C183" s="14" t="s">
        <v>117</v>
      </c>
      <c r="D183" s="15" t="s">
        <v>2219</v>
      </c>
      <c r="E183" s="16" t="s">
        <v>2194</v>
      </c>
      <c r="F183" s="14" t="s">
        <v>2213</v>
      </c>
      <c r="G183" s="17"/>
      <c r="H183" s="125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1450</v>
      </c>
      <c r="C184" s="14" t="s">
        <v>117</v>
      </c>
      <c r="D184" s="15" t="s">
        <v>2220</v>
      </c>
      <c r="E184" s="16" t="s">
        <v>2194</v>
      </c>
      <c r="F184" s="14" t="s">
        <v>2213</v>
      </c>
      <c r="G184" s="17"/>
      <c r="H184" s="125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1453</v>
      </c>
      <c r="C185" s="14" t="s">
        <v>117</v>
      </c>
      <c r="D185" s="15" t="s">
        <v>2221</v>
      </c>
      <c r="E185" s="16" t="s">
        <v>2194</v>
      </c>
      <c r="F185" s="14" t="s">
        <v>2213</v>
      </c>
      <c r="G185" s="17"/>
      <c r="H185" s="125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1456</v>
      </c>
      <c r="C186" s="14" t="s">
        <v>115</v>
      </c>
      <c r="D186" s="15" t="s">
        <v>2222</v>
      </c>
      <c r="E186" s="16" t="s">
        <v>2194</v>
      </c>
      <c r="F186" s="14" t="s">
        <v>2213</v>
      </c>
      <c r="G186" s="17"/>
      <c r="H186" s="125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2223</v>
      </c>
      <c r="D188" s="6" t="s">
        <v>1488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1435</v>
      </c>
      <c r="C189" s="14" t="s">
        <v>43</v>
      </c>
      <c r="D189" s="15" t="s">
        <v>2224</v>
      </c>
      <c r="E189" s="16" t="s">
        <v>2194</v>
      </c>
      <c r="F189" s="14" t="s">
        <v>2223</v>
      </c>
      <c r="G189" s="17"/>
      <c r="H189" s="125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7.1373846250000001</v>
      </c>
      <c r="R189" s="19">
        <f t="shared" si="51"/>
        <v>14.27476925</v>
      </c>
      <c r="S189" s="19">
        <f t="shared" si="51"/>
        <v>21.412153874999998</v>
      </c>
      <c r="T189" s="19">
        <f t="shared" si="51"/>
        <v>28.549538500000001</v>
      </c>
      <c r="U189" s="19">
        <f t="shared" si="51"/>
        <v>35.686923125</v>
      </c>
      <c r="V189" s="19">
        <f t="shared" si="51"/>
        <v>42.824307749999996</v>
      </c>
      <c r="W189" s="19">
        <f t="shared" si="51"/>
        <v>49.961692374999998</v>
      </c>
      <c r="X189" s="19">
        <f t="shared" si="51"/>
        <v>57.099077000000001</v>
      </c>
      <c r="Y189" s="19">
        <f t="shared" si="51"/>
        <v>64.236461625000004</v>
      </c>
      <c r="Z189" s="19">
        <f t="shared" si="51"/>
        <v>71.37384625</v>
      </c>
      <c r="AA189" s="19">
        <f t="shared" si="51"/>
        <v>78.511230874999995</v>
      </c>
      <c r="AB189" s="19">
        <f t="shared" si="51"/>
        <v>85.648615499999991</v>
      </c>
      <c r="AC189" s="19">
        <f t="shared" si="51"/>
        <v>92.786000125000001</v>
      </c>
      <c r="AD189" s="19">
        <f t="shared" si="51"/>
        <v>99.923384749999997</v>
      </c>
      <c r="AE189" s="19">
        <f t="shared" si="51"/>
        <v>107.06076937499999</v>
      </c>
    </row>
    <row r="190" spans="1:35" customFormat="1" ht="14.25" x14ac:dyDescent="0.45">
      <c r="B190" s="14" t="s">
        <v>1438</v>
      </c>
      <c r="C190" s="14" t="s">
        <v>43</v>
      </c>
      <c r="D190" s="15" t="s">
        <v>2225</v>
      </c>
      <c r="E190" s="16" t="s">
        <v>2194</v>
      </c>
      <c r="F190" s="14" t="s">
        <v>2223</v>
      </c>
      <c r="G190" s="17"/>
      <c r="H190" s="125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0.56100000000000005</v>
      </c>
      <c r="R190" s="19">
        <f t="shared" si="52"/>
        <v>1.1220000000000001</v>
      </c>
      <c r="S190" s="19">
        <f t="shared" si="52"/>
        <v>1.6830000000000001</v>
      </c>
      <c r="T190" s="19">
        <f t="shared" si="52"/>
        <v>2.2440000000000002</v>
      </c>
      <c r="U190" s="19">
        <f t="shared" si="52"/>
        <v>2.8050000000000002</v>
      </c>
      <c r="V190" s="19">
        <f t="shared" si="52"/>
        <v>3.3660000000000001</v>
      </c>
      <c r="W190" s="19">
        <f t="shared" si="52"/>
        <v>3.9270000000000005</v>
      </c>
      <c r="X190" s="19">
        <f t="shared" si="52"/>
        <v>4.4880000000000004</v>
      </c>
      <c r="Y190" s="19">
        <f t="shared" si="52"/>
        <v>5.0490000000000004</v>
      </c>
      <c r="Z190" s="19">
        <f t="shared" si="52"/>
        <v>5.61</v>
      </c>
      <c r="AA190" s="19">
        <f t="shared" si="52"/>
        <v>6.1710000000000003</v>
      </c>
      <c r="AB190" s="19">
        <f t="shared" si="52"/>
        <v>6.7320000000000002</v>
      </c>
      <c r="AC190" s="19">
        <f t="shared" si="52"/>
        <v>7.2930000000000001</v>
      </c>
      <c r="AD190" s="19">
        <f t="shared" si="52"/>
        <v>7.854000000000001</v>
      </c>
      <c r="AE190" s="19">
        <f t="shared" si="52"/>
        <v>8.4150000000000009</v>
      </c>
    </row>
    <row r="191" spans="1:35" customFormat="1" ht="14.25" x14ac:dyDescent="0.45">
      <c r="B191" s="14" t="s">
        <v>1441</v>
      </c>
      <c r="C191" s="14" t="s">
        <v>43</v>
      </c>
      <c r="D191" s="15" t="s">
        <v>2226</v>
      </c>
      <c r="E191" s="16" t="s">
        <v>2194</v>
      </c>
      <c r="F191" s="14" t="s">
        <v>2223</v>
      </c>
      <c r="G191" s="17"/>
      <c r="H191" s="125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17.812253374999997</v>
      </c>
      <c r="R191" s="19">
        <f t="shared" si="53"/>
        <v>35.624506749999995</v>
      </c>
      <c r="S191" s="19">
        <f t="shared" si="53"/>
        <v>53.436760124999992</v>
      </c>
      <c r="T191" s="19">
        <f t="shared" si="53"/>
        <v>71.24901349999999</v>
      </c>
      <c r="U191" s="19">
        <f t="shared" si="53"/>
        <v>89.061266874999987</v>
      </c>
      <c r="V191" s="19">
        <f t="shared" si="53"/>
        <v>106.87352024999998</v>
      </c>
      <c r="W191" s="19">
        <f t="shared" si="53"/>
        <v>124.68577362499998</v>
      </c>
      <c r="X191" s="19">
        <f t="shared" si="53"/>
        <v>142.49802699999998</v>
      </c>
      <c r="Y191" s="19">
        <f t="shared" si="53"/>
        <v>160.31028037499999</v>
      </c>
      <c r="Z191" s="19">
        <f t="shared" si="53"/>
        <v>178.12253374999997</v>
      </c>
      <c r="AA191" s="19">
        <f t="shared" si="53"/>
        <v>195.93478712499999</v>
      </c>
      <c r="AB191" s="19">
        <f t="shared" si="53"/>
        <v>213.74704049999997</v>
      </c>
      <c r="AC191" s="19">
        <f t="shared" si="53"/>
        <v>231.55929387499998</v>
      </c>
      <c r="AD191" s="19">
        <f t="shared" si="53"/>
        <v>249.37154724999996</v>
      </c>
      <c r="AE191" s="19">
        <f t="shared" si="53"/>
        <v>267.18380062499995</v>
      </c>
    </row>
    <row r="192" spans="1:35" customFormat="1" ht="14.25" x14ac:dyDescent="0.45">
      <c r="B192" s="14" t="s">
        <v>1444</v>
      </c>
      <c r="C192" s="14" t="s">
        <v>113</v>
      </c>
      <c r="D192" s="15" t="s">
        <v>2227</v>
      </c>
      <c r="E192" s="16" t="s">
        <v>2194</v>
      </c>
      <c r="F192" s="14" t="s">
        <v>2223</v>
      </c>
      <c r="G192" s="17"/>
      <c r="H192" s="125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3.9196062499999997</v>
      </c>
      <c r="R192" s="19">
        <f t="shared" si="54"/>
        <v>7.8392124999999995</v>
      </c>
      <c r="S192" s="19">
        <f t="shared" si="54"/>
        <v>11.75881875</v>
      </c>
      <c r="T192" s="19">
        <f t="shared" si="54"/>
        <v>15.678424999999999</v>
      </c>
      <c r="U192" s="19">
        <f t="shared" si="54"/>
        <v>19.598031249999998</v>
      </c>
      <c r="V192" s="19">
        <f t="shared" si="54"/>
        <v>23.517637499999999</v>
      </c>
      <c r="W192" s="19">
        <f t="shared" si="54"/>
        <v>27.437243749999997</v>
      </c>
      <c r="X192" s="19">
        <f t="shared" si="54"/>
        <v>31.356849999999998</v>
      </c>
      <c r="Y192" s="19">
        <f t="shared" si="54"/>
        <v>35.276456249999995</v>
      </c>
      <c r="Z192" s="19">
        <f t="shared" si="54"/>
        <v>39.196062499999996</v>
      </c>
      <c r="AA192" s="19">
        <f t="shared" si="54"/>
        <v>43.115668749999998</v>
      </c>
      <c r="AB192" s="19">
        <f t="shared" si="54"/>
        <v>47.035274999999999</v>
      </c>
      <c r="AC192" s="19">
        <f t="shared" si="54"/>
        <v>50.954881249999993</v>
      </c>
      <c r="AD192" s="19">
        <f t="shared" si="54"/>
        <v>54.874487499999994</v>
      </c>
      <c r="AE192" s="19">
        <f t="shared" si="54"/>
        <v>58.794093749999995</v>
      </c>
    </row>
    <row r="193" spans="1:35" customFormat="1" ht="14.25" x14ac:dyDescent="0.45">
      <c r="B193" s="14" t="s">
        <v>1447</v>
      </c>
      <c r="C193" s="14" t="s">
        <v>117</v>
      </c>
      <c r="D193" s="15" t="s">
        <v>2228</v>
      </c>
      <c r="E193" s="16" t="s">
        <v>2194</v>
      </c>
      <c r="F193" s="14" t="s">
        <v>2223</v>
      </c>
      <c r="G193" s="17"/>
      <c r="H193" s="125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24.684000000000001</v>
      </c>
      <c r="R193" s="19">
        <f t="shared" si="55"/>
        <v>49.368000000000002</v>
      </c>
      <c r="S193" s="19">
        <f t="shared" si="55"/>
        <v>74.052000000000007</v>
      </c>
      <c r="T193" s="19">
        <f t="shared" si="55"/>
        <v>98.736000000000004</v>
      </c>
      <c r="U193" s="19">
        <f t="shared" si="55"/>
        <v>123.42</v>
      </c>
      <c r="V193" s="19">
        <f t="shared" si="55"/>
        <v>148.10400000000001</v>
      </c>
      <c r="W193" s="19">
        <f t="shared" si="55"/>
        <v>172.78800000000001</v>
      </c>
      <c r="X193" s="19">
        <f t="shared" si="55"/>
        <v>197.47200000000001</v>
      </c>
      <c r="Y193" s="19">
        <f t="shared" si="55"/>
        <v>222.15600000000001</v>
      </c>
      <c r="Z193" s="19">
        <f t="shared" si="55"/>
        <v>246.84</v>
      </c>
      <c r="AA193" s="19">
        <f t="shared" si="55"/>
        <v>271.524</v>
      </c>
      <c r="AB193" s="19">
        <f t="shared" si="55"/>
        <v>296.20800000000003</v>
      </c>
      <c r="AC193" s="19">
        <f t="shared" si="55"/>
        <v>320.892</v>
      </c>
      <c r="AD193" s="19">
        <f t="shared" si="55"/>
        <v>345.57600000000002</v>
      </c>
      <c r="AE193" s="19">
        <f t="shared" si="55"/>
        <v>370.26</v>
      </c>
    </row>
    <row r="194" spans="1:35" customFormat="1" ht="14.25" x14ac:dyDescent="0.45">
      <c r="B194" s="14" t="s">
        <v>1450</v>
      </c>
      <c r="C194" s="14" t="s">
        <v>117</v>
      </c>
      <c r="D194" s="15" t="s">
        <v>2229</v>
      </c>
      <c r="E194" s="16" t="s">
        <v>2194</v>
      </c>
      <c r="F194" s="14" t="s">
        <v>2223</v>
      </c>
      <c r="G194" s="17"/>
      <c r="H194" s="125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1453</v>
      </c>
      <c r="C195" s="14" t="s">
        <v>117</v>
      </c>
      <c r="D195" s="15" t="s">
        <v>2230</v>
      </c>
      <c r="E195" s="16" t="s">
        <v>2194</v>
      </c>
      <c r="F195" s="14" t="s">
        <v>2223</v>
      </c>
      <c r="G195" s="17"/>
      <c r="H195" s="125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1456</v>
      </c>
      <c r="C196" s="14" t="s">
        <v>115</v>
      </c>
      <c r="D196" s="15" t="s">
        <v>2231</v>
      </c>
      <c r="E196" s="16" t="s">
        <v>2194</v>
      </c>
      <c r="F196" s="14" t="s">
        <v>2223</v>
      </c>
      <c r="G196" s="17"/>
      <c r="H196" s="125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1.5427500000000001</v>
      </c>
      <c r="R196" s="19">
        <f t="shared" si="58"/>
        <v>3.0855000000000001</v>
      </c>
      <c r="S196" s="19">
        <f t="shared" si="58"/>
        <v>4.6282500000000004</v>
      </c>
      <c r="T196" s="19">
        <f t="shared" si="58"/>
        <v>6.1710000000000003</v>
      </c>
      <c r="U196" s="19">
        <f t="shared" si="58"/>
        <v>7.7137500000000001</v>
      </c>
      <c r="V196" s="19">
        <f t="shared" si="58"/>
        <v>9.2565000000000008</v>
      </c>
      <c r="W196" s="19">
        <f t="shared" si="58"/>
        <v>10.799250000000001</v>
      </c>
      <c r="X196" s="19">
        <f t="shared" si="58"/>
        <v>12.342000000000001</v>
      </c>
      <c r="Y196" s="19">
        <f t="shared" si="58"/>
        <v>13.88475</v>
      </c>
      <c r="Z196" s="19">
        <f t="shared" si="58"/>
        <v>15.4275</v>
      </c>
      <c r="AA196" s="19">
        <f t="shared" si="58"/>
        <v>16.97025</v>
      </c>
      <c r="AB196" s="19">
        <f t="shared" si="58"/>
        <v>18.513000000000002</v>
      </c>
      <c r="AC196" s="19">
        <f t="shared" si="58"/>
        <v>20.05575</v>
      </c>
      <c r="AD196" s="19">
        <f t="shared" si="58"/>
        <v>21.598500000000001</v>
      </c>
      <c r="AE196" s="19">
        <f t="shared" si="58"/>
        <v>23.141249999999999</v>
      </c>
    </row>
    <row r="198" spans="1:35" customFormat="1" ht="14.25" x14ac:dyDescent="0.45">
      <c r="A198" s="11"/>
      <c r="B198" s="6"/>
      <c r="C198" s="7" t="s">
        <v>2232</v>
      </c>
      <c r="D198" s="6" t="s">
        <v>1488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1435</v>
      </c>
      <c r="C199" s="14" t="s">
        <v>43</v>
      </c>
      <c r="D199" s="15" t="s">
        <v>2233</v>
      </c>
      <c r="E199" s="16" t="s">
        <v>79</v>
      </c>
      <c r="F199" s="14" t="s">
        <v>2232</v>
      </c>
      <c r="G199" s="17"/>
      <c r="H199" s="125" t="str">
        <f>Settings!$B$3&amp;".mit.ppin.stl.drg.2"</f>
        <v>egy.mit.ppin.stl.drg.2</v>
      </c>
      <c r="I199" t="s">
        <v>2234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9.5165128333333342E-3</v>
      </c>
      <c r="R199" s="19">
        <f>IF(Mitigation_Industry!R$687&lt;=0,0,R$189/Mitigation_Industry!R$687)</f>
        <v>1.9033025666666668E-2</v>
      </c>
      <c r="S199" s="19">
        <f>IF(Mitigation_Industry!S$687&lt;=0,0,S$189/Mitigation_Industry!S$687)</f>
        <v>2.8549538499999996E-2</v>
      </c>
      <c r="T199" s="19">
        <f>IF(Mitigation_Industry!T$687&lt;=0,0,T$189/Mitigation_Industry!T$687)</f>
        <v>3.8066051333333337E-2</v>
      </c>
      <c r="U199" s="19">
        <f>IF(Mitigation_Industry!U$687&lt;=0,0,U$189/Mitigation_Industry!U$687)</f>
        <v>4.7582564166666667E-2</v>
      </c>
      <c r="V199" s="19">
        <f>IF(Mitigation_Industry!V$687&lt;=0,0,V$189/Mitigation_Industry!V$687)</f>
        <v>5.7099076999999991E-2</v>
      </c>
      <c r="W199" s="19">
        <f>IF(Mitigation_Industry!W$687&lt;=0,0,W$189/Mitigation_Industry!W$687)</f>
        <v>6.6615589833333336E-2</v>
      </c>
      <c r="X199" s="19">
        <f>IF(Mitigation_Industry!X$687&lt;=0,0,X$189/Mitigation_Industry!X$687)</f>
        <v>7.6132102666666673E-2</v>
      </c>
      <c r="Y199" s="19">
        <f>IF(Mitigation_Industry!Y$687&lt;=0,0,Y$189/Mitigation_Industry!Y$687)</f>
        <v>8.5648615500000011E-2</v>
      </c>
      <c r="Z199" s="19">
        <f>IF(Mitigation_Industry!Z$687&lt;=0,0,Z$189/Mitigation_Industry!Z$687)</f>
        <v>9.5165128333333335E-2</v>
      </c>
      <c r="AA199" s="19">
        <f>IF(Mitigation_Industry!AA$687&lt;=0,0,AA$189/Mitigation_Industry!AA$687)</f>
        <v>0.10468164116666666</v>
      </c>
      <c r="AB199" s="19">
        <f>IF(Mitigation_Industry!AB$687&lt;=0,0,AB$189/Mitigation_Industry!AB$687)</f>
        <v>0.11419815399999998</v>
      </c>
      <c r="AC199" s="19">
        <f>IF(Mitigation_Industry!AC$687&lt;=0,0,AC$189/Mitigation_Industry!AC$687)</f>
        <v>0.12371466683333333</v>
      </c>
      <c r="AD199" s="19">
        <f>IF(Mitigation_Industry!AD$687&lt;=0,0,AD$189/Mitigation_Industry!AD$687)</f>
        <v>0.13323117966666667</v>
      </c>
      <c r="AE199" s="19">
        <f>IF(Mitigation_Industry!AE$687&lt;=0,0,AE$189/Mitigation_Industry!AE$687)</f>
        <v>0.1427476925</v>
      </c>
    </row>
    <row r="200" spans="1:35" customFormat="1" ht="14.25" x14ac:dyDescent="0.45">
      <c r="B200" s="14" t="s">
        <v>1438</v>
      </c>
      <c r="C200" s="14" t="s">
        <v>43</v>
      </c>
      <c r="D200" s="15" t="s">
        <v>2235</v>
      </c>
      <c r="E200" s="16" t="s">
        <v>79</v>
      </c>
      <c r="F200" s="14" t="s">
        <v>2232</v>
      </c>
      <c r="G200" s="17"/>
      <c r="H200" s="125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8.250000000000001E-4</v>
      </c>
      <c r="R200" s="19">
        <f>IF(Mitigation_Industry!R$688&lt;=0,0,R$190/Mitigation_Industry!R$688)</f>
        <v>1.6500000000000002E-3</v>
      </c>
      <c r="S200" s="19">
        <f>IF(Mitigation_Industry!S$688&lt;=0,0,S$190/Mitigation_Industry!S$688)</f>
        <v>2.4750000000000002E-3</v>
      </c>
      <c r="T200" s="19">
        <f>IF(Mitigation_Industry!T$688&lt;=0,0,T$190/Mitigation_Industry!T$688)</f>
        <v>3.3000000000000004E-3</v>
      </c>
      <c r="U200" s="19">
        <f>IF(Mitigation_Industry!U$688&lt;=0,0,U$190/Mitigation_Industry!U$688)</f>
        <v>4.1250000000000002E-3</v>
      </c>
      <c r="V200" s="19">
        <f>IF(Mitigation_Industry!V$688&lt;=0,0,V$190/Mitigation_Industry!V$688)</f>
        <v>4.9500000000000004E-3</v>
      </c>
      <c r="W200" s="19">
        <f>IF(Mitigation_Industry!W$688&lt;=0,0,W$190/Mitigation_Industry!W$688)</f>
        <v>5.7750000000000006E-3</v>
      </c>
      <c r="X200" s="19">
        <f>IF(Mitigation_Industry!X$688&lt;=0,0,X$190/Mitigation_Industry!X$688)</f>
        <v>6.6000000000000008E-3</v>
      </c>
      <c r="Y200" s="19">
        <f>IF(Mitigation_Industry!Y$688&lt;=0,0,Y$190/Mitigation_Industry!Y$688)</f>
        <v>7.4250000000000002E-3</v>
      </c>
      <c r="Z200" s="19">
        <f>IF(Mitigation_Industry!Z$688&lt;=0,0,Z$190/Mitigation_Industry!Z$688)</f>
        <v>8.2500000000000004E-3</v>
      </c>
      <c r="AA200" s="19">
        <f>IF(Mitigation_Industry!AA$688&lt;=0,0,AA$190/Mitigation_Industry!AA$688)</f>
        <v>9.0749999999999997E-3</v>
      </c>
      <c r="AB200" s="19">
        <f>IF(Mitigation_Industry!AB$688&lt;=0,0,AB$190/Mitigation_Industry!AB$688)</f>
        <v>9.9000000000000008E-3</v>
      </c>
      <c r="AC200" s="19">
        <f>IF(Mitigation_Industry!AC$688&lt;=0,0,AC$190/Mitigation_Industry!AC$688)</f>
        <v>1.0725E-2</v>
      </c>
      <c r="AD200" s="19">
        <f>IF(Mitigation_Industry!AD$688&lt;=0,0,AD$190/Mitigation_Industry!AD$688)</f>
        <v>1.1550000000000001E-2</v>
      </c>
      <c r="AE200" s="19">
        <f>IF(Mitigation_Industry!AE$688&lt;=0,0,AE$190/Mitigation_Industry!AE$688)</f>
        <v>1.2375000000000001E-2</v>
      </c>
    </row>
    <row r="201" spans="1:35" customFormat="1" ht="14.25" x14ac:dyDescent="0.45">
      <c r="B201" s="14" t="s">
        <v>1441</v>
      </c>
      <c r="C201" s="14" t="s">
        <v>43</v>
      </c>
      <c r="D201" s="15" t="s">
        <v>2236</v>
      </c>
      <c r="E201" s="16" t="s">
        <v>79</v>
      </c>
      <c r="F201" s="14" t="s">
        <v>2232</v>
      </c>
      <c r="G201" s="17"/>
      <c r="H201" s="125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2.8729440927419352E-2</v>
      </c>
      <c r="R201" s="19">
        <f>IF(Mitigation_Industry!R$689&lt;=0,0,R$191/Mitigation_Industry!R$689)</f>
        <v>5.7458881854838703E-2</v>
      </c>
      <c r="S201" s="19">
        <f>IF(Mitigation_Industry!S$689&lt;=0,0,S$191/Mitigation_Industry!S$689)</f>
        <v>8.6188322782258048E-2</v>
      </c>
      <c r="T201" s="19">
        <f>IF(Mitigation_Industry!T$689&lt;=0,0,T$191/Mitigation_Industry!T$689)</f>
        <v>0.11491776370967741</v>
      </c>
      <c r="U201" s="19">
        <f>IF(Mitigation_Industry!U$689&lt;=0,0,U$191/Mitigation_Industry!U$689)</f>
        <v>0.14364720463709676</v>
      </c>
      <c r="V201" s="19">
        <f>IF(Mitigation_Industry!V$689&lt;=0,0,V$191/Mitigation_Industry!V$689)</f>
        <v>0.1723766455645161</v>
      </c>
      <c r="W201" s="19">
        <f>IF(Mitigation_Industry!W$689&lt;=0,0,W$191/Mitigation_Industry!W$689)</f>
        <v>0.20110608649193545</v>
      </c>
      <c r="X201" s="19">
        <f>IF(Mitigation_Industry!X$689&lt;=0,0,X$191/Mitigation_Industry!X$689)</f>
        <v>0.22983552741935481</v>
      </c>
      <c r="Y201" s="19">
        <f>IF(Mitigation_Industry!Y$689&lt;=0,0,Y$191/Mitigation_Industry!Y$689)</f>
        <v>0.25856496834677417</v>
      </c>
      <c r="Z201" s="19">
        <f>IF(Mitigation_Industry!Z$689&lt;=0,0,Z$191/Mitigation_Industry!Z$689)</f>
        <v>0.28729440927419353</v>
      </c>
      <c r="AA201" s="19">
        <f>IF(Mitigation_Industry!AA$689&lt;=0,0,AA$191/Mitigation_Industry!AA$689)</f>
        <v>0.31602385020161289</v>
      </c>
      <c r="AB201" s="19">
        <f>IF(Mitigation_Industry!AB$689&lt;=0,0,AB$191/Mitigation_Industry!AB$689)</f>
        <v>0.34475329112903219</v>
      </c>
      <c r="AC201" s="19">
        <f>IF(Mitigation_Industry!AC$689&lt;=0,0,AC$191/Mitigation_Industry!AC$689)</f>
        <v>0.37348273205645161</v>
      </c>
      <c r="AD201" s="19">
        <f>IF(Mitigation_Industry!AD$689&lt;=0,0,AD$191/Mitigation_Industry!AD$689)</f>
        <v>0.40221217298387091</v>
      </c>
      <c r="AE201" s="19">
        <f>IF(Mitigation_Industry!AE$689&lt;=0,0,AE$191/Mitigation_Industry!AE$689)</f>
        <v>0.43094161391129021</v>
      </c>
    </row>
    <row r="202" spans="1:35" customFormat="1" ht="14.25" x14ac:dyDescent="0.45">
      <c r="B202" s="14" t="s">
        <v>1444</v>
      </c>
      <c r="C202" s="14" t="s">
        <v>113</v>
      </c>
      <c r="D202" s="15" t="s">
        <v>2237</v>
      </c>
      <c r="E202" s="16" t="s">
        <v>79</v>
      </c>
      <c r="F202" s="14" t="s">
        <v>2232</v>
      </c>
      <c r="G202" s="17"/>
      <c r="H202" s="125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3.5632784090909086E-2</v>
      </c>
      <c r="R202" s="19">
        <f>IF(Mitigation_Industry!R$690&lt;=0,0,R$192/Mitigation_Industry!R$690)</f>
        <v>7.1265568181818173E-2</v>
      </c>
      <c r="S202" s="19">
        <f>IF(Mitigation_Industry!S$690&lt;=0,0,S$192/Mitigation_Industry!S$690)</f>
        <v>0.10689835227272727</v>
      </c>
      <c r="T202" s="19">
        <f>IF(Mitigation_Industry!T$690&lt;=0,0,T$192/Mitigation_Industry!T$690)</f>
        <v>0.14253113636363635</v>
      </c>
      <c r="U202" s="19">
        <f>IF(Mitigation_Industry!U$690&lt;=0,0,U$192/Mitigation_Industry!U$690)</f>
        <v>0.17816392045454543</v>
      </c>
      <c r="V202" s="19">
        <f>IF(Mitigation_Industry!V$690&lt;=0,0,V$192/Mitigation_Industry!V$690)</f>
        <v>0.21379670454545455</v>
      </c>
      <c r="W202" s="19">
        <f>IF(Mitigation_Industry!W$690&lt;=0,0,W$192/Mitigation_Industry!W$690)</f>
        <v>0.24942948863636361</v>
      </c>
      <c r="X202" s="19">
        <f>IF(Mitigation_Industry!X$690&lt;=0,0,X$192/Mitigation_Industry!X$690)</f>
        <v>0.28506227272727269</v>
      </c>
      <c r="Y202" s="19">
        <f>IF(Mitigation_Industry!Y$690&lt;=0,0,Y$192/Mitigation_Industry!Y$690)</f>
        <v>0.32069505681818178</v>
      </c>
      <c r="Z202" s="19">
        <f>IF(Mitigation_Industry!Z$690&lt;=0,0,Z$192/Mitigation_Industry!Z$690)</f>
        <v>0.35632784090909086</v>
      </c>
      <c r="AA202" s="19">
        <f>IF(Mitigation_Industry!AA$690&lt;=0,0,AA$192/Mitigation_Industry!AA$690)</f>
        <v>0.39196062499999995</v>
      </c>
      <c r="AB202" s="19">
        <f>IF(Mitigation_Industry!AB$690&lt;=0,0,AB$192/Mitigation_Industry!AB$690)</f>
        <v>0.42759340909090909</v>
      </c>
      <c r="AC202" s="19">
        <f>IF(Mitigation_Industry!AC$690&lt;=0,0,AC$192/Mitigation_Industry!AC$690)</f>
        <v>0.46322619318181812</v>
      </c>
      <c r="AD202" s="19">
        <f>IF(Mitigation_Industry!AD$690&lt;=0,0,AD$192/Mitigation_Industry!AD$690)</f>
        <v>0.49885897727272721</v>
      </c>
      <c r="AE202" s="19">
        <f>IF(Mitigation_Industry!AE$690&lt;=0,0,AE$192/Mitigation_Industry!AE$690)</f>
        <v>0.5344917613636363</v>
      </c>
    </row>
    <row r="203" spans="1:35" customFormat="1" ht="14.25" x14ac:dyDescent="0.45">
      <c r="B203" s="14" t="s">
        <v>1447</v>
      </c>
      <c r="C203" s="14" t="s">
        <v>117</v>
      </c>
      <c r="D203" s="15" t="s">
        <v>2238</v>
      </c>
      <c r="E203" s="16" t="s">
        <v>79</v>
      </c>
      <c r="F203" s="14" t="s">
        <v>2232</v>
      </c>
      <c r="G203" s="17"/>
      <c r="H203" s="125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5.4853333333333337E-2</v>
      </c>
      <c r="R203" s="19">
        <f>IF(Mitigation_Industry!R$691&lt;=0,0,R$193/Mitigation_Industry!R$691)</f>
        <v>0.10970666666666667</v>
      </c>
      <c r="S203" s="19">
        <f>IF(Mitigation_Industry!S$691&lt;=0,0,S$193/Mitigation_Industry!S$691)</f>
        <v>0.16456000000000001</v>
      </c>
      <c r="T203" s="19">
        <f>IF(Mitigation_Industry!T$691&lt;=0,0,T$193/Mitigation_Industry!T$691)</f>
        <v>0.21941333333333335</v>
      </c>
      <c r="U203" s="19">
        <f>IF(Mitigation_Industry!U$691&lt;=0,0,U$193/Mitigation_Industry!U$691)</f>
        <v>0.27426666666666666</v>
      </c>
      <c r="V203" s="19">
        <f>IF(Mitigation_Industry!V$691&lt;=0,0,V$193/Mitigation_Industry!V$691)</f>
        <v>0.32912000000000002</v>
      </c>
      <c r="W203" s="19">
        <f>IF(Mitigation_Industry!W$691&lt;=0,0,W$193/Mitigation_Industry!W$691)</f>
        <v>0.38397333333333333</v>
      </c>
      <c r="X203" s="19">
        <f>IF(Mitigation_Industry!X$691&lt;=0,0,X$193/Mitigation_Industry!X$691)</f>
        <v>0.4388266666666667</v>
      </c>
      <c r="Y203" s="19">
        <f>IF(Mitigation_Industry!Y$691&lt;=0,0,Y$193/Mitigation_Industry!Y$691)</f>
        <v>0.49368000000000001</v>
      </c>
      <c r="Z203" s="19">
        <f>IF(Mitigation_Industry!Z$691&lt;=0,0,Z$193/Mitigation_Industry!Z$691)</f>
        <v>0.54853333333333332</v>
      </c>
      <c r="AA203" s="19">
        <f>IF(Mitigation_Industry!AA$691&lt;=0,0,AA$193/Mitigation_Industry!AA$691)</f>
        <v>0.60338666666666663</v>
      </c>
      <c r="AB203" s="19">
        <f>IF(Mitigation_Industry!AB$691&lt;=0,0,AB$193/Mitigation_Industry!AB$691)</f>
        <v>0.65824000000000005</v>
      </c>
      <c r="AC203" s="19">
        <f>IF(Mitigation_Industry!AC$691&lt;=0,0,AC$193/Mitigation_Industry!AC$691)</f>
        <v>0.71309333333333336</v>
      </c>
      <c r="AD203" s="19">
        <f>IF(Mitigation_Industry!AD$691&lt;=0,0,AD$193/Mitigation_Industry!AD$691)</f>
        <v>0.76794666666666667</v>
      </c>
      <c r="AE203" s="19">
        <f>IF(Mitigation_Industry!AE$691&lt;=0,0,AE$193/Mitigation_Industry!AE$691)</f>
        <v>0.82279999999999998</v>
      </c>
    </row>
    <row r="204" spans="1:35" customFormat="1" ht="14.25" x14ac:dyDescent="0.45">
      <c r="B204" s="14" t="s">
        <v>1450</v>
      </c>
      <c r="C204" s="14" t="s">
        <v>117</v>
      </c>
      <c r="D204" s="15" t="s">
        <v>2239</v>
      </c>
      <c r="E204" s="16" t="s">
        <v>79</v>
      </c>
      <c r="F204" s="14" t="s">
        <v>2232</v>
      </c>
      <c r="G204" s="17"/>
      <c r="H204" s="125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1453</v>
      </c>
      <c r="C205" s="14" t="s">
        <v>117</v>
      </c>
      <c r="D205" s="15" t="s">
        <v>2240</v>
      </c>
      <c r="E205" s="16" t="s">
        <v>79</v>
      </c>
      <c r="F205" s="14" t="s">
        <v>2232</v>
      </c>
      <c r="G205" s="17"/>
      <c r="H205" s="125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1456</v>
      </c>
      <c r="C206" s="14" t="s">
        <v>115</v>
      </c>
      <c r="D206" s="15" t="s">
        <v>2241</v>
      </c>
      <c r="E206" s="16" t="s">
        <v>79</v>
      </c>
      <c r="F206" s="14" t="s">
        <v>2232</v>
      </c>
      <c r="G206" s="17"/>
      <c r="H206" s="125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6.4281250000000005E-4</v>
      </c>
      <c r="R206" s="19">
        <f>IF(Mitigation_Industry!R$694&lt;=0,0,R$196/Mitigation_Industry!R$694)</f>
        <v>1.2856250000000001E-3</v>
      </c>
      <c r="S206" s="19">
        <f>IF(Mitigation_Industry!S$694&lt;=0,0,S$196/Mitigation_Industry!S$694)</f>
        <v>1.9284375000000002E-3</v>
      </c>
      <c r="T206" s="19">
        <f>IF(Mitigation_Industry!T$694&lt;=0,0,T$196/Mitigation_Industry!T$694)</f>
        <v>2.5712500000000002E-3</v>
      </c>
      <c r="U206" s="19">
        <f>IF(Mitigation_Industry!U$694&lt;=0,0,U$196/Mitigation_Industry!U$694)</f>
        <v>3.2140624999999999E-3</v>
      </c>
      <c r="V206" s="19">
        <f>IF(Mitigation_Industry!V$694&lt;=0,0,V$196/Mitigation_Industry!V$694)</f>
        <v>3.8568750000000005E-3</v>
      </c>
      <c r="W206" s="19">
        <f>IF(Mitigation_Industry!W$694&lt;=0,0,W$196/Mitigation_Industry!W$694)</f>
        <v>4.4996875000000002E-3</v>
      </c>
      <c r="X206" s="19">
        <f>IF(Mitigation_Industry!X$694&lt;=0,0,X$196/Mitigation_Industry!X$694)</f>
        <v>5.1425000000000004E-3</v>
      </c>
      <c r="Y206" s="19">
        <f>IF(Mitigation_Industry!Y$694&lt;=0,0,Y$196/Mitigation_Industry!Y$694)</f>
        <v>5.7853125000000005E-3</v>
      </c>
      <c r="Z206" s="19">
        <f>IF(Mitigation_Industry!Z$694&lt;=0,0,Z$196/Mitigation_Industry!Z$694)</f>
        <v>6.4281249999999998E-3</v>
      </c>
      <c r="AA206" s="19">
        <f>IF(Mitigation_Industry!AA$694&lt;=0,0,AA$196/Mitigation_Industry!AA$694)</f>
        <v>7.0709375E-3</v>
      </c>
      <c r="AB206" s="19">
        <f>IF(Mitigation_Industry!AB$694&lt;=0,0,AB$196/Mitigation_Industry!AB$694)</f>
        <v>7.713750000000001E-3</v>
      </c>
      <c r="AC206" s="19">
        <f>IF(Mitigation_Industry!AC$694&lt;=0,0,AC$196/Mitigation_Industry!AC$694)</f>
        <v>8.3565624999999994E-3</v>
      </c>
      <c r="AD206" s="19">
        <f>IF(Mitigation_Industry!AD$694&lt;=0,0,AD$196/Mitigation_Industry!AD$694)</f>
        <v>8.9993750000000004E-3</v>
      </c>
      <c r="AE206" s="19">
        <f>IF(Mitigation_Industry!AE$694&lt;=0,0,AE$196/Mitigation_Industry!AE$694)</f>
        <v>9.6421874999999997E-3</v>
      </c>
    </row>
    <row r="208" spans="1:35" customFormat="1" ht="14.25" x14ac:dyDescent="0.45">
      <c r="A208" s="11"/>
      <c r="B208" s="6"/>
      <c r="C208" s="7" t="s">
        <v>2242</v>
      </c>
      <c r="D208" s="6" t="s">
        <v>1488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1435</v>
      </c>
      <c r="C209" s="14" t="s">
        <v>43</v>
      </c>
      <c r="D209" s="15" t="s">
        <v>2243</v>
      </c>
      <c r="E209" s="16" t="s">
        <v>1854</v>
      </c>
      <c r="F209" s="14" t="s">
        <v>2242</v>
      </c>
      <c r="G209" s="17"/>
      <c r="H209" s="125" t="str">
        <f>Settings!$B$3&amp;".mit.obr.stl.drg.2"</f>
        <v>egy.mit.obr.stl.drg.2</v>
      </c>
      <c r="I209" t="s">
        <v>2244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1438</v>
      </c>
      <c r="C210" s="14" t="s">
        <v>43</v>
      </c>
      <c r="D210" s="15" t="s">
        <v>2245</v>
      </c>
      <c r="E210" s="16" t="s">
        <v>1854</v>
      </c>
      <c r="F210" s="14" t="s">
        <v>2242</v>
      </c>
      <c r="G210" s="17"/>
      <c r="H210" s="125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1441</v>
      </c>
      <c r="C211" s="14" t="s">
        <v>43</v>
      </c>
      <c r="D211" s="15" t="s">
        <v>2246</v>
      </c>
      <c r="E211" s="16" t="s">
        <v>1854</v>
      </c>
      <c r="F211" s="14" t="s">
        <v>2242</v>
      </c>
      <c r="G211" s="17"/>
      <c r="H211" s="125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1444</v>
      </c>
      <c r="C212" s="14" t="s">
        <v>113</v>
      </c>
      <c r="D212" s="15" t="s">
        <v>2247</v>
      </c>
      <c r="E212" s="16" t="s">
        <v>1854</v>
      </c>
      <c r="F212" s="14" t="s">
        <v>2242</v>
      </c>
      <c r="G212" s="17"/>
      <c r="H212" s="125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1447</v>
      </c>
      <c r="C213" s="14" t="s">
        <v>117</v>
      </c>
      <c r="D213" s="15" t="s">
        <v>2248</v>
      </c>
      <c r="E213" s="16" t="s">
        <v>1854</v>
      </c>
      <c r="F213" s="14" t="s">
        <v>2242</v>
      </c>
      <c r="G213" s="17"/>
      <c r="H213" s="125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1450</v>
      </c>
      <c r="C214" s="14" t="s">
        <v>117</v>
      </c>
      <c r="D214" s="15" t="s">
        <v>2249</v>
      </c>
      <c r="E214" s="16" t="s">
        <v>1854</v>
      </c>
      <c r="F214" s="14" t="s">
        <v>2242</v>
      </c>
      <c r="G214" s="17"/>
      <c r="H214" s="125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1453</v>
      </c>
      <c r="C215" s="14" t="s">
        <v>117</v>
      </c>
      <c r="D215" s="15" t="s">
        <v>2250</v>
      </c>
      <c r="E215" s="16" t="s">
        <v>1854</v>
      </c>
      <c r="F215" s="14" t="s">
        <v>2242</v>
      </c>
      <c r="G215" s="17"/>
      <c r="H215" s="125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1456</v>
      </c>
      <c r="C216" s="14" t="s">
        <v>115</v>
      </c>
      <c r="D216" s="15" t="s">
        <v>2251</v>
      </c>
      <c r="E216" s="16" t="s">
        <v>1854</v>
      </c>
      <c r="F216" s="14" t="s">
        <v>2242</v>
      </c>
      <c r="G216" s="17"/>
      <c r="H216" s="125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2252</v>
      </c>
      <c r="E217" s="16" t="s">
        <v>1854</v>
      </c>
      <c r="F217" s="14" t="s">
        <v>2242</v>
      </c>
      <c r="H217" s="125" t="str">
        <f>Settings!$B$3&amp;".mit.obr.cbam.tot.2"</f>
        <v>egy.mit.obr.cbam.tot.2</v>
      </c>
      <c r="L217" s="127">
        <f t="shared" ref="L217:AE217" si="59">SUM(L209:L216)</f>
        <v>0</v>
      </c>
      <c r="M217" s="127">
        <f t="shared" si="59"/>
        <v>0</v>
      </c>
      <c r="N217" s="127">
        <f t="shared" si="59"/>
        <v>0</v>
      </c>
      <c r="O217" s="127">
        <f t="shared" si="59"/>
        <v>0</v>
      </c>
      <c r="P217" s="127">
        <f t="shared" si="59"/>
        <v>0</v>
      </c>
      <c r="Q217" s="127">
        <f t="shared" si="59"/>
        <v>0</v>
      </c>
      <c r="R217" s="127">
        <f t="shared" si="59"/>
        <v>0</v>
      </c>
      <c r="S217" s="127">
        <f t="shared" si="59"/>
        <v>0</v>
      </c>
      <c r="T217" s="127">
        <f t="shared" si="59"/>
        <v>0</v>
      </c>
      <c r="U217" s="127">
        <f t="shared" si="59"/>
        <v>0</v>
      </c>
      <c r="V217" s="127">
        <f t="shared" si="59"/>
        <v>0</v>
      </c>
      <c r="W217" s="127">
        <f t="shared" si="59"/>
        <v>0</v>
      </c>
      <c r="X217" s="127">
        <f t="shared" si="59"/>
        <v>0</v>
      </c>
      <c r="Y217" s="127">
        <f t="shared" si="59"/>
        <v>0</v>
      </c>
      <c r="Z217" s="127">
        <f t="shared" si="59"/>
        <v>0</v>
      </c>
      <c r="AA217" s="127">
        <f t="shared" si="59"/>
        <v>0</v>
      </c>
      <c r="AB217" s="127">
        <f t="shared" si="59"/>
        <v>0</v>
      </c>
      <c r="AC217" s="127">
        <f t="shared" si="59"/>
        <v>0</v>
      </c>
      <c r="AD217" s="127">
        <f t="shared" si="59"/>
        <v>0</v>
      </c>
      <c r="AE217" s="127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1488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2253</v>
      </c>
      <c r="E220" s="16" t="s">
        <v>1854</v>
      </c>
      <c r="F220" s="14" t="s">
        <v>2242</v>
      </c>
      <c r="H220" s="125" t="str">
        <f>Settings!$B$3&amp;".mit.obr.ind.irn.2"</f>
        <v>egy.mit.obr.ind.irn.2</v>
      </c>
      <c r="I220" t="s">
        <v>2254</v>
      </c>
      <c r="L220" s="127">
        <f t="shared" ref="L220:AE220" si="60">L$209+L$210+L$211</f>
        <v>0</v>
      </c>
      <c r="M220" s="127">
        <f t="shared" si="60"/>
        <v>0</v>
      </c>
      <c r="N220" s="127">
        <f t="shared" si="60"/>
        <v>0</v>
      </c>
      <c r="O220" s="127">
        <f t="shared" si="60"/>
        <v>0</v>
      </c>
      <c r="P220" s="127">
        <f t="shared" si="60"/>
        <v>0</v>
      </c>
      <c r="Q220" s="127">
        <f t="shared" si="60"/>
        <v>0</v>
      </c>
      <c r="R220" s="127">
        <f t="shared" si="60"/>
        <v>0</v>
      </c>
      <c r="S220" s="127">
        <f t="shared" si="60"/>
        <v>0</v>
      </c>
      <c r="T220" s="127">
        <f t="shared" si="60"/>
        <v>0</v>
      </c>
      <c r="U220" s="127">
        <f t="shared" si="60"/>
        <v>0</v>
      </c>
      <c r="V220" s="127">
        <f t="shared" si="60"/>
        <v>0</v>
      </c>
      <c r="W220" s="127">
        <f t="shared" si="60"/>
        <v>0</v>
      </c>
      <c r="X220" s="127">
        <f t="shared" si="60"/>
        <v>0</v>
      </c>
      <c r="Y220" s="127">
        <f t="shared" si="60"/>
        <v>0</v>
      </c>
      <c r="Z220" s="127">
        <f t="shared" si="60"/>
        <v>0</v>
      </c>
      <c r="AA220" s="127">
        <f t="shared" si="60"/>
        <v>0</v>
      </c>
      <c r="AB220" s="127">
        <f t="shared" si="60"/>
        <v>0</v>
      </c>
      <c r="AC220" s="127">
        <f t="shared" si="60"/>
        <v>0</v>
      </c>
      <c r="AD220" s="127">
        <f t="shared" si="60"/>
        <v>0</v>
      </c>
      <c r="AE220" s="127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2255</v>
      </c>
      <c r="E221" s="16" t="s">
        <v>1854</v>
      </c>
      <c r="F221" s="14" t="s">
        <v>2256</v>
      </c>
      <c r="H221" s="125" t="str">
        <f>Settings!$B$3&amp;".mit.ccf.ind.irn.2"</f>
        <v>egy.mit.ccf.ind.irn.2</v>
      </c>
      <c r="L221" s="127">
        <f>L$159*Mitigation_Industry!L$675/1000+L$160*Mitigation_Industry!L$676/1000+L$161*Mitigation_Industry!L$677/1000</f>
        <v>0</v>
      </c>
      <c r="M221" s="127">
        <f>M$159*Mitigation_Industry!M$675/1000+M$160*Mitigation_Industry!M$676/1000+M$161*Mitigation_Industry!M$677/1000</f>
        <v>0</v>
      </c>
      <c r="N221" s="127">
        <f>N$159*Mitigation_Industry!N$675/1000+N$160*Mitigation_Industry!N$676/1000+N$161*Mitigation_Industry!N$677/1000</f>
        <v>0</v>
      </c>
      <c r="O221" s="127">
        <f>O$159*Mitigation_Industry!O$675/1000+O$160*Mitigation_Industry!O$676/1000+O$161*Mitigation_Industry!O$677/1000</f>
        <v>0</v>
      </c>
      <c r="P221" s="127">
        <f>P$159*Mitigation_Industry!P$675/1000+P$160*Mitigation_Industry!P$676/1000+P$161*Mitigation_Industry!P$677/1000</f>
        <v>0</v>
      </c>
      <c r="Q221" s="127">
        <f>Q$159*Mitigation_Industry!Q$675/1000+Q$160*Mitigation_Industry!Q$676/1000+Q$161*Mitigation_Industry!Q$677/1000</f>
        <v>44.484183479382082</v>
      </c>
      <c r="R221" s="127">
        <f>R$159*Mitigation_Industry!R$675/1000+R$160*Mitigation_Industry!R$676/1000+R$161*Mitigation_Industry!R$677/1000</f>
        <v>92.882975104949779</v>
      </c>
      <c r="S221" s="127">
        <f>S$159*Mitigation_Industry!S$675/1000+S$160*Mitigation_Industry!S$676/1000+S$161*Mitigation_Industry!S$677/1000</f>
        <v>145.45473901435133</v>
      </c>
      <c r="T221" s="127">
        <f>T$159*Mitigation_Industry!T$675/1000+T$160*Mitigation_Industry!T$676/1000+T$161*Mitigation_Industry!T$677/1000</f>
        <v>202.4729967079771</v>
      </c>
      <c r="U221" s="127">
        <f>U$159*Mitigation_Industry!U$675/1000+U$160*Mitigation_Industry!U$676/1000+U$161*Mitigation_Industry!U$677/1000</f>
        <v>264.22726070391013</v>
      </c>
      <c r="V221" s="127">
        <f>V$159*Mitigation_Industry!V$675/1000+V$160*Mitigation_Industry!V$676/1000+V$161*Mitigation_Industry!V$677/1000</f>
        <v>331.02391220985851</v>
      </c>
      <c r="W221" s="127">
        <f>W$159*Mitigation_Industry!W$675/1000+W$160*Mitigation_Industry!W$676/1000+W$161*Mitigation_Industry!W$677/1000</f>
        <v>403.18712507160774</v>
      </c>
      <c r="X221" s="127">
        <f>X$159*Mitigation_Industry!X$675/1000+X$160*Mitigation_Industry!X$676/1000+X$161*Mitigation_Industry!X$677/1000</f>
        <v>481.05983837115264</v>
      </c>
      <c r="Y221" s="127">
        <f>Y$159*Mitigation_Industry!Y$675/1000+Y$160*Mitigation_Industry!Y$676/1000+Y$161*Mitigation_Industry!Y$677/1000</f>
        <v>565.00478016691886</v>
      </c>
      <c r="Z221" s="127">
        <f>Z$159*Mitigation_Industry!Z$675/1000+Z$160*Mitigation_Industry!Z$676/1000+Z$161*Mitigation_Industry!Z$677/1000</f>
        <v>655.40554499362565</v>
      </c>
      <c r="AA221" s="127">
        <f>AA$159*Mitigation_Industry!AA$675/1000+AA$160*Mitigation_Industry!AA$676/1000+AA$161*Mitigation_Industry!AA$677/1000</f>
        <v>752.66772787067964</v>
      </c>
      <c r="AB221" s="127">
        <f>AB$159*Mitigation_Industry!AB$675/1000+AB$160*Mitigation_Industry!AB$676/1000+AB$161*Mitigation_Industry!AB$677/1000</f>
        <v>857.22011770580696</v>
      </c>
      <c r="AC221" s="127">
        <f>AC$159*Mitigation_Industry!AC$675/1000+AC$160*Mitigation_Industry!AC$676/1000+AC$161*Mitigation_Industry!AC$677/1000</f>
        <v>969.51595312526786</v>
      </c>
      <c r="AD221" s="127">
        <f>AD$159*Mitigation_Industry!AD$675/1000+AD$160*Mitigation_Industry!AD$676/1000+AD$161*Mitigation_Industry!AD$677/1000</f>
        <v>1090.0342439137623</v>
      </c>
      <c r="AE221" s="127">
        <f>AE$159*Mitigation_Industry!AE$675/1000+AE$160*Mitigation_Industry!AE$676/1000+AE$161*Mitigation_Industry!AE$677/1000</f>
        <v>1219.2811614063942</v>
      </c>
    </row>
    <row r="222" spans="1:35" customFormat="1" ht="14.25" x14ac:dyDescent="0.45">
      <c r="B222" s="14" t="s">
        <v>110</v>
      </c>
      <c r="C222" s="14" t="s">
        <v>43</v>
      </c>
      <c r="D222" s="25" t="s">
        <v>2257</v>
      </c>
      <c r="E222" s="16" t="s">
        <v>79</v>
      </c>
      <c r="F222" s="14" t="s">
        <v>2258</v>
      </c>
      <c r="H222" s="125" t="str">
        <f>Settings!$B$3&amp;".mit.rsh.ind.irn.2"</f>
        <v>egy.mit.rsh.ind.irn.2</v>
      </c>
      <c r="I222" t="s">
        <v>2259</v>
      </c>
      <c r="L222" s="127">
        <f t="shared" ref="L222:AE222" si="61">IF(L$221&lt;=0,0,MIN(1,L$220/L$221))</f>
        <v>0</v>
      </c>
      <c r="M222" s="127">
        <f t="shared" si="61"/>
        <v>0</v>
      </c>
      <c r="N222" s="127">
        <f t="shared" si="61"/>
        <v>0</v>
      </c>
      <c r="O222" s="127">
        <f t="shared" si="61"/>
        <v>0</v>
      </c>
      <c r="P222" s="127">
        <f t="shared" si="61"/>
        <v>0</v>
      </c>
      <c r="Q222" s="127">
        <f t="shared" si="61"/>
        <v>0</v>
      </c>
      <c r="R222" s="127">
        <f t="shared" si="61"/>
        <v>0</v>
      </c>
      <c r="S222" s="127">
        <f t="shared" si="61"/>
        <v>0</v>
      </c>
      <c r="T222" s="127">
        <f t="shared" si="61"/>
        <v>0</v>
      </c>
      <c r="U222" s="127">
        <f t="shared" si="61"/>
        <v>0</v>
      </c>
      <c r="V222" s="127">
        <f t="shared" si="61"/>
        <v>0</v>
      </c>
      <c r="W222" s="127">
        <f t="shared" si="61"/>
        <v>0</v>
      </c>
      <c r="X222" s="127">
        <f t="shared" si="61"/>
        <v>0</v>
      </c>
      <c r="Y222" s="127">
        <f t="shared" si="61"/>
        <v>0</v>
      </c>
      <c r="Z222" s="127">
        <f t="shared" si="61"/>
        <v>0</v>
      </c>
      <c r="AA222" s="127">
        <f t="shared" si="61"/>
        <v>0</v>
      </c>
      <c r="AB222" s="127">
        <f t="shared" si="61"/>
        <v>0</v>
      </c>
      <c r="AC222" s="127">
        <f t="shared" si="61"/>
        <v>0</v>
      </c>
      <c r="AD222" s="127">
        <f t="shared" si="61"/>
        <v>0</v>
      </c>
      <c r="AE222" s="127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2260</v>
      </c>
      <c r="E223" s="16" t="s">
        <v>51</v>
      </c>
      <c r="F223" s="14" t="s">
        <v>2261</v>
      </c>
      <c r="G223" s="17"/>
      <c r="H223" s="125" t="str">
        <f>Settings!$B$3&amp;".mit.atpn.irn.coa.e.2"</f>
        <v>egy.mit.atpn.irn.coa.e.2</v>
      </c>
      <c r="I223" t="s">
        <v>2318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2263</v>
      </c>
      <c r="E224" s="16" t="s">
        <v>51</v>
      </c>
      <c r="F224" s="14" t="s">
        <v>2261</v>
      </c>
      <c r="G224" s="17"/>
      <c r="H224" s="125" t="str">
        <f>Settings!$B$3&amp;".mit.atpn.irn.nga.e.2"</f>
        <v>egy.mit.atpn.irn.nga.e.2</v>
      </c>
      <c r="I224" t="s">
        <v>2319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2265</v>
      </c>
      <c r="E225" s="16" t="s">
        <v>57</v>
      </c>
      <c r="F225" s="14" t="s">
        <v>2261</v>
      </c>
      <c r="G225" s="17"/>
      <c r="H225" s="125" t="str">
        <f>Settings!$B$3&amp;".mit.atpn.irn.gso.e.2"</f>
        <v>egy.mit.atpn.irn.gso.e.2</v>
      </c>
      <c r="I225" t="s">
        <v>2320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2267</v>
      </c>
      <c r="E226" s="16" t="s">
        <v>57</v>
      </c>
      <c r="F226" s="14" t="s">
        <v>2261</v>
      </c>
      <c r="G226" s="17"/>
      <c r="H226" s="125" t="str">
        <f>Settings!$B$3&amp;".mit.atpn.irn.die.e.2"</f>
        <v>egy.mit.atpn.irn.die.e.2</v>
      </c>
      <c r="I226" t="s">
        <v>2321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2269</v>
      </c>
      <c r="E227" s="16" t="s">
        <v>57</v>
      </c>
      <c r="F227" s="14" t="s">
        <v>2261</v>
      </c>
      <c r="G227" s="17"/>
      <c r="H227" s="125" t="str">
        <f>Settings!$B$3&amp;".mit.atpn.irn.lpg.e.2"</f>
        <v>egy.mit.atpn.irn.lpg.e.2</v>
      </c>
      <c r="I227" t="s">
        <v>2322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2271</v>
      </c>
      <c r="E228" s="16" t="s">
        <v>57</v>
      </c>
      <c r="F228" s="14" t="s">
        <v>2261</v>
      </c>
      <c r="G228" s="17"/>
      <c r="H228" s="125" t="str">
        <f>Settings!$B$3&amp;".mit.atpn.irn.ker.e.2"</f>
        <v>egy.mit.atpn.irn.ker.e.2</v>
      </c>
      <c r="I228" t="s">
        <v>2323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2273</v>
      </c>
      <c r="E229" s="16" t="s">
        <v>66</v>
      </c>
      <c r="F229" s="14" t="s">
        <v>2261</v>
      </c>
      <c r="G229" s="17"/>
      <c r="H229" s="125" t="str">
        <f>Settings!$B$3&amp;".mit.atpn.irn.oop.e.2"</f>
        <v>egy.mit.atpn.irn.oop.e.2</v>
      </c>
      <c r="I229" t="s">
        <v>2324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2275</v>
      </c>
      <c r="E230" s="16" t="s">
        <v>51</v>
      </c>
      <c r="F230" s="14" t="s">
        <v>2261</v>
      </c>
      <c r="G230" s="17"/>
      <c r="H230" s="125" t="str">
        <f>Settings!$B$3&amp;".mit.atpn.irn.bio.e.2"</f>
        <v>egy.mit.atpn.irn.bio.e.2</v>
      </c>
      <c r="I230" t="s">
        <v>2325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2277</v>
      </c>
      <c r="E231" s="16" t="s">
        <v>71</v>
      </c>
      <c r="F231" s="14" t="s">
        <v>2261</v>
      </c>
      <c r="G231" s="17"/>
      <c r="H231" s="125" t="str">
        <f>Settings!$B$3&amp;".mit.atpn.irn.ren.e.2"</f>
        <v>egy.mit.atpn.irn.ren.e.2</v>
      </c>
      <c r="I231" t="s">
        <v>2326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2253</v>
      </c>
      <c r="E234" s="16" t="s">
        <v>1854</v>
      </c>
      <c r="F234" s="14" t="s">
        <v>2242</v>
      </c>
      <c r="H234" s="125" t="str">
        <f>Settings!$B$3&amp;".mit.obr.ind.cem.2"</f>
        <v>egy.mit.obr.ind.cem.2</v>
      </c>
      <c r="I234" t="s">
        <v>2279</v>
      </c>
      <c r="L234" s="127">
        <f t="shared" ref="L234:AE234" si="62">L$212</f>
        <v>0</v>
      </c>
      <c r="M234" s="127">
        <f t="shared" si="62"/>
        <v>0</v>
      </c>
      <c r="N234" s="127">
        <f t="shared" si="62"/>
        <v>0</v>
      </c>
      <c r="O234" s="127">
        <f t="shared" si="62"/>
        <v>0</v>
      </c>
      <c r="P234" s="127">
        <f t="shared" si="62"/>
        <v>0</v>
      </c>
      <c r="Q234" s="127">
        <f t="shared" si="62"/>
        <v>0</v>
      </c>
      <c r="R234" s="127">
        <f t="shared" si="62"/>
        <v>0</v>
      </c>
      <c r="S234" s="127">
        <f t="shared" si="62"/>
        <v>0</v>
      </c>
      <c r="T234" s="127">
        <f t="shared" si="62"/>
        <v>0</v>
      </c>
      <c r="U234" s="127">
        <f t="shared" si="62"/>
        <v>0</v>
      </c>
      <c r="V234" s="127">
        <f t="shared" si="62"/>
        <v>0</v>
      </c>
      <c r="W234" s="127">
        <f t="shared" si="62"/>
        <v>0</v>
      </c>
      <c r="X234" s="127">
        <f t="shared" si="62"/>
        <v>0</v>
      </c>
      <c r="Y234" s="127">
        <f t="shared" si="62"/>
        <v>0</v>
      </c>
      <c r="Z234" s="127">
        <f t="shared" si="62"/>
        <v>0</v>
      </c>
      <c r="AA234" s="127">
        <f t="shared" si="62"/>
        <v>0</v>
      </c>
      <c r="AB234" s="127">
        <f t="shared" si="62"/>
        <v>0</v>
      </c>
      <c r="AC234" s="127">
        <f t="shared" si="62"/>
        <v>0</v>
      </c>
      <c r="AD234" s="127">
        <f t="shared" si="62"/>
        <v>0</v>
      </c>
      <c r="AE234" s="127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2255</v>
      </c>
      <c r="E235" s="16" t="s">
        <v>1854</v>
      </c>
      <c r="F235" s="14" t="s">
        <v>2256</v>
      </c>
      <c r="H235" s="125" t="str">
        <f>Settings!$B$3&amp;".mit.ccf.ind.cem.2"</f>
        <v>egy.mit.ccf.ind.cem.2</v>
      </c>
      <c r="L235" s="127">
        <f>L$162*Mitigation_Industry!L$678/1000</f>
        <v>0</v>
      </c>
      <c r="M235" s="127">
        <f>M$162*Mitigation_Industry!M$678/1000</f>
        <v>0</v>
      </c>
      <c r="N235" s="127">
        <f>N$162*Mitigation_Industry!N$678/1000</f>
        <v>0</v>
      </c>
      <c r="O235" s="127">
        <f>O$162*Mitigation_Industry!O$678/1000</f>
        <v>0</v>
      </c>
      <c r="P235" s="127">
        <f>P$162*Mitigation_Industry!P$678/1000</f>
        <v>0</v>
      </c>
      <c r="Q235" s="127">
        <f>Q$162*Mitigation_Industry!Q$678/1000</f>
        <v>216.02967406292771</v>
      </c>
      <c r="R235" s="127">
        <f>R$162*Mitigation_Industry!R$678/1000</f>
        <v>446.31730661400866</v>
      </c>
      <c r="S235" s="127">
        <f>S$162*Mitigation_Industry!S$678/1000</f>
        <v>691.56866659840637</v>
      </c>
      <c r="T235" s="127">
        <f>T$162*Mitigation_Industry!T$678/1000</f>
        <v>952.52057679487154</v>
      </c>
      <c r="U235" s="127">
        <f>U$162*Mitigation_Industry!U$678/1000</f>
        <v>1229.9421947863777</v>
      </c>
      <c r="V235" s="127">
        <f>V$162*Mitigation_Industry!V$678/1000</f>
        <v>1524.6363446571936</v>
      </c>
      <c r="W235" s="127">
        <f>W$162*Mitigation_Industry!W$678/1000</f>
        <v>1837.440901369361</v>
      </c>
      <c r="X235" s="127">
        <f>X$162*Mitigation_Industry!X$678/1000</f>
        <v>2169.2302298451991</v>
      </c>
      <c r="Y235" s="127">
        <f>Y$162*Mitigation_Industry!Y$678/1000</f>
        <v>2520.9166808588525</v>
      </c>
      <c r="Z235" s="127">
        <f>Z$162*Mitigation_Industry!Z$678/1000</f>
        <v>2893.4521459191046</v>
      </c>
      <c r="AA235" s="127">
        <f>AA$162*Mitigation_Industry!AA$678/1000</f>
        <v>3287.8296734078785</v>
      </c>
      <c r="AB235" s="127">
        <f>AB$162*Mitigation_Industry!AB$678/1000</f>
        <v>3705.0851483240049</v>
      </c>
      <c r="AC235" s="127">
        <f>AC$162*Mitigation_Industry!AC$678/1000</f>
        <v>4146.299038070254</v>
      </c>
      <c r="AD235" s="127">
        <f>AD$162*Mitigation_Industry!AD$678/1000</f>
        <v>4612.5982068132316</v>
      </c>
      <c r="AE235" s="127">
        <f>AE$162*Mitigation_Industry!AE$678/1000</f>
        <v>5105.1578010407875</v>
      </c>
    </row>
    <row r="236" spans="1:35" customFormat="1" ht="14.25" x14ac:dyDescent="0.45">
      <c r="B236" s="14" t="s">
        <v>110</v>
      </c>
      <c r="C236" s="14" t="s">
        <v>113</v>
      </c>
      <c r="D236" s="25" t="s">
        <v>2257</v>
      </c>
      <c r="E236" s="16" t="s">
        <v>79</v>
      </c>
      <c r="F236" s="14" t="s">
        <v>2258</v>
      </c>
      <c r="H236" s="125" t="str">
        <f>Settings!$B$3&amp;".mit.rsh.ind.cem.2"</f>
        <v>egy.mit.rsh.ind.cem.2</v>
      </c>
      <c r="I236" t="s">
        <v>2259</v>
      </c>
      <c r="L236" s="127">
        <f t="shared" ref="L236:AE236" si="63">IF(L$235&lt;=0,0,MIN(1,L$234/L$235))</f>
        <v>0</v>
      </c>
      <c r="M236" s="127">
        <f t="shared" si="63"/>
        <v>0</v>
      </c>
      <c r="N236" s="127">
        <f t="shared" si="63"/>
        <v>0</v>
      </c>
      <c r="O236" s="127">
        <f t="shared" si="63"/>
        <v>0</v>
      </c>
      <c r="P236" s="127">
        <f t="shared" si="63"/>
        <v>0</v>
      </c>
      <c r="Q236" s="127">
        <f t="shared" si="63"/>
        <v>0</v>
      </c>
      <c r="R236" s="127">
        <f t="shared" si="63"/>
        <v>0</v>
      </c>
      <c r="S236" s="127">
        <f t="shared" si="63"/>
        <v>0</v>
      </c>
      <c r="T236" s="127">
        <f t="shared" si="63"/>
        <v>0</v>
      </c>
      <c r="U236" s="127">
        <f t="shared" si="63"/>
        <v>0</v>
      </c>
      <c r="V236" s="127">
        <f t="shared" si="63"/>
        <v>0</v>
      </c>
      <c r="W236" s="127">
        <f t="shared" si="63"/>
        <v>0</v>
      </c>
      <c r="X236" s="127">
        <f t="shared" si="63"/>
        <v>0</v>
      </c>
      <c r="Y236" s="127">
        <f t="shared" si="63"/>
        <v>0</v>
      </c>
      <c r="Z236" s="127">
        <f t="shared" si="63"/>
        <v>0</v>
      </c>
      <c r="AA236" s="127">
        <f t="shared" si="63"/>
        <v>0</v>
      </c>
      <c r="AB236" s="127">
        <f t="shared" si="63"/>
        <v>0</v>
      </c>
      <c r="AC236" s="127">
        <f t="shared" si="63"/>
        <v>0</v>
      </c>
      <c r="AD236" s="127">
        <f t="shared" si="63"/>
        <v>0</v>
      </c>
      <c r="AE236" s="127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2260</v>
      </c>
      <c r="E237" s="16" t="s">
        <v>51</v>
      </c>
      <c r="F237" s="14" t="s">
        <v>2261</v>
      </c>
      <c r="G237" s="17"/>
      <c r="H237" s="125" t="str">
        <f>Settings!$B$3&amp;".mit.atpn.cem.coa.e.2"</f>
        <v>egy.mit.atpn.cem.coa.e.2</v>
      </c>
      <c r="I237" t="s">
        <v>2327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2263</v>
      </c>
      <c r="E238" s="16" t="s">
        <v>51</v>
      </c>
      <c r="F238" s="14" t="s">
        <v>2261</v>
      </c>
      <c r="G238" s="17"/>
      <c r="H238" s="125" t="str">
        <f>Settings!$B$3&amp;".mit.atpn.cem.nga.e.2"</f>
        <v>egy.mit.atpn.cem.nga.e.2</v>
      </c>
      <c r="I238" t="s">
        <v>2328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2265</v>
      </c>
      <c r="E239" s="16" t="s">
        <v>57</v>
      </c>
      <c r="F239" s="14" t="s">
        <v>2261</v>
      </c>
      <c r="G239" s="17"/>
      <c r="H239" s="125" t="str">
        <f>Settings!$B$3&amp;".mit.atpn.cem.gso.e.2"</f>
        <v>egy.mit.atpn.cem.gso.e.2</v>
      </c>
      <c r="I239" t="s">
        <v>2329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2267</v>
      </c>
      <c r="E240" s="16" t="s">
        <v>57</v>
      </c>
      <c r="F240" s="14" t="s">
        <v>2261</v>
      </c>
      <c r="G240" s="17"/>
      <c r="H240" s="125" t="str">
        <f>Settings!$B$3&amp;".mit.atpn.cem.die.e.2"</f>
        <v>egy.mit.atpn.cem.die.e.2</v>
      </c>
      <c r="I240" t="s">
        <v>2330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2269</v>
      </c>
      <c r="E241" s="16" t="s">
        <v>57</v>
      </c>
      <c r="F241" s="14" t="s">
        <v>2261</v>
      </c>
      <c r="G241" s="17"/>
      <c r="H241" s="125" t="str">
        <f>Settings!$B$3&amp;".mit.atpn.cem.lpg.e.2"</f>
        <v>egy.mit.atpn.cem.lpg.e.2</v>
      </c>
      <c r="I241" t="s">
        <v>2331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2271</v>
      </c>
      <c r="E242" s="16" t="s">
        <v>57</v>
      </c>
      <c r="F242" s="14" t="s">
        <v>2261</v>
      </c>
      <c r="G242" s="17"/>
      <c r="H242" s="125" t="str">
        <f>Settings!$B$3&amp;".mit.atpn.cem.ker.e.2"</f>
        <v>egy.mit.atpn.cem.ker.e.2</v>
      </c>
      <c r="I242" t="s">
        <v>2332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2273</v>
      </c>
      <c r="E243" s="16" t="s">
        <v>66</v>
      </c>
      <c r="F243" s="14" t="s">
        <v>2261</v>
      </c>
      <c r="G243" s="17"/>
      <c r="H243" s="125" t="str">
        <f>Settings!$B$3&amp;".mit.atpn.cem.oop.e.2"</f>
        <v>egy.mit.atpn.cem.oop.e.2</v>
      </c>
      <c r="I243" t="s">
        <v>2333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2275</v>
      </c>
      <c r="E244" s="16" t="s">
        <v>51</v>
      </c>
      <c r="F244" s="14" t="s">
        <v>2261</v>
      </c>
      <c r="G244" s="17"/>
      <c r="H244" s="125" t="str">
        <f>Settings!$B$3&amp;".mit.atpn.cem.bio.e.2"</f>
        <v>egy.mit.atpn.cem.bio.e.2</v>
      </c>
      <c r="I244" t="s">
        <v>2334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2277</v>
      </c>
      <c r="E245" s="16" t="s">
        <v>71</v>
      </c>
      <c r="F245" s="14" t="s">
        <v>2261</v>
      </c>
      <c r="G245" s="17"/>
      <c r="H245" s="125" t="str">
        <f>Settings!$B$3&amp;".mit.atpn.cem.ren.e.2"</f>
        <v>egy.mit.atpn.cem.ren.e.2</v>
      </c>
      <c r="I245" t="s">
        <v>2335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1488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2253</v>
      </c>
      <c r="E248" s="16" t="s">
        <v>1854</v>
      </c>
      <c r="F248" s="14" t="s">
        <v>2242</v>
      </c>
      <c r="H248" s="125" t="str">
        <f>Settings!$B$3&amp;".mit.obr.ind.nfm.2"</f>
        <v>egy.mit.obr.ind.nfm.2</v>
      </c>
      <c r="I248" t="s">
        <v>2289</v>
      </c>
      <c r="L248" s="127">
        <f t="shared" ref="L248:AE248" si="64">L$216</f>
        <v>0</v>
      </c>
      <c r="M248" s="127">
        <f t="shared" si="64"/>
        <v>0</v>
      </c>
      <c r="N248" s="127">
        <f t="shared" si="64"/>
        <v>0</v>
      </c>
      <c r="O248" s="127">
        <f t="shared" si="64"/>
        <v>0</v>
      </c>
      <c r="P248" s="127">
        <f t="shared" si="64"/>
        <v>0</v>
      </c>
      <c r="Q248" s="127">
        <f t="shared" si="64"/>
        <v>0</v>
      </c>
      <c r="R248" s="127">
        <f t="shared" si="64"/>
        <v>0</v>
      </c>
      <c r="S248" s="127">
        <f t="shared" si="64"/>
        <v>0</v>
      </c>
      <c r="T248" s="127">
        <f t="shared" si="64"/>
        <v>0</v>
      </c>
      <c r="U248" s="127">
        <f t="shared" si="64"/>
        <v>0</v>
      </c>
      <c r="V248" s="127">
        <f t="shared" si="64"/>
        <v>0</v>
      </c>
      <c r="W248" s="127">
        <f t="shared" si="64"/>
        <v>0</v>
      </c>
      <c r="X248" s="127">
        <f t="shared" si="64"/>
        <v>0</v>
      </c>
      <c r="Y248" s="127">
        <f t="shared" si="64"/>
        <v>0</v>
      </c>
      <c r="Z248" s="127">
        <f t="shared" si="64"/>
        <v>0</v>
      </c>
      <c r="AA248" s="127">
        <f t="shared" si="64"/>
        <v>0</v>
      </c>
      <c r="AB248" s="127">
        <f t="shared" si="64"/>
        <v>0</v>
      </c>
      <c r="AC248" s="127">
        <f t="shared" si="64"/>
        <v>0</v>
      </c>
      <c r="AD248" s="127">
        <f t="shared" si="64"/>
        <v>0</v>
      </c>
      <c r="AE248" s="127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2255</v>
      </c>
      <c r="E249" s="16" t="s">
        <v>1854</v>
      </c>
      <c r="F249" s="14" t="s">
        <v>2256</v>
      </c>
      <c r="H249" s="125" t="str">
        <f>Settings!$B$3&amp;".mit.ccf.ind.nfm.2"</f>
        <v>egy.mit.ccf.ind.nfm.2</v>
      </c>
      <c r="L249" s="127">
        <f>L$166*Mitigation_Industry!L$682/1000</f>
        <v>0</v>
      </c>
      <c r="M249" s="127">
        <f>M$166*Mitigation_Industry!M$682/1000</f>
        <v>0</v>
      </c>
      <c r="N249" s="127">
        <f>N$166*Mitigation_Industry!N$682/1000</f>
        <v>0</v>
      </c>
      <c r="O249" s="127">
        <f>O$166*Mitigation_Industry!O$682/1000</f>
        <v>0</v>
      </c>
      <c r="P249" s="127">
        <f>P$166*Mitigation_Industry!P$682/1000</f>
        <v>0</v>
      </c>
      <c r="Q249" s="127">
        <f>Q$166*Mitigation_Industry!Q$682/1000</f>
        <v>0.5434682643843749</v>
      </c>
      <c r="R249" s="127">
        <f>R$166*Mitigation_Industry!R$682/1000</f>
        <v>1.1467180378510311</v>
      </c>
      <c r="S249" s="127">
        <f>S$166*Mitigation_Industry!S$682/1000</f>
        <v>1.8146812948992568</v>
      </c>
      <c r="T249" s="127">
        <f>T$166*Mitigation_Industry!T$682/1000</f>
        <v>2.5526516881582877</v>
      </c>
      <c r="U249" s="127">
        <f>U$166*Mitigation_Industry!U$682/1000</f>
        <v>3.3663094137587413</v>
      </c>
      <c r="V249" s="127">
        <f>V$166*Mitigation_Industry!V$682/1000</f>
        <v>4.261747717818567</v>
      </c>
      <c r="W249" s="127">
        <f>W$166*Mitigation_Industry!W$682/1000</f>
        <v>5.2455011493483523</v>
      </c>
      <c r="X249" s="127">
        <f>X$166*Mitigation_Industry!X$682/1000</f>
        <v>6.3245756715000132</v>
      </c>
      <c r="Y249" s="127">
        <f>Y$166*Mitigation_Industry!Y$682/1000</f>
        <v>7.506480750111578</v>
      </c>
      <c r="Z249" s="127">
        <f>Z$166*Mitigation_Industry!Z$682/1000</f>
        <v>8.7992635459641271</v>
      </c>
      <c r="AA249" s="127">
        <f>AA$166*Mitigation_Industry!AA$682/1000</f>
        <v>10.211545345091368</v>
      </c>
      <c r="AB249" s="127">
        <f>AB$166*Mitigation_Industry!AB$682/1000</f>
        <v>11.752560369896068</v>
      </c>
      <c r="AC249" s="127">
        <f>AC$166*Mitigation_Industry!AC$682/1000</f>
        <v>13.432197122760376</v>
      </c>
      <c r="AD249" s="127">
        <f>AD$166*Mitigation_Industry!AD$682/1000</f>
        <v>15.261042423320831</v>
      </c>
      <c r="AE249" s="127">
        <f>AE$166*Mitigation_Industry!AE$682/1000</f>
        <v>17.250428310646576</v>
      </c>
    </row>
    <row r="250" spans="1:35" customFormat="1" ht="14.25" x14ac:dyDescent="0.45">
      <c r="B250" s="14" t="s">
        <v>110</v>
      </c>
      <c r="C250" s="14" t="s">
        <v>115</v>
      </c>
      <c r="D250" s="25" t="s">
        <v>2257</v>
      </c>
      <c r="E250" s="16" t="s">
        <v>79</v>
      </c>
      <c r="F250" s="14" t="s">
        <v>2258</v>
      </c>
      <c r="H250" s="125" t="str">
        <f>Settings!$B$3&amp;".mit.rsh.ind.nfm.2"</f>
        <v>egy.mit.rsh.ind.nfm.2</v>
      </c>
      <c r="I250" t="s">
        <v>2259</v>
      </c>
      <c r="L250" s="127">
        <f t="shared" ref="L250:AE250" si="65">IF(L$249&lt;=0,0,MIN(1,L$248/L$249))</f>
        <v>0</v>
      </c>
      <c r="M250" s="127">
        <f t="shared" si="65"/>
        <v>0</v>
      </c>
      <c r="N250" s="127">
        <f t="shared" si="65"/>
        <v>0</v>
      </c>
      <c r="O250" s="127">
        <f t="shared" si="65"/>
        <v>0</v>
      </c>
      <c r="P250" s="127">
        <f t="shared" si="65"/>
        <v>0</v>
      </c>
      <c r="Q250" s="127">
        <f t="shared" si="65"/>
        <v>0</v>
      </c>
      <c r="R250" s="127">
        <f t="shared" si="65"/>
        <v>0</v>
      </c>
      <c r="S250" s="127">
        <f t="shared" si="65"/>
        <v>0</v>
      </c>
      <c r="T250" s="127">
        <f t="shared" si="65"/>
        <v>0</v>
      </c>
      <c r="U250" s="127">
        <f t="shared" si="65"/>
        <v>0</v>
      </c>
      <c r="V250" s="127">
        <f t="shared" si="65"/>
        <v>0</v>
      </c>
      <c r="W250" s="127">
        <f t="shared" si="65"/>
        <v>0</v>
      </c>
      <c r="X250" s="127">
        <f t="shared" si="65"/>
        <v>0</v>
      </c>
      <c r="Y250" s="127">
        <f t="shared" si="65"/>
        <v>0</v>
      </c>
      <c r="Z250" s="127">
        <f t="shared" si="65"/>
        <v>0</v>
      </c>
      <c r="AA250" s="127">
        <f t="shared" si="65"/>
        <v>0</v>
      </c>
      <c r="AB250" s="127">
        <f t="shared" si="65"/>
        <v>0</v>
      </c>
      <c r="AC250" s="127">
        <f t="shared" si="65"/>
        <v>0</v>
      </c>
      <c r="AD250" s="127">
        <f t="shared" si="65"/>
        <v>0</v>
      </c>
      <c r="AE250" s="127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2260</v>
      </c>
      <c r="E251" s="16" t="s">
        <v>51</v>
      </c>
      <c r="F251" s="14" t="s">
        <v>2261</v>
      </c>
      <c r="G251" s="17"/>
      <c r="H251" s="125" t="str">
        <f>Settings!$B$3&amp;".mit.atpn.nfm.coa.e.2"</f>
        <v>egy.mit.atpn.nfm.coa.e.2</v>
      </c>
      <c r="I251" t="s">
        <v>2336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2263</v>
      </c>
      <c r="E252" s="16" t="s">
        <v>51</v>
      </c>
      <c r="F252" s="14" t="s">
        <v>2261</v>
      </c>
      <c r="G252" s="17"/>
      <c r="H252" s="125" t="str">
        <f>Settings!$B$3&amp;".mit.atpn.nfm.nga.e.2"</f>
        <v>egy.mit.atpn.nfm.nga.e.2</v>
      </c>
      <c r="I252" t="s">
        <v>2337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2265</v>
      </c>
      <c r="E253" s="16" t="s">
        <v>57</v>
      </c>
      <c r="F253" s="14" t="s">
        <v>2261</v>
      </c>
      <c r="G253" s="17"/>
      <c r="H253" s="125" t="str">
        <f>Settings!$B$3&amp;".mit.atpn.nfm.gso.e.2"</f>
        <v>egy.mit.atpn.nfm.gso.e.2</v>
      </c>
      <c r="I253" t="s">
        <v>2338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2267</v>
      </c>
      <c r="E254" s="16" t="s">
        <v>57</v>
      </c>
      <c r="F254" s="14" t="s">
        <v>2261</v>
      </c>
      <c r="G254" s="17"/>
      <c r="H254" s="125" t="str">
        <f>Settings!$B$3&amp;".mit.atpn.nfm.die.e.2"</f>
        <v>egy.mit.atpn.nfm.die.e.2</v>
      </c>
      <c r="I254" t="s">
        <v>2339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2269</v>
      </c>
      <c r="E255" s="16" t="s">
        <v>57</v>
      </c>
      <c r="F255" s="14" t="s">
        <v>2261</v>
      </c>
      <c r="G255" s="17"/>
      <c r="H255" s="125" t="str">
        <f>Settings!$B$3&amp;".mit.atpn.nfm.lpg.e.2"</f>
        <v>egy.mit.atpn.nfm.lpg.e.2</v>
      </c>
      <c r="I255" t="s">
        <v>2340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2271</v>
      </c>
      <c r="E256" s="16" t="s">
        <v>57</v>
      </c>
      <c r="F256" s="14" t="s">
        <v>2261</v>
      </c>
      <c r="G256" s="17"/>
      <c r="H256" s="125" t="str">
        <f>Settings!$B$3&amp;".mit.atpn.nfm.ker.e.2"</f>
        <v>egy.mit.atpn.nfm.ker.e.2</v>
      </c>
      <c r="I256" t="s">
        <v>2341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2273</v>
      </c>
      <c r="E257" s="16" t="s">
        <v>66</v>
      </c>
      <c r="F257" s="14" t="s">
        <v>2261</v>
      </c>
      <c r="G257" s="17"/>
      <c r="H257" s="125" t="str">
        <f>Settings!$B$3&amp;".mit.atpn.nfm.oop.e.2"</f>
        <v>egy.mit.atpn.nfm.oop.e.2</v>
      </c>
      <c r="I257" t="s">
        <v>2342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2275</v>
      </c>
      <c r="E258" s="16" t="s">
        <v>51</v>
      </c>
      <c r="F258" s="14" t="s">
        <v>2261</v>
      </c>
      <c r="G258" s="17"/>
      <c r="H258" s="125" t="str">
        <f>Settings!$B$3&amp;".mit.atpn.nfm.bio.e.2"</f>
        <v>egy.mit.atpn.nfm.bio.e.2</v>
      </c>
      <c r="I258" t="s">
        <v>2343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2277</v>
      </c>
      <c r="E259" s="16" t="s">
        <v>71</v>
      </c>
      <c r="F259" s="14" t="s">
        <v>2261</v>
      </c>
      <c r="G259" s="17"/>
      <c r="H259" s="125" t="str">
        <f>Settings!$B$3&amp;".mit.atpn.nfm.ren.e.2"</f>
        <v>egy.mit.atpn.nfm.ren.e.2</v>
      </c>
      <c r="I259" t="s">
        <v>2344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2253</v>
      </c>
      <c r="E262" s="16" t="s">
        <v>1854</v>
      </c>
      <c r="F262" s="14" t="s">
        <v>2242</v>
      </c>
      <c r="H262" s="125" t="str">
        <f>Settings!$B$3&amp;".mit.obr.ind.mch.2"</f>
        <v>egy.mit.obr.ind.mch.2</v>
      </c>
      <c r="I262" t="s">
        <v>2299</v>
      </c>
      <c r="L262" s="127">
        <f t="shared" ref="L262:AE262" si="66">L$213+L$214+L$215</f>
        <v>0</v>
      </c>
      <c r="M262" s="127">
        <f t="shared" si="66"/>
        <v>0</v>
      </c>
      <c r="N262" s="127">
        <f t="shared" si="66"/>
        <v>0</v>
      </c>
      <c r="O262" s="127">
        <f t="shared" si="66"/>
        <v>0</v>
      </c>
      <c r="P262" s="127">
        <f t="shared" si="66"/>
        <v>0</v>
      </c>
      <c r="Q262" s="127">
        <f t="shared" si="66"/>
        <v>0</v>
      </c>
      <c r="R262" s="127">
        <f t="shared" si="66"/>
        <v>0</v>
      </c>
      <c r="S262" s="127">
        <f t="shared" si="66"/>
        <v>0</v>
      </c>
      <c r="T262" s="127">
        <f t="shared" si="66"/>
        <v>0</v>
      </c>
      <c r="U262" s="127">
        <f t="shared" si="66"/>
        <v>0</v>
      </c>
      <c r="V262" s="127">
        <f t="shared" si="66"/>
        <v>0</v>
      </c>
      <c r="W262" s="127">
        <f t="shared" si="66"/>
        <v>0</v>
      </c>
      <c r="X262" s="127">
        <f t="shared" si="66"/>
        <v>0</v>
      </c>
      <c r="Y262" s="127">
        <f t="shared" si="66"/>
        <v>0</v>
      </c>
      <c r="Z262" s="127">
        <f t="shared" si="66"/>
        <v>0</v>
      </c>
      <c r="AA262" s="127">
        <f t="shared" si="66"/>
        <v>0</v>
      </c>
      <c r="AB262" s="127">
        <f t="shared" si="66"/>
        <v>0</v>
      </c>
      <c r="AC262" s="127">
        <f t="shared" si="66"/>
        <v>0</v>
      </c>
      <c r="AD262" s="127">
        <f t="shared" si="66"/>
        <v>0</v>
      </c>
      <c r="AE262" s="127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2255</v>
      </c>
      <c r="E263" s="16" t="s">
        <v>1854</v>
      </c>
      <c r="F263" s="14" t="s">
        <v>2256</v>
      </c>
      <c r="H263" s="125" t="str">
        <f>Settings!$B$3&amp;".mit.ccf.ind.mch.2"</f>
        <v>egy.mit.ccf.ind.mch.2</v>
      </c>
      <c r="L263" s="127">
        <f>L$163*Mitigation_Industry!L$679/1000+L$164*Mitigation_Industry!L$680/1000+L$165*Mitigation_Industry!L$681/1000</f>
        <v>0</v>
      </c>
      <c r="M263" s="127">
        <f>M$163*Mitigation_Industry!M$679/1000+M$164*Mitigation_Industry!M$680/1000+M$165*Mitigation_Industry!M$681/1000</f>
        <v>0</v>
      </c>
      <c r="N263" s="127">
        <f>N$163*Mitigation_Industry!N$679/1000+N$164*Mitigation_Industry!N$680/1000+N$165*Mitigation_Industry!N$681/1000</f>
        <v>0</v>
      </c>
      <c r="O263" s="127">
        <f>O$163*Mitigation_Industry!O$679/1000+O$164*Mitigation_Industry!O$680/1000+O$165*Mitigation_Industry!O$681/1000</f>
        <v>0</v>
      </c>
      <c r="P263" s="127">
        <f>P$163*Mitigation_Industry!P$679/1000+P$164*Mitigation_Industry!P$680/1000+P$165*Mitigation_Industry!P$681/1000</f>
        <v>0</v>
      </c>
      <c r="Q263" s="127">
        <f>Q$163*Mitigation_Industry!Q$679/1000+Q$164*Mitigation_Industry!Q$680/1000+Q$165*Mitigation_Industry!Q$681/1000</f>
        <v>52.123603322757127</v>
      </c>
      <c r="R263" s="127">
        <f>R$163*Mitigation_Industry!R$679/1000+R$164*Mitigation_Industry!R$680/1000+R$165*Mitigation_Industry!R$681/1000</f>
        <v>106.54064519171556</v>
      </c>
      <c r="S263" s="127">
        <f>S$163*Mitigation_Industry!S$679/1000+S$164*Mitigation_Industry!S$680/1000+S$165*Mitigation_Industry!S$681/1000</f>
        <v>163.32680907889997</v>
      </c>
      <c r="T263" s="127">
        <f>T$163*Mitigation_Industry!T$679/1000+T$164*Mitigation_Industry!T$680/1000+T$165*Mitigation_Industry!T$681/1000</f>
        <v>222.55999850484761</v>
      </c>
      <c r="U263" s="127">
        <f>U$163*Mitigation_Industry!U$679/1000+U$164*Mitigation_Industry!U$680/1000+U$165*Mitigation_Industry!U$681/1000</f>
        <v>284.32039808994296</v>
      </c>
      <c r="V263" s="127">
        <f>V$163*Mitigation_Industry!V$679/1000+V$164*Mitigation_Industry!V$680/1000+V$165*Mitigation_Industry!V$681/1000</f>
        <v>348.69053621750601</v>
      </c>
      <c r="W263" s="127">
        <f>W$163*Mitigation_Industry!W$679/1000+W$164*Mitigation_Industry!W$680/1000+W$165*Mitigation_Industry!W$681/1000</f>
        <v>415.75534935000633</v>
      </c>
      <c r="X263" s="127">
        <f>X$163*Mitigation_Industry!X$679/1000+X$164*Mitigation_Industry!X$680/1000+X$165*Mitigation_Industry!X$681/1000</f>
        <v>485.60224804080741</v>
      </c>
      <c r="Y263" s="127">
        <f>Y$163*Mitigation_Industry!Y$679/1000+Y$164*Mitigation_Industry!Y$680/1000+Y$165*Mitigation_Industry!Y$681/1000</f>
        <v>558.32118468491831</v>
      </c>
      <c r="Z263" s="127">
        <f>Z$163*Mitigation_Industry!Z$679/1000+Z$164*Mitigation_Industry!Z$680/1000+Z$165*Mitigation_Industry!Z$681/1000</f>
        <v>634.00472305331834</v>
      </c>
      <c r="AA263" s="127">
        <f>AA$163*Mitigation_Industry!AA$679/1000+AA$164*Mitigation_Industry!AA$680/1000+AA$165*Mitigation_Industry!AA$681/1000</f>
        <v>712.74810965654046</v>
      </c>
      <c r="AB263" s="127">
        <f>AB$163*Mitigation_Industry!AB$679/1000+AB$164*Mitigation_Industry!AB$680/1000+AB$165*Mitigation_Industry!AB$681/1000</f>
        <v>794.64934698434661</v>
      </c>
      <c r="AC263" s="127">
        <f>AC$163*Mitigation_Industry!AC$679/1000+AC$164*Mitigation_Industry!AC$680/1000+AC$165*Mitigation_Industry!AC$681/1000</f>
        <v>879.80926866950233</v>
      </c>
      <c r="AD263" s="127">
        <f>AD$163*Mitigation_Industry!AD$679/1000+AD$164*Mitigation_Industry!AD$680/1000+AD$165*Mitigation_Industry!AD$681/1000</f>
        <v>968.33161662486475</v>
      </c>
      <c r="AE263" s="127">
        <f>AE$163*Mitigation_Industry!AE$679/1000+AE$164*Mitigation_Industry!AE$680/1000+AE$165*Mitigation_Industry!AE$681/1000</f>
        <v>1060.3231202042268</v>
      </c>
    </row>
    <row r="264" spans="1:35" customFormat="1" ht="14.25" x14ac:dyDescent="0.45">
      <c r="B264" s="14" t="s">
        <v>110</v>
      </c>
      <c r="C264" s="14" t="s">
        <v>117</v>
      </c>
      <c r="D264" s="25" t="s">
        <v>2257</v>
      </c>
      <c r="E264" s="16" t="s">
        <v>79</v>
      </c>
      <c r="F264" s="14" t="s">
        <v>2258</v>
      </c>
      <c r="H264" s="125" t="str">
        <f>Settings!$B$3&amp;".mit.rsh.ind.mch.2"</f>
        <v>egy.mit.rsh.ind.mch.2</v>
      </c>
      <c r="I264" t="s">
        <v>2259</v>
      </c>
      <c r="L264" s="127">
        <f t="shared" ref="L264:AE264" si="67">IF(L$263&lt;=0,0,MIN(1,L$262/L$263))</f>
        <v>0</v>
      </c>
      <c r="M264" s="127">
        <f t="shared" si="67"/>
        <v>0</v>
      </c>
      <c r="N264" s="127">
        <f t="shared" si="67"/>
        <v>0</v>
      </c>
      <c r="O264" s="127">
        <f t="shared" si="67"/>
        <v>0</v>
      </c>
      <c r="P264" s="127">
        <f t="shared" si="67"/>
        <v>0</v>
      </c>
      <c r="Q264" s="127">
        <f t="shared" si="67"/>
        <v>0</v>
      </c>
      <c r="R264" s="127">
        <f t="shared" si="67"/>
        <v>0</v>
      </c>
      <c r="S264" s="127">
        <f t="shared" si="67"/>
        <v>0</v>
      </c>
      <c r="T264" s="127">
        <f t="shared" si="67"/>
        <v>0</v>
      </c>
      <c r="U264" s="127">
        <f t="shared" si="67"/>
        <v>0</v>
      </c>
      <c r="V264" s="127">
        <f t="shared" si="67"/>
        <v>0</v>
      </c>
      <c r="W264" s="127">
        <f t="shared" si="67"/>
        <v>0</v>
      </c>
      <c r="X264" s="127">
        <f t="shared" si="67"/>
        <v>0</v>
      </c>
      <c r="Y264" s="127">
        <f t="shared" si="67"/>
        <v>0</v>
      </c>
      <c r="Z264" s="127">
        <f t="shared" si="67"/>
        <v>0</v>
      </c>
      <c r="AA264" s="127">
        <f t="shared" si="67"/>
        <v>0</v>
      </c>
      <c r="AB264" s="127">
        <f t="shared" si="67"/>
        <v>0</v>
      </c>
      <c r="AC264" s="127">
        <f t="shared" si="67"/>
        <v>0</v>
      </c>
      <c r="AD264" s="127">
        <f t="shared" si="67"/>
        <v>0</v>
      </c>
      <c r="AE264" s="127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2260</v>
      </c>
      <c r="E265" s="16" t="s">
        <v>51</v>
      </c>
      <c r="F265" s="14" t="s">
        <v>2261</v>
      </c>
      <c r="G265" s="17"/>
      <c r="H265" s="125" t="str">
        <f>Settings!$B$3&amp;".mit.atpn.mch.coa.e.2"</f>
        <v>egy.mit.atpn.mch.coa.e.2</v>
      </c>
      <c r="I265" t="s">
        <v>2345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2263</v>
      </c>
      <c r="E266" s="16" t="s">
        <v>51</v>
      </c>
      <c r="F266" s="14" t="s">
        <v>2261</v>
      </c>
      <c r="G266" s="17"/>
      <c r="H266" s="125" t="str">
        <f>Settings!$B$3&amp;".mit.atpn.mch.nga.e.2"</f>
        <v>egy.mit.atpn.mch.nga.e.2</v>
      </c>
      <c r="I266" t="s">
        <v>2346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2265</v>
      </c>
      <c r="E267" s="16" t="s">
        <v>57</v>
      </c>
      <c r="F267" s="14" t="s">
        <v>2261</v>
      </c>
      <c r="G267" s="17"/>
      <c r="H267" s="125" t="str">
        <f>Settings!$B$3&amp;".mit.atpn.mch.gso.e.2"</f>
        <v>egy.mit.atpn.mch.gso.e.2</v>
      </c>
      <c r="I267" t="s">
        <v>2347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2267</v>
      </c>
      <c r="E268" s="16" t="s">
        <v>57</v>
      </c>
      <c r="F268" s="14" t="s">
        <v>2261</v>
      </c>
      <c r="G268" s="17"/>
      <c r="H268" s="125" t="str">
        <f>Settings!$B$3&amp;".mit.atpn.mch.die.e.2"</f>
        <v>egy.mit.atpn.mch.die.e.2</v>
      </c>
      <c r="I268" t="s">
        <v>2348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2269</v>
      </c>
      <c r="E269" s="16" t="s">
        <v>57</v>
      </c>
      <c r="F269" s="14" t="s">
        <v>2261</v>
      </c>
      <c r="G269" s="17"/>
      <c r="H269" s="125" t="str">
        <f>Settings!$B$3&amp;".mit.atpn.mch.lpg.e.2"</f>
        <v>egy.mit.atpn.mch.lpg.e.2</v>
      </c>
      <c r="I269" t="s">
        <v>2349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2271</v>
      </c>
      <c r="E270" s="16" t="s">
        <v>57</v>
      </c>
      <c r="F270" s="14" t="s">
        <v>2261</v>
      </c>
      <c r="G270" s="17"/>
      <c r="H270" s="125" t="str">
        <f>Settings!$B$3&amp;".mit.atpn.mch.ker.e.2"</f>
        <v>egy.mit.atpn.mch.ker.e.2</v>
      </c>
      <c r="I270" t="s">
        <v>2350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2273</v>
      </c>
      <c r="E271" s="16" t="s">
        <v>66</v>
      </c>
      <c r="F271" s="14" t="s">
        <v>2261</v>
      </c>
      <c r="G271" s="17"/>
      <c r="H271" s="125" t="str">
        <f>Settings!$B$3&amp;".mit.atpn.mch.oop.e.2"</f>
        <v>egy.mit.atpn.mch.oop.e.2</v>
      </c>
      <c r="I271" t="s">
        <v>2351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2275</v>
      </c>
      <c r="E272" s="16" t="s">
        <v>51</v>
      </c>
      <c r="F272" s="14" t="s">
        <v>2261</v>
      </c>
      <c r="G272" s="17"/>
      <c r="H272" s="125" t="str">
        <f>Settings!$B$3&amp;".mit.atpn.mch.bio.e.2"</f>
        <v>egy.mit.atpn.mch.bio.e.2</v>
      </c>
      <c r="I272" t="s">
        <v>2352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2277</v>
      </c>
      <c r="E273" s="16" t="s">
        <v>71</v>
      </c>
      <c r="F273" s="14" t="s">
        <v>2261</v>
      </c>
      <c r="G273" s="17"/>
      <c r="H273" s="125" t="str">
        <f>Settings!$B$3&amp;".mit.atpn.mch.ren.e.2"</f>
        <v>egy.mit.atpn.mch.ren.e.2</v>
      </c>
      <c r="I273" t="s">
        <v>2353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2309</v>
      </c>
      <c r="D275" s="6" t="s">
        <v>1488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2310</v>
      </c>
      <c r="E276" s="16" t="s">
        <v>1854</v>
      </c>
      <c r="F276" s="14" t="s">
        <v>2311</v>
      </c>
      <c r="H276" s="17"/>
      <c r="I276" t="s">
        <v>2354</v>
      </c>
      <c r="L276" s="127">
        <f>Mitigation_Industry!L$799</f>
        <v>0</v>
      </c>
      <c r="M276" s="127">
        <f>Mitigation_Industry!M$799</f>
        <v>0</v>
      </c>
      <c r="N276" s="127">
        <f>Mitigation_Industry!N$799</f>
        <v>0</v>
      </c>
      <c r="O276" s="127">
        <f>Mitigation_Industry!O$799</f>
        <v>0</v>
      </c>
      <c r="P276" s="127">
        <f>Mitigation_Industry!P$799</f>
        <v>0</v>
      </c>
      <c r="Q276" s="127">
        <f>Mitigation_Industry!Q$799</f>
        <v>313.18092912945133</v>
      </c>
      <c r="R276" s="127">
        <f>Mitigation_Industry!R$799</f>
        <v>646.88764494852489</v>
      </c>
      <c r="S276" s="127">
        <f>Mitigation_Industry!S$799</f>
        <v>1002.1648959865571</v>
      </c>
      <c r="T276" s="127">
        <f>Mitigation_Industry!T$799</f>
        <v>1380.1062236958546</v>
      </c>
      <c r="U276" s="127">
        <f>Mitigation_Industry!U$799</f>
        <v>1781.8561629939895</v>
      </c>
      <c r="V276" s="127">
        <f>Mitigation_Industry!V$799</f>
        <v>2208.6125408023772</v>
      </c>
      <c r="W276" s="127">
        <f>Mitigation_Industry!W$799</f>
        <v>2661.6288769403232</v>
      </c>
      <c r="X276" s="127">
        <f>Mitigation_Industry!X$799</f>
        <v>3142.2168919286596</v>
      </c>
      <c r="Y276" s="127">
        <f>Mitigation_Industry!Y$799</f>
        <v>3651.7491264608011</v>
      </c>
      <c r="Z276" s="127">
        <f>Mitigation_Industry!Z$799</f>
        <v>4191.6616775120128</v>
      </c>
      <c r="AA276" s="127">
        <f>Mitigation_Industry!AA$799</f>
        <v>4763.45705628019</v>
      </c>
      <c r="AB276" s="127">
        <f>Mitigation_Industry!AB$799</f>
        <v>5368.7071733840539</v>
      </c>
      <c r="AC276" s="127">
        <f>Mitigation_Industry!AC$799</f>
        <v>6009.0564569877843</v>
      </c>
      <c r="AD276" s="127">
        <f>Mitigation_Industry!AD$799</f>
        <v>6686.2251097751796</v>
      </c>
      <c r="AE276" s="127">
        <f>Mitigation_Industry!AE$799</f>
        <v>7402.012510962054</v>
      </c>
    </row>
    <row r="277" spans="1:35" customFormat="1" ht="14.25" x14ac:dyDescent="0.45">
      <c r="B277" s="14" t="s">
        <v>110</v>
      </c>
      <c r="C277" s="14"/>
      <c r="D277" s="25" t="s">
        <v>2313</v>
      </c>
      <c r="E277" s="16" t="s">
        <v>1854</v>
      </c>
      <c r="F277" s="14" t="s">
        <v>2242</v>
      </c>
      <c r="H277" s="17"/>
      <c r="L277" s="127">
        <f t="shared" ref="L277:AE277" si="68">L$217</f>
        <v>0</v>
      </c>
      <c r="M277" s="127">
        <f t="shared" si="68"/>
        <v>0</v>
      </c>
      <c r="N277" s="127">
        <f t="shared" si="68"/>
        <v>0</v>
      </c>
      <c r="O277" s="127">
        <f t="shared" si="68"/>
        <v>0</v>
      </c>
      <c r="P277" s="127">
        <f t="shared" si="68"/>
        <v>0</v>
      </c>
      <c r="Q277" s="127">
        <f t="shared" si="68"/>
        <v>0</v>
      </c>
      <c r="R277" s="127">
        <f t="shared" si="68"/>
        <v>0</v>
      </c>
      <c r="S277" s="127">
        <f t="shared" si="68"/>
        <v>0</v>
      </c>
      <c r="T277" s="127">
        <f t="shared" si="68"/>
        <v>0</v>
      </c>
      <c r="U277" s="127">
        <f t="shared" si="68"/>
        <v>0</v>
      </c>
      <c r="V277" s="127">
        <f t="shared" si="68"/>
        <v>0</v>
      </c>
      <c r="W277" s="127">
        <f t="shared" si="68"/>
        <v>0</v>
      </c>
      <c r="X277" s="127">
        <f t="shared" si="68"/>
        <v>0</v>
      </c>
      <c r="Y277" s="127">
        <f t="shared" si="68"/>
        <v>0</v>
      </c>
      <c r="Z277" s="127">
        <f t="shared" si="68"/>
        <v>0</v>
      </c>
      <c r="AA277" s="127">
        <f t="shared" si="68"/>
        <v>0</v>
      </c>
      <c r="AB277" s="127">
        <f t="shared" si="68"/>
        <v>0</v>
      </c>
      <c r="AC277" s="127">
        <f t="shared" si="68"/>
        <v>0</v>
      </c>
      <c r="AD277" s="127">
        <f t="shared" si="68"/>
        <v>0</v>
      </c>
      <c r="AE277" s="127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2314</v>
      </c>
      <c r="E278" s="16" t="s">
        <v>1854</v>
      </c>
      <c r="F278" s="14" t="s">
        <v>2315</v>
      </c>
      <c r="H278" s="125" t="str">
        <f>Settings!$B$3&amp;".mit.revnet.cbam.tot.2"</f>
        <v>egy.mit.revnet.cbam.tot.2</v>
      </c>
      <c r="L278" s="127">
        <f t="shared" ref="L278:AE278" si="69">L276-L277</f>
        <v>0</v>
      </c>
      <c r="M278" s="127">
        <f t="shared" si="69"/>
        <v>0</v>
      </c>
      <c r="N278" s="127">
        <f t="shared" si="69"/>
        <v>0</v>
      </c>
      <c r="O278" s="127">
        <f t="shared" si="69"/>
        <v>0</v>
      </c>
      <c r="P278" s="127">
        <f t="shared" si="69"/>
        <v>0</v>
      </c>
      <c r="Q278" s="127">
        <f t="shared" si="69"/>
        <v>313.18092912945133</v>
      </c>
      <c r="R278" s="127">
        <f t="shared" si="69"/>
        <v>646.88764494852489</v>
      </c>
      <c r="S278" s="127">
        <f t="shared" si="69"/>
        <v>1002.1648959865571</v>
      </c>
      <c r="T278" s="127">
        <f t="shared" si="69"/>
        <v>1380.1062236958546</v>
      </c>
      <c r="U278" s="127">
        <f t="shared" si="69"/>
        <v>1781.8561629939895</v>
      </c>
      <c r="V278" s="127">
        <f t="shared" si="69"/>
        <v>2208.6125408023772</v>
      </c>
      <c r="W278" s="127">
        <f t="shared" si="69"/>
        <v>2661.6288769403232</v>
      </c>
      <c r="X278" s="127">
        <f t="shared" si="69"/>
        <v>3142.2168919286596</v>
      </c>
      <c r="Y278" s="127">
        <f t="shared" si="69"/>
        <v>3651.7491264608011</v>
      </c>
      <c r="Z278" s="127">
        <f t="shared" si="69"/>
        <v>4191.6616775120128</v>
      </c>
      <c r="AA278" s="127">
        <f t="shared" si="69"/>
        <v>4763.45705628019</v>
      </c>
      <c r="AB278" s="127">
        <f t="shared" si="69"/>
        <v>5368.7071733840539</v>
      </c>
      <c r="AC278" s="127">
        <f t="shared" si="69"/>
        <v>6009.0564569877843</v>
      </c>
      <c r="AD278" s="127">
        <f t="shared" si="69"/>
        <v>6686.2251097751796</v>
      </c>
      <c r="AE278" s="127">
        <f t="shared" si="69"/>
        <v>7402.012510962054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33"/>
  <sheetViews>
    <sheetView topLeftCell="A414" workbookViewId="0">
      <selection activeCell="A433" sqref="A433:XFD433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44.5976562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60.597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2538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21" t="s">
        <v>2539</v>
      </c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</row>
    <row r="4" spans="1:35" x14ac:dyDescent="0.35">
      <c r="D4" s="112" t="s">
        <v>2540</v>
      </c>
      <c r="E4" s="112" t="s">
        <v>2541</v>
      </c>
      <c r="F4" s="129" t="s">
        <v>2542</v>
      </c>
      <c r="I4" s="112" t="s">
        <v>2545</v>
      </c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</row>
    <row r="5" spans="1:35" x14ac:dyDescent="0.35">
      <c r="D5" s="112" t="s">
        <v>2543</v>
      </c>
      <c r="E5" s="112" t="s">
        <v>1398</v>
      </c>
      <c r="F5" s="129">
        <v>1000</v>
      </c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</row>
    <row r="6" spans="1:35" x14ac:dyDescent="0.35">
      <c r="D6" s="112" t="s">
        <v>2544</v>
      </c>
      <c r="E6" s="112" t="s">
        <v>79</v>
      </c>
      <c r="F6" s="129">
        <v>1</v>
      </c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</row>
    <row r="7" spans="1:35" x14ac:dyDescent="0.35"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</row>
    <row r="8" spans="1:35" customFormat="1" ht="18" customHeight="1" x14ac:dyDescent="0.45">
      <c r="A8" s="8"/>
      <c r="B8" s="9" t="s">
        <v>2546</v>
      </c>
      <c r="C8" s="10"/>
      <c r="D8" s="10"/>
      <c r="E8" s="10"/>
      <c r="F8" s="10"/>
      <c r="G8" s="10"/>
      <c r="H8" s="10"/>
      <c r="I8" s="10"/>
      <c r="J8" s="10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</row>
    <row r="9" spans="1:35" x14ac:dyDescent="0.35"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</row>
    <row r="10" spans="1:35" customFormat="1" ht="14.25" x14ac:dyDescent="0.45">
      <c r="A10" s="11"/>
      <c r="B10" s="6"/>
      <c r="C10" s="7" t="s">
        <v>2176</v>
      </c>
      <c r="D10" s="6" t="s">
        <v>1488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34">
        <v>2021</v>
      </c>
      <c r="L10" s="135">
        <v>2022</v>
      </c>
      <c r="M10" s="134">
        <v>2023</v>
      </c>
      <c r="N10" s="134">
        <v>2024</v>
      </c>
      <c r="O10" s="134">
        <v>2025</v>
      </c>
      <c r="P10" s="134">
        <v>2026</v>
      </c>
      <c r="Q10" s="134">
        <v>2027</v>
      </c>
      <c r="R10" s="134">
        <v>2028</v>
      </c>
      <c r="S10" s="134">
        <v>2029</v>
      </c>
      <c r="T10" s="134">
        <v>2030</v>
      </c>
      <c r="U10" s="134">
        <v>2031</v>
      </c>
      <c r="V10" s="134">
        <v>2032</v>
      </c>
      <c r="W10" s="134">
        <v>2033</v>
      </c>
      <c r="X10" s="134">
        <v>2034</v>
      </c>
      <c r="Y10" s="134">
        <v>2035</v>
      </c>
      <c r="Z10" s="134">
        <v>2036</v>
      </c>
      <c r="AA10" s="134">
        <v>2037</v>
      </c>
      <c r="AB10" s="134">
        <v>2038</v>
      </c>
      <c r="AC10" s="134">
        <v>2039</v>
      </c>
      <c r="AD10" s="134">
        <v>2040</v>
      </c>
      <c r="AE10" s="134">
        <v>2041</v>
      </c>
      <c r="AF10" s="134">
        <v>2042</v>
      </c>
      <c r="AG10" s="134">
        <v>2043</v>
      </c>
      <c r="AH10" s="134">
        <v>2044</v>
      </c>
      <c r="AI10" s="134">
        <v>2045</v>
      </c>
    </row>
    <row r="11" spans="1:35" customFormat="1" ht="14.25" x14ac:dyDescent="0.45">
      <c r="B11" s="14" t="s">
        <v>1789</v>
      </c>
      <c r="C11" s="14"/>
      <c r="D11" s="15" t="s">
        <v>2547</v>
      </c>
      <c r="E11" s="16" t="s">
        <v>79</v>
      </c>
      <c r="F11" s="14" t="s">
        <v>1789</v>
      </c>
      <c r="G11" s="125" t="s">
        <v>1842</v>
      </c>
      <c r="H11" s="17"/>
      <c r="I11" t="s">
        <v>2178</v>
      </c>
      <c r="K11" s="136"/>
      <c r="L11" s="137">
        <f>INDEX(Data_Prices!L:L,MATCH($G11,Data_Prices!$A:$A,0))</f>
        <v>0</v>
      </c>
      <c r="M11" s="137">
        <f>INDEX(Data_Prices!M:M,MATCH($G11,Data_Prices!$A:$A,0))</f>
        <v>0</v>
      </c>
      <c r="N11" s="137">
        <f>INDEX(Data_Prices!N:N,MATCH($G11,Data_Prices!$A:$A,0))</f>
        <v>0</v>
      </c>
      <c r="O11" s="137">
        <f>INDEX(Data_Prices!O:O,MATCH($G11,Data_Prices!$A:$A,0))</f>
        <v>0</v>
      </c>
      <c r="P11" s="137">
        <f>INDEX(Data_Prices!P:P,MATCH($G11,Data_Prices!$A:$A,0))</f>
        <v>0</v>
      </c>
      <c r="Q11" s="137">
        <f>INDEX(Data_Prices!Q:Q,MATCH($G11,Data_Prices!$A:$A,0))</f>
        <v>0</v>
      </c>
      <c r="R11" s="137">
        <f>INDEX(Data_Prices!R:R,MATCH($G11,Data_Prices!$A:$A,0))</f>
        <v>0</v>
      </c>
      <c r="S11" s="137">
        <f>INDEX(Data_Prices!S:S,MATCH($G11,Data_Prices!$A:$A,0))</f>
        <v>0</v>
      </c>
      <c r="T11" s="137">
        <f>INDEX(Data_Prices!T:T,MATCH($G11,Data_Prices!$A:$A,0))</f>
        <v>0</v>
      </c>
      <c r="U11" s="137">
        <f>INDEX(Data_Prices!U:U,MATCH($G11,Data_Prices!$A:$A,0))</f>
        <v>0</v>
      </c>
      <c r="V11" s="137">
        <f>INDEX(Data_Prices!V:V,MATCH($G11,Data_Prices!$A:$A,0))</f>
        <v>0</v>
      </c>
      <c r="W11" s="137">
        <f>INDEX(Data_Prices!W:W,MATCH($G11,Data_Prices!$A:$A,0))</f>
        <v>0</v>
      </c>
      <c r="X11" s="137">
        <f>INDEX(Data_Prices!X:X,MATCH($G11,Data_Prices!$A:$A,0))</f>
        <v>0</v>
      </c>
      <c r="Y11" s="137">
        <f>INDEX(Data_Prices!Y:Y,MATCH($G11,Data_Prices!$A:$A,0))</f>
        <v>0</v>
      </c>
      <c r="Z11" s="137">
        <f>INDEX(Data_Prices!Z:Z,MATCH($G11,Data_Prices!$A:$A,0))</f>
        <v>0</v>
      </c>
      <c r="AA11" s="137">
        <f>INDEX(Data_Prices!AA:AA,MATCH($G11,Data_Prices!$A:$A,0))</f>
        <v>0</v>
      </c>
      <c r="AB11" s="137">
        <f>INDEX(Data_Prices!AB:AB,MATCH($G11,Data_Prices!$A:$A,0))</f>
        <v>0</v>
      </c>
      <c r="AC11" s="137">
        <f>INDEX(Data_Prices!AC:AC,MATCH($G11,Data_Prices!$A:$A,0))</f>
        <v>0</v>
      </c>
      <c r="AD11" s="137">
        <f>INDEX(Data_Prices!AD:AD,MATCH($G11,Data_Prices!$A:$A,0))</f>
        <v>0</v>
      </c>
      <c r="AE11" s="137">
        <f>INDEX(Data_Prices!AE:AE,MATCH($G11,Data_Prices!$A:$A,0))</f>
        <v>0</v>
      </c>
      <c r="AF11" s="138"/>
      <c r="AG11" s="138"/>
      <c r="AH11" s="138"/>
      <c r="AI11" s="138"/>
    </row>
    <row r="12" spans="1:35" customFormat="1" ht="14.25" x14ac:dyDescent="0.45">
      <c r="B12" s="14" t="s">
        <v>1397</v>
      </c>
      <c r="C12" s="14"/>
      <c r="D12" s="15" t="s">
        <v>2548</v>
      </c>
      <c r="E12" s="16" t="s">
        <v>1398</v>
      </c>
      <c r="F12" s="14" t="s">
        <v>1397</v>
      </c>
      <c r="G12" s="17"/>
      <c r="H12" s="17"/>
      <c r="I12" t="s">
        <v>2549</v>
      </c>
      <c r="K12" s="136"/>
      <c r="L12" s="137">
        <f>Mitigation_Industry!L$247</f>
        <v>0</v>
      </c>
      <c r="M12" s="137">
        <f>Mitigation_Industry!M$247</f>
        <v>0</v>
      </c>
      <c r="N12" s="137">
        <f>Mitigation_Industry!N$247</f>
        <v>0</v>
      </c>
      <c r="O12" s="137">
        <f>Mitigation_Industry!O$247</f>
        <v>0</v>
      </c>
      <c r="P12" s="137">
        <f>Mitigation_Industry!P$247</f>
        <v>0</v>
      </c>
      <c r="Q12" s="137">
        <f>Mitigation_Industry!Q$247</f>
        <v>0</v>
      </c>
      <c r="R12" s="137">
        <f>Mitigation_Industry!R$247</f>
        <v>0</v>
      </c>
      <c r="S12" s="137">
        <f>Mitigation_Industry!S$247</f>
        <v>0</v>
      </c>
      <c r="T12" s="137">
        <f>Mitigation_Industry!T$247</f>
        <v>0</v>
      </c>
      <c r="U12" s="137">
        <f>Mitigation_Industry!U$247</f>
        <v>0</v>
      </c>
      <c r="V12" s="137">
        <f>Mitigation_Industry!V$247</f>
        <v>0</v>
      </c>
      <c r="W12" s="137">
        <f>Mitigation_Industry!W$247</f>
        <v>0</v>
      </c>
      <c r="X12" s="137">
        <f>Mitigation_Industry!X$247</f>
        <v>0</v>
      </c>
      <c r="Y12" s="137">
        <f>Mitigation_Industry!Y$247</f>
        <v>0</v>
      </c>
      <c r="Z12" s="137">
        <f>Mitigation_Industry!Z$247</f>
        <v>0</v>
      </c>
      <c r="AA12" s="137">
        <f>Mitigation_Industry!AA$247</f>
        <v>0</v>
      </c>
      <c r="AB12" s="137">
        <f>Mitigation_Industry!AB$247</f>
        <v>0</v>
      </c>
      <c r="AC12" s="137">
        <f>Mitigation_Industry!AC$247</f>
        <v>0</v>
      </c>
      <c r="AD12" s="137">
        <f>Mitigation_Industry!AD$247</f>
        <v>0</v>
      </c>
      <c r="AE12" s="137">
        <f>Mitigation_Industry!AE$247</f>
        <v>0</v>
      </c>
      <c r="AF12" s="138"/>
      <c r="AG12" s="138"/>
      <c r="AH12" s="138"/>
      <c r="AI12" s="138"/>
    </row>
    <row r="13" spans="1:35" customFormat="1" ht="14.25" x14ac:dyDescent="0.45">
      <c r="B13" s="14" t="s">
        <v>1401</v>
      </c>
      <c r="C13" s="14"/>
      <c r="D13" s="15" t="s">
        <v>2550</v>
      </c>
      <c r="E13" s="16" t="s">
        <v>1398</v>
      </c>
      <c r="F13" s="14" t="s">
        <v>1401</v>
      </c>
      <c r="G13" s="17"/>
      <c r="H13" s="17"/>
      <c r="I13" t="s">
        <v>2551</v>
      </c>
      <c r="K13" s="136"/>
      <c r="L13" s="137">
        <f>Mitigation_Industry!L$248</f>
        <v>0</v>
      </c>
      <c r="M13" s="137">
        <f>Mitigation_Industry!M$248</f>
        <v>0</v>
      </c>
      <c r="N13" s="137">
        <f>Mitigation_Industry!N$248</f>
        <v>0</v>
      </c>
      <c r="O13" s="137">
        <f>Mitigation_Industry!O$248</f>
        <v>0</v>
      </c>
      <c r="P13" s="137">
        <f>Mitigation_Industry!P$248</f>
        <v>0</v>
      </c>
      <c r="Q13" s="137">
        <f>Mitigation_Industry!Q$248</f>
        <v>0</v>
      </c>
      <c r="R13" s="137">
        <f>Mitigation_Industry!R$248</f>
        <v>0</v>
      </c>
      <c r="S13" s="137">
        <f>Mitigation_Industry!S$248</f>
        <v>0</v>
      </c>
      <c r="T13" s="137">
        <f>Mitigation_Industry!T$248</f>
        <v>0</v>
      </c>
      <c r="U13" s="137">
        <f>Mitigation_Industry!U$248</f>
        <v>0</v>
      </c>
      <c r="V13" s="137">
        <f>Mitigation_Industry!V$248</f>
        <v>0</v>
      </c>
      <c r="W13" s="137">
        <f>Mitigation_Industry!W$248</f>
        <v>0</v>
      </c>
      <c r="X13" s="137">
        <f>Mitigation_Industry!X$248</f>
        <v>0</v>
      </c>
      <c r="Y13" s="137">
        <f>Mitigation_Industry!Y$248</f>
        <v>0</v>
      </c>
      <c r="Z13" s="137">
        <f>Mitigation_Industry!Z$248</f>
        <v>0</v>
      </c>
      <c r="AA13" s="137">
        <f>Mitigation_Industry!AA$248</f>
        <v>0</v>
      </c>
      <c r="AB13" s="137">
        <f>Mitigation_Industry!AB$248</f>
        <v>0</v>
      </c>
      <c r="AC13" s="137">
        <f>Mitigation_Industry!AC$248</f>
        <v>0</v>
      </c>
      <c r="AD13" s="137">
        <f>Mitigation_Industry!AD$248</f>
        <v>0</v>
      </c>
      <c r="AE13" s="137">
        <f>Mitigation_Industry!AE$248</f>
        <v>0</v>
      </c>
      <c r="AF13" s="138"/>
      <c r="AG13" s="138"/>
      <c r="AH13" s="138"/>
      <c r="AI13" s="138"/>
    </row>
    <row r="14" spans="1:35" customFormat="1" ht="14.25" x14ac:dyDescent="0.45">
      <c r="B14" s="14" t="s">
        <v>1775</v>
      </c>
      <c r="C14" s="14"/>
      <c r="D14" s="15" t="s">
        <v>2552</v>
      </c>
      <c r="E14" s="16" t="s">
        <v>1398</v>
      </c>
      <c r="F14" s="14" t="s">
        <v>1775</v>
      </c>
      <c r="G14" s="17"/>
      <c r="H14" s="17"/>
      <c r="I14" t="s">
        <v>2553</v>
      </c>
      <c r="K14" s="136"/>
      <c r="L14" s="137">
        <f>Mitigation_Industry!L$308</f>
        <v>0</v>
      </c>
      <c r="M14" s="137">
        <f>Mitigation_Industry!M$308</f>
        <v>0</v>
      </c>
      <c r="N14" s="137">
        <f>Mitigation_Industry!N$308</f>
        <v>0</v>
      </c>
      <c r="O14" s="137">
        <f>Mitigation_Industry!O$308</f>
        <v>0</v>
      </c>
      <c r="P14" s="137">
        <f>Mitigation_Industry!P$308</f>
        <v>0</v>
      </c>
      <c r="Q14" s="137">
        <f>Mitigation_Industry!Q$308</f>
        <v>0</v>
      </c>
      <c r="R14" s="137">
        <f>Mitigation_Industry!R$308</f>
        <v>0</v>
      </c>
      <c r="S14" s="137">
        <f>Mitigation_Industry!S$308</f>
        <v>0</v>
      </c>
      <c r="T14" s="137">
        <f>Mitigation_Industry!T$308</f>
        <v>0</v>
      </c>
      <c r="U14" s="137">
        <f>Mitigation_Industry!U$308</f>
        <v>0</v>
      </c>
      <c r="V14" s="137">
        <f>Mitigation_Industry!V$308</f>
        <v>0</v>
      </c>
      <c r="W14" s="137">
        <f>Mitigation_Industry!W$308</f>
        <v>0</v>
      </c>
      <c r="X14" s="137">
        <f>Mitigation_Industry!X$308</f>
        <v>0</v>
      </c>
      <c r="Y14" s="137">
        <f>Mitigation_Industry!Y$308</f>
        <v>0</v>
      </c>
      <c r="Z14" s="137">
        <f>Mitigation_Industry!Z$308</f>
        <v>0</v>
      </c>
      <c r="AA14" s="137">
        <f>Mitigation_Industry!AA$308</f>
        <v>0</v>
      </c>
      <c r="AB14" s="137">
        <f>Mitigation_Industry!AB$308</f>
        <v>0</v>
      </c>
      <c r="AC14" s="137">
        <f>Mitigation_Industry!AC$308</f>
        <v>0</v>
      </c>
      <c r="AD14" s="137">
        <f>Mitigation_Industry!AD$308</f>
        <v>0</v>
      </c>
      <c r="AE14" s="137">
        <f>Mitigation_Industry!AE$308</f>
        <v>0</v>
      </c>
      <c r="AF14" s="138"/>
      <c r="AG14" s="138"/>
      <c r="AH14" s="138"/>
      <c r="AI14" s="138"/>
    </row>
    <row r="15" spans="1:35" x14ac:dyDescent="0.35"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</row>
    <row r="16" spans="1:35" customFormat="1" ht="14.25" x14ac:dyDescent="0.45">
      <c r="A16" s="11"/>
      <c r="B16" s="6"/>
      <c r="C16" s="7" t="s">
        <v>2554</v>
      </c>
      <c r="D16" s="6" t="s">
        <v>1488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34">
        <v>2021</v>
      </c>
      <c r="L16" s="135">
        <v>2022</v>
      </c>
      <c r="M16" s="134">
        <v>2023</v>
      </c>
      <c r="N16" s="134">
        <v>2024</v>
      </c>
      <c r="O16" s="134">
        <v>2025</v>
      </c>
      <c r="P16" s="134">
        <v>2026</v>
      </c>
      <c r="Q16" s="134">
        <v>2027</v>
      </c>
      <c r="R16" s="134">
        <v>2028</v>
      </c>
      <c r="S16" s="134">
        <v>2029</v>
      </c>
      <c r="T16" s="134">
        <v>2030</v>
      </c>
      <c r="U16" s="134">
        <v>2031</v>
      </c>
      <c r="V16" s="134">
        <v>2032</v>
      </c>
      <c r="W16" s="134">
        <v>2033</v>
      </c>
      <c r="X16" s="134">
        <v>2034</v>
      </c>
      <c r="Y16" s="134">
        <v>2035</v>
      </c>
      <c r="Z16" s="134">
        <v>2036</v>
      </c>
      <c r="AA16" s="134">
        <v>2037</v>
      </c>
      <c r="AB16" s="134">
        <v>2038</v>
      </c>
      <c r="AC16" s="134">
        <v>2039</v>
      </c>
      <c r="AD16" s="134">
        <v>2040</v>
      </c>
      <c r="AE16" s="134">
        <v>2041</v>
      </c>
      <c r="AF16" s="134">
        <v>2042</v>
      </c>
      <c r="AG16" s="134">
        <v>2043</v>
      </c>
      <c r="AH16" s="134">
        <v>2044</v>
      </c>
      <c r="AI16" s="134">
        <v>2045</v>
      </c>
    </row>
    <row r="17" spans="1:35" customFormat="1" ht="14.25" x14ac:dyDescent="0.45">
      <c r="B17" s="14" t="s">
        <v>1435</v>
      </c>
      <c r="C17" s="14" t="s">
        <v>43</v>
      </c>
      <c r="D17" s="15" t="s">
        <v>2555</v>
      </c>
      <c r="E17" s="16" t="s">
        <v>1398</v>
      </c>
      <c r="F17" s="14" t="s">
        <v>2554</v>
      </c>
      <c r="G17" s="17"/>
      <c r="H17" s="125" t="str">
        <f>Settings!$B$3&amp;".mit.pf.stl.drg.1"</f>
        <v>egy.mit.pf.stl.drg.1</v>
      </c>
      <c r="I17" t="s">
        <v>2556</v>
      </c>
      <c r="K17" s="136"/>
      <c r="L17" s="137">
        <f>Mitigation_Industry!$F$299*L$12+Mitigation_Industry!$G$299*L$13</f>
        <v>0</v>
      </c>
      <c r="M17" s="137">
        <f>Mitigation_Industry!$F$299*M$12+Mitigation_Industry!$G$299*M$13</f>
        <v>0</v>
      </c>
      <c r="N17" s="137">
        <f>Mitigation_Industry!$F$299*N$12+Mitigation_Industry!$G$299*N$13</f>
        <v>0</v>
      </c>
      <c r="O17" s="137">
        <f>Mitigation_Industry!$F$299*O$12+Mitigation_Industry!$G$299*O$13</f>
        <v>0</v>
      </c>
      <c r="P17" s="137">
        <f>Mitigation_Industry!$F$299*P$12+Mitigation_Industry!$G$299*P$13</f>
        <v>0</v>
      </c>
      <c r="Q17" s="137">
        <f>Mitigation_Industry!$F$299*Q$12+Mitigation_Industry!$G$299*Q$13</f>
        <v>0</v>
      </c>
      <c r="R17" s="137">
        <f>Mitigation_Industry!$F$299*R$12+Mitigation_Industry!$G$299*R$13</f>
        <v>0</v>
      </c>
      <c r="S17" s="137">
        <f>Mitigation_Industry!$F$299*S$12+Mitigation_Industry!$G$299*S$13</f>
        <v>0</v>
      </c>
      <c r="T17" s="137">
        <f>Mitigation_Industry!$F$299*T$12+Mitigation_Industry!$G$299*T$13</f>
        <v>0</v>
      </c>
      <c r="U17" s="137">
        <f>Mitigation_Industry!$F$299*U$12+Mitigation_Industry!$G$299*U$13</f>
        <v>0</v>
      </c>
      <c r="V17" s="137">
        <f>Mitigation_Industry!$F$299*V$12+Mitigation_Industry!$G$299*V$13</f>
        <v>0</v>
      </c>
      <c r="W17" s="137">
        <f>Mitigation_Industry!$F$299*W$12+Mitigation_Industry!$G$299*W$13</f>
        <v>0</v>
      </c>
      <c r="X17" s="137">
        <f>Mitigation_Industry!$F$299*X$12+Mitigation_Industry!$G$299*X$13</f>
        <v>0</v>
      </c>
      <c r="Y17" s="137">
        <f>Mitigation_Industry!$F$299*Y$12+Mitigation_Industry!$G$299*Y$13</f>
        <v>0</v>
      </c>
      <c r="Z17" s="137">
        <f>Mitigation_Industry!$F$299*Z$12+Mitigation_Industry!$G$299*Z$13</f>
        <v>0</v>
      </c>
      <c r="AA17" s="137">
        <f>Mitigation_Industry!$F$299*AA$12+Mitigation_Industry!$G$299*AA$13</f>
        <v>0</v>
      </c>
      <c r="AB17" s="137">
        <f>Mitigation_Industry!$F$299*AB$12+Mitigation_Industry!$G$299*AB$13</f>
        <v>0</v>
      </c>
      <c r="AC17" s="137">
        <f>Mitigation_Industry!$F$299*AC$12+Mitigation_Industry!$G$299*AC$13</f>
        <v>0</v>
      </c>
      <c r="AD17" s="137">
        <f>Mitigation_Industry!$F$299*AD$12+Mitigation_Industry!$G$299*AD$13</f>
        <v>0</v>
      </c>
      <c r="AE17" s="137">
        <f>Mitigation_Industry!$F$299*AE$12+Mitigation_Industry!$G$299*AE$13</f>
        <v>0</v>
      </c>
      <c r="AF17" s="138"/>
      <c r="AG17" s="138"/>
      <c r="AH17" s="138"/>
      <c r="AI17" s="138"/>
    </row>
    <row r="18" spans="1:35" customFormat="1" ht="14.25" x14ac:dyDescent="0.45">
      <c r="B18" s="14" t="s">
        <v>1438</v>
      </c>
      <c r="C18" s="14" t="s">
        <v>43</v>
      </c>
      <c r="D18" s="15" t="s">
        <v>2557</v>
      </c>
      <c r="E18" s="16" t="s">
        <v>1398</v>
      </c>
      <c r="F18" s="14" t="s">
        <v>2554</v>
      </c>
      <c r="G18" s="17"/>
      <c r="H18" s="125" t="str">
        <f>Settings!$B$3&amp;".mit.pf.stl.scr.1"</f>
        <v>egy.mit.pf.stl.scr.1</v>
      </c>
      <c r="K18" s="136"/>
      <c r="L18" s="137">
        <f>Mitigation_Industry!$F$300*L$12+Mitigation_Industry!$G$300*L$13</f>
        <v>0</v>
      </c>
      <c r="M18" s="137">
        <f>Mitigation_Industry!$F$300*M$12+Mitigation_Industry!$G$300*M$13</f>
        <v>0</v>
      </c>
      <c r="N18" s="137">
        <f>Mitigation_Industry!$F$300*N$12+Mitigation_Industry!$G$300*N$13</f>
        <v>0</v>
      </c>
      <c r="O18" s="137">
        <f>Mitigation_Industry!$F$300*O$12+Mitigation_Industry!$G$300*O$13</f>
        <v>0</v>
      </c>
      <c r="P18" s="137">
        <f>Mitigation_Industry!$F$300*P$12+Mitigation_Industry!$G$300*P$13</f>
        <v>0</v>
      </c>
      <c r="Q18" s="137">
        <f>Mitigation_Industry!$F$300*Q$12+Mitigation_Industry!$G$300*Q$13</f>
        <v>0</v>
      </c>
      <c r="R18" s="137">
        <f>Mitigation_Industry!$F$300*R$12+Mitigation_Industry!$G$300*R$13</f>
        <v>0</v>
      </c>
      <c r="S18" s="137">
        <f>Mitigation_Industry!$F$300*S$12+Mitigation_Industry!$G$300*S$13</f>
        <v>0</v>
      </c>
      <c r="T18" s="137">
        <f>Mitigation_Industry!$F$300*T$12+Mitigation_Industry!$G$300*T$13</f>
        <v>0</v>
      </c>
      <c r="U18" s="137">
        <f>Mitigation_Industry!$F$300*U$12+Mitigation_Industry!$G$300*U$13</f>
        <v>0</v>
      </c>
      <c r="V18" s="137">
        <f>Mitigation_Industry!$F$300*V$12+Mitigation_Industry!$G$300*V$13</f>
        <v>0</v>
      </c>
      <c r="W18" s="137">
        <f>Mitigation_Industry!$F$300*W$12+Mitigation_Industry!$G$300*W$13</f>
        <v>0</v>
      </c>
      <c r="X18" s="137">
        <f>Mitigation_Industry!$F$300*X$12+Mitigation_Industry!$G$300*X$13</f>
        <v>0</v>
      </c>
      <c r="Y18" s="137">
        <f>Mitigation_Industry!$F$300*Y$12+Mitigation_Industry!$G$300*Y$13</f>
        <v>0</v>
      </c>
      <c r="Z18" s="137">
        <f>Mitigation_Industry!$F$300*Z$12+Mitigation_Industry!$G$300*Z$13</f>
        <v>0</v>
      </c>
      <c r="AA18" s="137">
        <f>Mitigation_Industry!$F$300*AA$12+Mitigation_Industry!$G$300*AA$13</f>
        <v>0</v>
      </c>
      <c r="AB18" s="137">
        <f>Mitigation_Industry!$F$300*AB$12+Mitigation_Industry!$G$300*AB$13</f>
        <v>0</v>
      </c>
      <c r="AC18" s="137">
        <f>Mitigation_Industry!$F$300*AC$12+Mitigation_Industry!$G$300*AC$13</f>
        <v>0</v>
      </c>
      <c r="AD18" s="137">
        <f>Mitigation_Industry!$F$300*AD$12+Mitigation_Industry!$G$300*AD$13</f>
        <v>0</v>
      </c>
      <c r="AE18" s="137">
        <f>Mitigation_Industry!$F$300*AE$12+Mitigation_Industry!$G$300*AE$13</f>
        <v>0</v>
      </c>
      <c r="AF18" s="138"/>
      <c r="AG18" s="138"/>
      <c r="AH18" s="138"/>
      <c r="AI18" s="138"/>
    </row>
    <row r="19" spans="1:35" customFormat="1" ht="14.25" x14ac:dyDescent="0.45">
      <c r="B19" s="14" t="s">
        <v>1441</v>
      </c>
      <c r="C19" s="14" t="s">
        <v>43</v>
      </c>
      <c r="D19" s="15" t="s">
        <v>2558</v>
      </c>
      <c r="E19" s="16" t="s">
        <v>1398</v>
      </c>
      <c r="F19" s="14" t="s">
        <v>2554</v>
      </c>
      <c r="G19" s="17"/>
      <c r="H19" s="125" t="str">
        <f>Settings!$B$3&amp;".mit.pf.stl.bof.1"</f>
        <v>egy.mit.pf.stl.bof.1</v>
      </c>
      <c r="K19" s="136"/>
      <c r="L19" s="137">
        <f>Mitigation_Industry!$F$301*L$12+Mitigation_Industry!$G$301*L$13</f>
        <v>0</v>
      </c>
      <c r="M19" s="137">
        <f>Mitigation_Industry!$F$301*M$12+Mitigation_Industry!$G$301*M$13</f>
        <v>0</v>
      </c>
      <c r="N19" s="137">
        <f>Mitigation_Industry!$F$301*N$12+Mitigation_Industry!$G$301*N$13</f>
        <v>0</v>
      </c>
      <c r="O19" s="137">
        <f>Mitigation_Industry!$F$301*O$12+Mitigation_Industry!$G$301*O$13</f>
        <v>0</v>
      </c>
      <c r="P19" s="137">
        <f>Mitigation_Industry!$F$301*P$12+Mitigation_Industry!$G$301*P$13</f>
        <v>0</v>
      </c>
      <c r="Q19" s="137">
        <f>Mitigation_Industry!$F$301*Q$12+Mitigation_Industry!$G$301*Q$13</f>
        <v>0</v>
      </c>
      <c r="R19" s="137">
        <f>Mitigation_Industry!$F$301*R$12+Mitigation_Industry!$G$301*R$13</f>
        <v>0</v>
      </c>
      <c r="S19" s="137">
        <f>Mitigation_Industry!$F$301*S$12+Mitigation_Industry!$G$301*S$13</f>
        <v>0</v>
      </c>
      <c r="T19" s="137">
        <f>Mitigation_Industry!$F$301*T$12+Mitigation_Industry!$G$301*T$13</f>
        <v>0</v>
      </c>
      <c r="U19" s="137">
        <f>Mitigation_Industry!$F$301*U$12+Mitigation_Industry!$G$301*U$13</f>
        <v>0</v>
      </c>
      <c r="V19" s="137">
        <f>Mitigation_Industry!$F$301*V$12+Mitigation_Industry!$G$301*V$13</f>
        <v>0</v>
      </c>
      <c r="W19" s="137">
        <f>Mitigation_Industry!$F$301*W$12+Mitigation_Industry!$G$301*W$13</f>
        <v>0</v>
      </c>
      <c r="X19" s="137">
        <f>Mitigation_Industry!$F$301*X$12+Mitigation_Industry!$G$301*X$13</f>
        <v>0</v>
      </c>
      <c r="Y19" s="137">
        <f>Mitigation_Industry!$F$301*Y$12+Mitigation_Industry!$G$301*Y$13</f>
        <v>0</v>
      </c>
      <c r="Z19" s="137">
        <f>Mitigation_Industry!$F$301*Z$12+Mitigation_Industry!$G$301*Z$13</f>
        <v>0</v>
      </c>
      <c r="AA19" s="137">
        <f>Mitigation_Industry!$F$301*AA$12+Mitigation_Industry!$G$301*AA$13</f>
        <v>0</v>
      </c>
      <c r="AB19" s="137">
        <f>Mitigation_Industry!$F$301*AB$12+Mitigation_Industry!$G$301*AB$13</f>
        <v>0</v>
      </c>
      <c r="AC19" s="137">
        <f>Mitigation_Industry!$F$301*AC$12+Mitigation_Industry!$G$301*AC$13</f>
        <v>0</v>
      </c>
      <c r="AD19" s="137">
        <f>Mitigation_Industry!$F$301*AD$12+Mitigation_Industry!$G$301*AD$13</f>
        <v>0</v>
      </c>
      <c r="AE19" s="137">
        <f>Mitigation_Industry!$F$301*AE$12+Mitigation_Industry!$G$301*AE$13</f>
        <v>0</v>
      </c>
      <c r="AF19" s="138"/>
      <c r="AG19" s="138"/>
      <c r="AH19" s="138"/>
      <c r="AI19" s="138"/>
    </row>
    <row r="20" spans="1:35" customFormat="1" ht="14.25" x14ac:dyDescent="0.45">
      <c r="B20" s="14" t="s">
        <v>1444</v>
      </c>
      <c r="C20" s="14" t="s">
        <v>113</v>
      </c>
      <c r="D20" s="15" t="s">
        <v>2559</v>
      </c>
      <c r="E20" s="16" t="s">
        <v>1398</v>
      </c>
      <c r="F20" s="14" t="s">
        <v>2554</v>
      </c>
      <c r="G20" s="17"/>
      <c r="H20" s="125" t="str">
        <f>Settings!$B$3&amp;".mit.pf.cmt.dry.1"</f>
        <v>egy.mit.pf.cmt.dry.1</v>
      </c>
      <c r="K20" s="136"/>
      <c r="L20" s="137">
        <f>Mitigation_Industry!$F$302*L$12+Mitigation_Industry!$G$302*L$13</f>
        <v>0</v>
      </c>
      <c r="M20" s="137">
        <f>Mitigation_Industry!$F$302*M$12+Mitigation_Industry!$G$302*M$13</f>
        <v>0</v>
      </c>
      <c r="N20" s="137">
        <f>Mitigation_Industry!$F$302*N$12+Mitigation_Industry!$G$302*N$13</f>
        <v>0</v>
      </c>
      <c r="O20" s="137">
        <f>Mitigation_Industry!$F$302*O$12+Mitigation_Industry!$G$302*O$13</f>
        <v>0</v>
      </c>
      <c r="P20" s="137">
        <f>Mitigation_Industry!$F$302*P$12+Mitigation_Industry!$G$302*P$13</f>
        <v>0</v>
      </c>
      <c r="Q20" s="137">
        <f>Mitigation_Industry!$F$302*Q$12+Mitigation_Industry!$G$302*Q$13</f>
        <v>0</v>
      </c>
      <c r="R20" s="137">
        <f>Mitigation_Industry!$F$302*R$12+Mitigation_Industry!$G$302*R$13</f>
        <v>0</v>
      </c>
      <c r="S20" s="137">
        <f>Mitigation_Industry!$F$302*S$12+Mitigation_Industry!$G$302*S$13</f>
        <v>0</v>
      </c>
      <c r="T20" s="137">
        <f>Mitigation_Industry!$F$302*T$12+Mitigation_Industry!$G$302*T$13</f>
        <v>0</v>
      </c>
      <c r="U20" s="137">
        <f>Mitigation_Industry!$F$302*U$12+Mitigation_Industry!$G$302*U$13</f>
        <v>0</v>
      </c>
      <c r="V20" s="137">
        <f>Mitigation_Industry!$F$302*V$12+Mitigation_Industry!$G$302*V$13</f>
        <v>0</v>
      </c>
      <c r="W20" s="137">
        <f>Mitigation_Industry!$F$302*W$12+Mitigation_Industry!$G$302*W$13</f>
        <v>0</v>
      </c>
      <c r="X20" s="137">
        <f>Mitigation_Industry!$F$302*X$12+Mitigation_Industry!$G$302*X$13</f>
        <v>0</v>
      </c>
      <c r="Y20" s="137">
        <f>Mitigation_Industry!$F$302*Y$12+Mitigation_Industry!$G$302*Y$13</f>
        <v>0</v>
      </c>
      <c r="Z20" s="137">
        <f>Mitigation_Industry!$F$302*Z$12+Mitigation_Industry!$G$302*Z$13</f>
        <v>0</v>
      </c>
      <c r="AA20" s="137">
        <f>Mitigation_Industry!$F$302*AA$12+Mitigation_Industry!$G$302*AA$13</f>
        <v>0</v>
      </c>
      <c r="AB20" s="137">
        <f>Mitigation_Industry!$F$302*AB$12+Mitigation_Industry!$G$302*AB$13</f>
        <v>0</v>
      </c>
      <c r="AC20" s="137">
        <f>Mitigation_Industry!$F$302*AC$12+Mitigation_Industry!$G$302*AC$13</f>
        <v>0</v>
      </c>
      <c r="AD20" s="137">
        <f>Mitigation_Industry!$F$302*AD$12+Mitigation_Industry!$G$302*AD$13</f>
        <v>0</v>
      </c>
      <c r="AE20" s="137">
        <f>Mitigation_Industry!$F$302*AE$12+Mitigation_Industry!$G$302*AE$13</f>
        <v>0</v>
      </c>
      <c r="AF20" s="138"/>
      <c r="AG20" s="138"/>
      <c r="AH20" s="138"/>
      <c r="AI20" s="138"/>
    </row>
    <row r="21" spans="1:35" customFormat="1" ht="14.25" x14ac:dyDescent="0.45">
      <c r="B21" s="14" t="s">
        <v>1447</v>
      </c>
      <c r="C21" s="14" t="s">
        <v>117</v>
      </c>
      <c r="D21" s="15" t="s">
        <v>2560</v>
      </c>
      <c r="E21" s="16" t="s">
        <v>1398</v>
      </c>
      <c r="F21" s="14" t="s">
        <v>2554</v>
      </c>
      <c r="G21" s="17"/>
      <c r="H21" s="125" t="str">
        <f>Settings!$B$3&amp;".mit.pf.frt.amc.1"</f>
        <v>egy.mit.pf.frt.amc.1</v>
      </c>
      <c r="K21" s="136"/>
      <c r="L21" s="137">
        <f>Mitigation_Industry!$F$303*L$12+Mitigation_Industry!$G$303*L$13</f>
        <v>0</v>
      </c>
      <c r="M21" s="137">
        <f>Mitigation_Industry!$F$303*M$12+Mitigation_Industry!$G$303*M$13</f>
        <v>0</v>
      </c>
      <c r="N21" s="137">
        <f>Mitigation_Industry!$F$303*N$12+Mitigation_Industry!$G$303*N$13</f>
        <v>0</v>
      </c>
      <c r="O21" s="137">
        <f>Mitigation_Industry!$F$303*O$12+Mitigation_Industry!$G$303*O$13</f>
        <v>0</v>
      </c>
      <c r="P21" s="137">
        <f>Mitigation_Industry!$F$303*P$12+Mitigation_Industry!$G$303*P$13</f>
        <v>0</v>
      </c>
      <c r="Q21" s="137">
        <f>Mitigation_Industry!$F$303*Q$12+Mitigation_Industry!$G$303*Q$13</f>
        <v>0</v>
      </c>
      <c r="R21" s="137">
        <f>Mitigation_Industry!$F$303*R$12+Mitigation_Industry!$G$303*R$13</f>
        <v>0</v>
      </c>
      <c r="S21" s="137">
        <f>Mitigation_Industry!$F$303*S$12+Mitigation_Industry!$G$303*S$13</f>
        <v>0</v>
      </c>
      <c r="T21" s="137">
        <f>Mitigation_Industry!$F$303*T$12+Mitigation_Industry!$G$303*T$13</f>
        <v>0</v>
      </c>
      <c r="U21" s="137">
        <f>Mitigation_Industry!$F$303*U$12+Mitigation_Industry!$G$303*U$13</f>
        <v>0</v>
      </c>
      <c r="V21" s="137">
        <f>Mitigation_Industry!$F$303*V$12+Mitigation_Industry!$G$303*V$13</f>
        <v>0</v>
      </c>
      <c r="W21" s="137">
        <f>Mitigation_Industry!$F$303*W$12+Mitigation_Industry!$G$303*W$13</f>
        <v>0</v>
      </c>
      <c r="X21" s="137">
        <f>Mitigation_Industry!$F$303*X$12+Mitigation_Industry!$G$303*X$13</f>
        <v>0</v>
      </c>
      <c r="Y21" s="137">
        <f>Mitigation_Industry!$F$303*Y$12+Mitigation_Industry!$G$303*Y$13</f>
        <v>0</v>
      </c>
      <c r="Z21" s="137">
        <f>Mitigation_Industry!$F$303*Z$12+Mitigation_Industry!$G$303*Z$13</f>
        <v>0</v>
      </c>
      <c r="AA21" s="137">
        <f>Mitigation_Industry!$F$303*AA$12+Mitigation_Industry!$G$303*AA$13</f>
        <v>0</v>
      </c>
      <c r="AB21" s="137">
        <f>Mitigation_Industry!$F$303*AB$12+Mitigation_Industry!$G$303*AB$13</f>
        <v>0</v>
      </c>
      <c r="AC21" s="137">
        <f>Mitigation_Industry!$F$303*AC$12+Mitigation_Industry!$G$303*AC$13</f>
        <v>0</v>
      </c>
      <c r="AD21" s="137">
        <f>Mitigation_Industry!$F$303*AD$12+Mitigation_Industry!$G$303*AD$13</f>
        <v>0</v>
      </c>
      <c r="AE21" s="137">
        <f>Mitigation_Industry!$F$303*AE$12+Mitigation_Industry!$G$303*AE$13</f>
        <v>0</v>
      </c>
      <c r="AF21" s="138"/>
      <c r="AG21" s="138"/>
      <c r="AH21" s="138"/>
      <c r="AI21" s="138"/>
    </row>
    <row r="22" spans="1:35" customFormat="1" ht="14.25" x14ac:dyDescent="0.45">
      <c r="B22" s="14" t="s">
        <v>1450</v>
      </c>
      <c r="C22" s="14" t="s">
        <v>117</v>
      </c>
      <c r="D22" s="15" t="s">
        <v>2561</v>
      </c>
      <c r="E22" s="16" t="s">
        <v>1398</v>
      </c>
      <c r="F22" s="14" t="s">
        <v>2554</v>
      </c>
      <c r="G22" s="17"/>
      <c r="H22" s="125" t="str">
        <f>Settings!$B$3&amp;".mit.pf.frt.ure.1"</f>
        <v>egy.mit.pf.frt.ure.1</v>
      </c>
      <c r="K22" s="136"/>
      <c r="L22" s="137">
        <f>Mitigation_Industry!$F$304*L$12+Mitigation_Industry!$G$304*L$13</f>
        <v>0</v>
      </c>
      <c r="M22" s="137">
        <f>Mitigation_Industry!$F$304*M$12+Mitigation_Industry!$G$304*M$13</f>
        <v>0</v>
      </c>
      <c r="N22" s="137">
        <f>Mitigation_Industry!$F$304*N$12+Mitigation_Industry!$G$304*N$13</f>
        <v>0</v>
      </c>
      <c r="O22" s="137">
        <f>Mitigation_Industry!$F$304*O$12+Mitigation_Industry!$G$304*O$13</f>
        <v>0</v>
      </c>
      <c r="P22" s="137">
        <f>Mitigation_Industry!$F$304*P$12+Mitigation_Industry!$G$304*P$13</f>
        <v>0</v>
      </c>
      <c r="Q22" s="137">
        <f>Mitigation_Industry!$F$304*Q$12+Mitigation_Industry!$G$304*Q$13</f>
        <v>0</v>
      </c>
      <c r="R22" s="137">
        <f>Mitigation_Industry!$F$304*R$12+Mitigation_Industry!$G$304*R$13</f>
        <v>0</v>
      </c>
      <c r="S22" s="137">
        <f>Mitigation_Industry!$F$304*S$12+Mitigation_Industry!$G$304*S$13</f>
        <v>0</v>
      </c>
      <c r="T22" s="137">
        <f>Mitigation_Industry!$F$304*T$12+Mitigation_Industry!$G$304*T$13</f>
        <v>0</v>
      </c>
      <c r="U22" s="137">
        <f>Mitigation_Industry!$F$304*U$12+Mitigation_Industry!$G$304*U$13</f>
        <v>0</v>
      </c>
      <c r="V22" s="137">
        <f>Mitigation_Industry!$F$304*V$12+Mitigation_Industry!$G$304*V$13</f>
        <v>0</v>
      </c>
      <c r="W22" s="137">
        <f>Mitigation_Industry!$F$304*W$12+Mitigation_Industry!$G$304*W$13</f>
        <v>0</v>
      </c>
      <c r="X22" s="137">
        <f>Mitigation_Industry!$F$304*X$12+Mitigation_Industry!$G$304*X$13</f>
        <v>0</v>
      </c>
      <c r="Y22" s="137">
        <f>Mitigation_Industry!$F$304*Y$12+Mitigation_Industry!$G$304*Y$13</f>
        <v>0</v>
      </c>
      <c r="Z22" s="137">
        <f>Mitigation_Industry!$F$304*Z$12+Mitigation_Industry!$G$304*Z$13</f>
        <v>0</v>
      </c>
      <c r="AA22" s="137">
        <f>Mitigation_Industry!$F$304*AA$12+Mitigation_Industry!$G$304*AA$13</f>
        <v>0</v>
      </c>
      <c r="AB22" s="137">
        <f>Mitigation_Industry!$F$304*AB$12+Mitigation_Industry!$G$304*AB$13</f>
        <v>0</v>
      </c>
      <c r="AC22" s="137">
        <f>Mitigation_Industry!$F$304*AC$12+Mitigation_Industry!$G$304*AC$13</f>
        <v>0</v>
      </c>
      <c r="AD22" s="137">
        <f>Mitigation_Industry!$F$304*AD$12+Mitigation_Industry!$G$304*AD$13</f>
        <v>0</v>
      </c>
      <c r="AE22" s="137">
        <f>Mitigation_Industry!$F$304*AE$12+Mitigation_Industry!$G$304*AE$13</f>
        <v>0</v>
      </c>
      <c r="AF22" s="138"/>
      <c r="AG22" s="138"/>
      <c r="AH22" s="138"/>
      <c r="AI22" s="138"/>
    </row>
    <row r="23" spans="1:35" customFormat="1" ht="14.25" x14ac:dyDescent="0.45">
      <c r="B23" s="14" t="s">
        <v>1453</v>
      </c>
      <c r="C23" s="14" t="s">
        <v>117</v>
      </c>
      <c r="D23" s="15" t="s">
        <v>2562</v>
      </c>
      <c r="E23" s="16" t="s">
        <v>1398</v>
      </c>
      <c r="F23" s="14" t="s">
        <v>2554</v>
      </c>
      <c r="G23" s="17"/>
      <c r="H23" s="125" t="str">
        <f>Settings!$B$3&amp;".mit.pf.frt.nit.1"</f>
        <v>egy.mit.pf.frt.nit.1</v>
      </c>
      <c r="K23" s="136"/>
      <c r="L23" s="137">
        <f>Mitigation_Industry!$F$305*L$12+Mitigation_Industry!$G$305*L$13</f>
        <v>0</v>
      </c>
      <c r="M23" s="137">
        <f>Mitigation_Industry!$F$305*M$12+Mitigation_Industry!$G$305*M$13</f>
        <v>0</v>
      </c>
      <c r="N23" s="137">
        <f>Mitigation_Industry!$F$305*N$12+Mitigation_Industry!$G$305*N$13</f>
        <v>0</v>
      </c>
      <c r="O23" s="137">
        <f>Mitigation_Industry!$F$305*O$12+Mitigation_Industry!$G$305*O$13</f>
        <v>0</v>
      </c>
      <c r="P23" s="137">
        <f>Mitigation_Industry!$F$305*P$12+Mitigation_Industry!$G$305*P$13</f>
        <v>0</v>
      </c>
      <c r="Q23" s="137">
        <f>Mitigation_Industry!$F$305*Q$12+Mitigation_Industry!$G$305*Q$13</f>
        <v>0</v>
      </c>
      <c r="R23" s="137">
        <f>Mitigation_Industry!$F$305*R$12+Mitigation_Industry!$G$305*R$13</f>
        <v>0</v>
      </c>
      <c r="S23" s="137">
        <f>Mitigation_Industry!$F$305*S$12+Mitigation_Industry!$G$305*S$13</f>
        <v>0</v>
      </c>
      <c r="T23" s="137">
        <f>Mitigation_Industry!$F$305*T$12+Mitigation_Industry!$G$305*T$13</f>
        <v>0</v>
      </c>
      <c r="U23" s="137">
        <f>Mitigation_Industry!$F$305*U$12+Mitigation_Industry!$G$305*U$13</f>
        <v>0</v>
      </c>
      <c r="V23" s="137">
        <f>Mitigation_Industry!$F$305*V$12+Mitigation_Industry!$G$305*V$13</f>
        <v>0</v>
      </c>
      <c r="W23" s="137">
        <f>Mitigation_Industry!$F$305*W$12+Mitigation_Industry!$G$305*W$13</f>
        <v>0</v>
      </c>
      <c r="X23" s="137">
        <f>Mitigation_Industry!$F$305*X$12+Mitigation_Industry!$G$305*X$13</f>
        <v>0</v>
      </c>
      <c r="Y23" s="137">
        <f>Mitigation_Industry!$F$305*Y$12+Mitigation_Industry!$G$305*Y$13</f>
        <v>0</v>
      </c>
      <c r="Z23" s="137">
        <f>Mitigation_Industry!$F$305*Z$12+Mitigation_Industry!$G$305*Z$13</f>
        <v>0</v>
      </c>
      <c r="AA23" s="137">
        <f>Mitigation_Industry!$F$305*AA$12+Mitigation_Industry!$G$305*AA$13</f>
        <v>0</v>
      </c>
      <c r="AB23" s="137">
        <f>Mitigation_Industry!$F$305*AB$12+Mitigation_Industry!$G$305*AB$13</f>
        <v>0</v>
      </c>
      <c r="AC23" s="137">
        <f>Mitigation_Industry!$F$305*AC$12+Mitigation_Industry!$G$305*AC$13</f>
        <v>0</v>
      </c>
      <c r="AD23" s="137">
        <f>Mitigation_Industry!$F$305*AD$12+Mitigation_Industry!$G$305*AD$13</f>
        <v>0</v>
      </c>
      <c r="AE23" s="137">
        <f>Mitigation_Industry!$F$305*AE$12+Mitigation_Industry!$G$305*AE$13</f>
        <v>0</v>
      </c>
      <c r="AF23" s="138"/>
      <c r="AG23" s="138"/>
      <c r="AH23" s="138"/>
      <c r="AI23" s="138"/>
    </row>
    <row r="24" spans="1:35" customFormat="1" ht="14.25" x14ac:dyDescent="0.45">
      <c r="B24" s="14" t="s">
        <v>1456</v>
      </c>
      <c r="C24" s="14" t="s">
        <v>115</v>
      </c>
      <c r="D24" s="15" t="s">
        <v>2563</v>
      </c>
      <c r="E24" s="16" t="s">
        <v>1398</v>
      </c>
      <c r="F24" s="14" t="s">
        <v>2554</v>
      </c>
      <c r="G24" s="17"/>
      <c r="H24" s="125" t="str">
        <f>Settings!$B$3&amp;".mit.pf.alu.prp.1"</f>
        <v>egy.mit.pf.alu.prp.1</v>
      </c>
      <c r="K24" s="136"/>
      <c r="L24" s="137">
        <f>Mitigation_Industry!$F$306*L$12+Mitigation_Industry!$G$306*L$13</f>
        <v>0</v>
      </c>
      <c r="M24" s="137">
        <f>Mitigation_Industry!$F$306*M$12+Mitigation_Industry!$G$306*M$13</f>
        <v>0</v>
      </c>
      <c r="N24" s="137">
        <f>Mitigation_Industry!$F$306*N$12+Mitigation_Industry!$G$306*N$13</f>
        <v>0</v>
      </c>
      <c r="O24" s="137">
        <f>Mitigation_Industry!$F$306*O$12+Mitigation_Industry!$G$306*O$13</f>
        <v>0</v>
      </c>
      <c r="P24" s="137">
        <f>Mitigation_Industry!$F$306*P$12+Mitigation_Industry!$G$306*P$13</f>
        <v>0</v>
      </c>
      <c r="Q24" s="137">
        <f>Mitigation_Industry!$F$306*Q$12+Mitigation_Industry!$G$306*Q$13</f>
        <v>0</v>
      </c>
      <c r="R24" s="137">
        <f>Mitigation_Industry!$F$306*R$12+Mitigation_Industry!$G$306*R$13</f>
        <v>0</v>
      </c>
      <c r="S24" s="137">
        <f>Mitigation_Industry!$F$306*S$12+Mitigation_Industry!$G$306*S$13</f>
        <v>0</v>
      </c>
      <c r="T24" s="137">
        <f>Mitigation_Industry!$F$306*T$12+Mitigation_Industry!$G$306*T$13</f>
        <v>0</v>
      </c>
      <c r="U24" s="137">
        <f>Mitigation_Industry!$F$306*U$12+Mitigation_Industry!$G$306*U$13</f>
        <v>0</v>
      </c>
      <c r="V24" s="137">
        <f>Mitigation_Industry!$F$306*V$12+Mitigation_Industry!$G$306*V$13</f>
        <v>0</v>
      </c>
      <c r="W24" s="137">
        <f>Mitigation_Industry!$F$306*W$12+Mitigation_Industry!$G$306*W$13</f>
        <v>0</v>
      </c>
      <c r="X24" s="137">
        <f>Mitigation_Industry!$F$306*X$12+Mitigation_Industry!$G$306*X$13</f>
        <v>0</v>
      </c>
      <c r="Y24" s="137">
        <f>Mitigation_Industry!$F$306*Y$12+Mitigation_Industry!$G$306*Y$13</f>
        <v>0</v>
      </c>
      <c r="Z24" s="137">
        <f>Mitigation_Industry!$F$306*Z$12+Mitigation_Industry!$G$306*Z$13</f>
        <v>0</v>
      </c>
      <c r="AA24" s="137">
        <f>Mitigation_Industry!$F$306*AA$12+Mitigation_Industry!$G$306*AA$13</f>
        <v>0</v>
      </c>
      <c r="AB24" s="137">
        <f>Mitigation_Industry!$F$306*AB$12+Mitigation_Industry!$G$306*AB$13</f>
        <v>0</v>
      </c>
      <c r="AC24" s="137">
        <f>Mitigation_Industry!$F$306*AC$12+Mitigation_Industry!$G$306*AC$13</f>
        <v>0</v>
      </c>
      <c r="AD24" s="137">
        <f>Mitigation_Industry!$F$306*AD$12+Mitigation_Industry!$G$306*AD$13</f>
        <v>0</v>
      </c>
      <c r="AE24" s="137">
        <f>Mitigation_Industry!$F$306*AE$12+Mitigation_Industry!$G$306*AE$13</f>
        <v>0</v>
      </c>
      <c r="AF24" s="138"/>
      <c r="AG24" s="138"/>
      <c r="AH24" s="138"/>
      <c r="AI24" s="138"/>
    </row>
    <row r="25" spans="1:35" x14ac:dyDescent="0.35"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</row>
    <row r="26" spans="1:35" customFormat="1" ht="14.25" x14ac:dyDescent="0.45">
      <c r="A26" s="11"/>
      <c r="B26" s="6"/>
      <c r="C26" s="7" t="s">
        <v>2564</v>
      </c>
      <c r="D26" s="6" t="s">
        <v>1488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34">
        <v>2021</v>
      </c>
      <c r="L26" s="135">
        <v>2022</v>
      </c>
      <c r="M26" s="134">
        <v>2023</v>
      </c>
      <c r="N26" s="134">
        <v>2024</v>
      </c>
      <c r="O26" s="134">
        <v>2025</v>
      </c>
      <c r="P26" s="134">
        <v>2026</v>
      </c>
      <c r="Q26" s="134">
        <v>2027</v>
      </c>
      <c r="R26" s="134">
        <v>2028</v>
      </c>
      <c r="S26" s="134">
        <v>2029</v>
      </c>
      <c r="T26" s="134">
        <v>2030</v>
      </c>
      <c r="U26" s="134">
        <v>2031</v>
      </c>
      <c r="V26" s="134">
        <v>2032</v>
      </c>
      <c r="W26" s="134">
        <v>2033</v>
      </c>
      <c r="X26" s="134">
        <v>2034</v>
      </c>
      <c r="Y26" s="134">
        <v>2035</v>
      </c>
      <c r="Z26" s="134">
        <v>2036</v>
      </c>
      <c r="AA26" s="134">
        <v>2037</v>
      </c>
      <c r="AB26" s="134">
        <v>2038</v>
      </c>
      <c r="AC26" s="134">
        <v>2039</v>
      </c>
      <c r="AD26" s="134">
        <v>2040</v>
      </c>
      <c r="AE26" s="134">
        <v>2041</v>
      </c>
      <c r="AF26" s="134">
        <v>2042</v>
      </c>
      <c r="AG26" s="134">
        <v>2043</v>
      </c>
      <c r="AH26" s="134">
        <v>2044</v>
      </c>
      <c r="AI26" s="134">
        <v>2045</v>
      </c>
    </row>
    <row r="27" spans="1:35" customFormat="1" ht="14.25" x14ac:dyDescent="0.45">
      <c r="B27" s="14" t="s">
        <v>2565</v>
      </c>
      <c r="C27" s="14" t="s">
        <v>43</v>
      </c>
      <c r="D27" s="15" t="s">
        <v>2566</v>
      </c>
      <c r="E27" s="16" t="s">
        <v>1398</v>
      </c>
      <c r="F27" s="14" t="s">
        <v>2564</v>
      </c>
      <c r="G27" s="17"/>
      <c r="H27" s="125" t="str">
        <f>Settings!$B$3&amp;".mit.pp.stl.drg.np.1"</f>
        <v>egy.mit.pp.stl.drg.np.1</v>
      </c>
      <c r="I27" t="s">
        <v>2567</v>
      </c>
      <c r="K27" s="136"/>
      <c r="L27" s="137">
        <f>Mitigation_Industry!$F$310*L$14+Mitigation_Industry!$G$310*L$13</f>
        <v>0</v>
      </c>
      <c r="M27" s="137">
        <f>Mitigation_Industry!$F$310*M$14+Mitigation_Industry!$G$310*M$13</f>
        <v>0</v>
      </c>
      <c r="N27" s="137">
        <f>Mitigation_Industry!$F$310*N$14+Mitigation_Industry!$G$310*N$13</f>
        <v>0</v>
      </c>
      <c r="O27" s="137">
        <f>Mitigation_Industry!$F$310*O$14+Mitigation_Industry!$G$310*O$13</f>
        <v>0</v>
      </c>
      <c r="P27" s="137">
        <f>Mitigation_Industry!$F$310*P$14+Mitigation_Industry!$G$310*P$13</f>
        <v>0</v>
      </c>
      <c r="Q27" s="137">
        <f>Mitigation_Industry!$F$310*Q$14+Mitigation_Industry!$G$310*Q$13</f>
        <v>0</v>
      </c>
      <c r="R27" s="137">
        <f>Mitigation_Industry!$F$310*R$14+Mitigation_Industry!$G$310*R$13</f>
        <v>0</v>
      </c>
      <c r="S27" s="137">
        <f>Mitigation_Industry!$F$310*S$14+Mitigation_Industry!$G$310*S$13</f>
        <v>0</v>
      </c>
      <c r="T27" s="137">
        <f>Mitigation_Industry!$F$310*T$14+Mitigation_Industry!$G$310*T$13</f>
        <v>0</v>
      </c>
      <c r="U27" s="137">
        <f>Mitigation_Industry!$F$310*U$14+Mitigation_Industry!$G$310*U$13</f>
        <v>0</v>
      </c>
      <c r="V27" s="137">
        <f>Mitigation_Industry!$F$310*V$14+Mitigation_Industry!$G$310*V$13</f>
        <v>0</v>
      </c>
      <c r="W27" s="137">
        <f>Mitigation_Industry!$F$310*W$14+Mitigation_Industry!$G$310*W$13</f>
        <v>0</v>
      </c>
      <c r="X27" s="137">
        <f>Mitigation_Industry!$F$310*X$14+Mitigation_Industry!$G$310*X$13</f>
        <v>0</v>
      </c>
      <c r="Y27" s="137">
        <f>Mitigation_Industry!$F$310*Y$14+Mitigation_Industry!$G$310*Y$13</f>
        <v>0</v>
      </c>
      <c r="Z27" s="137">
        <f>Mitigation_Industry!$F$310*Z$14+Mitigation_Industry!$G$310*Z$13</f>
        <v>0</v>
      </c>
      <c r="AA27" s="137">
        <f>Mitigation_Industry!$F$310*AA$14+Mitigation_Industry!$G$310*AA$13</f>
        <v>0</v>
      </c>
      <c r="AB27" s="137">
        <f>Mitigation_Industry!$F$310*AB$14+Mitigation_Industry!$G$310*AB$13</f>
        <v>0</v>
      </c>
      <c r="AC27" s="137">
        <f>Mitigation_Industry!$F$310*AC$14+Mitigation_Industry!$G$310*AC$13</f>
        <v>0</v>
      </c>
      <c r="AD27" s="137">
        <f>Mitigation_Industry!$F$310*AD$14+Mitigation_Industry!$G$310*AD$13</f>
        <v>0</v>
      </c>
      <c r="AE27" s="137">
        <f>Mitigation_Industry!$F$310*AE$14+Mitigation_Industry!$G$310*AE$13</f>
        <v>0</v>
      </c>
      <c r="AF27" s="138"/>
      <c r="AG27" s="138"/>
      <c r="AH27" s="138"/>
      <c r="AI27" s="138"/>
    </row>
    <row r="28" spans="1:35" customFormat="1" ht="14.25" x14ac:dyDescent="0.45">
      <c r="B28" s="14" t="s">
        <v>2568</v>
      </c>
      <c r="C28" s="14" t="s">
        <v>43</v>
      </c>
      <c r="D28" s="15" t="s">
        <v>2569</v>
      </c>
      <c r="E28" s="16" t="s">
        <v>1398</v>
      </c>
      <c r="F28" s="14" t="s">
        <v>2564</v>
      </c>
      <c r="G28" s="17"/>
      <c r="H28" s="125" t="str">
        <f>Settings!$B$3&amp;".mit.pp.stl.scr.np.1"</f>
        <v>egy.mit.pp.stl.scr.np.1</v>
      </c>
      <c r="K28" s="136"/>
      <c r="L28" s="137">
        <f>Mitigation_Industry!$F$311*L$14+Mitigation_Industry!$G$311*L$13</f>
        <v>0</v>
      </c>
      <c r="M28" s="137">
        <f>Mitigation_Industry!$F$311*M$14+Mitigation_Industry!$G$311*M$13</f>
        <v>0</v>
      </c>
      <c r="N28" s="137">
        <f>Mitigation_Industry!$F$311*N$14+Mitigation_Industry!$G$311*N$13</f>
        <v>0</v>
      </c>
      <c r="O28" s="137">
        <f>Mitigation_Industry!$F$311*O$14+Mitigation_Industry!$G$311*O$13</f>
        <v>0</v>
      </c>
      <c r="P28" s="137">
        <f>Mitigation_Industry!$F$311*P$14+Mitigation_Industry!$G$311*P$13</f>
        <v>0</v>
      </c>
      <c r="Q28" s="137">
        <f>Mitigation_Industry!$F$311*Q$14+Mitigation_Industry!$G$311*Q$13</f>
        <v>0</v>
      </c>
      <c r="R28" s="137">
        <f>Mitigation_Industry!$F$311*R$14+Mitigation_Industry!$G$311*R$13</f>
        <v>0</v>
      </c>
      <c r="S28" s="137">
        <f>Mitigation_Industry!$F$311*S$14+Mitigation_Industry!$G$311*S$13</f>
        <v>0</v>
      </c>
      <c r="T28" s="137">
        <f>Mitigation_Industry!$F$311*T$14+Mitigation_Industry!$G$311*T$13</f>
        <v>0</v>
      </c>
      <c r="U28" s="137">
        <f>Mitigation_Industry!$F$311*U$14+Mitigation_Industry!$G$311*U$13</f>
        <v>0</v>
      </c>
      <c r="V28" s="137">
        <f>Mitigation_Industry!$F$311*V$14+Mitigation_Industry!$G$311*V$13</f>
        <v>0</v>
      </c>
      <c r="W28" s="137">
        <f>Mitigation_Industry!$F$311*W$14+Mitigation_Industry!$G$311*W$13</f>
        <v>0</v>
      </c>
      <c r="X28" s="137">
        <f>Mitigation_Industry!$F$311*X$14+Mitigation_Industry!$G$311*X$13</f>
        <v>0</v>
      </c>
      <c r="Y28" s="137">
        <f>Mitigation_Industry!$F$311*Y$14+Mitigation_Industry!$G$311*Y$13</f>
        <v>0</v>
      </c>
      <c r="Z28" s="137">
        <f>Mitigation_Industry!$F$311*Z$14+Mitigation_Industry!$G$311*Z$13</f>
        <v>0</v>
      </c>
      <c r="AA28" s="137">
        <f>Mitigation_Industry!$F$311*AA$14+Mitigation_Industry!$G$311*AA$13</f>
        <v>0</v>
      </c>
      <c r="AB28" s="137">
        <f>Mitigation_Industry!$F$311*AB$14+Mitigation_Industry!$G$311*AB$13</f>
        <v>0</v>
      </c>
      <c r="AC28" s="137">
        <f>Mitigation_Industry!$F$311*AC$14+Mitigation_Industry!$G$311*AC$13</f>
        <v>0</v>
      </c>
      <c r="AD28" s="137">
        <f>Mitigation_Industry!$F$311*AD$14+Mitigation_Industry!$G$311*AD$13</f>
        <v>0</v>
      </c>
      <c r="AE28" s="137">
        <f>Mitigation_Industry!$F$311*AE$14+Mitigation_Industry!$G$311*AE$13</f>
        <v>0</v>
      </c>
      <c r="AF28" s="138"/>
      <c r="AG28" s="138"/>
      <c r="AH28" s="138"/>
      <c r="AI28" s="138"/>
    </row>
    <row r="29" spans="1:35" customFormat="1" ht="14.25" x14ac:dyDescent="0.45">
      <c r="B29" s="14" t="s">
        <v>2570</v>
      </c>
      <c r="C29" s="14" t="s">
        <v>43</v>
      </c>
      <c r="D29" s="15" t="s">
        <v>2571</v>
      </c>
      <c r="E29" s="16" t="s">
        <v>1398</v>
      </c>
      <c r="F29" s="14" t="s">
        <v>2564</v>
      </c>
      <c r="G29" s="17"/>
      <c r="H29" s="125" t="str">
        <f>Settings!$B$3&amp;".mit.pp.stl.bof.np.1"</f>
        <v>egy.mit.pp.stl.bof.np.1</v>
      </c>
      <c r="K29" s="136"/>
      <c r="L29" s="137">
        <f>Mitigation_Industry!$F$312*L$14+Mitigation_Industry!$G$312*L$13</f>
        <v>0</v>
      </c>
      <c r="M29" s="137">
        <f>Mitigation_Industry!$F$312*M$14+Mitigation_Industry!$G$312*M$13</f>
        <v>0</v>
      </c>
      <c r="N29" s="137">
        <f>Mitigation_Industry!$F$312*N$14+Mitigation_Industry!$G$312*N$13</f>
        <v>0</v>
      </c>
      <c r="O29" s="137">
        <f>Mitigation_Industry!$F$312*O$14+Mitigation_Industry!$G$312*O$13</f>
        <v>0</v>
      </c>
      <c r="P29" s="137">
        <f>Mitigation_Industry!$F$312*P$14+Mitigation_Industry!$G$312*P$13</f>
        <v>0</v>
      </c>
      <c r="Q29" s="137">
        <f>Mitigation_Industry!$F$312*Q$14+Mitigation_Industry!$G$312*Q$13</f>
        <v>0</v>
      </c>
      <c r="R29" s="137">
        <f>Mitigation_Industry!$F$312*R$14+Mitigation_Industry!$G$312*R$13</f>
        <v>0</v>
      </c>
      <c r="S29" s="137">
        <f>Mitigation_Industry!$F$312*S$14+Mitigation_Industry!$G$312*S$13</f>
        <v>0</v>
      </c>
      <c r="T29" s="137">
        <f>Mitigation_Industry!$F$312*T$14+Mitigation_Industry!$G$312*T$13</f>
        <v>0</v>
      </c>
      <c r="U29" s="137">
        <f>Mitigation_Industry!$F$312*U$14+Mitigation_Industry!$G$312*U$13</f>
        <v>0</v>
      </c>
      <c r="V29" s="137">
        <f>Mitigation_Industry!$F$312*V$14+Mitigation_Industry!$G$312*V$13</f>
        <v>0</v>
      </c>
      <c r="W29" s="137">
        <f>Mitigation_Industry!$F$312*W$14+Mitigation_Industry!$G$312*W$13</f>
        <v>0</v>
      </c>
      <c r="X29" s="137">
        <f>Mitigation_Industry!$F$312*X$14+Mitigation_Industry!$G$312*X$13</f>
        <v>0</v>
      </c>
      <c r="Y29" s="137">
        <f>Mitigation_Industry!$F$312*Y$14+Mitigation_Industry!$G$312*Y$13</f>
        <v>0</v>
      </c>
      <c r="Z29" s="137">
        <f>Mitigation_Industry!$F$312*Z$14+Mitigation_Industry!$G$312*Z$13</f>
        <v>0</v>
      </c>
      <c r="AA29" s="137">
        <f>Mitigation_Industry!$F$312*AA$14+Mitigation_Industry!$G$312*AA$13</f>
        <v>0</v>
      </c>
      <c r="AB29" s="137">
        <f>Mitigation_Industry!$F$312*AB$14+Mitigation_Industry!$G$312*AB$13</f>
        <v>0</v>
      </c>
      <c r="AC29" s="137">
        <f>Mitigation_Industry!$F$312*AC$14+Mitigation_Industry!$G$312*AC$13</f>
        <v>0</v>
      </c>
      <c r="AD29" s="137">
        <f>Mitigation_Industry!$F$312*AD$14+Mitigation_Industry!$G$312*AD$13</f>
        <v>0</v>
      </c>
      <c r="AE29" s="137">
        <f>Mitigation_Industry!$F$312*AE$14+Mitigation_Industry!$G$312*AE$13</f>
        <v>0</v>
      </c>
      <c r="AF29" s="138"/>
      <c r="AG29" s="138"/>
      <c r="AH29" s="138"/>
      <c r="AI29" s="138"/>
    </row>
    <row r="30" spans="1:35" customFormat="1" ht="14.25" x14ac:dyDescent="0.45">
      <c r="B30" s="14" t="s">
        <v>2572</v>
      </c>
      <c r="C30" s="14" t="s">
        <v>113</v>
      </c>
      <c r="D30" s="15" t="s">
        <v>2573</v>
      </c>
      <c r="E30" s="16" t="s">
        <v>1398</v>
      </c>
      <c r="F30" s="14" t="s">
        <v>2564</v>
      </c>
      <c r="G30" s="17"/>
      <c r="H30" s="125" t="str">
        <f>Settings!$B$3&amp;".mit.pp.cmt.dry.np.1"</f>
        <v>egy.mit.pp.cmt.dry.np.1</v>
      </c>
      <c r="K30" s="136"/>
      <c r="L30" s="137">
        <f>Mitigation_Industry!$F$313*L$14+Mitigation_Industry!$G$313*L$13</f>
        <v>0</v>
      </c>
      <c r="M30" s="137">
        <f>Mitigation_Industry!$F$313*M$14+Mitigation_Industry!$G$313*M$13</f>
        <v>0</v>
      </c>
      <c r="N30" s="137">
        <f>Mitigation_Industry!$F$313*N$14+Mitigation_Industry!$G$313*N$13</f>
        <v>0</v>
      </c>
      <c r="O30" s="137">
        <f>Mitigation_Industry!$F$313*O$14+Mitigation_Industry!$G$313*O$13</f>
        <v>0</v>
      </c>
      <c r="P30" s="137">
        <f>Mitigation_Industry!$F$313*P$14+Mitigation_Industry!$G$313*P$13</f>
        <v>0</v>
      </c>
      <c r="Q30" s="137">
        <f>Mitigation_Industry!$F$313*Q$14+Mitigation_Industry!$G$313*Q$13</f>
        <v>0</v>
      </c>
      <c r="R30" s="137">
        <f>Mitigation_Industry!$F$313*R$14+Mitigation_Industry!$G$313*R$13</f>
        <v>0</v>
      </c>
      <c r="S30" s="137">
        <f>Mitigation_Industry!$F$313*S$14+Mitigation_Industry!$G$313*S$13</f>
        <v>0</v>
      </c>
      <c r="T30" s="137">
        <f>Mitigation_Industry!$F$313*T$14+Mitigation_Industry!$G$313*T$13</f>
        <v>0</v>
      </c>
      <c r="U30" s="137">
        <f>Mitigation_Industry!$F$313*U$14+Mitigation_Industry!$G$313*U$13</f>
        <v>0</v>
      </c>
      <c r="V30" s="137">
        <f>Mitigation_Industry!$F$313*V$14+Mitigation_Industry!$G$313*V$13</f>
        <v>0</v>
      </c>
      <c r="W30" s="137">
        <f>Mitigation_Industry!$F$313*W$14+Mitigation_Industry!$G$313*W$13</f>
        <v>0</v>
      </c>
      <c r="X30" s="137">
        <f>Mitigation_Industry!$F$313*X$14+Mitigation_Industry!$G$313*X$13</f>
        <v>0</v>
      </c>
      <c r="Y30" s="137">
        <f>Mitigation_Industry!$F$313*Y$14+Mitigation_Industry!$G$313*Y$13</f>
        <v>0</v>
      </c>
      <c r="Z30" s="137">
        <f>Mitigation_Industry!$F$313*Z$14+Mitigation_Industry!$G$313*Z$13</f>
        <v>0</v>
      </c>
      <c r="AA30" s="137">
        <f>Mitigation_Industry!$F$313*AA$14+Mitigation_Industry!$G$313*AA$13</f>
        <v>0</v>
      </c>
      <c r="AB30" s="137">
        <f>Mitigation_Industry!$F$313*AB$14+Mitigation_Industry!$G$313*AB$13</f>
        <v>0</v>
      </c>
      <c r="AC30" s="137">
        <f>Mitigation_Industry!$F$313*AC$14+Mitigation_Industry!$G$313*AC$13</f>
        <v>0</v>
      </c>
      <c r="AD30" s="137">
        <f>Mitigation_Industry!$F$313*AD$14+Mitigation_Industry!$G$313*AD$13</f>
        <v>0</v>
      </c>
      <c r="AE30" s="137">
        <f>Mitigation_Industry!$F$313*AE$14+Mitigation_Industry!$G$313*AE$13</f>
        <v>0</v>
      </c>
      <c r="AF30" s="138"/>
      <c r="AG30" s="138"/>
      <c r="AH30" s="138"/>
      <c r="AI30" s="138"/>
    </row>
    <row r="31" spans="1:35" customFormat="1" ht="14.25" x14ac:dyDescent="0.45">
      <c r="B31" s="14" t="s">
        <v>2574</v>
      </c>
      <c r="C31" s="14" t="s">
        <v>117</v>
      </c>
      <c r="D31" s="15" t="s">
        <v>2575</v>
      </c>
      <c r="E31" s="16" t="s">
        <v>1398</v>
      </c>
      <c r="F31" s="14" t="s">
        <v>2564</v>
      </c>
      <c r="G31" s="17"/>
      <c r="H31" s="125" t="str">
        <f>Settings!$B$3&amp;".mit.pp.frt.amc.np.1"</f>
        <v>egy.mit.pp.frt.amc.np.1</v>
      </c>
      <c r="K31" s="136"/>
      <c r="L31" s="137">
        <f>Mitigation_Industry!$F$314*L$14+Mitigation_Industry!$G$314*L$13</f>
        <v>0</v>
      </c>
      <c r="M31" s="137">
        <f>Mitigation_Industry!$F$314*M$14+Mitigation_Industry!$G$314*M$13</f>
        <v>0</v>
      </c>
      <c r="N31" s="137">
        <f>Mitigation_Industry!$F$314*N$14+Mitigation_Industry!$G$314*N$13</f>
        <v>0</v>
      </c>
      <c r="O31" s="137">
        <f>Mitigation_Industry!$F$314*O$14+Mitigation_Industry!$G$314*O$13</f>
        <v>0</v>
      </c>
      <c r="P31" s="137">
        <f>Mitigation_Industry!$F$314*P$14+Mitigation_Industry!$G$314*P$13</f>
        <v>0</v>
      </c>
      <c r="Q31" s="137">
        <f>Mitigation_Industry!$F$314*Q$14+Mitigation_Industry!$G$314*Q$13</f>
        <v>0</v>
      </c>
      <c r="R31" s="137">
        <f>Mitigation_Industry!$F$314*R$14+Mitigation_Industry!$G$314*R$13</f>
        <v>0</v>
      </c>
      <c r="S31" s="137">
        <f>Mitigation_Industry!$F$314*S$14+Mitigation_Industry!$G$314*S$13</f>
        <v>0</v>
      </c>
      <c r="T31" s="137">
        <f>Mitigation_Industry!$F$314*T$14+Mitigation_Industry!$G$314*T$13</f>
        <v>0</v>
      </c>
      <c r="U31" s="137">
        <f>Mitigation_Industry!$F$314*U$14+Mitigation_Industry!$G$314*U$13</f>
        <v>0</v>
      </c>
      <c r="V31" s="137">
        <f>Mitigation_Industry!$F$314*V$14+Mitigation_Industry!$G$314*V$13</f>
        <v>0</v>
      </c>
      <c r="W31" s="137">
        <f>Mitigation_Industry!$F$314*W$14+Mitigation_Industry!$G$314*W$13</f>
        <v>0</v>
      </c>
      <c r="X31" s="137">
        <f>Mitigation_Industry!$F$314*X$14+Mitigation_Industry!$G$314*X$13</f>
        <v>0</v>
      </c>
      <c r="Y31" s="137">
        <f>Mitigation_Industry!$F$314*Y$14+Mitigation_Industry!$G$314*Y$13</f>
        <v>0</v>
      </c>
      <c r="Z31" s="137">
        <f>Mitigation_Industry!$F$314*Z$14+Mitigation_Industry!$G$314*Z$13</f>
        <v>0</v>
      </c>
      <c r="AA31" s="137">
        <f>Mitigation_Industry!$F$314*AA$14+Mitigation_Industry!$G$314*AA$13</f>
        <v>0</v>
      </c>
      <c r="AB31" s="137">
        <f>Mitigation_Industry!$F$314*AB$14+Mitigation_Industry!$G$314*AB$13</f>
        <v>0</v>
      </c>
      <c r="AC31" s="137">
        <f>Mitigation_Industry!$F$314*AC$14+Mitigation_Industry!$G$314*AC$13</f>
        <v>0</v>
      </c>
      <c r="AD31" s="137">
        <f>Mitigation_Industry!$F$314*AD$14+Mitigation_Industry!$G$314*AD$13</f>
        <v>0</v>
      </c>
      <c r="AE31" s="137">
        <f>Mitigation_Industry!$F$314*AE$14+Mitigation_Industry!$G$314*AE$13</f>
        <v>0</v>
      </c>
      <c r="AF31" s="138"/>
      <c r="AG31" s="138"/>
      <c r="AH31" s="138"/>
      <c r="AI31" s="138"/>
    </row>
    <row r="32" spans="1:35" customFormat="1" ht="14.25" x14ac:dyDescent="0.45">
      <c r="B32" s="14" t="s">
        <v>2576</v>
      </c>
      <c r="C32" s="14" t="s">
        <v>117</v>
      </c>
      <c r="D32" s="15" t="s">
        <v>2577</v>
      </c>
      <c r="E32" s="16" t="s">
        <v>1398</v>
      </c>
      <c r="F32" s="14" t="s">
        <v>2564</v>
      </c>
      <c r="G32" s="17"/>
      <c r="H32" s="125" t="str">
        <f>Settings!$B$3&amp;".mit.pp.frt.ure.np.1"</f>
        <v>egy.mit.pp.frt.ure.np.1</v>
      </c>
      <c r="K32" s="136"/>
      <c r="L32" s="137">
        <f>Mitigation_Industry!$F$315*L$14+Mitigation_Industry!$G$315*L$13</f>
        <v>0</v>
      </c>
      <c r="M32" s="137">
        <f>Mitigation_Industry!$F$315*M$14+Mitigation_Industry!$G$315*M$13</f>
        <v>0</v>
      </c>
      <c r="N32" s="137">
        <f>Mitigation_Industry!$F$315*N$14+Mitigation_Industry!$G$315*N$13</f>
        <v>0</v>
      </c>
      <c r="O32" s="137">
        <f>Mitigation_Industry!$F$315*O$14+Mitigation_Industry!$G$315*O$13</f>
        <v>0</v>
      </c>
      <c r="P32" s="137">
        <f>Mitigation_Industry!$F$315*P$14+Mitigation_Industry!$G$315*P$13</f>
        <v>0</v>
      </c>
      <c r="Q32" s="137">
        <f>Mitigation_Industry!$F$315*Q$14+Mitigation_Industry!$G$315*Q$13</f>
        <v>0</v>
      </c>
      <c r="R32" s="137">
        <f>Mitigation_Industry!$F$315*R$14+Mitigation_Industry!$G$315*R$13</f>
        <v>0</v>
      </c>
      <c r="S32" s="137">
        <f>Mitigation_Industry!$F$315*S$14+Mitigation_Industry!$G$315*S$13</f>
        <v>0</v>
      </c>
      <c r="T32" s="137">
        <f>Mitigation_Industry!$F$315*T$14+Mitigation_Industry!$G$315*T$13</f>
        <v>0</v>
      </c>
      <c r="U32" s="137">
        <f>Mitigation_Industry!$F$315*U$14+Mitigation_Industry!$G$315*U$13</f>
        <v>0</v>
      </c>
      <c r="V32" s="137">
        <f>Mitigation_Industry!$F$315*V$14+Mitigation_Industry!$G$315*V$13</f>
        <v>0</v>
      </c>
      <c r="W32" s="137">
        <f>Mitigation_Industry!$F$315*W$14+Mitigation_Industry!$G$315*W$13</f>
        <v>0</v>
      </c>
      <c r="X32" s="137">
        <f>Mitigation_Industry!$F$315*X$14+Mitigation_Industry!$G$315*X$13</f>
        <v>0</v>
      </c>
      <c r="Y32" s="137">
        <f>Mitigation_Industry!$F$315*Y$14+Mitigation_Industry!$G$315*Y$13</f>
        <v>0</v>
      </c>
      <c r="Z32" s="137">
        <f>Mitigation_Industry!$F$315*Z$14+Mitigation_Industry!$G$315*Z$13</f>
        <v>0</v>
      </c>
      <c r="AA32" s="137">
        <f>Mitigation_Industry!$F$315*AA$14+Mitigation_Industry!$G$315*AA$13</f>
        <v>0</v>
      </c>
      <c r="AB32" s="137">
        <f>Mitigation_Industry!$F$315*AB$14+Mitigation_Industry!$G$315*AB$13</f>
        <v>0</v>
      </c>
      <c r="AC32" s="137">
        <f>Mitigation_Industry!$F$315*AC$14+Mitigation_Industry!$G$315*AC$13</f>
        <v>0</v>
      </c>
      <c r="AD32" s="137">
        <f>Mitigation_Industry!$F$315*AD$14+Mitigation_Industry!$G$315*AD$13</f>
        <v>0</v>
      </c>
      <c r="AE32" s="137">
        <f>Mitigation_Industry!$F$315*AE$14+Mitigation_Industry!$G$315*AE$13</f>
        <v>0</v>
      </c>
      <c r="AF32" s="138"/>
      <c r="AG32" s="138"/>
      <c r="AH32" s="138"/>
      <c r="AI32" s="138"/>
    </row>
    <row r="33" spans="1:35" customFormat="1" ht="14.25" x14ac:dyDescent="0.45">
      <c r="B33" s="14" t="s">
        <v>2578</v>
      </c>
      <c r="C33" s="14" t="s">
        <v>117</v>
      </c>
      <c r="D33" s="15" t="s">
        <v>2579</v>
      </c>
      <c r="E33" s="16" t="s">
        <v>1398</v>
      </c>
      <c r="F33" s="14" t="s">
        <v>2564</v>
      </c>
      <c r="G33" s="17"/>
      <c r="H33" s="125" t="str">
        <f>Settings!$B$3&amp;".mit.pp.frt.nit.np.1"</f>
        <v>egy.mit.pp.frt.nit.np.1</v>
      </c>
      <c r="K33" s="136"/>
      <c r="L33" s="137">
        <f>Mitigation_Industry!$F$316*L$14+Mitigation_Industry!$G$316*L$13</f>
        <v>0</v>
      </c>
      <c r="M33" s="137">
        <f>Mitigation_Industry!$F$316*M$14+Mitigation_Industry!$G$316*M$13</f>
        <v>0</v>
      </c>
      <c r="N33" s="137">
        <f>Mitigation_Industry!$F$316*N$14+Mitigation_Industry!$G$316*N$13</f>
        <v>0</v>
      </c>
      <c r="O33" s="137">
        <f>Mitigation_Industry!$F$316*O$14+Mitigation_Industry!$G$316*O$13</f>
        <v>0</v>
      </c>
      <c r="P33" s="137">
        <f>Mitigation_Industry!$F$316*P$14+Mitigation_Industry!$G$316*P$13</f>
        <v>0</v>
      </c>
      <c r="Q33" s="137">
        <f>Mitigation_Industry!$F$316*Q$14+Mitigation_Industry!$G$316*Q$13</f>
        <v>0</v>
      </c>
      <c r="R33" s="137">
        <f>Mitigation_Industry!$F$316*R$14+Mitigation_Industry!$G$316*R$13</f>
        <v>0</v>
      </c>
      <c r="S33" s="137">
        <f>Mitigation_Industry!$F$316*S$14+Mitigation_Industry!$G$316*S$13</f>
        <v>0</v>
      </c>
      <c r="T33" s="137">
        <f>Mitigation_Industry!$F$316*T$14+Mitigation_Industry!$G$316*T$13</f>
        <v>0</v>
      </c>
      <c r="U33" s="137">
        <f>Mitigation_Industry!$F$316*U$14+Mitigation_Industry!$G$316*U$13</f>
        <v>0</v>
      </c>
      <c r="V33" s="137">
        <f>Mitigation_Industry!$F$316*V$14+Mitigation_Industry!$G$316*V$13</f>
        <v>0</v>
      </c>
      <c r="W33" s="137">
        <f>Mitigation_Industry!$F$316*W$14+Mitigation_Industry!$G$316*W$13</f>
        <v>0</v>
      </c>
      <c r="X33" s="137">
        <f>Mitigation_Industry!$F$316*X$14+Mitigation_Industry!$G$316*X$13</f>
        <v>0</v>
      </c>
      <c r="Y33" s="137">
        <f>Mitigation_Industry!$F$316*Y$14+Mitigation_Industry!$G$316*Y$13</f>
        <v>0</v>
      </c>
      <c r="Z33" s="137">
        <f>Mitigation_Industry!$F$316*Z$14+Mitigation_Industry!$G$316*Z$13</f>
        <v>0</v>
      </c>
      <c r="AA33" s="137">
        <f>Mitigation_Industry!$F$316*AA$14+Mitigation_Industry!$G$316*AA$13</f>
        <v>0</v>
      </c>
      <c r="AB33" s="137">
        <f>Mitigation_Industry!$F$316*AB$14+Mitigation_Industry!$G$316*AB$13</f>
        <v>0</v>
      </c>
      <c r="AC33" s="137">
        <f>Mitigation_Industry!$F$316*AC$14+Mitigation_Industry!$G$316*AC$13</f>
        <v>0</v>
      </c>
      <c r="AD33" s="137">
        <f>Mitigation_Industry!$F$316*AD$14+Mitigation_Industry!$G$316*AD$13</f>
        <v>0</v>
      </c>
      <c r="AE33" s="137">
        <f>Mitigation_Industry!$F$316*AE$14+Mitigation_Industry!$G$316*AE$13</f>
        <v>0</v>
      </c>
      <c r="AF33" s="138"/>
      <c r="AG33" s="138"/>
      <c r="AH33" s="138"/>
      <c r="AI33" s="138"/>
    </row>
    <row r="34" spans="1:35" customFormat="1" ht="14.25" x14ac:dyDescent="0.45">
      <c r="B34" s="14" t="s">
        <v>2580</v>
      </c>
      <c r="C34" s="14" t="s">
        <v>115</v>
      </c>
      <c r="D34" s="15" t="s">
        <v>2581</v>
      </c>
      <c r="E34" s="16" t="s">
        <v>1398</v>
      </c>
      <c r="F34" s="14" t="s">
        <v>2564</v>
      </c>
      <c r="G34" s="17"/>
      <c r="H34" s="125" t="str">
        <f>Settings!$B$3&amp;".mit.pp.alu.prp.np.1"</f>
        <v>egy.mit.pp.alu.prp.np.1</v>
      </c>
      <c r="K34" s="136"/>
      <c r="L34" s="137">
        <f>Mitigation_Industry!$F$317*L$14+Mitigation_Industry!$G$317*L$13</f>
        <v>0</v>
      </c>
      <c r="M34" s="137">
        <f>Mitigation_Industry!$F$317*M$14+Mitigation_Industry!$G$317*M$13</f>
        <v>0</v>
      </c>
      <c r="N34" s="137">
        <f>Mitigation_Industry!$F$317*N$14+Mitigation_Industry!$G$317*N$13</f>
        <v>0</v>
      </c>
      <c r="O34" s="137">
        <f>Mitigation_Industry!$F$317*O$14+Mitigation_Industry!$G$317*O$13</f>
        <v>0</v>
      </c>
      <c r="P34" s="137">
        <f>Mitigation_Industry!$F$317*P$14+Mitigation_Industry!$G$317*P$13</f>
        <v>0</v>
      </c>
      <c r="Q34" s="137">
        <f>Mitigation_Industry!$F$317*Q$14+Mitigation_Industry!$G$317*Q$13</f>
        <v>0</v>
      </c>
      <c r="R34" s="137">
        <f>Mitigation_Industry!$F$317*R$14+Mitigation_Industry!$G$317*R$13</f>
        <v>0</v>
      </c>
      <c r="S34" s="137">
        <f>Mitigation_Industry!$F$317*S$14+Mitigation_Industry!$G$317*S$13</f>
        <v>0</v>
      </c>
      <c r="T34" s="137">
        <f>Mitigation_Industry!$F$317*T$14+Mitigation_Industry!$G$317*T$13</f>
        <v>0</v>
      </c>
      <c r="U34" s="137">
        <f>Mitigation_Industry!$F$317*U$14+Mitigation_Industry!$G$317*U$13</f>
        <v>0</v>
      </c>
      <c r="V34" s="137">
        <f>Mitigation_Industry!$F$317*V$14+Mitigation_Industry!$G$317*V$13</f>
        <v>0</v>
      </c>
      <c r="W34" s="137">
        <f>Mitigation_Industry!$F$317*W$14+Mitigation_Industry!$G$317*W$13</f>
        <v>0</v>
      </c>
      <c r="X34" s="137">
        <f>Mitigation_Industry!$F$317*X$14+Mitigation_Industry!$G$317*X$13</f>
        <v>0</v>
      </c>
      <c r="Y34" s="137">
        <f>Mitigation_Industry!$F$317*Y$14+Mitigation_Industry!$G$317*Y$13</f>
        <v>0</v>
      </c>
      <c r="Z34" s="137">
        <f>Mitigation_Industry!$F$317*Z$14+Mitigation_Industry!$G$317*Z$13</f>
        <v>0</v>
      </c>
      <c r="AA34" s="137">
        <f>Mitigation_Industry!$F$317*AA$14+Mitigation_Industry!$G$317*AA$13</f>
        <v>0</v>
      </c>
      <c r="AB34" s="137">
        <f>Mitigation_Industry!$F$317*AB$14+Mitigation_Industry!$G$317*AB$13</f>
        <v>0</v>
      </c>
      <c r="AC34" s="137">
        <f>Mitigation_Industry!$F$317*AC$14+Mitigation_Industry!$G$317*AC$13</f>
        <v>0</v>
      </c>
      <c r="AD34" s="137">
        <f>Mitigation_Industry!$F$317*AD$14+Mitigation_Industry!$G$317*AD$13</f>
        <v>0</v>
      </c>
      <c r="AE34" s="137">
        <f>Mitigation_Industry!$F$317*AE$14+Mitigation_Industry!$G$317*AE$13</f>
        <v>0</v>
      </c>
      <c r="AF34" s="138"/>
      <c r="AG34" s="138"/>
      <c r="AH34" s="138"/>
      <c r="AI34" s="138"/>
    </row>
    <row r="35" spans="1:35" customFormat="1" ht="14.25" x14ac:dyDescent="0.45">
      <c r="B35" s="14" t="s">
        <v>2582</v>
      </c>
      <c r="C35" s="14" t="s">
        <v>43</v>
      </c>
      <c r="D35" s="15" t="s">
        <v>2583</v>
      </c>
      <c r="E35" s="16" t="s">
        <v>1398</v>
      </c>
      <c r="F35" s="14" t="s">
        <v>2564</v>
      </c>
      <c r="G35" s="17"/>
      <c r="H35" s="125" t="str">
        <f>Settings!$B$3&amp;".mit.pp.stl.drg.no.1"</f>
        <v>egy.mit.pp.stl.drg.no.1</v>
      </c>
      <c r="K35" s="136"/>
      <c r="L35" s="137">
        <f>Mitigation_Industry!$F$310*L$14+Mitigation_Industry!$G$310*L$13</f>
        <v>0</v>
      </c>
      <c r="M35" s="137">
        <f>Mitigation_Industry!$F$310*M$14+Mitigation_Industry!$G$310*M$13</f>
        <v>0</v>
      </c>
      <c r="N35" s="137">
        <f>Mitigation_Industry!$F$310*N$14+Mitigation_Industry!$G$310*N$13</f>
        <v>0</v>
      </c>
      <c r="O35" s="137">
        <f>Mitigation_Industry!$F$310*O$14+Mitigation_Industry!$G$310*O$13</f>
        <v>0</v>
      </c>
      <c r="P35" s="137">
        <f>Mitigation_Industry!$F$310*P$14+Mitigation_Industry!$G$310*P$13</f>
        <v>0</v>
      </c>
      <c r="Q35" s="137">
        <f>Mitigation_Industry!$F$310*Q$14+Mitigation_Industry!$G$310*Q$13</f>
        <v>0</v>
      </c>
      <c r="R35" s="137">
        <f>Mitigation_Industry!$F$310*R$14+Mitigation_Industry!$G$310*R$13</f>
        <v>0</v>
      </c>
      <c r="S35" s="137">
        <f>Mitigation_Industry!$F$310*S$14+Mitigation_Industry!$G$310*S$13</f>
        <v>0</v>
      </c>
      <c r="T35" s="137">
        <f>Mitigation_Industry!$F$310*T$14+Mitigation_Industry!$G$310*T$13</f>
        <v>0</v>
      </c>
      <c r="U35" s="137">
        <f>Mitigation_Industry!$F$310*U$14+Mitigation_Industry!$G$310*U$13</f>
        <v>0</v>
      </c>
      <c r="V35" s="137">
        <f>Mitigation_Industry!$F$310*V$14+Mitigation_Industry!$G$310*V$13</f>
        <v>0</v>
      </c>
      <c r="W35" s="137">
        <f>Mitigation_Industry!$F$310*W$14+Mitigation_Industry!$G$310*W$13</f>
        <v>0</v>
      </c>
      <c r="X35" s="137">
        <f>Mitigation_Industry!$F$310*X$14+Mitigation_Industry!$G$310*X$13</f>
        <v>0</v>
      </c>
      <c r="Y35" s="137">
        <f>Mitigation_Industry!$F$310*Y$14+Mitigation_Industry!$G$310*Y$13</f>
        <v>0</v>
      </c>
      <c r="Z35" s="137">
        <f>Mitigation_Industry!$F$310*Z$14+Mitigation_Industry!$G$310*Z$13</f>
        <v>0</v>
      </c>
      <c r="AA35" s="137">
        <f>Mitigation_Industry!$F$310*AA$14+Mitigation_Industry!$G$310*AA$13</f>
        <v>0</v>
      </c>
      <c r="AB35" s="137">
        <f>Mitigation_Industry!$F$310*AB$14+Mitigation_Industry!$G$310*AB$13</f>
        <v>0</v>
      </c>
      <c r="AC35" s="137">
        <f>Mitigation_Industry!$F$310*AC$14+Mitigation_Industry!$G$310*AC$13</f>
        <v>0</v>
      </c>
      <c r="AD35" s="137">
        <f>Mitigation_Industry!$F$310*AD$14+Mitigation_Industry!$G$310*AD$13</f>
        <v>0</v>
      </c>
      <c r="AE35" s="137">
        <f>Mitigation_Industry!$F$310*AE$14+Mitigation_Industry!$G$310*AE$13</f>
        <v>0</v>
      </c>
      <c r="AF35" s="138"/>
      <c r="AG35" s="138"/>
      <c r="AH35" s="138"/>
      <c r="AI35" s="138"/>
    </row>
    <row r="36" spans="1:35" customFormat="1" ht="14.25" x14ac:dyDescent="0.45">
      <c r="B36" s="14" t="s">
        <v>2584</v>
      </c>
      <c r="C36" s="14" t="s">
        <v>43</v>
      </c>
      <c r="D36" s="15" t="s">
        <v>2585</v>
      </c>
      <c r="E36" s="16" t="s">
        <v>1398</v>
      </c>
      <c r="F36" s="14" t="s">
        <v>2564</v>
      </c>
      <c r="G36" s="17"/>
      <c r="H36" s="125" t="str">
        <f>Settings!$B$3&amp;".mit.pp.stl.scr.no.1"</f>
        <v>egy.mit.pp.stl.scr.no.1</v>
      </c>
      <c r="K36" s="136"/>
      <c r="L36" s="137">
        <f>Mitigation_Industry!$F$311*L$14+Mitigation_Industry!$G$311*L$13</f>
        <v>0</v>
      </c>
      <c r="M36" s="137">
        <f>Mitigation_Industry!$F$311*M$14+Mitigation_Industry!$G$311*M$13</f>
        <v>0</v>
      </c>
      <c r="N36" s="137">
        <f>Mitigation_Industry!$F$311*N$14+Mitigation_Industry!$G$311*N$13</f>
        <v>0</v>
      </c>
      <c r="O36" s="137">
        <f>Mitigation_Industry!$F$311*O$14+Mitigation_Industry!$G$311*O$13</f>
        <v>0</v>
      </c>
      <c r="P36" s="137">
        <f>Mitigation_Industry!$F$311*P$14+Mitigation_Industry!$G$311*P$13</f>
        <v>0</v>
      </c>
      <c r="Q36" s="137">
        <f>Mitigation_Industry!$F$311*Q$14+Mitigation_Industry!$G$311*Q$13</f>
        <v>0</v>
      </c>
      <c r="R36" s="137">
        <f>Mitigation_Industry!$F$311*R$14+Mitigation_Industry!$G$311*R$13</f>
        <v>0</v>
      </c>
      <c r="S36" s="137">
        <f>Mitigation_Industry!$F$311*S$14+Mitigation_Industry!$G$311*S$13</f>
        <v>0</v>
      </c>
      <c r="T36" s="137">
        <f>Mitigation_Industry!$F$311*T$14+Mitigation_Industry!$G$311*T$13</f>
        <v>0</v>
      </c>
      <c r="U36" s="137">
        <f>Mitigation_Industry!$F$311*U$14+Mitigation_Industry!$G$311*U$13</f>
        <v>0</v>
      </c>
      <c r="V36" s="137">
        <f>Mitigation_Industry!$F$311*V$14+Mitigation_Industry!$G$311*V$13</f>
        <v>0</v>
      </c>
      <c r="W36" s="137">
        <f>Mitigation_Industry!$F$311*W$14+Mitigation_Industry!$G$311*W$13</f>
        <v>0</v>
      </c>
      <c r="X36" s="137">
        <f>Mitigation_Industry!$F$311*X$14+Mitigation_Industry!$G$311*X$13</f>
        <v>0</v>
      </c>
      <c r="Y36" s="137">
        <f>Mitigation_Industry!$F$311*Y$14+Mitigation_Industry!$G$311*Y$13</f>
        <v>0</v>
      </c>
      <c r="Z36" s="137">
        <f>Mitigation_Industry!$F$311*Z$14+Mitigation_Industry!$G$311*Z$13</f>
        <v>0</v>
      </c>
      <c r="AA36" s="137">
        <f>Mitigation_Industry!$F$311*AA$14+Mitigation_Industry!$G$311*AA$13</f>
        <v>0</v>
      </c>
      <c r="AB36" s="137">
        <f>Mitigation_Industry!$F$311*AB$14+Mitigation_Industry!$G$311*AB$13</f>
        <v>0</v>
      </c>
      <c r="AC36" s="137">
        <f>Mitigation_Industry!$F$311*AC$14+Mitigation_Industry!$G$311*AC$13</f>
        <v>0</v>
      </c>
      <c r="AD36" s="137">
        <f>Mitigation_Industry!$F$311*AD$14+Mitigation_Industry!$G$311*AD$13</f>
        <v>0</v>
      </c>
      <c r="AE36" s="137">
        <f>Mitigation_Industry!$F$311*AE$14+Mitigation_Industry!$G$311*AE$13</f>
        <v>0</v>
      </c>
      <c r="AF36" s="138"/>
      <c r="AG36" s="138"/>
      <c r="AH36" s="138"/>
      <c r="AI36" s="138"/>
    </row>
    <row r="37" spans="1:35" customFormat="1" ht="14.25" x14ac:dyDescent="0.45">
      <c r="B37" s="14" t="s">
        <v>2586</v>
      </c>
      <c r="C37" s="14" t="s">
        <v>43</v>
      </c>
      <c r="D37" s="15" t="s">
        <v>2587</v>
      </c>
      <c r="E37" s="16" t="s">
        <v>1398</v>
      </c>
      <c r="F37" s="14" t="s">
        <v>2564</v>
      </c>
      <c r="G37" s="17"/>
      <c r="H37" s="125" t="str">
        <f>Settings!$B$3&amp;".mit.pp.stl.bof.no.1"</f>
        <v>egy.mit.pp.stl.bof.no.1</v>
      </c>
      <c r="K37" s="136"/>
      <c r="L37" s="137">
        <f>Mitigation_Industry!$F$312*L$14+Mitigation_Industry!$G$312*L$13</f>
        <v>0</v>
      </c>
      <c r="M37" s="137">
        <f>Mitigation_Industry!$F$312*M$14+Mitigation_Industry!$G$312*M$13</f>
        <v>0</v>
      </c>
      <c r="N37" s="137">
        <f>Mitigation_Industry!$F$312*N$14+Mitigation_Industry!$G$312*N$13</f>
        <v>0</v>
      </c>
      <c r="O37" s="137">
        <f>Mitigation_Industry!$F$312*O$14+Mitigation_Industry!$G$312*O$13</f>
        <v>0</v>
      </c>
      <c r="P37" s="137">
        <f>Mitigation_Industry!$F$312*P$14+Mitigation_Industry!$G$312*P$13</f>
        <v>0</v>
      </c>
      <c r="Q37" s="137">
        <f>Mitigation_Industry!$F$312*Q$14+Mitigation_Industry!$G$312*Q$13</f>
        <v>0</v>
      </c>
      <c r="R37" s="137">
        <f>Mitigation_Industry!$F$312*R$14+Mitigation_Industry!$G$312*R$13</f>
        <v>0</v>
      </c>
      <c r="S37" s="137">
        <f>Mitigation_Industry!$F$312*S$14+Mitigation_Industry!$G$312*S$13</f>
        <v>0</v>
      </c>
      <c r="T37" s="137">
        <f>Mitigation_Industry!$F$312*T$14+Mitigation_Industry!$G$312*T$13</f>
        <v>0</v>
      </c>
      <c r="U37" s="137">
        <f>Mitigation_Industry!$F$312*U$14+Mitigation_Industry!$G$312*U$13</f>
        <v>0</v>
      </c>
      <c r="V37" s="137">
        <f>Mitigation_Industry!$F$312*V$14+Mitigation_Industry!$G$312*V$13</f>
        <v>0</v>
      </c>
      <c r="W37" s="137">
        <f>Mitigation_Industry!$F$312*W$14+Mitigation_Industry!$G$312*W$13</f>
        <v>0</v>
      </c>
      <c r="X37" s="137">
        <f>Mitigation_Industry!$F$312*X$14+Mitigation_Industry!$G$312*X$13</f>
        <v>0</v>
      </c>
      <c r="Y37" s="137">
        <f>Mitigation_Industry!$F$312*Y$14+Mitigation_Industry!$G$312*Y$13</f>
        <v>0</v>
      </c>
      <c r="Z37" s="137">
        <f>Mitigation_Industry!$F$312*Z$14+Mitigation_Industry!$G$312*Z$13</f>
        <v>0</v>
      </c>
      <c r="AA37" s="137">
        <f>Mitigation_Industry!$F$312*AA$14+Mitigation_Industry!$G$312*AA$13</f>
        <v>0</v>
      </c>
      <c r="AB37" s="137">
        <f>Mitigation_Industry!$F$312*AB$14+Mitigation_Industry!$G$312*AB$13</f>
        <v>0</v>
      </c>
      <c r="AC37" s="137">
        <f>Mitigation_Industry!$F$312*AC$14+Mitigation_Industry!$G$312*AC$13</f>
        <v>0</v>
      </c>
      <c r="AD37" s="137">
        <f>Mitigation_Industry!$F$312*AD$14+Mitigation_Industry!$G$312*AD$13</f>
        <v>0</v>
      </c>
      <c r="AE37" s="137">
        <f>Mitigation_Industry!$F$312*AE$14+Mitigation_Industry!$G$312*AE$13</f>
        <v>0</v>
      </c>
      <c r="AF37" s="138"/>
      <c r="AG37" s="138"/>
      <c r="AH37" s="138"/>
      <c r="AI37" s="138"/>
    </row>
    <row r="38" spans="1:35" customFormat="1" ht="14.25" x14ac:dyDescent="0.45">
      <c r="B38" s="14" t="s">
        <v>2588</v>
      </c>
      <c r="C38" s="14" t="s">
        <v>113</v>
      </c>
      <c r="D38" s="15" t="s">
        <v>2589</v>
      </c>
      <c r="E38" s="16" t="s">
        <v>1398</v>
      </c>
      <c r="F38" s="14" t="s">
        <v>2564</v>
      </c>
      <c r="G38" s="17"/>
      <c r="H38" s="125" t="str">
        <f>Settings!$B$3&amp;".mit.pp.cmt.dry.no.1"</f>
        <v>egy.mit.pp.cmt.dry.no.1</v>
      </c>
      <c r="K38" s="136"/>
      <c r="L38" s="137">
        <f>Mitigation_Industry!$F$313*L$14+Mitigation_Industry!$G$313*L$13</f>
        <v>0</v>
      </c>
      <c r="M38" s="137">
        <f>Mitigation_Industry!$F$313*M$14+Mitigation_Industry!$G$313*M$13</f>
        <v>0</v>
      </c>
      <c r="N38" s="137">
        <f>Mitigation_Industry!$F$313*N$14+Mitigation_Industry!$G$313*N$13</f>
        <v>0</v>
      </c>
      <c r="O38" s="137">
        <f>Mitigation_Industry!$F$313*O$14+Mitigation_Industry!$G$313*O$13</f>
        <v>0</v>
      </c>
      <c r="P38" s="137">
        <f>Mitigation_Industry!$F$313*P$14+Mitigation_Industry!$G$313*P$13</f>
        <v>0</v>
      </c>
      <c r="Q38" s="137">
        <f>Mitigation_Industry!$F$313*Q$14+Mitigation_Industry!$G$313*Q$13</f>
        <v>0</v>
      </c>
      <c r="R38" s="137">
        <f>Mitigation_Industry!$F$313*R$14+Mitigation_Industry!$G$313*R$13</f>
        <v>0</v>
      </c>
      <c r="S38" s="137">
        <f>Mitigation_Industry!$F$313*S$14+Mitigation_Industry!$G$313*S$13</f>
        <v>0</v>
      </c>
      <c r="T38" s="137">
        <f>Mitigation_Industry!$F$313*T$14+Mitigation_Industry!$G$313*T$13</f>
        <v>0</v>
      </c>
      <c r="U38" s="137">
        <f>Mitigation_Industry!$F$313*U$14+Mitigation_Industry!$G$313*U$13</f>
        <v>0</v>
      </c>
      <c r="V38" s="137">
        <f>Mitigation_Industry!$F$313*V$14+Mitigation_Industry!$G$313*V$13</f>
        <v>0</v>
      </c>
      <c r="W38" s="137">
        <f>Mitigation_Industry!$F$313*W$14+Mitigation_Industry!$G$313*W$13</f>
        <v>0</v>
      </c>
      <c r="X38" s="137">
        <f>Mitigation_Industry!$F$313*X$14+Mitigation_Industry!$G$313*X$13</f>
        <v>0</v>
      </c>
      <c r="Y38" s="137">
        <f>Mitigation_Industry!$F$313*Y$14+Mitigation_Industry!$G$313*Y$13</f>
        <v>0</v>
      </c>
      <c r="Z38" s="137">
        <f>Mitigation_Industry!$F$313*Z$14+Mitigation_Industry!$G$313*Z$13</f>
        <v>0</v>
      </c>
      <c r="AA38" s="137">
        <f>Mitigation_Industry!$F$313*AA$14+Mitigation_Industry!$G$313*AA$13</f>
        <v>0</v>
      </c>
      <c r="AB38" s="137">
        <f>Mitigation_Industry!$F$313*AB$14+Mitigation_Industry!$G$313*AB$13</f>
        <v>0</v>
      </c>
      <c r="AC38" s="137">
        <f>Mitigation_Industry!$F$313*AC$14+Mitigation_Industry!$G$313*AC$13</f>
        <v>0</v>
      </c>
      <c r="AD38" s="137">
        <f>Mitigation_Industry!$F$313*AD$14+Mitigation_Industry!$G$313*AD$13</f>
        <v>0</v>
      </c>
      <c r="AE38" s="137">
        <f>Mitigation_Industry!$F$313*AE$14+Mitigation_Industry!$G$313*AE$13</f>
        <v>0</v>
      </c>
      <c r="AF38" s="138"/>
      <c r="AG38" s="138"/>
      <c r="AH38" s="138"/>
      <c r="AI38" s="138"/>
    </row>
    <row r="39" spans="1:35" customFormat="1" ht="14.25" x14ac:dyDescent="0.45">
      <c r="B39" s="14" t="s">
        <v>2590</v>
      </c>
      <c r="C39" s="14" t="s">
        <v>117</v>
      </c>
      <c r="D39" s="15" t="s">
        <v>2591</v>
      </c>
      <c r="E39" s="16" t="s">
        <v>1398</v>
      </c>
      <c r="F39" s="14" t="s">
        <v>2564</v>
      </c>
      <c r="G39" s="17"/>
      <c r="H39" s="125" t="str">
        <f>Settings!$B$3&amp;".mit.pp.frt.amc.no.1"</f>
        <v>egy.mit.pp.frt.amc.no.1</v>
      </c>
      <c r="K39" s="136"/>
      <c r="L39" s="137">
        <f>Mitigation_Industry!$F$314*L$14+Mitigation_Industry!$G$314*L$13</f>
        <v>0</v>
      </c>
      <c r="M39" s="137">
        <f>Mitigation_Industry!$F$314*M$14+Mitigation_Industry!$G$314*M$13</f>
        <v>0</v>
      </c>
      <c r="N39" s="137">
        <f>Mitigation_Industry!$F$314*N$14+Mitigation_Industry!$G$314*N$13</f>
        <v>0</v>
      </c>
      <c r="O39" s="137">
        <f>Mitigation_Industry!$F$314*O$14+Mitigation_Industry!$G$314*O$13</f>
        <v>0</v>
      </c>
      <c r="P39" s="137">
        <f>Mitigation_Industry!$F$314*P$14+Mitigation_Industry!$G$314*P$13</f>
        <v>0</v>
      </c>
      <c r="Q39" s="137">
        <f>Mitigation_Industry!$F$314*Q$14+Mitigation_Industry!$G$314*Q$13</f>
        <v>0</v>
      </c>
      <c r="R39" s="137">
        <f>Mitigation_Industry!$F$314*R$14+Mitigation_Industry!$G$314*R$13</f>
        <v>0</v>
      </c>
      <c r="S39" s="137">
        <f>Mitigation_Industry!$F$314*S$14+Mitigation_Industry!$G$314*S$13</f>
        <v>0</v>
      </c>
      <c r="T39" s="137">
        <f>Mitigation_Industry!$F$314*T$14+Mitigation_Industry!$G$314*T$13</f>
        <v>0</v>
      </c>
      <c r="U39" s="137">
        <f>Mitigation_Industry!$F$314*U$14+Mitigation_Industry!$G$314*U$13</f>
        <v>0</v>
      </c>
      <c r="V39" s="137">
        <f>Mitigation_Industry!$F$314*V$14+Mitigation_Industry!$G$314*V$13</f>
        <v>0</v>
      </c>
      <c r="W39" s="137">
        <f>Mitigation_Industry!$F$314*W$14+Mitigation_Industry!$G$314*W$13</f>
        <v>0</v>
      </c>
      <c r="X39" s="137">
        <f>Mitigation_Industry!$F$314*X$14+Mitigation_Industry!$G$314*X$13</f>
        <v>0</v>
      </c>
      <c r="Y39" s="137">
        <f>Mitigation_Industry!$F$314*Y$14+Mitigation_Industry!$G$314*Y$13</f>
        <v>0</v>
      </c>
      <c r="Z39" s="137">
        <f>Mitigation_Industry!$F$314*Z$14+Mitigation_Industry!$G$314*Z$13</f>
        <v>0</v>
      </c>
      <c r="AA39" s="137">
        <f>Mitigation_Industry!$F$314*AA$14+Mitigation_Industry!$G$314*AA$13</f>
        <v>0</v>
      </c>
      <c r="AB39" s="137">
        <f>Mitigation_Industry!$F$314*AB$14+Mitigation_Industry!$G$314*AB$13</f>
        <v>0</v>
      </c>
      <c r="AC39" s="137">
        <f>Mitigation_Industry!$F$314*AC$14+Mitigation_Industry!$G$314*AC$13</f>
        <v>0</v>
      </c>
      <c r="AD39" s="137">
        <f>Mitigation_Industry!$F$314*AD$14+Mitigation_Industry!$G$314*AD$13</f>
        <v>0</v>
      </c>
      <c r="AE39" s="137">
        <f>Mitigation_Industry!$F$314*AE$14+Mitigation_Industry!$G$314*AE$13</f>
        <v>0</v>
      </c>
      <c r="AF39" s="138"/>
      <c r="AG39" s="138"/>
      <c r="AH39" s="138"/>
      <c r="AI39" s="138"/>
    </row>
    <row r="40" spans="1:35" customFormat="1" ht="14.25" x14ac:dyDescent="0.45">
      <c r="B40" s="14" t="s">
        <v>2592</v>
      </c>
      <c r="C40" s="14" t="s">
        <v>117</v>
      </c>
      <c r="D40" s="15" t="s">
        <v>2593</v>
      </c>
      <c r="E40" s="16" t="s">
        <v>1398</v>
      </c>
      <c r="F40" s="14" t="s">
        <v>2564</v>
      </c>
      <c r="G40" s="17"/>
      <c r="H40" s="125" t="str">
        <f>Settings!$B$3&amp;".mit.pp.frt.ure.no.1"</f>
        <v>egy.mit.pp.frt.ure.no.1</v>
      </c>
      <c r="K40" s="136"/>
      <c r="L40" s="137">
        <f>Mitigation_Industry!$F$315*L$14+Mitigation_Industry!$G$315*L$13</f>
        <v>0</v>
      </c>
      <c r="M40" s="137">
        <f>Mitigation_Industry!$F$315*M$14+Mitigation_Industry!$G$315*M$13</f>
        <v>0</v>
      </c>
      <c r="N40" s="137">
        <f>Mitigation_Industry!$F$315*N$14+Mitigation_Industry!$G$315*N$13</f>
        <v>0</v>
      </c>
      <c r="O40" s="137">
        <f>Mitigation_Industry!$F$315*O$14+Mitigation_Industry!$G$315*O$13</f>
        <v>0</v>
      </c>
      <c r="P40" s="137">
        <f>Mitigation_Industry!$F$315*P$14+Mitigation_Industry!$G$315*P$13</f>
        <v>0</v>
      </c>
      <c r="Q40" s="137">
        <f>Mitigation_Industry!$F$315*Q$14+Mitigation_Industry!$G$315*Q$13</f>
        <v>0</v>
      </c>
      <c r="R40" s="137">
        <f>Mitigation_Industry!$F$315*R$14+Mitigation_Industry!$G$315*R$13</f>
        <v>0</v>
      </c>
      <c r="S40" s="137">
        <f>Mitigation_Industry!$F$315*S$14+Mitigation_Industry!$G$315*S$13</f>
        <v>0</v>
      </c>
      <c r="T40" s="137">
        <f>Mitigation_Industry!$F$315*T$14+Mitigation_Industry!$G$315*T$13</f>
        <v>0</v>
      </c>
      <c r="U40" s="137">
        <f>Mitigation_Industry!$F$315*U$14+Mitigation_Industry!$G$315*U$13</f>
        <v>0</v>
      </c>
      <c r="V40" s="137">
        <f>Mitigation_Industry!$F$315*V$14+Mitigation_Industry!$G$315*V$13</f>
        <v>0</v>
      </c>
      <c r="W40" s="137">
        <f>Mitigation_Industry!$F$315*W$14+Mitigation_Industry!$G$315*W$13</f>
        <v>0</v>
      </c>
      <c r="X40" s="137">
        <f>Mitigation_Industry!$F$315*X$14+Mitigation_Industry!$G$315*X$13</f>
        <v>0</v>
      </c>
      <c r="Y40" s="137">
        <f>Mitigation_Industry!$F$315*Y$14+Mitigation_Industry!$G$315*Y$13</f>
        <v>0</v>
      </c>
      <c r="Z40" s="137">
        <f>Mitigation_Industry!$F$315*Z$14+Mitigation_Industry!$G$315*Z$13</f>
        <v>0</v>
      </c>
      <c r="AA40" s="137">
        <f>Mitigation_Industry!$F$315*AA$14+Mitigation_Industry!$G$315*AA$13</f>
        <v>0</v>
      </c>
      <c r="AB40" s="137">
        <f>Mitigation_Industry!$F$315*AB$14+Mitigation_Industry!$G$315*AB$13</f>
        <v>0</v>
      </c>
      <c r="AC40" s="137">
        <f>Mitigation_Industry!$F$315*AC$14+Mitigation_Industry!$G$315*AC$13</f>
        <v>0</v>
      </c>
      <c r="AD40" s="137">
        <f>Mitigation_Industry!$F$315*AD$14+Mitigation_Industry!$G$315*AD$13</f>
        <v>0</v>
      </c>
      <c r="AE40" s="137">
        <f>Mitigation_Industry!$F$315*AE$14+Mitigation_Industry!$G$315*AE$13</f>
        <v>0</v>
      </c>
      <c r="AF40" s="138"/>
      <c r="AG40" s="138"/>
      <c r="AH40" s="138"/>
      <c r="AI40" s="138"/>
    </row>
    <row r="41" spans="1:35" customFormat="1" ht="14.25" x14ac:dyDescent="0.45">
      <c r="B41" s="14" t="s">
        <v>2594</v>
      </c>
      <c r="C41" s="14" t="s">
        <v>117</v>
      </c>
      <c r="D41" s="15" t="s">
        <v>2595</v>
      </c>
      <c r="E41" s="16" t="s">
        <v>1398</v>
      </c>
      <c r="F41" s="14" t="s">
        <v>2564</v>
      </c>
      <c r="G41" s="17"/>
      <c r="H41" s="125" t="str">
        <f>Settings!$B$3&amp;".mit.pp.frt.nit.no.1"</f>
        <v>egy.mit.pp.frt.nit.no.1</v>
      </c>
      <c r="K41" s="136"/>
      <c r="L41" s="137">
        <f>Mitigation_Industry!$F$316*L$14+Mitigation_Industry!$G$316*L$13</f>
        <v>0</v>
      </c>
      <c r="M41" s="137">
        <f>Mitigation_Industry!$F$316*M$14+Mitigation_Industry!$G$316*M$13</f>
        <v>0</v>
      </c>
      <c r="N41" s="137">
        <f>Mitigation_Industry!$F$316*N$14+Mitigation_Industry!$G$316*N$13</f>
        <v>0</v>
      </c>
      <c r="O41" s="137">
        <f>Mitigation_Industry!$F$316*O$14+Mitigation_Industry!$G$316*O$13</f>
        <v>0</v>
      </c>
      <c r="P41" s="137">
        <f>Mitigation_Industry!$F$316*P$14+Mitigation_Industry!$G$316*P$13</f>
        <v>0</v>
      </c>
      <c r="Q41" s="137">
        <f>Mitigation_Industry!$F$316*Q$14+Mitigation_Industry!$G$316*Q$13</f>
        <v>0</v>
      </c>
      <c r="R41" s="137">
        <f>Mitigation_Industry!$F$316*R$14+Mitigation_Industry!$G$316*R$13</f>
        <v>0</v>
      </c>
      <c r="S41" s="137">
        <f>Mitigation_Industry!$F$316*S$14+Mitigation_Industry!$G$316*S$13</f>
        <v>0</v>
      </c>
      <c r="T41" s="137">
        <f>Mitigation_Industry!$F$316*T$14+Mitigation_Industry!$G$316*T$13</f>
        <v>0</v>
      </c>
      <c r="U41" s="137">
        <f>Mitigation_Industry!$F$316*U$14+Mitigation_Industry!$G$316*U$13</f>
        <v>0</v>
      </c>
      <c r="V41" s="137">
        <f>Mitigation_Industry!$F$316*V$14+Mitigation_Industry!$G$316*V$13</f>
        <v>0</v>
      </c>
      <c r="W41" s="137">
        <f>Mitigation_Industry!$F$316*W$14+Mitigation_Industry!$G$316*W$13</f>
        <v>0</v>
      </c>
      <c r="X41" s="137">
        <f>Mitigation_Industry!$F$316*X$14+Mitigation_Industry!$G$316*X$13</f>
        <v>0</v>
      </c>
      <c r="Y41" s="137">
        <f>Mitigation_Industry!$F$316*Y$14+Mitigation_Industry!$G$316*Y$13</f>
        <v>0</v>
      </c>
      <c r="Z41" s="137">
        <f>Mitigation_Industry!$F$316*Z$14+Mitigation_Industry!$G$316*Z$13</f>
        <v>0</v>
      </c>
      <c r="AA41" s="137">
        <f>Mitigation_Industry!$F$316*AA$14+Mitigation_Industry!$G$316*AA$13</f>
        <v>0</v>
      </c>
      <c r="AB41" s="137">
        <f>Mitigation_Industry!$F$316*AB$14+Mitigation_Industry!$G$316*AB$13</f>
        <v>0</v>
      </c>
      <c r="AC41" s="137">
        <f>Mitigation_Industry!$F$316*AC$14+Mitigation_Industry!$G$316*AC$13</f>
        <v>0</v>
      </c>
      <c r="AD41" s="137">
        <f>Mitigation_Industry!$F$316*AD$14+Mitigation_Industry!$G$316*AD$13</f>
        <v>0</v>
      </c>
      <c r="AE41" s="137">
        <f>Mitigation_Industry!$F$316*AE$14+Mitigation_Industry!$G$316*AE$13</f>
        <v>0</v>
      </c>
      <c r="AF41" s="138"/>
      <c r="AG41" s="138"/>
      <c r="AH41" s="138"/>
      <c r="AI41" s="138"/>
    </row>
    <row r="42" spans="1:35" customFormat="1" ht="14.25" x14ac:dyDescent="0.45">
      <c r="B42" s="14" t="s">
        <v>2596</v>
      </c>
      <c r="C42" s="14" t="s">
        <v>115</v>
      </c>
      <c r="D42" s="15" t="s">
        <v>2597</v>
      </c>
      <c r="E42" s="16" t="s">
        <v>1398</v>
      </c>
      <c r="F42" s="14" t="s">
        <v>2564</v>
      </c>
      <c r="G42" s="17"/>
      <c r="H42" s="125" t="str">
        <f>Settings!$B$3&amp;".mit.pp.alu.prp.no.1"</f>
        <v>egy.mit.pp.alu.prp.no.1</v>
      </c>
      <c r="K42" s="136"/>
      <c r="L42" s="137">
        <f>Mitigation_Industry!$F$317*L$14+Mitigation_Industry!$G$317*L$13</f>
        <v>0</v>
      </c>
      <c r="M42" s="137">
        <f>Mitigation_Industry!$F$317*M$14+Mitigation_Industry!$G$317*M$13</f>
        <v>0</v>
      </c>
      <c r="N42" s="137">
        <f>Mitigation_Industry!$F$317*N$14+Mitigation_Industry!$G$317*N$13</f>
        <v>0</v>
      </c>
      <c r="O42" s="137">
        <f>Mitigation_Industry!$F$317*O$14+Mitigation_Industry!$G$317*O$13</f>
        <v>0</v>
      </c>
      <c r="P42" s="137">
        <f>Mitigation_Industry!$F$317*P$14+Mitigation_Industry!$G$317*P$13</f>
        <v>0</v>
      </c>
      <c r="Q42" s="137">
        <f>Mitigation_Industry!$F$317*Q$14+Mitigation_Industry!$G$317*Q$13</f>
        <v>0</v>
      </c>
      <c r="R42" s="137">
        <f>Mitigation_Industry!$F$317*R$14+Mitigation_Industry!$G$317*R$13</f>
        <v>0</v>
      </c>
      <c r="S42" s="137">
        <f>Mitigation_Industry!$F$317*S$14+Mitigation_Industry!$G$317*S$13</f>
        <v>0</v>
      </c>
      <c r="T42" s="137">
        <f>Mitigation_Industry!$F$317*T$14+Mitigation_Industry!$G$317*T$13</f>
        <v>0</v>
      </c>
      <c r="U42" s="137">
        <f>Mitigation_Industry!$F$317*U$14+Mitigation_Industry!$G$317*U$13</f>
        <v>0</v>
      </c>
      <c r="V42" s="137">
        <f>Mitigation_Industry!$F$317*V$14+Mitigation_Industry!$G$317*V$13</f>
        <v>0</v>
      </c>
      <c r="W42" s="137">
        <f>Mitigation_Industry!$F$317*W$14+Mitigation_Industry!$G$317*W$13</f>
        <v>0</v>
      </c>
      <c r="X42" s="137">
        <f>Mitigation_Industry!$F$317*X$14+Mitigation_Industry!$G$317*X$13</f>
        <v>0</v>
      </c>
      <c r="Y42" s="137">
        <f>Mitigation_Industry!$F$317*Y$14+Mitigation_Industry!$G$317*Y$13</f>
        <v>0</v>
      </c>
      <c r="Z42" s="137">
        <f>Mitigation_Industry!$F$317*Z$14+Mitigation_Industry!$G$317*Z$13</f>
        <v>0</v>
      </c>
      <c r="AA42" s="137">
        <f>Mitigation_Industry!$F$317*AA$14+Mitigation_Industry!$G$317*AA$13</f>
        <v>0</v>
      </c>
      <c r="AB42" s="137">
        <f>Mitigation_Industry!$F$317*AB$14+Mitigation_Industry!$G$317*AB$13</f>
        <v>0</v>
      </c>
      <c r="AC42" s="137">
        <f>Mitigation_Industry!$F$317*AC$14+Mitigation_Industry!$G$317*AC$13</f>
        <v>0</v>
      </c>
      <c r="AD42" s="137">
        <f>Mitigation_Industry!$F$317*AD$14+Mitigation_Industry!$G$317*AD$13</f>
        <v>0</v>
      </c>
      <c r="AE42" s="137">
        <f>Mitigation_Industry!$F$317*AE$14+Mitigation_Industry!$G$317*AE$13</f>
        <v>0</v>
      </c>
      <c r="AF42" s="138"/>
      <c r="AG42" s="138"/>
      <c r="AH42" s="138"/>
      <c r="AI42" s="138"/>
    </row>
    <row r="43" spans="1:35" x14ac:dyDescent="0.35"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</row>
    <row r="44" spans="1:35" customFormat="1" ht="14.25" x14ac:dyDescent="0.45">
      <c r="A44" s="11"/>
      <c r="B44" s="6"/>
      <c r="C44" s="7" t="s">
        <v>2598</v>
      </c>
      <c r="D44" s="6" t="s">
        <v>1488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34">
        <v>2021</v>
      </c>
      <c r="L44" s="135">
        <v>2022</v>
      </c>
      <c r="M44" s="134">
        <v>2023</v>
      </c>
      <c r="N44" s="134">
        <v>2024</v>
      </c>
      <c r="O44" s="134">
        <v>2025</v>
      </c>
      <c r="P44" s="134">
        <v>2026</v>
      </c>
      <c r="Q44" s="134">
        <v>2027</v>
      </c>
      <c r="R44" s="134">
        <v>2028</v>
      </c>
      <c r="S44" s="134">
        <v>2029</v>
      </c>
      <c r="T44" s="134">
        <v>2030</v>
      </c>
      <c r="U44" s="134">
        <v>2031</v>
      </c>
      <c r="V44" s="134">
        <v>2032</v>
      </c>
      <c r="W44" s="134">
        <v>2033</v>
      </c>
      <c r="X44" s="134">
        <v>2034</v>
      </c>
      <c r="Y44" s="134">
        <v>2035</v>
      </c>
      <c r="Z44" s="134">
        <v>2036</v>
      </c>
      <c r="AA44" s="134">
        <v>2037</v>
      </c>
      <c r="AB44" s="134">
        <v>2038</v>
      </c>
      <c r="AC44" s="134">
        <v>2039</v>
      </c>
      <c r="AD44" s="134">
        <v>2040</v>
      </c>
      <c r="AE44" s="134">
        <v>2041</v>
      </c>
      <c r="AF44" s="134">
        <v>2042</v>
      </c>
      <c r="AG44" s="134">
        <v>2043</v>
      </c>
      <c r="AH44" s="134">
        <v>2044</v>
      </c>
      <c r="AI44" s="134">
        <v>2045</v>
      </c>
    </row>
    <row r="45" spans="1:35" customFormat="1" ht="14.25" x14ac:dyDescent="0.45">
      <c r="B45" s="14" t="s">
        <v>1435</v>
      </c>
      <c r="C45" s="14" t="s">
        <v>43</v>
      </c>
      <c r="D45" s="15" t="s">
        <v>2599</v>
      </c>
      <c r="E45" s="16" t="s">
        <v>2068</v>
      </c>
      <c r="F45" s="14" t="s">
        <v>2598</v>
      </c>
      <c r="G45" s="17"/>
      <c r="H45" s="125" t="str">
        <f>Settings!$B$3&amp;".mit.wf.stl.drg.1"</f>
        <v>egy.mit.wf.stl.drg.1</v>
      </c>
      <c r="I45" t="s">
        <v>2600</v>
      </c>
      <c r="K45" s="136"/>
      <c r="L45" s="137">
        <f>Mitigation_Industry!L$330</f>
        <v>2.6717650641872548</v>
      </c>
      <c r="M45" s="137">
        <f>Mitigation_Industry!M$330</f>
        <v>2.789322727011494</v>
      </c>
      <c r="N45" s="137">
        <f>Mitigation_Industry!N$330</f>
        <v>2.9120529269999995</v>
      </c>
      <c r="O45" s="137">
        <f>Mitigation_Industry!O$330</f>
        <v>3.0401832557880004</v>
      </c>
      <c r="P45" s="137">
        <f>Mitigation_Industry!P$330</f>
        <v>3.173951319042672</v>
      </c>
      <c r="Q45" s="137">
        <f>Mitigation_Industry!Q$330</f>
        <v>3.3136051770805501</v>
      </c>
      <c r="R45" s="137">
        <f>Mitigation_Industry!R$330</f>
        <v>3.4594038048720939</v>
      </c>
      <c r="S45" s="137">
        <f>Mitigation_Industry!S$330</f>
        <v>3.6116175722864661</v>
      </c>
      <c r="T45" s="137">
        <f>Mitigation_Industry!T$330</f>
        <v>3.7705287454670713</v>
      </c>
      <c r="U45" s="137">
        <f>Mitigation_Industry!U$330</f>
        <v>3.9364320102676222</v>
      </c>
      <c r="V45" s="137">
        <f>Mitigation_Industry!V$330</f>
        <v>4.1096350187193975</v>
      </c>
      <c r="W45" s="137">
        <f>Mitigation_Industry!W$330</f>
        <v>4.2904589595430505</v>
      </c>
      <c r="X45" s="137">
        <f>Mitigation_Industry!X$330</f>
        <v>4.4792391537629452</v>
      </c>
      <c r="Y45" s="137">
        <f>Mitigation_Industry!Y$330</f>
        <v>4.6763256765285162</v>
      </c>
      <c r="Z45" s="137">
        <f>Mitigation_Industry!Z$330</f>
        <v>4.8820840062957691</v>
      </c>
      <c r="AA45" s="137">
        <f>Mitigation_Industry!AA$330</f>
        <v>5.096895702572783</v>
      </c>
      <c r="AB45" s="137">
        <f>Mitigation_Industry!AB$330</f>
        <v>5.3211591134859875</v>
      </c>
      <c r="AC45" s="137">
        <f>Mitigation_Industry!AC$330</f>
        <v>5.5552901144793703</v>
      </c>
      <c r="AD45" s="137">
        <f>Mitigation_Industry!AD$330</f>
        <v>5.7997228795164624</v>
      </c>
      <c r="AE45" s="137">
        <f>Mitigation_Industry!AE$330</f>
        <v>6.0549106862151856</v>
      </c>
      <c r="AF45" s="138"/>
      <c r="AG45" s="138"/>
      <c r="AH45" s="138"/>
      <c r="AI45" s="138"/>
    </row>
    <row r="46" spans="1:35" customFormat="1" ht="14.25" x14ac:dyDescent="0.45">
      <c r="B46" s="14" t="s">
        <v>1438</v>
      </c>
      <c r="C46" s="14" t="s">
        <v>43</v>
      </c>
      <c r="D46" s="15" t="s">
        <v>2601</v>
      </c>
      <c r="E46" s="16" t="s">
        <v>2068</v>
      </c>
      <c r="F46" s="14" t="s">
        <v>2598</v>
      </c>
      <c r="G46" s="17"/>
      <c r="H46" s="125" t="str">
        <f>Settings!$B$3&amp;".mit.wf.stl.scr.1"</f>
        <v>egy.mit.wf.stl.scr.1</v>
      </c>
      <c r="K46" s="136"/>
      <c r="L46" s="137">
        <f>Mitigation_Industry!L$331</f>
        <v>0.19764830228563882</v>
      </c>
      <c r="M46" s="137">
        <f>Mitigation_Industry!M$331</f>
        <v>0.20634482758620692</v>
      </c>
      <c r="N46" s="137">
        <f>Mitigation_Industry!N$331</f>
        <v>0.215424</v>
      </c>
      <c r="O46" s="137">
        <f>Mitigation_Industry!O$331</f>
        <v>0.22490265600000001</v>
      </c>
      <c r="P46" s="137">
        <f>Mitigation_Industry!P$331</f>
        <v>0.23479837286400002</v>
      </c>
      <c r="Q46" s="137">
        <f>Mitigation_Industry!Q$331</f>
        <v>0.24512950127001604</v>
      </c>
      <c r="R46" s="137">
        <f>Mitigation_Industry!R$331</f>
        <v>0.25591519932589668</v>
      </c>
      <c r="S46" s="137">
        <f>Mitigation_Industry!S$331</f>
        <v>0.26717546809623621</v>
      </c>
      <c r="T46" s="137">
        <f>Mitigation_Industry!T$331</f>
        <v>0.27893118869247063</v>
      </c>
      <c r="U46" s="137">
        <f>Mitigation_Industry!U$331</f>
        <v>0.29120416099493934</v>
      </c>
      <c r="V46" s="137">
        <f>Mitigation_Industry!V$331</f>
        <v>0.30401714407871661</v>
      </c>
      <c r="W46" s="137">
        <f>Mitigation_Industry!W$331</f>
        <v>0.31739389841818022</v>
      </c>
      <c r="X46" s="137">
        <f>Mitigation_Industry!X$331</f>
        <v>0.33135922994858014</v>
      </c>
      <c r="Y46" s="137">
        <f>Mitigation_Industry!Y$331</f>
        <v>0.34593903606631771</v>
      </c>
      <c r="Z46" s="137">
        <f>Mitigation_Industry!Z$331</f>
        <v>0.36116035365323562</v>
      </c>
      <c r="AA46" s="137">
        <f>Mitigation_Industry!AA$331</f>
        <v>0.37705140921397801</v>
      </c>
      <c r="AB46" s="137">
        <f>Mitigation_Industry!AB$331</f>
        <v>0.39364167121939314</v>
      </c>
      <c r="AC46" s="137">
        <f>Mitigation_Industry!AC$331</f>
        <v>0.41096190475304639</v>
      </c>
      <c r="AD46" s="137">
        <f>Mitigation_Industry!AD$331</f>
        <v>0.42904422856218044</v>
      </c>
      <c r="AE46" s="137">
        <f>Mitigation_Industry!AE$331</f>
        <v>0.44792217461891631</v>
      </c>
      <c r="AF46" s="138"/>
      <c r="AG46" s="138"/>
      <c r="AH46" s="138"/>
      <c r="AI46" s="138"/>
    </row>
    <row r="47" spans="1:35" customFormat="1" ht="14.25" x14ac:dyDescent="0.45">
      <c r="B47" s="14" t="s">
        <v>1441</v>
      </c>
      <c r="C47" s="14" t="s">
        <v>43</v>
      </c>
      <c r="D47" s="15" t="s">
        <v>2602</v>
      </c>
      <c r="E47" s="16" t="s">
        <v>2068</v>
      </c>
      <c r="F47" s="14" t="s">
        <v>2598</v>
      </c>
      <c r="G47" s="17"/>
      <c r="H47" s="125" t="str">
        <f>Settings!$B$3&amp;".mit.wf.stl.bof.1"</f>
        <v>egy.mit.wf.stl.bof.1</v>
      </c>
      <c r="K47" s="136"/>
      <c r="L47" s="137">
        <f>Mitigation_Industry!L$332</f>
        <v>0</v>
      </c>
      <c r="M47" s="137">
        <f>Mitigation_Industry!M$332</f>
        <v>0</v>
      </c>
      <c r="N47" s="137">
        <f>Mitigation_Industry!N$332</f>
        <v>0</v>
      </c>
      <c r="O47" s="137">
        <f>Mitigation_Industry!O$332</f>
        <v>0</v>
      </c>
      <c r="P47" s="137">
        <f>Mitigation_Industry!P$332</f>
        <v>0</v>
      </c>
      <c r="Q47" s="137">
        <f>Mitigation_Industry!Q$332</f>
        <v>0</v>
      </c>
      <c r="R47" s="137">
        <f>Mitigation_Industry!R$332</f>
        <v>0</v>
      </c>
      <c r="S47" s="137">
        <f>Mitigation_Industry!S$332</f>
        <v>0</v>
      </c>
      <c r="T47" s="137">
        <f>Mitigation_Industry!T$332</f>
        <v>0</v>
      </c>
      <c r="U47" s="137">
        <f>Mitigation_Industry!U$332</f>
        <v>0</v>
      </c>
      <c r="V47" s="137">
        <f>Mitigation_Industry!V$332</f>
        <v>0</v>
      </c>
      <c r="W47" s="137">
        <f>Mitigation_Industry!W$332</f>
        <v>0</v>
      </c>
      <c r="X47" s="137">
        <f>Mitigation_Industry!X$332</f>
        <v>0</v>
      </c>
      <c r="Y47" s="137">
        <f>Mitigation_Industry!Y$332</f>
        <v>0</v>
      </c>
      <c r="Z47" s="137">
        <f>Mitigation_Industry!Z$332</f>
        <v>0</v>
      </c>
      <c r="AA47" s="137">
        <f>Mitigation_Industry!AA$332</f>
        <v>0</v>
      </c>
      <c r="AB47" s="137">
        <f>Mitigation_Industry!AB$332</f>
        <v>0</v>
      </c>
      <c r="AC47" s="137">
        <f>Mitigation_Industry!AC$332</f>
        <v>0</v>
      </c>
      <c r="AD47" s="137">
        <f>Mitigation_Industry!AD$332</f>
        <v>0</v>
      </c>
      <c r="AE47" s="137">
        <f>Mitigation_Industry!AE$332</f>
        <v>0</v>
      </c>
      <c r="AF47" s="138"/>
      <c r="AG47" s="138"/>
      <c r="AH47" s="138"/>
      <c r="AI47" s="138"/>
    </row>
    <row r="48" spans="1:35" customFormat="1" ht="14.25" x14ac:dyDescent="0.45">
      <c r="B48" s="14" t="s">
        <v>1444</v>
      </c>
      <c r="C48" s="14" t="s">
        <v>113</v>
      </c>
      <c r="D48" s="15" t="s">
        <v>2603</v>
      </c>
      <c r="E48" s="16" t="s">
        <v>2068</v>
      </c>
      <c r="F48" s="14" t="s">
        <v>2598</v>
      </c>
      <c r="G48" s="17"/>
      <c r="H48" s="125" t="str">
        <f>Settings!$B$3&amp;".mit.wf.cmt.dry.1"</f>
        <v>egy.mit.wf.cmt.dry.1</v>
      </c>
      <c r="K48" s="136"/>
      <c r="L48" s="137">
        <f>Mitigation_Industry!L$333</f>
        <v>14.692706044200628</v>
      </c>
      <c r="M48" s="137">
        <f>Mitigation_Industry!M$333</f>
        <v>15.177565343659246</v>
      </c>
      <c r="N48" s="137">
        <f>Mitigation_Industry!N$333</f>
        <v>15.678424999999999</v>
      </c>
      <c r="O48" s="137">
        <f>Mitigation_Industry!O$333</f>
        <v>16.195813024999996</v>
      </c>
      <c r="P48" s="137">
        <f>Mitigation_Industry!P$333</f>
        <v>16.730274854824994</v>
      </c>
      <c r="Q48" s="137">
        <f>Mitigation_Industry!Q$333</f>
        <v>17.282373925034218</v>
      </c>
      <c r="R48" s="137">
        <f>Mitigation_Industry!R$333</f>
        <v>17.852692264560343</v>
      </c>
      <c r="S48" s="137">
        <f>Mitigation_Industry!S$333</f>
        <v>18.441831109290838</v>
      </c>
      <c r="T48" s="137">
        <f>Mitigation_Industry!T$333</f>
        <v>19.050411535897432</v>
      </c>
      <c r="U48" s="137">
        <f>Mitigation_Industry!U$333</f>
        <v>19.679075116582045</v>
      </c>
      <c r="V48" s="137">
        <f>Mitigation_Industry!V$333</f>
        <v>20.328484595429249</v>
      </c>
      <c r="W48" s="137">
        <f>Mitigation_Industry!W$333</f>
        <v>20.999324587078412</v>
      </c>
      <c r="X48" s="137">
        <f>Mitigation_Industry!X$333</f>
        <v>21.692302298451992</v>
      </c>
      <c r="Y48" s="137">
        <f>Mitigation_Industry!Y$333</f>
        <v>22.40814827430091</v>
      </c>
      <c r="Z48" s="137">
        <f>Mitigation_Industry!Z$333</f>
        <v>23.147617167352838</v>
      </c>
      <c r="AA48" s="137">
        <f>Mitigation_Industry!AA$333</f>
        <v>23.911488533875481</v>
      </c>
      <c r="AB48" s="137">
        <f>Mitigation_Industry!AB$333</f>
        <v>24.700567655493362</v>
      </c>
      <c r="AC48" s="137">
        <f>Mitigation_Industry!AC$333</f>
        <v>25.515686388124642</v>
      </c>
      <c r="AD48" s="137">
        <f>Mitigation_Industry!AD$333</f>
        <v>26.357704038932756</v>
      </c>
      <c r="AE48" s="137">
        <f>Mitigation_Industry!AE$333</f>
        <v>27.227508272217527</v>
      </c>
      <c r="AF48" s="138"/>
      <c r="AG48" s="138"/>
      <c r="AH48" s="138"/>
      <c r="AI48" s="138"/>
    </row>
    <row r="49" spans="1:35" customFormat="1" ht="14.25" x14ac:dyDescent="0.45">
      <c r="B49" s="14" t="s">
        <v>1447</v>
      </c>
      <c r="C49" s="14" t="s">
        <v>117</v>
      </c>
      <c r="D49" s="15" t="s">
        <v>2604</v>
      </c>
      <c r="E49" s="16" t="s">
        <v>2068</v>
      </c>
      <c r="F49" s="14" t="s">
        <v>2598</v>
      </c>
      <c r="G49" s="17"/>
      <c r="H49" s="125" t="str">
        <f>Settings!$B$3&amp;".mit.wf.frt.amc.1"</f>
        <v>egy.mit.wf.frt.amc.1</v>
      </c>
      <c r="K49" s="136"/>
      <c r="L49" s="137">
        <f>Mitigation_Industry!L$334</f>
        <v>3.3747527008551588</v>
      </c>
      <c r="M49" s="137">
        <f>Mitigation_Industry!M$334</f>
        <v>3.4489972602739725</v>
      </c>
      <c r="N49" s="137">
        <f>Mitigation_Industry!N$334</f>
        <v>3.5248751999999999</v>
      </c>
      <c r="O49" s="137">
        <f>Mitigation_Industry!O$334</f>
        <v>3.6024224544000001</v>
      </c>
      <c r="P49" s="137">
        <f>Mitigation_Industry!P$334</f>
        <v>3.6816757483967999</v>
      </c>
      <c r="Q49" s="137">
        <f>Mitigation_Industry!Q$334</f>
        <v>3.7626726148615299</v>
      </c>
      <c r="R49" s="137">
        <f>Mitigation_Industry!R$334</f>
        <v>3.8454514123884831</v>
      </c>
      <c r="S49" s="137">
        <f>Mitigation_Industry!S$334</f>
        <v>3.9300513434610296</v>
      </c>
      <c r="T49" s="137">
        <f>Mitigation_Industry!T$334</f>
        <v>4.0165124730171726</v>
      </c>
      <c r="U49" s="137">
        <f>Mitigation_Industry!U$334</f>
        <v>4.1048757474235504</v>
      </c>
      <c r="V49" s="137">
        <f>Mitigation_Industry!V$334</f>
        <v>4.1951830138668695</v>
      </c>
      <c r="W49" s="137">
        <f>Mitigation_Industry!W$334</f>
        <v>4.2874770401719395</v>
      </c>
      <c r="X49" s="137">
        <f>Mitigation_Industry!X$334</f>
        <v>4.3818015350557227</v>
      </c>
      <c r="Y49" s="137">
        <f>Mitigation_Industry!Y$334</f>
        <v>4.4782011688269483</v>
      </c>
      <c r="Z49" s="137">
        <f>Mitigation_Industry!Z$334</f>
        <v>4.5767215945411417</v>
      </c>
      <c r="AA49" s="137">
        <f>Mitigation_Industry!AA$334</f>
        <v>4.6774094696210469</v>
      </c>
      <c r="AB49" s="137">
        <f>Mitigation_Industry!AB$334</f>
        <v>4.7803124779527089</v>
      </c>
      <c r="AC49" s="137">
        <f>Mitigation_Industry!AC$334</f>
        <v>4.8854793524676694</v>
      </c>
      <c r="AD49" s="137">
        <f>Mitigation_Industry!AD$334</f>
        <v>4.9929598982219581</v>
      </c>
      <c r="AE49" s="137">
        <f>Mitigation_Industry!AE$334</f>
        <v>5.1028050159828409</v>
      </c>
      <c r="AF49" s="138"/>
      <c r="AG49" s="138"/>
      <c r="AH49" s="138"/>
      <c r="AI49" s="138"/>
    </row>
    <row r="50" spans="1:35" customFormat="1" ht="14.25" x14ac:dyDescent="0.45">
      <c r="B50" s="14" t="s">
        <v>1450</v>
      </c>
      <c r="C50" s="14" t="s">
        <v>117</v>
      </c>
      <c r="D50" s="15" t="s">
        <v>2605</v>
      </c>
      <c r="E50" s="16" t="s">
        <v>2068</v>
      </c>
      <c r="F50" s="14" t="s">
        <v>2598</v>
      </c>
      <c r="G50" s="17"/>
      <c r="H50" s="125" t="str">
        <f>Settings!$B$3&amp;".mit.wf.frt.ure.1"</f>
        <v>egy.mit.wf.frt.ure.1</v>
      </c>
      <c r="K50" s="136"/>
      <c r="L50" s="137">
        <f>Mitigation_Industry!L$335</f>
        <v>0.30078009811543305</v>
      </c>
      <c r="M50" s="137">
        <f>Mitigation_Industry!M$335</f>
        <v>0.30739726027397257</v>
      </c>
      <c r="N50" s="137">
        <f>Mitigation_Industry!N$335</f>
        <v>0.31415999999999999</v>
      </c>
      <c r="O50" s="137">
        <f>Mitigation_Industry!O$335</f>
        <v>0.32107151999999994</v>
      </c>
      <c r="P50" s="137">
        <f>Mitigation_Industry!P$335</f>
        <v>0.32813509343999991</v>
      </c>
      <c r="Q50" s="137">
        <f>Mitigation_Industry!Q$335</f>
        <v>0.33535406549567992</v>
      </c>
      <c r="R50" s="137">
        <f>Mitigation_Industry!R$335</f>
        <v>0.34273185493658498</v>
      </c>
      <c r="S50" s="137">
        <f>Mitigation_Industry!S$335</f>
        <v>0.35027195574518982</v>
      </c>
      <c r="T50" s="137">
        <f>Mitigation_Industry!T$335</f>
        <v>0.3579779387715839</v>
      </c>
      <c r="U50" s="137">
        <f>Mitigation_Industry!U$335</f>
        <v>0.36585345342455883</v>
      </c>
      <c r="V50" s="137">
        <f>Mitigation_Industry!V$335</f>
        <v>0.37390222939989914</v>
      </c>
      <c r="W50" s="137">
        <f>Mitigation_Industry!W$335</f>
        <v>0.38212807844669694</v>
      </c>
      <c r="X50" s="137">
        <f>Mitigation_Industry!X$335</f>
        <v>0.39053489617252429</v>
      </c>
      <c r="Y50" s="137">
        <f>Mitigation_Industry!Y$335</f>
        <v>0.39912666388831985</v>
      </c>
      <c r="Z50" s="137">
        <f>Mitigation_Industry!Z$335</f>
        <v>0.4079074504938629</v>
      </c>
      <c r="AA50" s="137">
        <f>Mitigation_Industry!AA$335</f>
        <v>0.41688141440472787</v>
      </c>
      <c r="AB50" s="137">
        <f>Mitigation_Industry!AB$335</f>
        <v>0.42605280552163183</v>
      </c>
      <c r="AC50" s="137">
        <f>Mitigation_Industry!AC$335</f>
        <v>0.43542596724310778</v>
      </c>
      <c r="AD50" s="137">
        <f>Mitigation_Industry!AD$335</f>
        <v>0.44500533852245616</v>
      </c>
      <c r="AE50" s="137">
        <f>Mitigation_Industry!AE$335</f>
        <v>0.45479545596995019</v>
      </c>
      <c r="AF50" s="138"/>
      <c r="AG50" s="138"/>
      <c r="AH50" s="138"/>
      <c r="AI50" s="138"/>
    </row>
    <row r="51" spans="1:35" customFormat="1" ht="14.25" x14ac:dyDescent="0.45">
      <c r="B51" s="14" t="s">
        <v>1453</v>
      </c>
      <c r="C51" s="14" t="s">
        <v>117</v>
      </c>
      <c r="D51" s="15" t="s">
        <v>2606</v>
      </c>
      <c r="E51" s="16" t="s">
        <v>2068</v>
      </c>
      <c r="F51" s="14" t="s">
        <v>2598</v>
      </c>
      <c r="G51" s="17"/>
      <c r="H51" s="125" t="str">
        <f>Settings!$B$3&amp;".mit.wf.frt.nit.1"</f>
        <v>egy.mit.wf.frt.nit.1</v>
      </c>
      <c r="K51" s="136"/>
      <c r="L51" s="137">
        <f>Mitigation_Industry!L$336</f>
        <v>6.4452878167592806E-2</v>
      </c>
      <c r="M51" s="137">
        <f>Mitigation_Industry!M$336</f>
        <v>6.5870841487279841E-2</v>
      </c>
      <c r="N51" s="137">
        <f>Mitigation_Industry!N$336</f>
        <v>6.7319999999999991E-2</v>
      </c>
      <c r="O51" s="137">
        <f>Mitigation_Industry!O$336</f>
        <v>6.8801039999999994E-2</v>
      </c>
      <c r="P51" s="137">
        <f>Mitigation_Industry!P$336</f>
        <v>7.031466287999999E-2</v>
      </c>
      <c r="Q51" s="137">
        <f>Mitigation_Industry!Q$336</f>
        <v>7.1861585463359995E-2</v>
      </c>
      <c r="R51" s="137">
        <f>Mitigation_Industry!R$336</f>
        <v>7.3442540343553922E-2</v>
      </c>
      <c r="S51" s="137">
        <f>Mitigation_Industry!S$336</f>
        <v>7.5058276231112109E-2</v>
      </c>
      <c r="T51" s="137">
        <f>Mitigation_Industry!T$336</f>
        <v>7.6709558308196563E-2</v>
      </c>
      <c r="U51" s="137">
        <f>Mitigation_Industry!U$336</f>
        <v>7.8397168590976896E-2</v>
      </c>
      <c r="V51" s="137">
        <f>Mitigation_Industry!V$336</f>
        <v>8.012190629997841E-2</v>
      </c>
      <c r="W51" s="137">
        <f>Mitigation_Industry!W$336</f>
        <v>8.1884588238577902E-2</v>
      </c>
      <c r="X51" s="137">
        <f>Mitigation_Industry!X$336</f>
        <v>8.3686049179826624E-2</v>
      </c>
      <c r="Y51" s="137">
        <f>Mitigation_Industry!Y$336</f>
        <v>8.5527142261782832E-2</v>
      </c>
      <c r="Z51" s="137">
        <f>Mitigation_Industry!Z$336</f>
        <v>8.7408739391542062E-2</v>
      </c>
      <c r="AA51" s="137">
        <f>Mitigation_Industry!AA$336</f>
        <v>8.9331731658155972E-2</v>
      </c>
      <c r="AB51" s="137">
        <f>Mitigation_Industry!AB$336</f>
        <v>9.1297029754635384E-2</v>
      </c>
      <c r="AC51" s="137">
        <f>Mitigation_Industry!AC$336</f>
        <v>9.3305564409237374E-2</v>
      </c>
      <c r="AD51" s="137">
        <f>Mitigation_Industry!AD$336</f>
        <v>9.5358286826240604E-2</v>
      </c>
      <c r="AE51" s="137">
        <f>Mitigation_Industry!AE$336</f>
        <v>9.74561691364179E-2</v>
      </c>
      <c r="AF51" s="138"/>
      <c r="AG51" s="138"/>
      <c r="AH51" s="138"/>
      <c r="AI51" s="138"/>
    </row>
    <row r="52" spans="1:35" customFormat="1" ht="14.25" x14ac:dyDescent="0.45">
      <c r="B52" s="14" t="s">
        <v>1456</v>
      </c>
      <c r="C52" s="14" t="s">
        <v>115</v>
      </c>
      <c r="D52" s="15" t="s">
        <v>2607</v>
      </c>
      <c r="E52" s="16" t="s">
        <v>2068</v>
      </c>
      <c r="F52" s="14" t="s">
        <v>2598</v>
      </c>
      <c r="G52" s="17"/>
      <c r="H52" s="125" t="str">
        <f>Settings!$B$3&amp;".mit.wf.alu.prp.1"</f>
        <v>egy.mit.wf.alu.prp.1</v>
      </c>
      <c r="K52" s="136"/>
      <c r="L52" s="137">
        <f>Mitigation_Industry!L$337</f>
        <v>3.3266099144224071E-2</v>
      </c>
      <c r="M52" s="137">
        <f>Mitigation_Industry!M$337</f>
        <v>3.5095734597156404E-2</v>
      </c>
      <c r="N52" s="137">
        <f>Mitigation_Industry!N$337</f>
        <v>3.7026000000000003E-2</v>
      </c>
      <c r="O52" s="137">
        <f>Mitigation_Industry!O$337</f>
        <v>3.9062430000000002E-2</v>
      </c>
      <c r="P52" s="137">
        <f>Mitigation_Industry!P$337</f>
        <v>4.1210863649999999E-2</v>
      </c>
      <c r="Q52" s="137">
        <f>Mitigation_Industry!Q$337</f>
        <v>4.3477461150749991E-2</v>
      </c>
      <c r="R52" s="137">
        <f>Mitigation_Industry!R$337</f>
        <v>4.5868721514041248E-2</v>
      </c>
      <c r="S52" s="137">
        <f>Mitigation_Industry!S$337</f>
        <v>4.8391501197313509E-2</v>
      </c>
      <c r="T52" s="137">
        <f>Mitigation_Industry!T$337</f>
        <v>5.105303376316575E-2</v>
      </c>
      <c r="U52" s="137">
        <f>Mitigation_Industry!U$337</f>
        <v>5.3860950620139861E-2</v>
      </c>
      <c r="V52" s="137">
        <f>Mitigation_Industry!V$337</f>
        <v>5.6823302904247558E-2</v>
      </c>
      <c r="W52" s="137">
        <f>Mitigation_Industry!W$337</f>
        <v>5.9948584563981173E-2</v>
      </c>
      <c r="X52" s="137">
        <f>Mitigation_Industry!X$337</f>
        <v>6.3245756715000129E-2</v>
      </c>
      <c r="Y52" s="137">
        <f>Mitigation_Industry!Y$337</f>
        <v>6.6724273334325138E-2</v>
      </c>
      <c r="Z52" s="137">
        <f>Mitigation_Industry!Z$337</f>
        <v>7.039410836771301E-2</v>
      </c>
      <c r="AA52" s="137">
        <f>Mitigation_Industry!AA$337</f>
        <v>7.426578432793722E-2</v>
      </c>
      <c r="AB52" s="137">
        <f>Mitigation_Industry!AB$337</f>
        <v>7.8350402465973787E-2</v>
      </c>
      <c r="AC52" s="137">
        <f>Mitigation_Industry!AC$337</f>
        <v>8.2659674601602312E-2</v>
      </c>
      <c r="AD52" s="137">
        <f>Mitigation_Industry!AD$337</f>
        <v>8.7205956704690446E-2</v>
      </c>
      <c r="AE52" s="137">
        <f>Mitigation_Industry!AE$337</f>
        <v>9.2002284323448424E-2</v>
      </c>
      <c r="AF52" s="138"/>
      <c r="AG52" s="138"/>
      <c r="AH52" s="138"/>
      <c r="AI52" s="138"/>
    </row>
    <row r="53" spans="1:35" x14ac:dyDescent="0.35"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</row>
    <row r="54" spans="1:35" customFormat="1" ht="14.25" x14ac:dyDescent="0.45">
      <c r="A54" s="11"/>
      <c r="B54" s="6"/>
      <c r="C54" s="7" t="s">
        <v>2608</v>
      </c>
      <c r="D54" s="6" t="s">
        <v>1488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34">
        <v>2021</v>
      </c>
      <c r="L54" s="135">
        <v>2022</v>
      </c>
      <c r="M54" s="134">
        <v>2023</v>
      </c>
      <c r="N54" s="134">
        <v>2024</v>
      </c>
      <c r="O54" s="134">
        <v>2025</v>
      </c>
      <c r="P54" s="134">
        <v>2026</v>
      </c>
      <c r="Q54" s="134">
        <v>2027</v>
      </c>
      <c r="R54" s="134">
        <v>2028</v>
      </c>
      <c r="S54" s="134">
        <v>2029</v>
      </c>
      <c r="T54" s="134">
        <v>2030</v>
      </c>
      <c r="U54" s="134">
        <v>2031</v>
      </c>
      <c r="V54" s="134">
        <v>2032</v>
      </c>
      <c r="W54" s="134">
        <v>2033</v>
      </c>
      <c r="X54" s="134">
        <v>2034</v>
      </c>
      <c r="Y54" s="134">
        <v>2035</v>
      </c>
      <c r="Z54" s="134">
        <v>2036</v>
      </c>
      <c r="AA54" s="134">
        <v>2037</v>
      </c>
      <c r="AB54" s="134">
        <v>2038</v>
      </c>
      <c r="AC54" s="134">
        <v>2039</v>
      </c>
      <c r="AD54" s="134">
        <v>2040</v>
      </c>
      <c r="AE54" s="134">
        <v>2041</v>
      </c>
      <c r="AF54" s="134">
        <v>2042</v>
      </c>
      <c r="AG54" s="134">
        <v>2043</v>
      </c>
      <c r="AH54" s="134">
        <v>2044</v>
      </c>
      <c r="AI54" s="134">
        <v>2045</v>
      </c>
    </row>
    <row r="55" spans="1:35" customFormat="1" ht="14.25" x14ac:dyDescent="0.45">
      <c r="B55" s="14" t="s">
        <v>1435</v>
      </c>
      <c r="C55" s="14" t="s">
        <v>43</v>
      </c>
      <c r="D55" s="15" t="s">
        <v>2609</v>
      </c>
      <c r="E55" s="16" t="s">
        <v>2610</v>
      </c>
      <c r="F55" s="14" t="s">
        <v>2608</v>
      </c>
      <c r="G55" s="17"/>
      <c r="H55" s="125" t="str">
        <f>Settings!$B$3&amp;".mit.bf.stl.drg.1"</f>
        <v>egy.mit.bf.stl.drg.1</v>
      </c>
      <c r="I55" t="s">
        <v>2611</v>
      </c>
      <c r="K55" s="136"/>
      <c r="L55" s="139">
        <f>Mitigation_Industry!$E$352</f>
        <v>1.0536051565782599E-3</v>
      </c>
      <c r="M55" s="139">
        <f>Mitigation_Industry!$E$352</f>
        <v>1.0536051565782599E-3</v>
      </c>
      <c r="N55" s="139">
        <f>Mitigation_Industry!$E$352</f>
        <v>1.0536051565782599E-3</v>
      </c>
      <c r="O55" s="139">
        <f>Mitigation_Industry!$E$352</f>
        <v>1.0536051565782599E-3</v>
      </c>
      <c r="P55" s="139">
        <f>Mitigation_Industry!$E$352</f>
        <v>1.0536051565782599E-3</v>
      </c>
      <c r="Q55" s="139">
        <f>Mitigation_Industry!$E$352</f>
        <v>1.0536051565782599E-3</v>
      </c>
      <c r="R55" s="139">
        <f>Mitigation_Industry!$E$352</f>
        <v>1.0536051565782599E-3</v>
      </c>
      <c r="S55" s="139">
        <f>Mitigation_Industry!$E$352</f>
        <v>1.0536051565782599E-3</v>
      </c>
      <c r="T55" s="139">
        <f>Mitigation_Industry!$E$352</f>
        <v>1.0536051565782599E-3</v>
      </c>
      <c r="U55" s="139">
        <f>Mitigation_Industry!$E$352</f>
        <v>1.0536051565782599E-3</v>
      </c>
      <c r="V55" s="139">
        <f>Mitigation_Industry!$E$352</f>
        <v>1.0536051565782599E-3</v>
      </c>
      <c r="W55" s="139">
        <f>Mitigation_Industry!$E$352</f>
        <v>1.0536051565782599E-3</v>
      </c>
      <c r="X55" s="139">
        <f>Mitigation_Industry!$E$352</f>
        <v>1.0536051565782599E-3</v>
      </c>
      <c r="Y55" s="139">
        <f>Mitigation_Industry!$E$352</f>
        <v>1.0536051565782599E-3</v>
      </c>
      <c r="Z55" s="139">
        <f>Mitigation_Industry!$E$352</f>
        <v>1.0536051565782599E-3</v>
      </c>
      <c r="AA55" s="139">
        <f>Mitigation_Industry!$E$352</f>
        <v>1.0536051565782599E-3</v>
      </c>
      <c r="AB55" s="139">
        <f>Mitigation_Industry!$E$352</f>
        <v>1.0536051565782599E-3</v>
      </c>
      <c r="AC55" s="139">
        <f>Mitigation_Industry!$E$352</f>
        <v>1.0536051565782599E-3</v>
      </c>
      <c r="AD55" s="139">
        <f>Mitigation_Industry!$E$352</f>
        <v>1.0536051565782599E-3</v>
      </c>
      <c r="AE55" s="139">
        <f>Mitigation_Industry!$E$352</f>
        <v>1.0536051565782599E-3</v>
      </c>
      <c r="AF55" s="138"/>
      <c r="AG55" s="138"/>
      <c r="AH55" s="138"/>
      <c r="AI55" s="138"/>
    </row>
    <row r="56" spans="1:35" customFormat="1" ht="14.25" x14ac:dyDescent="0.45">
      <c r="B56" s="14" t="s">
        <v>1438</v>
      </c>
      <c r="C56" s="14" t="s">
        <v>43</v>
      </c>
      <c r="D56" s="15" t="s">
        <v>2612</v>
      </c>
      <c r="E56" s="16" t="s">
        <v>2610</v>
      </c>
      <c r="F56" s="14" t="s">
        <v>2608</v>
      </c>
      <c r="G56" s="17"/>
      <c r="H56" s="125" t="str">
        <f>Settings!$B$3&amp;".mit.bf.stl.scr.1"</f>
        <v>egy.mit.bf.stl.scr.1</v>
      </c>
      <c r="K56" s="136"/>
      <c r="L56" s="139">
        <f>Mitigation_Industry!$E$353</f>
        <v>2.0202707317519501E-4</v>
      </c>
      <c r="M56" s="139">
        <f>Mitigation_Industry!$E$353</f>
        <v>2.0202707317519501E-4</v>
      </c>
      <c r="N56" s="139">
        <f>Mitigation_Industry!$E$353</f>
        <v>2.0202707317519501E-4</v>
      </c>
      <c r="O56" s="139">
        <f>Mitigation_Industry!$E$353</f>
        <v>2.0202707317519501E-4</v>
      </c>
      <c r="P56" s="139">
        <f>Mitigation_Industry!$E$353</f>
        <v>2.0202707317519501E-4</v>
      </c>
      <c r="Q56" s="139">
        <f>Mitigation_Industry!$E$353</f>
        <v>2.0202707317519501E-4</v>
      </c>
      <c r="R56" s="139">
        <f>Mitigation_Industry!$E$353</f>
        <v>2.0202707317519501E-4</v>
      </c>
      <c r="S56" s="139">
        <f>Mitigation_Industry!$E$353</f>
        <v>2.0202707317519501E-4</v>
      </c>
      <c r="T56" s="139">
        <f>Mitigation_Industry!$E$353</f>
        <v>2.0202707317519501E-4</v>
      </c>
      <c r="U56" s="139">
        <f>Mitigation_Industry!$E$353</f>
        <v>2.0202707317519501E-4</v>
      </c>
      <c r="V56" s="139">
        <f>Mitigation_Industry!$E$353</f>
        <v>2.0202707317519501E-4</v>
      </c>
      <c r="W56" s="139">
        <f>Mitigation_Industry!$E$353</f>
        <v>2.0202707317519501E-4</v>
      </c>
      <c r="X56" s="139">
        <f>Mitigation_Industry!$E$353</f>
        <v>2.0202707317519501E-4</v>
      </c>
      <c r="Y56" s="139">
        <f>Mitigation_Industry!$E$353</f>
        <v>2.0202707317519501E-4</v>
      </c>
      <c r="Z56" s="139">
        <f>Mitigation_Industry!$E$353</f>
        <v>2.0202707317519501E-4</v>
      </c>
      <c r="AA56" s="139">
        <f>Mitigation_Industry!$E$353</f>
        <v>2.0202707317519501E-4</v>
      </c>
      <c r="AB56" s="139">
        <f>Mitigation_Industry!$E$353</f>
        <v>2.0202707317519501E-4</v>
      </c>
      <c r="AC56" s="139">
        <f>Mitigation_Industry!$E$353</f>
        <v>2.0202707317519501E-4</v>
      </c>
      <c r="AD56" s="139">
        <f>Mitigation_Industry!$E$353</f>
        <v>2.0202707317519501E-4</v>
      </c>
      <c r="AE56" s="139">
        <f>Mitigation_Industry!$E$353</f>
        <v>2.0202707317519501E-4</v>
      </c>
      <c r="AF56" s="138"/>
      <c r="AG56" s="138"/>
      <c r="AH56" s="138"/>
      <c r="AI56" s="138"/>
    </row>
    <row r="57" spans="1:35" customFormat="1" ht="14.25" x14ac:dyDescent="0.45">
      <c r="B57" s="14" t="s">
        <v>1441</v>
      </c>
      <c r="C57" s="14" t="s">
        <v>43</v>
      </c>
      <c r="D57" s="15" t="s">
        <v>2613</v>
      </c>
      <c r="E57" s="16" t="s">
        <v>2610</v>
      </c>
      <c r="F57" s="14" t="s">
        <v>2608</v>
      </c>
      <c r="G57" s="17"/>
      <c r="H57" s="125" t="str">
        <f>Settings!$B$3&amp;".mit.bf.stl.bof.1"</f>
        <v>egy.mit.bf.stl.bof.1</v>
      </c>
      <c r="K57" s="136"/>
      <c r="L57" s="139">
        <f>Mitigation_Industry!$E$354</f>
        <v>5.1293294387550598E-4</v>
      </c>
      <c r="M57" s="139">
        <f>Mitigation_Industry!$E$354</f>
        <v>5.1293294387550598E-4</v>
      </c>
      <c r="N57" s="139">
        <f>Mitigation_Industry!$E$354</f>
        <v>5.1293294387550598E-4</v>
      </c>
      <c r="O57" s="139">
        <f>Mitigation_Industry!$E$354</f>
        <v>5.1293294387550598E-4</v>
      </c>
      <c r="P57" s="139">
        <f>Mitigation_Industry!$E$354</f>
        <v>5.1293294387550598E-4</v>
      </c>
      <c r="Q57" s="139">
        <f>Mitigation_Industry!$E$354</f>
        <v>5.1293294387550598E-4</v>
      </c>
      <c r="R57" s="139">
        <f>Mitigation_Industry!$E$354</f>
        <v>5.1293294387550598E-4</v>
      </c>
      <c r="S57" s="139">
        <f>Mitigation_Industry!$E$354</f>
        <v>5.1293294387550598E-4</v>
      </c>
      <c r="T57" s="139">
        <f>Mitigation_Industry!$E$354</f>
        <v>5.1293294387550598E-4</v>
      </c>
      <c r="U57" s="139">
        <f>Mitigation_Industry!$E$354</f>
        <v>5.1293294387550598E-4</v>
      </c>
      <c r="V57" s="139">
        <f>Mitigation_Industry!$E$354</f>
        <v>5.1293294387550598E-4</v>
      </c>
      <c r="W57" s="139">
        <f>Mitigation_Industry!$E$354</f>
        <v>5.1293294387550598E-4</v>
      </c>
      <c r="X57" s="139">
        <f>Mitigation_Industry!$E$354</f>
        <v>5.1293294387550598E-4</v>
      </c>
      <c r="Y57" s="139">
        <f>Mitigation_Industry!$E$354</f>
        <v>5.1293294387550598E-4</v>
      </c>
      <c r="Z57" s="139">
        <f>Mitigation_Industry!$E$354</f>
        <v>5.1293294387550598E-4</v>
      </c>
      <c r="AA57" s="139">
        <f>Mitigation_Industry!$E$354</f>
        <v>5.1293294387550598E-4</v>
      </c>
      <c r="AB57" s="139">
        <f>Mitigation_Industry!$E$354</f>
        <v>5.1293294387550598E-4</v>
      </c>
      <c r="AC57" s="139">
        <f>Mitigation_Industry!$E$354</f>
        <v>5.1293294387550598E-4</v>
      </c>
      <c r="AD57" s="139">
        <f>Mitigation_Industry!$E$354</f>
        <v>5.1293294387550598E-4</v>
      </c>
      <c r="AE57" s="139">
        <f>Mitigation_Industry!$E$354</f>
        <v>5.1293294387550598E-4</v>
      </c>
      <c r="AF57" s="138"/>
      <c r="AG57" s="138"/>
      <c r="AH57" s="138"/>
      <c r="AI57" s="138"/>
    </row>
    <row r="58" spans="1:35" customFormat="1" ht="14.25" x14ac:dyDescent="0.45">
      <c r="B58" s="14" t="s">
        <v>1444</v>
      </c>
      <c r="C58" s="14" t="s">
        <v>113</v>
      </c>
      <c r="D58" s="15" t="s">
        <v>2614</v>
      </c>
      <c r="E58" s="16" t="s">
        <v>2610</v>
      </c>
      <c r="F58" s="14" t="s">
        <v>2608</v>
      </c>
      <c r="G58" s="17"/>
      <c r="H58" s="125" t="str">
        <f>Settings!$B$3&amp;".mit.bf.cmt.dry.1"</f>
        <v>egy.mit.bf.cmt.dry.1</v>
      </c>
      <c r="K58" s="136"/>
      <c r="L58" s="139">
        <f>Mitigation_Industry!$E$355</f>
        <v>8.3381608939051E-4</v>
      </c>
      <c r="M58" s="139">
        <f>Mitigation_Industry!$E$355</f>
        <v>8.3381608939051E-4</v>
      </c>
      <c r="N58" s="139">
        <f>Mitigation_Industry!$E$355</f>
        <v>8.3381608939051E-4</v>
      </c>
      <c r="O58" s="139">
        <f>Mitigation_Industry!$E$355</f>
        <v>8.3381608939051E-4</v>
      </c>
      <c r="P58" s="139">
        <f>Mitigation_Industry!$E$355</f>
        <v>8.3381608939051E-4</v>
      </c>
      <c r="Q58" s="139">
        <f>Mitigation_Industry!$E$355</f>
        <v>8.3381608939051E-4</v>
      </c>
      <c r="R58" s="139">
        <f>Mitigation_Industry!$E$355</f>
        <v>8.3381608939051E-4</v>
      </c>
      <c r="S58" s="139">
        <f>Mitigation_Industry!$E$355</f>
        <v>8.3381608939051E-4</v>
      </c>
      <c r="T58" s="139">
        <f>Mitigation_Industry!$E$355</f>
        <v>8.3381608939051E-4</v>
      </c>
      <c r="U58" s="139">
        <f>Mitigation_Industry!$E$355</f>
        <v>8.3381608939051E-4</v>
      </c>
      <c r="V58" s="139">
        <f>Mitigation_Industry!$E$355</f>
        <v>8.3381608939051E-4</v>
      </c>
      <c r="W58" s="139">
        <f>Mitigation_Industry!$E$355</f>
        <v>8.3381608939051E-4</v>
      </c>
      <c r="X58" s="139">
        <f>Mitigation_Industry!$E$355</f>
        <v>8.3381608939051E-4</v>
      </c>
      <c r="Y58" s="139">
        <f>Mitigation_Industry!$E$355</f>
        <v>8.3381608939051E-4</v>
      </c>
      <c r="Z58" s="139">
        <f>Mitigation_Industry!$E$355</f>
        <v>8.3381608939051E-4</v>
      </c>
      <c r="AA58" s="139">
        <f>Mitigation_Industry!$E$355</f>
        <v>8.3381608939051E-4</v>
      </c>
      <c r="AB58" s="139">
        <f>Mitigation_Industry!$E$355</f>
        <v>8.3381608939051E-4</v>
      </c>
      <c r="AC58" s="139">
        <f>Mitigation_Industry!$E$355</f>
        <v>8.3381608939051E-4</v>
      </c>
      <c r="AD58" s="139">
        <f>Mitigation_Industry!$E$355</f>
        <v>8.3381608939051E-4</v>
      </c>
      <c r="AE58" s="139">
        <f>Mitigation_Industry!$E$355</f>
        <v>8.3381608939051E-4</v>
      </c>
      <c r="AF58" s="138"/>
      <c r="AG58" s="138"/>
      <c r="AH58" s="138"/>
      <c r="AI58" s="138"/>
    </row>
    <row r="59" spans="1:35" customFormat="1" ht="14.25" x14ac:dyDescent="0.45">
      <c r="B59" s="14" t="s">
        <v>1447</v>
      </c>
      <c r="C59" s="14" t="s">
        <v>117</v>
      </c>
      <c r="D59" s="15" t="s">
        <v>2615</v>
      </c>
      <c r="E59" s="16" t="s">
        <v>2610</v>
      </c>
      <c r="F59" s="14" t="s">
        <v>2608</v>
      </c>
      <c r="G59" s="17"/>
      <c r="H59" s="125" t="str">
        <f>Settings!$B$3&amp;".mit.bf.frt.amc.1"</f>
        <v>egy.mit.bf.frt.amc.1</v>
      </c>
      <c r="K59" s="136"/>
      <c r="L59" s="139">
        <f>Mitigation_Industry!$E$356</f>
        <v>1.98450938723838E-3</v>
      </c>
      <c r="M59" s="139">
        <f>Mitigation_Industry!$E$356</f>
        <v>1.98450938723838E-3</v>
      </c>
      <c r="N59" s="139">
        <f>Mitigation_Industry!$E$356</f>
        <v>1.98450938723838E-3</v>
      </c>
      <c r="O59" s="139">
        <f>Mitigation_Industry!$E$356</f>
        <v>1.98450938723838E-3</v>
      </c>
      <c r="P59" s="139">
        <f>Mitigation_Industry!$E$356</f>
        <v>1.98450938723838E-3</v>
      </c>
      <c r="Q59" s="139">
        <f>Mitigation_Industry!$E$356</f>
        <v>1.98450938723838E-3</v>
      </c>
      <c r="R59" s="139">
        <f>Mitigation_Industry!$E$356</f>
        <v>1.98450938723838E-3</v>
      </c>
      <c r="S59" s="139">
        <f>Mitigation_Industry!$E$356</f>
        <v>1.98450938723838E-3</v>
      </c>
      <c r="T59" s="139">
        <f>Mitigation_Industry!$E$356</f>
        <v>1.98450938723838E-3</v>
      </c>
      <c r="U59" s="139">
        <f>Mitigation_Industry!$E$356</f>
        <v>1.98450938723838E-3</v>
      </c>
      <c r="V59" s="139">
        <f>Mitigation_Industry!$E$356</f>
        <v>1.98450938723838E-3</v>
      </c>
      <c r="W59" s="139">
        <f>Mitigation_Industry!$E$356</f>
        <v>1.98450938723838E-3</v>
      </c>
      <c r="X59" s="139">
        <f>Mitigation_Industry!$E$356</f>
        <v>1.98450938723838E-3</v>
      </c>
      <c r="Y59" s="139">
        <f>Mitigation_Industry!$E$356</f>
        <v>1.98450938723838E-3</v>
      </c>
      <c r="Z59" s="139">
        <f>Mitigation_Industry!$E$356</f>
        <v>1.98450938723838E-3</v>
      </c>
      <c r="AA59" s="139">
        <f>Mitigation_Industry!$E$356</f>
        <v>1.98450938723838E-3</v>
      </c>
      <c r="AB59" s="139">
        <f>Mitigation_Industry!$E$356</f>
        <v>1.98450938723838E-3</v>
      </c>
      <c r="AC59" s="139">
        <f>Mitigation_Industry!$E$356</f>
        <v>1.98450938723838E-3</v>
      </c>
      <c r="AD59" s="139">
        <f>Mitigation_Industry!$E$356</f>
        <v>1.98450938723838E-3</v>
      </c>
      <c r="AE59" s="139">
        <f>Mitigation_Industry!$E$356</f>
        <v>1.98450938723838E-3</v>
      </c>
      <c r="AF59" s="138"/>
      <c r="AG59" s="138"/>
      <c r="AH59" s="138"/>
      <c r="AI59" s="138"/>
    </row>
    <row r="60" spans="1:35" customFormat="1" ht="14.25" x14ac:dyDescent="0.45">
      <c r="B60" s="14" t="s">
        <v>1450</v>
      </c>
      <c r="C60" s="14" t="s">
        <v>117</v>
      </c>
      <c r="D60" s="15" t="s">
        <v>2616</v>
      </c>
      <c r="E60" s="16" t="s">
        <v>2610</v>
      </c>
      <c r="F60" s="14" t="s">
        <v>2608</v>
      </c>
      <c r="G60" s="17"/>
      <c r="H60" s="125" t="str">
        <f>Settings!$B$3&amp;".mit.bf.frt.ure.1"</f>
        <v>egy.mit.bf.frt.ure.1</v>
      </c>
      <c r="K60" s="136"/>
      <c r="L60" s="139">
        <f>Mitigation_Industry!$E$357</f>
        <v>0</v>
      </c>
      <c r="M60" s="139">
        <f>Mitigation_Industry!$E$357</f>
        <v>0</v>
      </c>
      <c r="N60" s="139">
        <f>Mitigation_Industry!$E$357</f>
        <v>0</v>
      </c>
      <c r="O60" s="139">
        <f>Mitigation_Industry!$E$357</f>
        <v>0</v>
      </c>
      <c r="P60" s="139">
        <f>Mitigation_Industry!$E$357</f>
        <v>0</v>
      </c>
      <c r="Q60" s="139">
        <f>Mitigation_Industry!$E$357</f>
        <v>0</v>
      </c>
      <c r="R60" s="139">
        <f>Mitigation_Industry!$E$357</f>
        <v>0</v>
      </c>
      <c r="S60" s="139">
        <f>Mitigation_Industry!$E$357</f>
        <v>0</v>
      </c>
      <c r="T60" s="139">
        <f>Mitigation_Industry!$E$357</f>
        <v>0</v>
      </c>
      <c r="U60" s="139">
        <f>Mitigation_Industry!$E$357</f>
        <v>0</v>
      </c>
      <c r="V60" s="139">
        <f>Mitigation_Industry!$E$357</f>
        <v>0</v>
      </c>
      <c r="W60" s="139">
        <f>Mitigation_Industry!$E$357</f>
        <v>0</v>
      </c>
      <c r="X60" s="139">
        <f>Mitigation_Industry!$E$357</f>
        <v>0</v>
      </c>
      <c r="Y60" s="139">
        <f>Mitigation_Industry!$E$357</f>
        <v>0</v>
      </c>
      <c r="Z60" s="139">
        <f>Mitigation_Industry!$E$357</f>
        <v>0</v>
      </c>
      <c r="AA60" s="139">
        <f>Mitigation_Industry!$E$357</f>
        <v>0</v>
      </c>
      <c r="AB60" s="139">
        <f>Mitigation_Industry!$E$357</f>
        <v>0</v>
      </c>
      <c r="AC60" s="139">
        <f>Mitigation_Industry!$E$357</f>
        <v>0</v>
      </c>
      <c r="AD60" s="139">
        <f>Mitigation_Industry!$E$357</f>
        <v>0</v>
      </c>
      <c r="AE60" s="139">
        <f>Mitigation_Industry!$E$357</f>
        <v>0</v>
      </c>
      <c r="AF60" s="138"/>
      <c r="AG60" s="138"/>
      <c r="AH60" s="138"/>
      <c r="AI60" s="138"/>
    </row>
    <row r="61" spans="1:35" customFormat="1" ht="14.25" x14ac:dyDescent="0.45">
      <c r="B61" s="14" t="s">
        <v>1453</v>
      </c>
      <c r="C61" s="14" t="s">
        <v>117</v>
      </c>
      <c r="D61" s="15" t="s">
        <v>2617</v>
      </c>
      <c r="E61" s="16" t="s">
        <v>2610</v>
      </c>
      <c r="F61" s="14" t="s">
        <v>2608</v>
      </c>
      <c r="G61" s="17"/>
      <c r="H61" s="125" t="str">
        <f>Settings!$B$3&amp;".mit.bf.frt.nit.1"</f>
        <v>egy.mit.bf.frt.nit.1</v>
      </c>
      <c r="K61" s="136"/>
      <c r="L61" s="139">
        <f>Mitigation_Industry!$E$358</f>
        <v>1.04982212449868E-2</v>
      </c>
      <c r="M61" s="139">
        <f>Mitigation_Industry!$E$358</f>
        <v>1.04982212449868E-2</v>
      </c>
      <c r="N61" s="139">
        <f>Mitigation_Industry!$E$358</f>
        <v>1.04982212449868E-2</v>
      </c>
      <c r="O61" s="139">
        <f>Mitigation_Industry!$E$358</f>
        <v>1.04982212449868E-2</v>
      </c>
      <c r="P61" s="139">
        <f>Mitigation_Industry!$E$358</f>
        <v>1.04982212449868E-2</v>
      </c>
      <c r="Q61" s="139">
        <f>Mitigation_Industry!$E$358</f>
        <v>1.04982212449868E-2</v>
      </c>
      <c r="R61" s="139">
        <f>Mitigation_Industry!$E$358</f>
        <v>1.04982212449868E-2</v>
      </c>
      <c r="S61" s="139">
        <f>Mitigation_Industry!$E$358</f>
        <v>1.04982212449868E-2</v>
      </c>
      <c r="T61" s="139">
        <f>Mitigation_Industry!$E$358</f>
        <v>1.04982212449868E-2</v>
      </c>
      <c r="U61" s="139">
        <f>Mitigation_Industry!$E$358</f>
        <v>1.04982212449868E-2</v>
      </c>
      <c r="V61" s="139">
        <f>Mitigation_Industry!$E$358</f>
        <v>1.04982212449868E-2</v>
      </c>
      <c r="W61" s="139">
        <f>Mitigation_Industry!$E$358</f>
        <v>1.04982212449868E-2</v>
      </c>
      <c r="X61" s="139">
        <f>Mitigation_Industry!$E$358</f>
        <v>1.04982212449868E-2</v>
      </c>
      <c r="Y61" s="139">
        <f>Mitigation_Industry!$E$358</f>
        <v>1.04982212449868E-2</v>
      </c>
      <c r="Z61" s="139">
        <f>Mitigation_Industry!$E$358</f>
        <v>1.04982212449868E-2</v>
      </c>
      <c r="AA61" s="139">
        <f>Mitigation_Industry!$E$358</f>
        <v>1.04982212449868E-2</v>
      </c>
      <c r="AB61" s="139">
        <f>Mitigation_Industry!$E$358</f>
        <v>1.04982212449868E-2</v>
      </c>
      <c r="AC61" s="139">
        <f>Mitigation_Industry!$E$358</f>
        <v>1.04982212449868E-2</v>
      </c>
      <c r="AD61" s="139">
        <f>Mitigation_Industry!$E$358</f>
        <v>1.04982212449868E-2</v>
      </c>
      <c r="AE61" s="139">
        <f>Mitigation_Industry!$E$358</f>
        <v>1.04982212449868E-2</v>
      </c>
      <c r="AF61" s="138"/>
      <c r="AG61" s="138"/>
      <c r="AH61" s="138"/>
      <c r="AI61" s="138"/>
    </row>
    <row r="62" spans="1:35" customFormat="1" ht="14.25" x14ac:dyDescent="0.45">
      <c r="B62" s="14" t="s">
        <v>1456</v>
      </c>
      <c r="C62" s="14" t="s">
        <v>115</v>
      </c>
      <c r="D62" s="15" t="s">
        <v>2618</v>
      </c>
      <c r="E62" s="16" t="s">
        <v>2610</v>
      </c>
      <c r="F62" s="14" t="s">
        <v>2608</v>
      </c>
      <c r="G62" s="17"/>
      <c r="H62" s="125" t="str">
        <f>Settings!$B$3&amp;".mit.bf.alu.prp.1"</f>
        <v>egy.mit.bf.alu.prp.1</v>
      </c>
      <c r="K62" s="136"/>
      <c r="L62" s="139">
        <f>Mitigation_Industry!$E$359</f>
        <v>8.3381608939051E-4</v>
      </c>
      <c r="M62" s="139">
        <f>Mitigation_Industry!$E$359</f>
        <v>8.3381608939051E-4</v>
      </c>
      <c r="N62" s="139">
        <f>Mitigation_Industry!$E$359</f>
        <v>8.3381608939051E-4</v>
      </c>
      <c r="O62" s="139">
        <f>Mitigation_Industry!$E$359</f>
        <v>8.3381608939051E-4</v>
      </c>
      <c r="P62" s="139">
        <f>Mitigation_Industry!$E$359</f>
        <v>8.3381608939051E-4</v>
      </c>
      <c r="Q62" s="139">
        <f>Mitigation_Industry!$E$359</f>
        <v>8.3381608939051E-4</v>
      </c>
      <c r="R62" s="139">
        <f>Mitigation_Industry!$E$359</f>
        <v>8.3381608939051E-4</v>
      </c>
      <c r="S62" s="139">
        <f>Mitigation_Industry!$E$359</f>
        <v>8.3381608939051E-4</v>
      </c>
      <c r="T62" s="139">
        <f>Mitigation_Industry!$E$359</f>
        <v>8.3381608939051E-4</v>
      </c>
      <c r="U62" s="139">
        <f>Mitigation_Industry!$E$359</f>
        <v>8.3381608939051E-4</v>
      </c>
      <c r="V62" s="139">
        <f>Mitigation_Industry!$E$359</f>
        <v>8.3381608939051E-4</v>
      </c>
      <c r="W62" s="139">
        <f>Mitigation_Industry!$E$359</f>
        <v>8.3381608939051E-4</v>
      </c>
      <c r="X62" s="139">
        <f>Mitigation_Industry!$E$359</f>
        <v>8.3381608939051E-4</v>
      </c>
      <c r="Y62" s="139">
        <f>Mitigation_Industry!$E$359</f>
        <v>8.3381608939051E-4</v>
      </c>
      <c r="Z62" s="139">
        <f>Mitigation_Industry!$E$359</f>
        <v>8.3381608939051E-4</v>
      </c>
      <c r="AA62" s="139">
        <f>Mitigation_Industry!$E$359</f>
        <v>8.3381608939051E-4</v>
      </c>
      <c r="AB62" s="139">
        <f>Mitigation_Industry!$E$359</f>
        <v>8.3381608939051E-4</v>
      </c>
      <c r="AC62" s="139">
        <f>Mitigation_Industry!$E$359</f>
        <v>8.3381608939051E-4</v>
      </c>
      <c r="AD62" s="139">
        <f>Mitigation_Industry!$E$359</f>
        <v>8.3381608939051E-4</v>
      </c>
      <c r="AE62" s="139">
        <f>Mitigation_Industry!$E$359</f>
        <v>8.3381608939051E-4</v>
      </c>
      <c r="AF62" s="138"/>
      <c r="AG62" s="138"/>
      <c r="AH62" s="138"/>
      <c r="AI62" s="138"/>
    </row>
    <row r="63" spans="1:35" x14ac:dyDescent="0.35"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</row>
    <row r="64" spans="1:35" customFormat="1" ht="14.25" x14ac:dyDescent="0.45">
      <c r="A64" s="11"/>
      <c r="B64" s="6"/>
      <c r="C64" s="7" t="s">
        <v>2619</v>
      </c>
      <c r="D64" s="6" t="s">
        <v>1488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34">
        <v>2021</v>
      </c>
      <c r="L64" s="135">
        <v>2022</v>
      </c>
      <c r="M64" s="134">
        <v>2023</v>
      </c>
      <c r="N64" s="134">
        <v>2024</v>
      </c>
      <c r="O64" s="134">
        <v>2025</v>
      </c>
      <c r="P64" s="134">
        <v>2026</v>
      </c>
      <c r="Q64" s="134">
        <v>2027</v>
      </c>
      <c r="R64" s="134">
        <v>2028</v>
      </c>
      <c r="S64" s="134">
        <v>2029</v>
      </c>
      <c r="T64" s="134">
        <v>2030</v>
      </c>
      <c r="U64" s="134">
        <v>2031</v>
      </c>
      <c r="V64" s="134">
        <v>2032</v>
      </c>
      <c r="W64" s="134">
        <v>2033</v>
      </c>
      <c r="X64" s="134">
        <v>2034</v>
      </c>
      <c r="Y64" s="134">
        <v>2035</v>
      </c>
      <c r="Z64" s="134">
        <v>2036</v>
      </c>
      <c r="AA64" s="134">
        <v>2037</v>
      </c>
      <c r="AB64" s="134">
        <v>2038</v>
      </c>
      <c r="AC64" s="134">
        <v>2039</v>
      </c>
      <c r="AD64" s="134">
        <v>2040</v>
      </c>
      <c r="AE64" s="134">
        <v>2041</v>
      </c>
      <c r="AF64" s="134">
        <v>2042</v>
      </c>
      <c r="AG64" s="134">
        <v>2043</v>
      </c>
      <c r="AH64" s="134">
        <v>2044</v>
      </c>
      <c r="AI64" s="134">
        <v>2045</v>
      </c>
    </row>
    <row r="65" spans="2:35" customFormat="1" ht="14.25" x14ac:dyDescent="0.45">
      <c r="B65" s="14" t="s">
        <v>2565</v>
      </c>
      <c r="C65" s="14" t="s">
        <v>43</v>
      </c>
      <c r="D65" s="15" t="s">
        <v>2620</v>
      </c>
      <c r="E65" s="16" t="s">
        <v>2610</v>
      </c>
      <c r="F65" s="14" t="s">
        <v>2619</v>
      </c>
      <c r="G65" s="17"/>
      <c r="H65" s="125" t="str">
        <f>Settings!$B$3&amp;".mit.bp.stl.drg.np.1"</f>
        <v>egy.mit.bp.stl.drg.np.1</v>
      </c>
      <c r="I65" t="s">
        <v>2621</v>
      </c>
      <c r="K65" s="136"/>
      <c r="L65" s="139">
        <f>Mitigation_Industry!$E$363</f>
        <v>3.4469507031574592E-3</v>
      </c>
      <c r="M65" s="139">
        <f>Mitigation_Industry!$E$363</f>
        <v>3.4469507031574592E-3</v>
      </c>
      <c r="N65" s="139">
        <f>Mitigation_Industry!$E$363</f>
        <v>3.4469507031574592E-3</v>
      </c>
      <c r="O65" s="139">
        <f>Mitigation_Industry!$E$363</f>
        <v>3.4469507031574592E-3</v>
      </c>
      <c r="P65" s="139">
        <f>Mitigation_Industry!$E$363</f>
        <v>3.4469507031574592E-3</v>
      </c>
      <c r="Q65" s="139">
        <f>Mitigation_Industry!$E$363</f>
        <v>3.4469507031574592E-3</v>
      </c>
      <c r="R65" s="139">
        <f>Mitigation_Industry!$E$363</f>
        <v>3.4469507031574592E-3</v>
      </c>
      <c r="S65" s="139">
        <f>Mitigation_Industry!$E$363</f>
        <v>3.4469507031574592E-3</v>
      </c>
      <c r="T65" s="139">
        <f>Mitigation_Industry!$E$363</f>
        <v>3.4469507031574592E-3</v>
      </c>
      <c r="U65" s="139">
        <f>Mitigation_Industry!$E$363</f>
        <v>3.4469507031574592E-3</v>
      </c>
      <c r="V65" s="139">
        <f>Mitigation_Industry!$E$363</f>
        <v>3.4469507031574592E-3</v>
      </c>
      <c r="W65" s="139">
        <f>Mitigation_Industry!$E$363</f>
        <v>3.4469507031574592E-3</v>
      </c>
      <c r="X65" s="139">
        <f>Mitigation_Industry!$E$363</f>
        <v>3.4469507031574592E-3</v>
      </c>
      <c r="Y65" s="139">
        <f>Mitigation_Industry!$E$363</f>
        <v>3.4469507031574592E-3</v>
      </c>
      <c r="Z65" s="139">
        <f>Mitigation_Industry!$E$363</f>
        <v>3.4469507031574592E-3</v>
      </c>
      <c r="AA65" s="139">
        <f>Mitigation_Industry!$E$363</f>
        <v>3.4469507031574592E-3</v>
      </c>
      <c r="AB65" s="139">
        <f>Mitigation_Industry!$E$363</f>
        <v>3.4469507031574592E-3</v>
      </c>
      <c r="AC65" s="139">
        <f>Mitigation_Industry!$E$363</f>
        <v>3.4469507031574592E-3</v>
      </c>
      <c r="AD65" s="139">
        <f>Mitigation_Industry!$E$363</f>
        <v>3.4469507031574592E-3</v>
      </c>
      <c r="AE65" s="139">
        <f>Mitigation_Industry!$E$363</f>
        <v>3.4469507031574592E-3</v>
      </c>
      <c r="AF65" s="138"/>
      <c r="AG65" s="138"/>
      <c r="AH65" s="138"/>
      <c r="AI65" s="138"/>
    </row>
    <row r="66" spans="2:35" customFormat="1" ht="14.25" x14ac:dyDescent="0.45">
      <c r="B66" s="14" t="s">
        <v>2568</v>
      </c>
      <c r="C66" s="14" t="s">
        <v>43</v>
      </c>
      <c r="D66" s="15" t="s">
        <v>2622</v>
      </c>
      <c r="E66" s="16" t="s">
        <v>2610</v>
      </c>
      <c r="F66" s="14" t="s">
        <v>2619</v>
      </c>
      <c r="G66" s="17"/>
      <c r="H66" s="125" t="str">
        <f>Settings!$B$3&amp;".mit.bp.stl.scr.np.1"</f>
        <v>egy.mit.bp.stl.scr.np.1</v>
      </c>
      <c r="K66" s="136"/>
      <c r="L66" s="139">
        <f>Mitigation_Industry!$E$364</f>
        <v>1.6366491404021942E-3</v>
      </c>
      <c r="M66" s="139">
        <f>Mitigation_Industry!$E$364</f>
        <v>1.6366491404021942E-3</v>
      </c>
      <c r="N66" s="139">
        <f>Mitigation_Industry!$E$364</f>
        <v>1.6366491404021942E-3</v>
      </c>
      <c r="O66" s="139">
        <f>Mitigation_Industry!$E$364</f>
        <v>1.6366491404021942E-3</v>
      </c>
      <c r="P66" s="139">
        <f>Mitigation_Industry!$E$364</f>
        <v>1.6366491404021942E-3</v>
      </c>
      <c r="Q66" s="139">
        <f>Mitigation_Industry!$E$364</f>
        <v>1.6366491404021942E-3</v>
      </c>
      <c r="R66" s="139">
        <f>Mitigation_Industry!$E$364</f>
        <v>1.6366491404021942E-3</v>
      </c>
      <c r="S66" s="139">
        <f>Mitigation_Industry!$E$364</f>
        <v>1.6366491404021942E-3</v>
      </c>
      <c r="T66" s="139">
        <f>Mitigation_Industry!$E$364</f>
        <v>1.6366491404021942E-3</v>
      </c>
      <c r="U66" s="139">
        <f>Mitigation_Industry!$E$364</f>
        <v>1.6366491404021942E-3</v>
      </c>
      <c r="V66" s="139">
        <f>Mitigation_Industry!$E$364</f>
        <v>1.6366491404021942E-3</v>
      </c>
      <c r="W66" s="139">
        <f>Mitigation_Industry!$E$364</f>
        <v>1.6366491404021942E-3</v>
      </c>
      <c r="X66" s="139">
        <f>Mitigation_Industry!$E$364</f>
        <v>1.6366491404021942E-3</v>
      </c>
      <c r="Y66" s="139">
        <f>Mitigation_Industry!$E$364</f>
        <v>1.6366491404021942E-3</v>
      </c>
      <c r="Z66" s="139">
        <f>Mitigation_Industry!$E$364</f>
        <v>1.6366491404021942E-3</v>
      </c>
      <c r="AA66" s="139">
        <f>Mitigation_Industry!$E$364</f>
        <v>1.6366491404021942E-3</v>
      </c>
      <c r="AB66" s="139">
        <f>Mitigation_Industry!$E$364</f>
        <v>1.6366491404021942E-3</v>
      </c>
      <c r="AC66" s="139">
        <f>Mitigation_Industry!$E$364</f>
        <v>1.6366491404021942E-3</v>
      </c>
      <c r="AD66" s="139">
        <f>Mitigation_Industry!$E$364</f>
        <v>1.6366491404021942E-3</v>
      </c>
      <c r="AE66" s="139">
        <f>Mitigation_Industry!$E$364</f>
        <v>1.6366491404021942E-3</v>
      </c>
      <c r="AF66" s="138"/>
      <c r="AG66" s="138"/>
      <c r="AH66" s="138"/>
      <c r="AI66" s="138"/>
    </row>
    <row r="67" spans="2:35" customFormat="1" ht="14.25" x14ac:dyDescent="0.45">
      <c r="B67" s="14" t="s">
        <v>2570</v>
      </c>
      <c r="C67" s="14" t="s">
        <v>43</v>
      </c>
      <c r="D67" s="15" t="s">
        <v>2623</v>
      </c>
      <c r="E67" s="16" t="s">
        <v>2610</v>
      </c>
      <c r="F67" s="14" t="s">
        <v>2619</v>
      </c>
      <c r="G67" s="17"/>
      <c r="H67" s="125" t="str">
        <f>Settings!$B$3&amp;".mit.bp.stl.bof.np.1"</f>
        <v>egy.mit.bp.stl.bof.np.1</v>
      </c>
      <c r="K67" s="136"/>
      <c r="L67" s="139">
        <f>Mitigation_Industry!$E$365</f>
        <v>2.6960722989211347E-3</v>
      </c>
      <c r="M67" s="139">
        <f>Mitigation_Industry!$E$365</f>
        <v>2.6960722989211347E-3</v>
      </c>
      <c r="N67" s="139">
        <f>Mitigation_Industry!$E$365</f>
        <v>2.6960722989211347E-3</v>
      </c>
      <c r="O67" s="139">
        <f>Mitigation_Industry!$E$365</f>
        <v>2.6960722989211347E-3</v>
      </c>
      <c r="P67" s="139">
        <f>Mitigation_Industry!$E$365</f>
        <v>2.6960722989211347E-3</v>
      </c>
      <c r="Q67" s="139">
        <f>Mitigation_Industry!$E$365</f>
        <v>2.6960722989211347E-3</v>
      </c>
      <c r="R67" s="139">
        <f>Mitigation_Industry!$E$365</f>
        <v>2.6960722989211347E-3</v>
      </c>
      <c r="S67" s="139">
        <f>Mitigation_Industry!$E$365</f>
        <v>2.6960722989211347E-3</v>
      </c>
      <c r="T67" s="139">
        <f>Mitigation_Industry!$E$365</f>
        <v>2.6960722989211347E-3</v>
      </c>
      <c r="U67" s="139">
        <f>Mitigation_Industry!$E$365</f>
        <v>2.6960722989211347E-3</v>
      </c>
      <c r="V67" s="139">
        <f>Mitigation_Industry!$E$365</f>
        <v>2.6960722989211347E-3</v>
      </c>
      <c r="W67" s="139">
        <f>Mitigation_Industry!$E$365</f>
        <v>2.6960722989211347E-3</v>
      </c>
      <c r="X67" s="139">
        <f>Mitigation_Industry!$E$365</f>
        <v>2.6960722989211347E-3</v>
      </c>
      <c r="Y67" s="139">
        <f>Mitigation_Industry!$E$365</f>
        <v>2.6960722989211347E-3</v>
      </c>
      <c r="Z67" s="139">
        <f>Mitigation_Industry!$E$365</f>
        <v>2.6960722989211347E-3</v>
      </c>
      <c r="AA67" s="139">
        <f>Mitigation_Industry!$E$365</f>
        <v>2.6960722989211347E-3</v>
      </c>
      <c r="AB67" s="139">
        <f>Mitigation_Industry!$E$365</f>
        <v>2.6960722989211347E-3</v>
      </c>
      <c r="AC67" s="139">
        <f>Mitigation_Industry!$E$365</f>
        <v>2.6960722989211347E-3</v>
      </c>
      <c r="AD67" s="139">
        <f>Mitigation_Industry!$E$365</f>
        <v>2.6960722989211347E-3</v>
      </c>
      <c r="AE67" s="139">
        <f>Mitigation_Industry!$E$365</f>
        <v>2.6960722989211347E-3</v>
      </c>
      <c r="AF67" s="138"/>
      <c r="AG67" s="138"/>
      <c r="AH67" s="138"/>
      <c r="AI67" s="138"/>
    </row>
    <row r="68" spans="2:35" customFormat="1" ht="14.25" x14ac:dyDescent="0.45">
      <c r="B68" s="14" t="s">
        <v>2572</v>
      </c>
      <c r="C68" s="14" t="s">
        <v>113</v>
      </c>
      <c r="D68" s="15" t="s">
        <v>2624</v>
      </c>
      <c r="E68" s="16" t="s">
        <v>2610</v>
      </c>
      <c r="F68" s="14" t="s">
        <v>2619</v>
      </c>
      <c r="G68" s="17"/>
      <c r="H68" s="125" t="str">
        <f>Settings!$B$3&amp;".mit.bp.cmt.dry.np.1"</f>
        <v>egy.mit.bp.cmt.dry.np.1</v>
      </c>
      <c r="K68" s="136"/>
      <c r="L68" s="139">
        <f>Mitigation_Industry!$E$366</f>
        <v>3.3464675036139224E-3</v>
      </c>
      <c r="M68" s="139">
        <f>Mitigation_Industry!$E$366</f>
        <v>3.3464675036139224E-3</v>
      </c>
      <c r="N68" s="139">
        <f>Mitigation_Industry!$E$366</f>
        <v>3.3464675036139224E-3</v>
      </c>
      <c r="O68" s="139">
        <f>Mitigation_Industry!$E$366</f>
        <v>3.3464675036139224E-3</v>
      </c>
      <c r="P68" s="139">
        <f>Mitigation_Industry!$E$366</f>
        <v>3.3464675036139224E-3</v>
      </c>
      <c r="Q68" s="139">
        <f>Mitigation_Industry!$E$366</f>
        <v>3.3464675036139224E-3</v>
      </c>
      <c r="R68" s="139">
        <f>Mitigation_Industry!$E$366</f>
        <v>3.3464675036139224E-3</v>
      </c>
      <c r="S68" s="139">
        <f>Mitigation_Industry!$E$366</f>
        <v>3.3464675036139224E-3</v>
      </c>
      <c r="T68" s="139">
        <f>Mitigation_Industry!$E$366</f>
        <v>3.3464675036139224E-3</v>
      </c>
      <c r="U68" s="139">
        <f>Mitigation_Industry!$E$366</f>
        <v>3.3464675036139224E-3</v>
      </c>
      <c r="V68" s="139">
        <f>Mitigation_Industry!$E$366</f>
        <v>3.3464675036139224E-3</v>
      </c>
      <c r="W68" s="139">
        <f>Mitigation_Industry!$E$366</f>
        <v>3.3464675036139224E-3</v>
      </c>
      <c r="X68" s="139">
        <f>Mitigation_Industry!$E$366</f>
        <v>3.3464675036139224E-3</v>
      </c>
      <c r="Y68" s="139">
        <f>Mitigation_Industry!$E$366</f>
        <v>3.3464675036139224E-3</v>
      </c>
      <c r="Z68" s="139">
        <f>Mitigation_Industry!$E$366</f>
        <v>3.3464675036139224E-3</v>
      </c>
      <c r="AA68" s="139">
        <f>Mitigation_Industry!$E$366</f>
        <v>3.3464675036139224E-3</v>
      </c>
      <c r="AB68" s="139">
        <f>Mitigation_Industry!$E$366</f>
        <v>3.3464675036139224E-3</v>
      </c>
      <c r="AC68" s="139">
        <f>Mitigation_Industry!$E$366</f>
        <v>3.3464675036139224E-3</v>
      </c>
      <c r="AD68" s="139">
        <f>Mitigation_Industry!$E$366</f>
        <v>3.3464675036139224E-3</v>
      </c>
      <c r="AE68" s="139">
        <f>Mitigation_Industry!$E$366</f>
        <v>3.3464675036139224E-3</v>
      </c>
      <c r="AF68" s="138"/>
      <c r="AG68" s="138"/>
      <c r="AH68" s="138"/>
      <c r="AI68" s="138"/>
    </row>
    <row r="69" spans="2:35" customFormat="1" ht="14.25" x14ac:dyDescent="0.45">
      <c r="B69" s="14" t="s">
        <v>2574</v>
      </c>
      <c r="C69" s="14" t="s">
        <v>117</v>
      </c>
      <c r="D69" s="15" t="s">
        <v>2625</v>
      </c>
      <c r="E69" s="16" t="s">
        <v>2610</v>
      </c>
      <c r="F69" s="14" t="s">
        <v>2619</v>
      </c>
      <c r="G69" s="17"/>
      <c r="H69" s="125" t="str">
        <f>Settings!$B$3&amp;".mit.bp.frt.amc.np.1"</f>
        <v>egy.mit.bp.frt.amc.np.1</v>
      </c>
      <c r="K69" s="136"/>
      <c r="L69" s="139">
        <f>Mitigation_Industry!$E$367</f>
        <v>0</v>
      </c>
      <c r="M69" s="139">
        <f>Mitigation_Industry!$E$367</f>
        <v>0</v>
      </c>
      <c r="N69" s="139">
        <f>Mitigation_Industry!$E$367</f>
        <v>0</v>
      </c>
      <c r="O69" s="139">
        <f>Mitigation_Industry!$E$367</f>
        <v>0</v>
      </c>
      <c r="P69" s="139">
        <f>Mitigation_Industry!$E$367</f>
        <v>0</v>
      </c>
      <c r="Q69" s="139">
        <f>Mitigation_Industry!$E$367</f>
        <v>0</v>
      </c>
      <c r="R69" s="139">
        <f>Mitigation_Industry!$E$367</f>
        <v>0</v>
      </c>
      <c r="S69" s="139">
        <f>Mitigation_Industry!$E$367</f>
        <v>0</v>
      </c>
      <c r="T69" s="139">
        <f>Mitigation_Industry!$E$367</f>
        <v>0</v>
      </c>
      <c r="U69" s="139">
        <f>Mitigation_Industry!$E$367</f>
        <v>0</v>
      </c>
      <c r="V69" s="139">
        <f>Mitigation_Industry!$E$367</f>
        <v>0</v>
      </c>
      <c r="W69" s="139">
        <f>Mitigation_Industry!$E$367</f>
        <v>0</v>
      </c>
      <c r="X69" s="139">
        <f>Mitigation_Industry!$E$367</f>
        <v>0</v>
      </c>
      <c r="Y69" s="139">
        <f>Mitigation_Industry!$E$367</f>
        <v>0</v>
      </c>
      <c r="Z69" s="139">
        <f>Mitigation_Industry!$E$367</f>
        <v>0</v>
      </c>
      <c r="AA69" s="139">
        <f>Mitigation_Industry!$E$367</f>
        <v>0</v>
      </c>
      <c r="AB69" s="139">
        <f>Mitigation_Industry!$E$367</f>
        <v>0</v>
      </c>
      <c r="AC69" s="139">
        <f>Mitigation_Industry!$E$367</f>
        <v>0</v>
      </c>
      <c r="AD69" s="139">
        <f>Mitigation_Industry!$E$367</f>
        <v>0</v>
      </c>
      <c r="AE69" s="139">
        <f>Mitigation_Industry!$E$367</f>
        <v>0</v>
      </c>
      <c r="AF69" s="138"/>
      <c r="AG69" s="138"/>
      <c r="AH69" s="138"/>
      <c r="AI69" s="138"/>
    </row>
    <row r="70" spans="2:35" customFormat="1" ht="14.25" x14ac:dyDescent="0.45">
      <c r="B70" s="14" t="s">
        <v>2576</v>
      </c>
      <c r="C70" s="14" t="s">
        <v>117</v>
      </c>
      <c r="D70" s="15" t="s">
        <v>2626</v>
      </c>
      <c r="E70" s="16" t="s">
        <v>2610</v>
      </c>
      <c r="F70" s="14" t="s">
        <v>2619</v>
      </c>
      <c r="G70" s="17"/>
      <c r="H70" s="125" t="str">
        <f>Settings!$B$3&amp;".mit.bp.frt.ure.np.1"</f>
        <v>egy.mit.bp.frt.ure.np.1</v>
      </c>
      <c r="K70" s="136"/>
      <c r="L70" s="139">
        <f>Mitigation_Industry!$E$368</f>
        <v>0</v>
      </c>
      <c r="M70" s="139">
        <f>Mitigation_Industry!$E$368</f>
        <v>0</v>
      </c>
      <c r="N70" s="139">
        <f>Mitigation_Industry!$E$368</f>
        <v>0</v>
      </c>
      <c r="O70" s="139">
        <f>Mitigation_Industry!$E$368</f>
        <v>0</v>
      </c>
      <c r="P70" s="139">
        <f>Mitigation_Industry!$E$368</f>
        <v>0</v>
      </c>
      <c r="Q70" s="139">
        <f>Mitigation_Industry!$E$368</f>
        <v>0</v>
      </c>
      <c r="R70" s="139">
        <f>Mitigation_Industry!$E$368</f>
        <v>0</v>
      </c>
      <c r="S70" s="139">
        <f>Mitigation_Industry!$E$368</f>
        <v>0</v>
      </c>
      <c r="T70" s="139">
        <f>Mitigation_Industry!$E$368</f>
        <v>0</v>
      </c>
      <c r="U70" s="139">
        <f>Mitigation_Industry!$E$368</f>
        <v>0</v>
      </c>
      <c r="V70" s="139">
        <f>Mitigation_Industry!$E$368</f>
        <v>0</v>
      </c>
      <c r="W70" s="139">
        <f>Mitigation_Industry!$E$368</f>
        <v>0</v>
      </c>
      <c r="X70" s="139">
        <f>Mitigation_Industry!$E$368</f>
        <v>0</v>
      </c>
      <c r="Y70" s="139">
        <f>Mitigation_Industry!$E$368</f>
        <v>0</v>
      </c>
      <c r="Z70" s="139">
        <f>Mitigation_Industry!$E$368</f>
        <v>0</v>
      </c>
      <c r="AA70" s="139">
        <f>Mitigation_Industry!$E$368</f>
        <v>0</v>
      </c>
      <c r="AB70" s="139">
        <f>Mitigation_Industry!$E$368</f>
        <v>0</v>
      </c>
      <c r="AC70" s="139">
        <f>Mitigation_Industry!$E$368</f>
        <v>0</v>
      </c>
      <c r="AD70" s="139">
        <f>Mitigation_Industry!$E$368</f>
        <v>0</v>
      </c>
      <c r="AE70" s="139">
        <f>Mitigation_Industry!$E$368</f>
        <v>0</v>
      </c>
      <c r="AF70" s="138"/>
      <c r="AG70" s="138"/>
      <c r="AH70" s="138"/>
      <c r="AI70" s="138"/>
    </row>
    <row r="71" spans="2:35" customFormat="1" ht="14.25" x14ac:dyDescent="0.45">
      <c r="B71" s="14" t="s">
        <v>2578</v>
      </c>
      <c r="C71" s="14" t="s">
        <v>117</v>
      </c>
      <c r="D71" s="15" t="s">
        <v>2627</v>
      </c>
      <c r="E71" s="16" t="s">
        <v>2610</v>
      </c>
      <c r="F71" s="14" t="s">
        <v>2619</v>
      </c>
      <c r="G71" s="17"/>
      <c r="H71" s="125" t="str">
        <f>Settings!$B$3&amp;".mit.bp.frt.nit.np.1"</f>
        <v>egy.mit.bp.frt.nit.np.1</v>
      </c>
      <c r="K71" s="136"/>
      <c r="L71" s="139">
        <f>Mitigation_Industry!$E$369</f>
        <v>0</v>
      </c>
      <c r="M71" s="139">
        <f>Mitigation_Industry!$E$369</f>
        <v>0</v>
      </c>
      <c r="N71" s="139">
        <f>Mitigation_Industry!$E$369</f>
        <v>0</v>
      </c>
      <c r="O71" s="139">
        <f>Mitigation_Industry!$E$369</f>
        <v>0</v>
      </c>
      <c r="P71" s="139">
        <f>Mitigation_Industry!$E$369</f>
        <v>0</v>
      </c>
      <c r="Q71" s="139">
        <f>Mitigation_Industry!$E$369</f>
        <v>0</v>
      </c>
      <c r="R71" s="139">
        <f>Mitigation_Industry!$E$369</f>
        <v>0</v>
      </c>
      <c r="S71" s="139">
        <f>Mitigation_Industry!$E$369</f>
        <v>0</v>
      </c>
      <c r="T71" s="139">
        <f>Mitigation_Industry!$E$369</f>
        <v>0</v>
      </c>
      <c r="U71" s="139">
        <f>Mitigation_Industry!$E$369</f>
        <v>0</v>
      </c>
      <c r="V71" s="139">
        <f>Mitigation_Industry!$E$369</f>
        <v>0</v>
      </c>
      <c r="W71" s="139">
        <f>Mitigation_Industry!$E$369</f>
        <v>0</v>
      </c>
      <c r="X71" s="139">
        <f>Mitigation_Industry!$E$369</f>
        <v>0</v>
      </c>
      <c r="Y71" s="139">
        <f>Mitigation_Industry!$E$369</f>
        <v>0</v>
      </c>
      <c r="Z71" s="139">
        <f>Mitigation_Industry!$E$369</f>
        <v>0</v>
      </c>
      <c r="AA71" s="139">
        <f>Mitigation_Industry!$E$369</f>
        <v>0</v>
      </c>
      <c r="AB71" s="139">
        <f>Mitigation_Industry!$E$369</f>
        <v>0</v>
      </c>
      <c r="AC71" s="139">
        <f>Mitigation_Industry!$E$369</f>
        <v>0</v>
      </c>
      <c r="AD71" s="139">
        <f>Mitigation_Industry!$E$369</f>
        <v>0</v>
      </c>
      <c r="AE71" s="139">
        <f>Mitigation_Industry!$E$369</f>
        <v>0</v>
      </c>
      <c r="AF71" s="138"/>
      <c r="AG71" s="138"/>
      <c r="AH71" s="138"/>
      <c r="AI71" s="138"/>
    </row>
    <row r="72" spans="2:35" customFormat="1" ht="14.25" x14ac:dyDescent="0.45">
      <c r="B72" s="14" t="s">
        <v>2580</v>
      </c>
      <c r="C72" s="14" t="s">
        <v>115</v>
      </c>
      <c r="D72" s="15" t="s">
        <v>2628</v>
      </c>
      <c r="E72" s="16" t="s">
        <v>2610</v>
      </c>
      <c r="F72" s="14" t="s">
        <v>2619</v>
      </c>
      <c r="G72" s="17"/>
      <c r="H72" s="125" t="str">
        <f>Settings!$B$3&amp;".mit.bp.alu.prp.np.1"</f>
        <v>egy.mit.bp.alu.prp.np.1</v>
      </c>
      <c r="K72" s="136"/>
      <c r="L72" s="139">
        <f>Mitigation_Industry!$E$370</f>
        <v>1.9988245320635362E-3</v>
      </c>
      <c r="M72" s="139">
        <f>Mitigation_Industry!$E$370</f>
        <v>1.9988245320635362E-3</v>
      </c>
      <c r="N72" s="139">
        <f>Mitigation_Industry!$E$370</f>
        <v>1.9988245320635362E-3</v>
      </c>
      <c r="O72" s="139">
        <f>Mitigation_Industry!$E$370</f>
        <v>1.9988245320635362E-3</v>
      </c>
      <c r="P72" s="139">
        <f>Mitigation_Industry!$E$370</f>
        <v>1.9988245320635362E-3</v>
      </c>
      <c r="Q72" s="139">
        <f>Mitigation_Industry!$E$370</f>
        <v>1.9988245320635362E-3</v>
      </c>
      <c r="R72" s="139">
        <f>Mitigation_Industry!$E$370</f>
        <v>1.9988245320635362E-3</v>
      </c>
      <c r="S72" s="139">
        <f>Mitigation_Industry!$E$370</f>
        <v>1.9988245320635362E-3</v>
      </c>
      <c r="T72" s="139">
        <f>Mitigation_Industry!$E$370</f>
        <v>1.9988245320635362E-3</v>
      </c>
      <c r="U72" s="139">
        <f>Mitigation_Industry!$E$370</f>
        <v>1.9988245320635362E-3</v>
      </c>
      <c r="V72" s="139">
        <f>Mitigation_Industry!$E$370</f>
        <v>1.9988245320635362E-3</v>
      </c>
      <c r="W72" s="139">
        <f>Mitigation_Industry!$E$370</f>
        <v>1.9988245320635362E-3</v>
      </c>
      <c r="X72" s="139">
        <f>Mitigation_Industry!$E$370</f>
        <v>1.9988245320635362E-3</v>
      </c>
      <c r="Y72" s="139">
        <f>Mitigation_Industry!$E$370</f>
        <v>1.9988245320635362E-3</v>
      </c>
      <c r="Z72" s="139">
        <f>Mitigation_Industry!$E$370</f>
        <v>1.9988245320635362E-3</v>
      </c>
      <c r="AA72" s="139">
        <f>Mitigation_Industry!$E$370</f>
        <v>1.9988245320635362E-3</v>
      </c>
      <c r="AB72" s="139">
        <f>Mitigation_Industry!$E$370</f>
        <v>1.9988245320635362E-3</v>
      </c>
      <c r="AC72" s="139">
        <f>Mitigation_Industry!$E$370</f>
        <v>1.9988245320635362E-3</v>
      </c>
      <c r="AD72" s="139">
        <f>Mitigation_Industry!$E$370</f>
        <v>1.9988245320635362E-3</v>
      </c>
      <c r="AE72" s="139">
        <f>Mitigation_Industry!$E$370</f>
        <v>1.9988245320635362E-3</v>
      </c>
      <c r="AF72" s="138"/>
      <c r="AG72" s="138"/>
      <c r="AH72" s="138"/>
      <c r="AI72" s="138"/>
    </row>
    <row r="73" spans="2:35" customFormat="1" ht="14.25" x14ac:dyDescent="0.45">
      <c r="B73" s="14" t="s">
        <v>2582</v>
      </c>
      <c r="C73" s="14" t="s">
        <v>43</v>
      </c>
      <c r="D73" s="15" t="s">
        <v>2629</v>
      </c>
      <c r="E73" s="16" t="s">
        <v>2610</v>
      </c>
      <c r="F73" s="14" t="s">
        <v>2619</v>
      </c>
      <c r="G73" s="17"/>
      <c r="H73" s="125" t="str">
        <f>Settings!$B$3&amp;".mit.bp.stl.drg.no.1"</f>
        <v>egy.mit.bp.stl.drg.no.1</v>
      </c>
      <c r="K73" s="136"/>
      <c r="L73" s="139">
        <f>Mitigation_Industry!$G$363</f>
        <v>0</v>
      </c>
      <c r="M73" s="139">
        <f>Mitigation_Industry!$G$363</f>
        <v>0</v>
      </c>
      <c r="N73" s="139">
        <f>Mitigation_Industry!$G$363</f>
        <v>0</v>
      </c>
      <c r="O73" s="139">
        <f>Mitigation_Industry!$G$363</f>
        <v>0</v>
      </c>
      <c r="P73" s="139">
        <f>Mitigation_Industry!$G$363</f>
        <v>0</v>
      </c>
      <c r="Q73" s="139">
        <f>Mitigation_Industry!$G$363</f>
        <v>0</v>
      </c>
      <c r="R73" s="139">
        <f>Mitigation_Industry!$G$363</f>
        <v>0</v>
      </c>
      <c r="S73" s="139">
        <f>Mitigation_Industry!$G$363</f>
        <v>0</v>
      </c>
      <c r="T73" s="139">
        <f>Mitigation_Industry!$G$363</f>
        <v>0</v>
      </c>
      <c r="U73" s="139">
        <f>Mitigation_Industry!$G$363</f>
        <v>0</v>
      </c>
      <c r="V73" s="139">
        <f>Mitigation_Industry!$G$363</f>
        <v>0</v>
      </c>
      <c r="W73" s="139">
        <f>Mitigation_Industry!$G$363</f>
        <v>0</v>
      </c>
      <c r="X73" s="139">
        <f>Mitigation_Industry!$G$363</f>
        <v>0</v>
      </c>
      <c r="Y73" s="139">
        <f>Mitigation_Industry!$G$363</f>
        <v>0</v>
      </c>
      <c r="Z73" s="139">
        <f>Mitigation_Industry!$G$363</f>
        <v>0</v>
      </c>
      <c r="AA73" s="139">
        <f>Mitigation_Industry!$G$363</f>
        <v>0</v>
      </c>
      <c r="AB73" s="139">
        <f>Mitigation_Industry!$G$363</f>
        <v>0</v>
      </c>
      <c r="AC73" s="139">
        <f>Mitigation_Industry!$G$363</f>
        <v>0</v>
      </c>
      <c r="AD73" s="139">
        <f>Mitigation_Industry!$G$363</f>
        <v>0</v>
      </c>
      <c r="AE73" s="139">
        <f>Mitigation_Industry!$G$363</f>
        <v>0</v>
      </c>
      <c r="AF73" s="138"/>
      <c r="AG73" s="138"/>
      <c r="AH73" s="138"/>
      <c r="AI73" s="138"/>
    </row>
    <row r="74" spans="2:35" customFormat="1" ht="14.25" x14ac:dyDescent="0.45">
      <c r="B74" s="14" t="s">
        <v>2584</v>
      </c>
      <c r="C74" s="14" t="s">
        <v>43</v>
      </c>
      <c r="D74" s="15" t="s">
        <v>2630</v>
      </c>
      <c r="E74" s="16" t="s">
        <v>2610</v>
      </c>
      <c r="F74" s="14" t="s">
        <v>2619</v>
      </c>
      <c r="G74" s="17"/>
      <c r="H74" s="125" t="str">
        <f>Settings!$B$3&amp;".mit.bp.stl.scr.no.1"</f>
        <v>egy.mit.bp.stl.scr.no.1</v>
      </c>
      <c r="K74" s="136"/>
      <c r="L74" s="139">
        <f>Mitigation_Industry!$G$364</f>
        <v>0</v>
      </c>
      <c r="M74" s="139">
        <f>Mitigation_Industry!$G$364</f>
        <v>0</v>
      </c>
      <c r="N74" s="139">
        <f>Mitigation_Industry!$G$364</f>
        <v>0</v>
      </c>
      <c r="O74" s="139">
        <f>Mitigation_Industry!$G$364</f>
        <v>0</v>
      </c>
      <c r="P74" s="139">
        <f>Mitigation_Industry!$G$364</f>
        <v>0</v>
      </c>
      <c r="Q74" s="139">
        <f>Mitigation_Industry!$G$364</f>
        <v>0</v>
      </c>
      <c r="R74" s="139">
        <f>Mitigation_Industry!$G$364</f>
        <v>0</v>
      </c>
      <c r="S74" s="139">
        <f>Mitigation_Industry!$G$364</f>
        <v>0</v>
      </c>
      <c r="T74" s="139">
        <f>Mitigation_Industry!$G$364</f>
        <v>0</v>
      </c>
      <c r="U74" s="139">
        <f>Mitigation_Industry!$G$364</f>
        <v>0</v>
      </c>
      <c r="V74" s="139">
        <f>Mitigation_Industry!$G$364</f>
        <v>0</v>
      </c>
      <c r="W74" s="139">
        <f>Mitigation_Industry!$G$364</f>
        <v>0</v>
      </c>
      <c r="X74" s="139">
        <f>Mitigation_Industry!$G$364</f>
        <v>0</v>
      </c>
      <c r="Y74" s="139">
        <f>Mitigation_Industry!$G$364</f>
        <v>0</v>
      </c>
      <c r="Z74" s="139">
        <f>Mitigation_Industry!$G$364</f>
        <v>0</v>
      </c>
      <c r="AA74" s="139">
        <f>Mitigation_Industry!$G$364</f>
        <v>0</v>
      </c>
      <c r="AB74" s="139">
        <f>Mitigation_Industry!$G$364</f>
        <v>0</v>
      </c>
      <c r="AC74" s="139">
        <f>Mitigation_Industry!$G$364</f>
        <v>0</v>
      </c>
      <c r="AD74" s="139">
        <f>Mitigation_Industry!$G$364</f>
        <v>0</v>
      </c>
      <c r="AE74" s="139">
        <f>Mitigation_Industry!$G$364</f>
        <v>0</v>
      </c>
      <c r="AF74" s="138"/>
      <c r="AG74" s="138"/>
      <c r="AH74" s="138"/>
      <c r="AI74" s="138"/>
    </row>
    <row r="75" spans="2:35" customFormat="1" ht="14.25" x14ac:dyDescent="0.45">
      <c r="B75" s="14" t="s">
        <v>2586</v>
      </c>
      <c r="C75" s="14" t="s">
        <v>43</v>
      </c>
      <c r="D75" s="15" t="s">
        <v>2631</v>
      </c>
      <c r="E75" s="16" t="s">
        <v>2610</v>
      </c>
      <c r="F75" s="14" t="s">
        <v>2619</v>
      </c>
      <c r="G75" s="17"/>
      <c r="H75" s="125" t="str">
        <f>Settings!$B$3&amp;".mit.bp.stl.bof.no.1"</f>
        <v>egy.mit.bp.stl.bof.no.1</v>
      </c>
      <c r="K75" s="136"/>
      <c r="L75" s="139">
        <f>Mitigation_Industry!$G$365</f>
        <v>0</v>
      </c>
      <c r="M75" s="139">
        <f>Mitigation_Industry!$G$365</f>
        <v>0</v>
      </c>
      <c r="N75" s="139">
        <f>Mitigation_Industry!$G$365</f>
        <v>0</v>
      </c>
      <c r="O75" s="139">
        <f>Mitigation_Industry!$G$365</f>
        <v>0</v>
      </c>
      <c r="P75" s="139">
        <f>Mitigation_Industry!$G$365</f>
        <v>0</v>
      </c>
      <c r="Q75" s="139">
        <f>Mitigation_Industry!$G$365</f>
        <v>0</v>
      </c>
      <c r="R75" s="139">
        <f>Mitigation_Industry!$G$365</f>
        <v>0</v>
      </c>
      <c r="S75" s="139">
        <f>Mitigation_Industry!$G$365</f>
        <v>0</v>
      </c>
      <c r="T75" s="139">
        <f>Mitigation_Industry!$G$365</f>
        <v>0</v>
      </c>
      <c r="U75" s="139">
        <f>Mitigation_Industry!$G$365</f>
        <v>0</v>
      </c>
      <c r="V75" s="139">
        <f>Mitigation_Industry!$G$365</f>
        <v>0</v>
      </c>
      <c r="W75" s="139">
        <f>Mitigation_Industry!$G$365</f>
        <v>0</v>
      </c>
      <c r="X75" s="139">
        <f>Mitigation_Industry!$G$365</f>
        <v>0</v>
      </c>
      <c r="Y75" s="139">
        <f>Mitigation_Industry!$G$365</f>
        <v>0</v>
      </c>
      <c r="Z75" s="139">
        <f>Mitigation_Industry!$G$365</f>
        <v>0</v>
      </c>
      <c r="AA75" s="139">
        <f>Mitigation_Industry!$G$365</f>
        <v>0</v>
      </c>
      <c r="AB75" s="139">
        <f>Mitigation_Industry!$G$365</f>
        <v>0</v>
      </c>
      <c r="AC75" s="139">
        <f>Mitigation_Industry!$G$365</f>
        <v>0</v>
      </c>
      <c r="AD75" s="139">
        <f>Mitigation_Industry!$G$365</f>
        <v>0</v>
      </c>
      <c r="AE75" s="139">
        <f>Mitigation_Industry!$G$365</f>
        <v>0</v>
      </c>
      <c r="AF75" s="138"/>
      <c r="AG75" s="138"/>
      <c r="AH75" s="138"/>
      <c r="AI75" s="138"/>
    </row>
    <row r="76" spans="2:35" customFormat="1" ht="14.25" x14ac:dyDescent="0.45">
      <c r="B76" s="14" t="s">
        <v>2588</v>
      </c>
      <c r="C76" s="14" t="s">
        <v>113</v>
      </c>
      <c r="D76" s="15" t="s">
        <v>2632</v>
      </c>
      <c r="E76" s="16" t="s">
        <v>2610</v>
      </c>
      <c r="F76" s="14" t="s">
        <v>2619</v>
      </c>
      <c r="G76" s="17"/>
      <c r="H76" s="125" t="str">
        <f>Settings!$B$3&amp;".mit.bp.cmt.dry.no.1"</f>
        <v>egy.mit.bp.cmt.dry.no.1</v>
      </c>
      <c r="K76" s="136"/>
      <c r="L76" s="139">
        <f>Mitigation_Industry!$G$366</f>
        <v>0</v>
      </c>
      <c r="M76" s="139">
        <f>Mitigation_Industry!$G$366</f>
        <v>0</v>
      </c>
      <c r="N76" s="139">
        <f>Mitigation_Industry!$G$366</f>
        <v>0</v>
      </c>
      <c r="O76" s="139">
        <f>Mitigation_Industry!$G$366</f>
        <v>0</v>
      </c>
      <c r="P76" s="139">
        <f>Mitigation_Industry!$G$366</f>
        <v>0</v>
      </c>
      <c r="Q76" s="139">
        <f>Mitigation_Industry!$G$366</f>
        <v>0</v>
      </c>
      <c r="R76" s="139">
        <f>Mitigation_Industry!$G$366</f>
        <v>0</v>
      </c>
      <c r="S76" s="139">
        <f>Mitigation_Industry!$G$366</f>
        <v>0</v>
      </c>
      <c r="T76" s="139">
        <f>Mitigation_Industry!$G$366</f>
        <v>0</v>
      </c>
      <c r="U76" s="139">
        <f>Mitigation_Industry!$G$366</f>
        <v>0</v>
      </c>
      <c r="V76" s="139">
        <f>Mitigation_Industry!$G$366</f>
        <v>0</v>
      </c>
      <c r="W76" s="139">
        <f>Mitigation_Industry!$G$366</f>
        <v>0</v>
      </c>
      <c r="X76" s="139">
        <f>Mitigation_Industry!$G$366</f>
        <v>0</v>
      </c>
      <c r="Y76" s="139">
        <f>Mitigation_Industry!$G$366</f>
        <v>0</v>
      </c>
      <c r="Z76" s="139">
        <f>Mitigation_Industry!$G$366</f>
        <v>0</v>
      </c>
      <c r="AA76" s="139">
        <f>Mitigation_Industry!$G$366</f>
        <v>0</v>
      </c>
      <c r="AB76" s="139">
        <f>Mitigation_Industry!$G$366</f>
        <v>0</v>
      </c>
      <c r="AC76" s="139">
        <f>Mitigation_Industry!$G$366</f>
        <v>0</v>
      </c>
      <c r="AD76" s="139">
        <f>Mitigation_Industry!$G$366</f>
        <v>0</v>
      </c>
      <c r="AE76" s="139">
        <f>Mitigation_Industry!$G$366</f>
        <v>0</v>
      </c>
      <c r="AF76" s="138"/>
      <c r="AG76" s="138"/>
      <c r="AH76" s="138"/>
      <c r="AI76" s="138"/>
    </row>
    <row r="77" spans="2:35" customFormat="1" ht="14.25" x14ac:dyDescent="0.45">
      <c r="B77" s="14" t="s">
        <v>2590</v>
      </c>
      <c r="C77" s="14" t="s">
        <v>117</v>
      </c>
      <c r="D77" s="15" t="s">
        <v>2633</v>
      </c>
      <c r="E77" s="16" t="s">
        <v>2610</v>
      </c>
      <c r="F77" s="14" t="s">
        <v>2619</v>
      </c>
      <c r="G77" s="17"/>
      <c r="H77" s="125" t="str">
        <f>Settings!$B$3&amp;".mit.bp.frt.amc.no.1"</f>
        <v>egy.mit.bp.frt.amc.no.1</v>
      </c>
      <c r="K77" s="136"/>
      <c r="L77" s="139">
        <f>Mitigation_Industry!$G$367</f>
        <v>0</v>
      </c>
      <c r="M77" s="139">
        <f>Mitigation_Industry!$G$367</f>
        <v>0</v>
      </c>
      <c r="N77" s="139">
        <f>Mitigation_Industry!$G$367</f>
        <v>0</v>
      </c>
      <c r="O77" s="139">
        <f>Mitigation_Industry!$G$367</f>
        <v>0</v>
      </c>
      <c r="P77" s="139">
        <f>Mitigation_Industry!$G$367</f>
        <v>0</v>
      </c>
      <c r="Q77" s="139">
        <f>Mitigation_Industry!$G$367</f>
        <v>0</v>
      </c>
      <c r="R77" s="139">
        <f>Mitigation_Industry!$G$367</f>
        <v>0</v>
      </c>
      <c r="S77" s="139">
        <f>Mitigation_Industry!$G$367</f>
        <v>0</v>
      </c>
      <c r="T77" s="139">
        <f>Mitigation_Industry!$G$367</f>
        <v>0</v>
      </c>
      <c r="U77" s="139">
        <f>Mitigation_Industry!$G$367</f>
        <v>0</v>
      </c>
      <c r="V77" s="139">
        <f>Mitigation_Industry!$G$367</f>
        <v>0</v>
      </c>
      <c r="W77" s="139">
        <f>Mitigation_Industry!$G$367</f>
        <v>0</v>
      </c>
      <c r="X77" s="139">
        <f>Mitigation_Industry!$G$367</f>
        <v>0</v>
      </c>
      <c r="Y77" s="139">
        <f>Mitigation_Industry!$G$367</f>
        <v>0</v>
      </c>
      <c r="Z77" s="139">
        <f>Mitigation_Industry!$G$367</f>
        <v>0</v>
      </c>
      <c r="AA77" s="139">
        <f>Mitigation_Industry!$G$367</f>
        <v>0</v>
      </c>
      <c r="AB77" s="139">
        <f>Mitigation_Industry!$G$367</f>
        <v>0</v>
      </c>
      <c r="AC77" s="139">
        <f>Mitigation_Industry!$G$367</f>
        <v>0</v>
      </c>
      <c r="AD77" s="139">
        <f>Mitigation_Industry!$G$367</f>
        <v>0</v>
      </c>
      <c r="AE77" s="139">
        <f>Mitigation_Industry!$G$367</f>
        <v>0</v>
      </c>
      <c r="AF77" s="138"/>
      <c r="AG77" s="138"/>
      <c r="AH77" s="138"/>
      <c r="AI77" s="138"/>
    </row>
    <row r="78" spans="2:35" customFormat="1" ht="14.25" x14ac:dyDescent="0.45">
      <c r="B78" s="14" t="s">
        <v>2592</v>
      </c>
      <c r="C78" s="14" t="s">
        <v>117</v>
      </c>
      <c r="D78" s="15" t="s">
        <v>2634</v>
      </c>
      <c r="E78" s="16" t="s">
        <v>2610</v>
      </c>
      <c r="F78" s="14" t="s">
        <v>2619</v>
      </c>
      <c r="G78" s="17"/>
      <c r="H78" s="125" t="str">
        <f>Settings!$B$3&amp;".mit.bp.frt.ure.no.1"</f>
        <v>egy.mit.bp.frt.ure.no.1</v>
      </c>
      <c r="K78" s="136"/>
      <c r="L78" s="139">
        <f>Mitigation_Industry!$G$368</f>
        <v>0</v>
      </c>
      <c r="M78" s="139">
        <f>Mitigation_Industry!$G$368</f>
        <v>0</v>
      </c>
      <c r="N78" s="139">
        <f>Mitigation_Industry!$G$368</f>
        <v>0</v>
      </c>
      <c r="O78" s="139">
        <f>Mitigation_Industry!$G$368</f>
        <v>0</v>
      </c>
      <c r="P78" s="139">
        <f>Mitigation_Industry!$G$368</f>
        <v>0</v>
      </c>
      <c r="Q78" s="139">
        <f>Mitigation_Industry!$G$368</f>
        <v>0</v>
      </c>
      <c r="R78" s="139">
        <f>Mitigation_Industry!$G$368</f>
        <v>0</v>
      </c>
      <c r="S78" s="139">
        <f>Mitigation_Industry!$G$368</f>
        <v>0</v>
      </c>
      <c r="T78" s="139">
        <f>Mitigation_Industry!$G$368</f>
        <v>0</v>
      </c>
      <c r="U78" s="139">
        <f>Mitigation_Industry!$G$368</f>
        <v>0</v>
      </c>
      <c r="V78" s="139">
        <f>Mitigation_Industry!$G$368</f>
        <v>0</v>
      </c>
      <c r="W78" s="139">
        <f>Mitigation_Industry!$G$368</f>
        <v>0</v>
      </c>
      <c r="X78" s="139">
        <f>Mitigation_Industry!$G$368</f>
        <v>0</v>
      </c>
      <c r="Y78" s="139">
        <f>Mitigation_Industry!$G$368</f>
        <v>0</v>
      </c>
      <c r="Z78" s="139">
        <f>Mitigation_Industry!$G$368</f>
        <v>0</v>
      </c>
      <c r="AA78" s="139">
        <f>Mitigation_Industry!$G$368</f>
        <v>0</v>
      </c>
      <c r="AB78" s="139">
        <f>Mitigation_Industry!$G$368</f>
        <v>0</v>
      </c>
      <c r="AC78" s="139">
        <f>Mitigation_Industry!$G$368</f>
        <v>0</v>
      </c>
      <c r="AD78" s="139">
        <f>Mitigation_Industry!$G$368</f>
        <v>0</v>
      </c>
      <c r="AE78" s="139">
        <f>Mitigation_Industry!$G$368</f>
        <v>0</v>
      </c>
      <c r="AF78" s="138"/>
      <c r="AG78" s="138"/>
      <c r="AH78" s="138"/>
      <c r="AI78" s="138"/>
    </row>
    <row r="79" spans="2:35" customFormat="1" ht="14.25" x14ac:dyDescent="0.45">
      <c r="B79" s="14" t="s">
        <v>2594</v>
      </c>
      <c r="C79" s="14" t="s">
        <v>117</v>
      </c>
      <c r="D79" s="15" t="s">
        <v>2635</v>
      </c>
      <c r="E79" s="16" t="s">
        <v>2610</v>
      </c>
      <c r="F79" s="14" t="s">
        <v>2619</v>
      </c>
      <c r="G79" s="17"/>
      <c r="H79" s="125" t="str">
        <f>Settings!$B$3&amp;".mit.bp.frt.nit.no.1"</f>
        <v>egy.mit.bp.frt.nit.no.1</v>
      </c>
      <c r="K79" s="136"/>
      <c r="L79" s="139">
        <f>Mitigation_Industry!$G$369</f>
        <v>7.8858436436826454E-3</v>
      </c>
      <c r="M79" s="139">
        <f>Mitigation_Industry!$G$369</f>
        <v>7.8858436436826454E-3</v>
      </c>
      <c r="N79" s="139">
        <f>Mitigation_Industry!$G$369</f>
        <v>7.8858436436826454E-3</v>
      </c>
      <c r="O79" s="139">
        <f>Mitigation_Industry!$G$369</f>
        <v>7.8858436436826454E-3</v>
      </c>
      <c r="P79" s="139">
        <f>Mitigation_Industry!$G$369</f>
        <v>7.8858436436826454E-3</v>
      </c>
      <c r="Q79" s="139">
        <f>Mitigation_Industry!$G$369</f>
        <v>7.8858436436826454E-3</v>
      </c>
      <c r="R79" s="139">
        <f>Mitigation_Industry!$G$369</f>
        <v>7.8858436436826454E-3</v>
      </c>
      <c r="S79" s="139">
        <f>Mitigation_Industry!$G$369</f>
        <v>7.8858436436826454E-3</v>
      </c>
      <c r="T79" s="139">
        <f>Mitigation_Industry!$G$369</f>
        <v>7.8858436436826454E-3</v>
      </c>
      <c r="U79" s="139">
        <f>Mitigation_Industry!$G$369</f>
        <v>7.8858436436826454E-3</v>
      </c>
      <c r="V79" s="139">
        <f>Mitigation_Industry!$G$369</f>
        <v>7.8858436436826454E-3</v>
      </c>
      <c r="W79" s="139">
        <f>Mitigation_Industry!$G$369</f>
        <v>7.8858436436826454E-3</v>
      </c>
      <c r="X79" s="139">
        <f>Mitigation_Industry!$G$369</f>
        <v>7.8858436436826454E-3</v>
      </c>
      <c r="Y79" s="139">
        <f>Mitigation_Industry!$G$369</f>
        <v>7.8858436436826454E-3</v>
      </c>
      <c r="Z79" s="139">
        <f>Mitigation_Industry!$G$369</f>
        <v>7.8858436436826454E-3</v>
      </c>
      <c r="AA79" s="139">
        <f>Mitigation_Industry!$G$369</f>
        <v>7.8858436436826454E-3</v>
      </c>
      <c r="AB79" s="139">
        <f>Mitigation_Industry!$G$369</f>
        <v>7.8858436436826454E-3</v>
      </c>
      <c r="AC79" s="139">
        <f>Mitigation_Industry!$G$369</f>
        <v>7.8858436436826454E-3</v>
      </c>
      <c r="AD79" s="139">
        <f>Mitigation_Industry!$G$369</f>
        <v>7.8858436436826454E-3</v>
      </c>
      <c r="AE79" s="139">
        <f>Mitigation_Industry!$G$369</f>
        <v>7.8858436436826454E-3</v>
      </c>
      <c r="AF79" s="138"/>
      <c r="AG79" s="138"/>
      <c r="AH79" s="138"/>
      <c r="AI79" s="138"/>
    </row>
    <row r="80" spans="2:35" customFormat="1" ht="14.25" x14ac:dyDescent="0.45">
      <c r="B80" s="14" t="s">
        <v>2596</v>
      </c>
      <c r="C80" s="14" t="s">
        <v>115</v>
      </c>
      <c r="D80" s="15" t="s">
        <v>2636</v>
      </c>
      <c r="E80" s="16" t="s">
        <v>2610</v>
      </c>
      <c r="F80" s="14" t="s">
        <v>2619</v>
      </c>
      <c r="G80" s="17"/>
      <c r="H80" s="125" t="str">
        <f>Settings!$B$3&amp;".mit.bp.alu.prp.no.1"</f>
        <v>egy.mit.bp.alu.prp.no.1</v>
      </c>
      <c r="K80" s="136"/>
      <c r="L80" s="139">
        <f>Mitigation_Industry!$G$370</f>
        <v>1.9988245320635362E-3</v>
      </c>
      <c r="M80" s="139">
        <f>Mitigation_Industry!$G$370</f>
        <v>1.9988245320635362E-3</v>
      </c>
      <c r="N80" s="139">
        <f>Mitigation_Industry!$G$370</f>
        <v>1.9988245320635362E-3</v>
      </c>
      <c r="O80" s="139">
        <f>Mitigation_Industry!$G$370</f>
        <v>1.9988245320635362E-3</v>
      </c>
      <c r="P80" s="139">
        <f>Mitigation_Industry!$G$370</f>
        <v>1.9988245320635362E-3</v>
      </c>
      <c r="Q80" s="139">
        <f>Mitigation_Industry!$G$370</f>
        <v>1.9988245320635362E-3</v>
      </c>
      <c r="R80" s="139">
        <f>Mitigation_Industry!$G$370</f>
        <v>1.9988245320635362E-3</v>
      </c>
      <c r="S80" s="139">
        <f>Mitigation_Industry!$G$370</f>
        <v>1.9988245320635362E-3</v>
      </c>
      <c r="T80" s="139">
        <f>Mitigation_Industry!$G$370</f>
        <v>1.9988245320635362E-3</v>
      </c>
      <c r="U80" s="139">
        <f>Mitigation_Industry!$G$370</f>
        <v>1.9988245320635362E-3</v>
      </c>
      <c r="V80" s="139">
        <f>Mitigation_Industry!$G$370</f>
        <v>1.9988245320635362E-3</v>
      </c>
      <c r="W80" s="139">
        <f>Mitigation_Industry!$G$370</f>
        <v>1.9988245320635362E-3</v>
      </c>
      <c r="X80" s="139">
        <f>Mitigation_Industry!$G$370</f>
        <v>1.9988245320635362E-3</v>
      </c>
      <c r="Y80" s="139">
        <f>Mitigation_Industry!$G$370</f>
        <v>1.9988245320635362E-3</v>
      </c>
      <c r="Z80" s="139">
        <f>Mitigation_Industry!$G$370</f>
        <v>1.9988245320635362E-3</v>
      </c>
      <c r="AA80" s="139">
        <f>Mitigation_Industry!$G$370</f>
        <v>1.9988245320635362E-3</v>
      </c>
      <c r="AB80" s="139">
        <f>Mitigation_Industry!$G$370</f>
        <v>1.9988245320635362E-3</v>
      </c>
      <c r="AC80" s="139">
        <f>Mitigation_Industry!$G$370</f>
        <v>1.9988245320635362E-3</v>
      </c>
      <c r="AD80" s="139">
        <f>Mitigation_Industry!$G$370</f>
        <v>1.9988245320635362E-3</v>
      </c>
      <c r="AE80" s="139">
        <f>Mitigation_Industry!$G$370</f>
        <v>1.9988245320635362E-3</v>
      </c>
      <c r="AF80" s="138"/>
      <c r="AG80" s="138"/>
      <c r="AH80" s="138"/>
      <c r="AI80" s="138"/>
    </row>
    <row r="81" spans="1:35" x14ac:dyDescent="0.35"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</row>
    <row r="82" spans="1:35" customFormat="1" ht="14.25" x14ac:dyDescent="0.45">
      <c r="A82" s="11"/>
      <c r="B82" s="6"/>
      <c r="C82" s="7" t="s">
        <v>2637</v>
      </c>
      <c r="D82" s="6" t="s">
        <v>1488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34">
        <v>2021</v>
      </c>
      <c r="L82" s="135">
        <v>2022</v>
      </c>
      <c r="M82" s="134">
        <v>2023</v>
      </c>
      <c r="N82" s="134">
        <v>2024</v>
      </c>
      <c r="O82" s="134">
        <v>2025</v>
      </c>
      <c r="P82" s="134">
        <v>2026</v>
      </c>
      <c r="Q82" s="134">
        <v>2027</v>
      </c>
      <c r="R82" s="134">
        <v>2028</v>
      </c>
      <c r="S82" s="134">
        <v>2029</v>
      </c>
      <c r="T82" s="134">
        <v>2030</v>
      </c>
      <c r="U82" s="134">
        <v>2031</v>
      </c>
      <c r="V82" s="134">
        <v>2032</v>
      </c>
      <c r="W82" s="134">
        <v>2033</v>
      </c>
      <c r="X82" s="134">
        <v>2034</v>
      </c>
      <c r="Y82" s="134">
        <v>2035</v>
      </c>
      <c r="Z82" s="134">
        <v>2036</v>
      </c>
      <c r="AA82" s="134">
        <v>2037</v>
      </c>
      <c r="AB82" s="134">
        <v>2038</v>
      </c>
      <c r="AC82" s="134">
        <v>2039</v>
      </c>
      <c r="AD82" s="134">
        <v>2040</v>
      </c>
      <c r="AE82" s="134">
        <v>2041</v>
      </c>
      <c r="AF82" s="134">
        <v>2042</v>
      </c>
      <c r="AG82" s="134">
        <v>2043</v>
      </c>
      <c r="AH82" s="134">
        <v>2044</v>
      </c>
      <c r="AI82" s="134">
        <v>2045</v>
      </c>
    </row>
    <row r="83" spans="1:35" customFormat="1" ht="14.25" x14ac:dyDescent="0.45">
      <c r="B83" s="14" t="s">
        <v>2565</v>
      </c>
      <c r="C83" s="14" t="s">
        <v>43</v>
      </c>
      <c r="D83" s="15" t="s">
        <v>2638</v>
      </c>
      <c r="E83" s="16" t="s">
        <v>2068</v>
      </c>
      <c r="F83" s="14" t="s">
        <v>2637</v>
      </c>
      <c r="G83" s="17"/>
      <c r="H83" s="125" t="str">
        <f>Settings!$B$3&amp;".mit.wm.stl.drg.np.1"</f>
        <v>egy.mit.wm.stl.drg.np.1</v>
      </c>
      <c r="I83" t="s">
        <v>2639</v>
      </c>
      <c r="K83" s="136"/>
      <c r="L83" s="137">
        <f>Mitigation_Industry!L$276*Mitigation_Industry!$J$273*MAX(Mitigation_Industry!$J$264,0)*Mitigation_Industry!$F$363/1000</f>
        <v>0.17734546065090059</v>
      </c>
      <c r="M83" s="137">
        <f>Mitigation_Industry!M$276*Mitigation_Industry!$J$273*MAX(Mitigation_Industry!$J$264,0)*Mitigation_Industry!$F$363/1000</f>
        <v>0.18514866091954021</v>
      </c>
      <c r="N83" s="137">
        <f>Mitigation_Industry!N$276*Mitigation_Industry!$J$273*MAX(Mitigation_Industry!$J$264,0)*Mitigation_Industry!$F$363/1000</f>
        <v>0.193295202</v>
      </c>
      <c r="O83" s="137">
        <f>Mitigation_Industry!O$276*Mitigation_Industry!$J$273*MAX(Mitigation_Industry!$J$264,0)*Mitigation_Industry!$F$363/1000</f>
        <v>0.20180019088800003</v>
      </c>
      <c r="P83" s="137">
        <f>Mitigation_Industry!P$276*Mitigation_Industry!$J$273*MAX(Mitigation_Industry!$J$264,0)*Mitigation_Industry!$F$363/1000</f>
        <v>0.21067939928707202</v>
      </c>
      <c r="Q83" s="137">
        <f>Mitigation_Industry!Q$276*Mitigation_Industry!$J$273*MAX(Mitigation_Industry!$J$264,0)*Mitigation_Industry!$F$363/1000</f>
        <v>0.21994929285570322</v>
      </c>
      <c r="R83" s="137">
        <f>Mitigation_Industry!R$276*Mitigation_Industry!$J$273*MAX(Mitigation_Industry!$J$264,0)*Mitigation_Industry!$F$363/1000</f>
        <v>0.22962706174135414</v>
      </c>
      <c r="S83" s="137">
        <f>Mitigation_Industry!S$276*Mitigation_Industry!$J$273*MAX(Mitigation_Industry!$J$264,0)*Mitigation_Industry!$F$363/1000</f>
        <v>0.2397306524579737</v>
      </c>
      <c r="T83" s="137">
        <f>Mitigation_Industry!T$276*Mitigation_Industry!$J$273*MAX(Mitigation_Industry!$J$264,0)*Mitigation_Industry!$F$363/1000</f>
        <v>0.25027880116612461</v>
      </c>
      <c r="U83" s="137">
        <f>Mitigation_Industry!U$276*Mitigation_Industry!$J$273*MAX(Mitigation_Industry!$J$264,0)*Mitigation_Industry!$F$363/1000</f>
        <v>0.2612910684174341</v>
      </c>
      <c r="V83" s="137">
        <f>Mitigation_Industry!V$276*Mitigation_Industry!$J$273*MAX(Mitigation_Industry!$J$264,0)*Mitigation_Industry!$F$363/1000</f>
        <v>0.27278787542780114</v>
      </c>
      <c r="W83" s="137">
        <f>Mitigation_Industry!W$276*Mitigation_Industry!$J$273*MAX(Mitigation_Industry!$J$264,0)*Mitigation_Industry!$F$363/1000</f>
        <v>0.28479054194662445</v>
      </c>
      <c r="X83" s="137">
        <f>Mitigation_Industry!X$276*Mitigation_Industry!$J$273*MAX(Mitigation_Industry!$J$264,0)*Mitigation_Industry!$F$363/1000</f>
        <v>0.29732132579227588</v>
      </c>
      <c r="Y83" s="137">
        <f>Mitigation_Industry!Y$276*Mitigation_Industry!$J$273*MAX(Mitigation_Industry!$J$264,0)*Mitigation_Industry!$F$363/1000</f>
        <v>0.3104034641271361</v>
      </c>
      <c r="Z83" s="137">
        <f>Mitigation_Industry!Z$276*Mitigation_Industry!$J$273*MAX(Mitigation_Industry!$J$264,0)*Mitigation_Industry!$F$363/1000</f>
        <v>0.32406121654872999</v>
      </c>
      <c r="AA83" s="137">
        <f>Mitigation_Industry!AA$276*Mitigation_Industry!$J$273*MAX(Mitigation_Industry!$J$264,0)*Mitigation_Industry!$F$363/1000</f>
        <v>0.33831991007687412</v>
      </c>
      <c r="AB83" s="137">
        <f>Mitigation_Industry!AB$276*Mitigation_Industry!$J$273*MAX(Mitigation_Industry!$J$264,0)*Mitigation_Industry!$F$363/1000</f>
        <v>0.35320598612025667</v>
      </c>
      <c r="AC83" s="137">
        <f>Mitigation_Industry!AC$276*Mitigation_Industry!$J$273*MAX(Mitigation_Industry!$J$264,0)*Mitigation_Industry!$F$363/1000</f>
        <v>0.36874704950954795</v>
      </c>
      <c r="AD83" s="137">
        <f>Mitigation_Industry!AD$276*Mitigation_Industry!$J$273*MAX(Mitigation_Industry!$J$264,0)*Mitigation_Industry!$F$363/1000</f>
        <v>0.38497191968796801</v>
      </c>
      <c r="AE83" s="137">
        <f>Mitigation_Industry!AE$276*Mitigation_Industry!$J$273*MAX(Mitigation_Industry!$J$264,0)*Mitigation_Industry!$F$363/1000</f>
        <v>0.40191068415423858</v>
      </c>
      <c r="AF83" s="138"/>
      <c r="AG83" s="138"/>
      <c r="AH83" s="138"/>
      <c r="AI83" s="138"/>
    </row>
    <row r="84" spans="1:35" customFormat="1" ht="14.25" x14ac:dyDescent="0.45">
      <c r="B84" s="14" t="s">
        <v>2568</v>
      </c>
      <c r="C84" s="14" t="s">
        <v>43</v>
      </c>
      <c r="D84" s="15" t="s">
        <v>2640</v>
      </c>
      <c r="E84" s="16" t="s">
        <v>2068</v>
      </c>
      <c r="F84" s="14" t="s">
        <v>2637</v>
      </c>
      <c r="G84" s="17"/>
      <c r="H84" s="125" t="str">
        <f>Settings!$B$3&amp;".mit.wm.stl.scr.np.1"</f>
        <v>egy.mit.wm.stl.scr.np.1</v>
      </c>
      <c r="K84" s="136"/>
      <c r="L84" s="137">
        <f>Mitigation_Industry!L$277*Mitigation_Industry!$J$273*MAX(Mitigation_Industry!$J$265,0)*Mitigation_Industry!$F$364/1000</f>
        <v>0.19368983132954593</v>
      </c>
      <c r="M84" s="137">
        <f>Mitigation_Industry!M$277*Mitigation_Industry!$J$273*MAX(Mitigation_Industry!$J$265,0)*Mitigation_Industry!$F$364/1000</f>
        <v>0.20221218390804596</v>
      </c>
      <c r="N84" s="137">
        <f>Mitigation_Industry!N$277*Mitigation_Industry!$J$273*MAX(Mitigation_Industry!$J$265,0)*Mitigation_Industry!$F$364/1000</f>
        <v>0.21110951999999997</v>
      </c>
      <c r="O84" s="137">
        <f>Mitigation_Industry!O$277*Mitigation_Industry!$J$273*MAX(Mitigation_Industry!$J$265,0)*Mitigation_Industry!$F$364/1000</f>
        <v>0.22039833887999999</v>
      </c>
      <c r="P84" s="137">
        <f>Mitigation_Industry!P$277*Mitigation_Industry!$J$273*MAX(Mitigation_Industry!$J$265,0)*Mitigation_Industry!$F$364/1000</f>
        <v>0.23009586579071997</v>
      </c>
      <c r="Q84" s="137">
        <f>Mitigation_Industry!Q$277*Mitigation_Industry!$J$273*MAX(Mitigation_Industry!$J$265,0)*Mitigation_Industry!$F$364/1000</f>
        <v>0.24022008388551169</v>
      </c>
      <c r="R84" s="137">
        <f>Mitigation_Industry!R$277*Mitigation_Industry!$J$273*MAX(Mitigation_Industry!$J$265,0)*Mitigation_Industry!$F$364/1000</f>
        <v>0.25078976757647414</v>
      </c>
      <c r="S84" s="137">
        <f>Mitigation_Industry!S$277*Mitigation_Industry!$J$273*MAX(Mitigation_Industry!$J$265,0)*Mitigation_Industry!$F$364/1000</f>
        <v>0.26182451734983908</v>
      </c>
      <c r="T84" s="137">
        <f>Mitigation_Industry!T$277*Mitigation_Industry!$J$273*MAX(Mitigation_Industry!$J$265,0)*Mitigation_Industry!$F$364/1000</f>
        <v>0.27334479611323198</v>
      </c>
      <c r="U84" s="137">
        <f>Mitigation_Industry!U$277*Mitigation_Industry!$J$273*MAX(Mitigation_Industry!$J$265,0)*Mitigation_Industry!$F$364/1000</f>
        <v>0.28537196714221424</v>
      </c>
      <c r="V84" s="137">
        <f>Mitigation_Industry!V$277*Mitigation_Industry!$J$273*MAX(Mitigation_Industry!$J$265,0)*Mitigation_Industry!$F$364/1000</f>
        <v>0.29792833369647159</v>
      </c>
      <c r="W84" s="137">
        <f>Mitigation_Industry!W$277*Mitigation_Industry!$J$273*MAX(Mitigation_Industry!$J$265,0)*Mitigation_Industry!$F$364/1000</f>
        <v>0.31103718037911643</v>
      </c>
      <c r="X84" s="137">
        <f>Mitigation_Industry!X$277*Mitigation_Industry!$J$273*MAX(Mitigation_Industry!$J$265,0)*Mitigation_Industry!$F$364/1000</f>
        <v>0.32472281631579752</v>
      </c>
      <c r="Y84" s="137">
        <f>Mitigation_Industry!Y$277*Mitigation_Industry!$J$273*MAX(Mitigation_Industry!$J$265,0)*Mitigation_Industry!$F$364/1000</f>
        <v>0.33901062023369266</v>
      </c>
      <c r="Z84" s="137">
        <f>Mitigation_Industry!Z$277*Mitigation_Industry!$J$273*MAX(Mitigation_Industry!$J$265,0)*Mitigation_Industry!$F$364/1000</f>
        <v>0.35392708752397511</v>
      </c>
      <c r="AA84" s="137">
        <f>Mitigation_Industry!AA$277*Mitigation_Industry!$J$273*MAX(Mitigation_Industry!$J$265,0)*Mitigation_Industry!$F$364/1000</f>
        <v>0.36949987937502998</v>
      </c>
      <c r="AB84" s="137">
        <f>Mitigation_Industry!AB$277*Mitigation_Industry!$J$273*MAX(Mitigation_Industry!$J$265,0)*Mitigation_Industry!$F$364/1000</f>
        <v>0.38575787406753137</v>
      </c>
      <c r="AC84" s="137">
        <f>Mitigation_Industry!AC$277*Mitigation_Industry!$J$273*MAX(Mitigation_Industry!$J$265,0)*Mitigation_Industry!$F$364/1000</f>
        <v>0.40273122052650273</v>
      </c>
      <c r="AD84" s="137">
        <f>Mitigation_Industry!AD$277*Mitigation_Industry!$J$273*MAX(Mitigation_Industry!$J$265,0)*Mitigation_Industry!$F$364/1000</f>
        <v>0.42045139422966882</v>
      </c>
      <c r="AE84" s="137">
        <f>Mitigation_Industry!AE$277*Mitigation_Industry!$J$273*MAX(Mitigation_Industry!$J$265,0)*Mitigation_Industry!$F$364/1000</f>
        <v>0.43895125557577425</v>
      </c>
      <c r="AF84" s="138"/>
      <c r="AG84" s="138"/>
      <c r="AH84" s="138"/>
      <c r="AI84" s="138"/>
    </row>
    <row r="85" spans="1:35" customFormat="1" ht="14.25" x14ac:dyDescent="0.45">
      <c r="B85" s="14" t="s">
        <v>2570</v>
      </c>
      <c r="C85" s="14" t="s">
        <v>43</v>
      </c>
      <c r="D85" s="15" t="s">
        <v>2641</v>
      </c>
      <c r="E85" s="16" t="s">
        <v>2068</v>
      </c>
      <c r="F85" s="14" t="s">
        <v>2637</v>
      </c>
      <c r="G85" s="17"/>
      <c r="H85" s="125" t="str">
        <f>Settings!$B$3&amp;".mit.wm.stl.bof.np.1"</f>
        <v>egy.mit.wm.stl.bof.np.1</v>
      </c>
      <c r="K85" s="136"/>
      <c r="L85" s="137">
        <f>Mitigation_Industry!L$278*Mitigation_Industry!$J$273*MAX(Mitigation_Industry!$J$266,0)*Mitigation_Industry!$F$365/1000</f>
        <v>0</v>
      </c>
      <c r="M85" s="137">
        <f>Mitigation_Industry!M$278*Mitigation_Industry!$J$273*MAX(Mitigation_Industry!$J$266,0)*Mitigation_Industry!$F$365/1000</f>
        <v>0</v>
      </c>
      <c r="N85" s="137">
        <f>Mitigation_Industry!N$278*Mitigation_Industry!$J$273*MAX(Mitigation_Industry!$J$266,0)*Mitigation_Industry!$F$365/1000</f>
        <v>0</v>
      </c>
      <c r="O85" s="137">
        <f>Mitigation_Industry!O$278*Mitigation_Industry!$J$273*MAX(Mitigation_Industry!$J$266,0)*Mitigation_Industry!$F$365/1000</f>
        <v>0</v>
      </c>
      <c r="P85" s="137">
        <f>Mitigation_Industry!P$278*Mitigation_Industry!$J$273*MAX(Mitigation_Industry!$J$266,0)*Mitigation_Industry!$F$365/1000</f>
        <v>0</v>
      </c>
      <c r="Q85" s="137">
        <f>Mitigation_Industry!Q$278*Mitigation_Industry!$J$273*MAX(Mitigation_Industry!$J$266,0)*Mitigation_Industry!$F$365/1000</f>
        <v>0</v>
      </c>
      <c r="R85" s="137">
        <f>Mitigation_Industry!R$278*Mitigation_Industry!$J$273*MAX(Mitigation_Industry!$J$266,0)*Mitigation_Industry!$F$365/1000</f>
        <v>0</v>
      </c>
      <c r="S85" s="137">
        <f>Mitigation_Industry!S$278*Mitigation_Industry!$J$273*MAX(Mitigation_Industry!$J$266,0)*Mitigation_Industry!$F$365/1000</f>
        <v>0</v>
      </c>
      <c r="T85" s="137">
        <f>Mitigation_Industry!T$278*Mitigation_Industry!$J$273*MAX(Mitigation_Industry!$J$266,0)*Mitigation_Industry!$F$365/1000</f>
        <v>0</v>
      </c>
      <c r="U85" s="137">
        <f>Mitigation_Industry!U$278*Mitigation_Industry!$J$273*MAX(Mitigation_Industry!$J$266,0)*Mitigation_Industry!$F$365/1000</f>
        <v>0</v>
      </c>
      <c r="V85" s="137">
        <f>Mitigation_Industry!V$278*Mitigation_Industry!$J$273*MAX(Mitigation_Industry!$J$266,0)*Mitigation_Industry!$F$365/1000</f>
        <v>0</v>
      </c>
      <c r="W85" s="137">
        <f>Mitigation_Industry!W$278*Mitigation_Industry!$J$273*MAX(Mitigation_Industry!$J$266,0)*Mitigation_Industry!$F$365/1000</f>
        <v>0</v>
      </c>
      <c r="X85" s="137">
        <f>Mitigation_Industry!X$278*Mitigation_Industry!$J$273*MAX(Mitigation_Industry!$J$266,0)*Mitigation_Industry!$F$365/1000</f>
        <v>0</v>
      </c>
      <c r="Y85" s="137">
        <f>Mitigation_Industry!Y$278*Mitigation_Industry!$J$273*MAX(Mitigation_Industry!$J$266,0)*Mitigation_Industry!$F$365/1000</f>
        <v>0</v>
      </c>
      <c r="Z85" s="137">
        <f>Mitigation_Industry!Z$278*Mitigation_Industry!$J$273*MAX(Mitigation_Industry!$J$266,0)*Mitigation_Industry!$F$365/1000</f>
        <v>0</v>
      </c>
      <c r="AA85" s="137">
        <f>Mitigation_Industry!AA$278*Mitigation_Industry!$J$273*MAX(Mitigation_Industry!$J$266,0)*Mitigation_Industry!$F$365/1000</f>
        <v>0</v>
      </c>
      <c r="AB85" s="137">
        <f>Mitigation_Industry!AB$278*Mitigation_Industry!$J$273*MAX(Mitigation_Industry!$J$266,0)*Mitigation_Industry!$F$365/1000</f>
        <v>0</v>
      </c>
      <c r="AC85" s="137">
        <f>Mitigation_Industry!AC$278*Mitigation_Industry!$J$273*MAX(Mitigation_Industry!$J$266,0)*Mitigation_Industry!$F$365/1000</f>
        <v>0</v>
      </c>
      <c r="AD85" s="137">
        <f>Mitigation_Industry!AD$278*Mitigation_Industry!$J$273*MAX(Mitigation_Industry!$J$266,0)*Mitigation_Industry!$F$365/1000</f>
        <v>0</v>
      </c>
      <c r="AE85" s="137">
        <f>Mitigation_Industry!AE$278*Mitigation_Industry!$J$273*MAX(Mitigation_Industry!$J$266,0)*Mitigation_Industry!$F$365/1000</f>
        <v>0</v>
      </c>
      <c r="AF85" s="138"/>
      <c r="AG85" s="138"/>
      <c r="AH85" s="138"/>
      <c r="AI85" s="138"/>
    </row>
    <row r="86" spans="1:35" customFormat="1" ht="14.25" x14ac:dyDescent="0.45">
      <c r="B86" s="14" t="s">
        <v>2572</v>
      </c>
      <c r="C86" s="14" t="s">
        <v>113</v>
      </c>
      <c r="D86" s="15" t="s">
        <v>2642</v>
      </c>
      <c r="E86" s="16" t="s">
        <v>2068</v>
      </c>
      <c r="F86" s="14" t="s">
        <v>2637</v>
      </c>
      <c r="G86" s="17"/>
      <c r="H86" s="125" t="str">
        <f>Settings!$B$3&amp;".mit.wm.cmt.dry.np.1"</f>
        <v>egy.mit.wm.cmt.dry.np.1</v>
      </c>
      <c r="K86" s="136"/>
      <c r="L86" s="137">
        <f>Mitigation_Industry!L$279*Mitigation_Industry!$J$273*MAX(Mitigation_Industry!$J$267,0)*Mitigation_Industry!$F$366/1000</f>
        <v>25.163138219961041</v>
      </c>
      <c r="M86" s="137">
        <f>Mitigation_Industry!M$279*Mitigation_Industry!$J$273*MAX(Mitigation_Industry!$J$267,0)*Mitigation_Industry!$F$366/1000</f>
        <v>25.993521781219755</v>
      </c>
      <c r="N86" s="137">
        <f>Mitigation_Industry!N$279*Mitigation_Industry!$J$273*MAX(Mitigation_Industry!$J$267,0)*Mitigation_Industry!$F$366/1000</f>
        <v>26.851308</v>
      </c>
      <c r="O86" s="137">
        <f>Mitigation_Industry!O$279*Mitigation_Industry!$J$273*MAX(Mitigation_Industry!$J$267,0)*Mitigation_Industry!$F$366/1000</f>
        <v>27.737401163999998</v>
      </c>
      <c r="P86" s="137">
        <f>Mitigation_Industry!P$279*Mitigation_Industry!$J$273*MAX(Mitigation_Industry!$J$267,0)*Mitigation_Industry!$F$366/1000</f>
        <v>28.652735402411995</v>
      </c>
      <c r="Q86" s="137">
        <f>Mitigation_Industry!Q$279*Mitigation_Industry!$J$273*MAX(Mitigation_Industry!$J$267,0)*Mitigation_Industry!$F$366/1000</f>
        <v>29.598275670691589</v>
      </c>
      <c r="R86" s="137">
        <f>Mitigation_Industry!R$279*Mitigation_Industry!$J$273*MAX(Mitigation_Industry!$J$267,0)*Mitigation_Industry!$F$366/1000</f>
        <v>30.575018767824407</v>
      </c>
      <c r="S86" s="137">
        <f>Mitigation_Industry!S$279*Mitigation_Industry!$J$273*MAX(Mitigation_Industry!$J$267,0)*Mitigation_Industry!$F$366/1000</f>
        <v>31.583994387162612</v>
      </c>
      <c r="T86" s="137">
        <f>Mitigation_Industry!T$279*Mitigation_Industry!$J$273*MAX(Mitigation_Industry!$J$267,0)*Mitigation_Industry!$F$366/1000</f>
        <v>32.626266201938975</v>
      </c>
      <c r="U86" s="137">
        <f>Mitigation_Industry!U$279*Mitigation_Industry!$J$273*MAX(Mitigation_Industry!$J$267,0)*Mitigation_Industry!$F$366/1000</f>
        <v>33.70293298660296</v>
      </c>
      <c r="V86" s="137">
        <f>Mitigation_Industry!V$279*Mitigation_Industry!$J$273*MAX(Mitigation_Industry!$J$267,0)*Mitigation_Industry!$F$366/1000</f>
        <v>34.815129775160841</v>
      </c>
      <c r="W86" s="137">
        <f>Mitigation_Industry!W$279*Mitigation_Industry!$J$273*MAX(Mitigation_Industry!$J$267,0)*Mitigation_Industry!$F$366/1000</f>
        <v>35.964029057741151</v>
      </c>
      <c r="X86" s="137">
        <f>Mitigation_Industry!X$279*Mitigation_Industry!$J$273*MAX(Mitigation_Industry!$J$267,0)*Mitigation_Industry!$F$366/1000</f>
        <v>37.150842016646592</v>
      </c>
      <c r="Y86" s="137">
        <f>Mitigation_Industry!Y$279*Mitigation_Industry!$J$273*MAX(Mitigation_Industry!$J$267,0)*Mitigation_Industry!$F$366/1000</f>
        <v>38.376819803195943</v>
      </c>
      <c r="Z86" s="137">
        <f>Mitigation_Industry!Z$279*Mitigation_Industry!$J$273*MAX(Mitigation_Industry!$J$267,0)*Mitigation_Industry!$F$366/1000</f>
        <v>39.643254856701404</v>
      </c>
      <c r="AA86" s="137">
        <f>Mitigation_Industry!AA$279*Mitigation_Industry!$J$273*MAX(Mitigation_Industry!$J$267,0)*Mitigation_Industry!$F$366/1000</f>
        <v>40.951482266972548</v>
      </c>
      <c r="AB86" s="137">
        <f>Mitigation_Industry!AB$279*Mitigation_Industry!$J$273*MAX(Mitigation_Industry!$J$267,0)*Mitigation_Industry!$F$366/1000</f>
        <v>42.302881181782631</v>
      </c>
      <c r="AC86" s="137">
        <f>Mitigation_Industry!AC$279*Mitigation_Industry!$J$273*MAX(Mitigation_Industry!$J$267,0)*Mitigation_Industry!$F$366/1000</f>
        <v>43.698876260781446</v>
      </c>
      <c r="AD86" s="137">
        <f>Mitigation_Industry!AD$279*Mitigation_Industry!$J$273*MAX(Mitigation_Industry!$J$267,0)*Mitigation_Industry!$F$366/1000</f>
        <v>45.140939177387231</v>
      </c>
      <c r="AE86" s="137">
        <f>Mitigation_Industry!AE$279*Mitigation_Industry!$J$273*MAX(Mitigation_Industry!$J$267,0)*Mitigation_Industry!$F$366/1000</f>
        <v>46.630590170241007</v>
      </c>
      <c r="AF86" s="138"/>
      <c r="AG86" s="138"/>
      <c r="AH86" s="138"/>
      <c r="AI86" s="138"/>
    </row>
    <row r="87" spans="1:35" customFormat="1" ht="14.25" x14ac:dyDescent="0.45">
      <c r="B87" s="14" t="s">
        <v>2574</v>
      </c>
      <c r="C87" s="14" t="s">
        <v>117</v>
      </c>
      <c r="D87" s="15" t="s">
        <v>2643</v>
      </c>
      <c r="E87" s="16" t="s">
        <v>2068</v>
      </c>
      <c r="F87" s="14" t="s">
        <v>2637</v>
      </c>
      <c r="G87" s="17"/>
      <c r="H87" s="125" t="str">
        <f>Settings!$B$3&amp;".mit.wm.frt.amc.np.1"</f>
        <v>egy.mit.wm.frt.amc.np.1</v>
      </c>
      <c r="K87" s="136"/>
      <c r="L87" s="137">
        <f>Mitigation_Industry!L$280*Mitigation_Industry!$J$273*MAX(Mitigation_Industry!$J$268,0)*Mitigation_Industry!$F$367/1000</f>
        <v>0</v>
      </c>
      <c r="M87" s="137">
        <f>Mitigation_Industry!M$280*Mitigation_Industry!$J$273*MAX(Mitigation_Industry!$J$268,0)*Mitigation_Industry!$F$367/1000</f>
        <v>0</v>
      </c>
      <c r="N87" s="137">
        <f>Mitigation_Industry!N$280*Mitigation_Industry!$J$273*MAX(Mitigation_Industry!$J$268,0)*Mitigation_Industry!$F$367/1000</f>
        <v>0</v>
      </c>
      <c r="O87" s="137">
        <f>Mitigation_Industry!O$280*Mitigation_Industry!$J$273*MAX(Mitigation_Industry!$J$268,0)*Mitigation_Industry!$F$367/1000</f>
        <v>0</v>
      </c>
      <c r="P87" s="137">
        <f>Mitigation_Industry!P$280*Mitigation_Industry!$J$273*MAX(Mitigation_Industry!$J$268,0)*Mitigation_Industry!$F$367/1000</f>
        <v>0</v>
      </c>
      <c r="Q87" s="137">
        <f>Mitigation_Industry!Q$280*Mitigation_Industry!$J$273*MAX(Mitigation_Industry!$J$268,0)*Mitigation_Industry!$F$367/1000</f>
        <v>0</v>
      </c>
      <c r="R87" s="137">
        <f>Mitigation_Industry!R$280*Mitigation_Industry!$J$273*MAX(Mitigation_Industry!$J$268,0)*Mitigation_Industry!$F$367/1000</f>
        <v>0</v>
      </c>
      <c r="S87" s="137">
        <f>Mitigation_Industry!S$280*Mitigation_Industry!$J$273*MAX(Mitigation_Industry!$J$268,0)*Mitigation_Industry!$F$367/1000</f>
        <v>0</v>
      </c>
      <c r="T87" s="137">
        <f>Mitigation_Industry!T$280*Mitigation_Industry!$J$273*MAX(Mitigation_Industry!$J$268,0)*Mitigation_Industry!$F$367/1000</f>
        <v>0</v>
      </c>
      <c r="U87" s="137">
        <f>Mitigation_Industry!U$280*Mitigation_Industry!$J$273*MAX(Mitigation_Industry!$J$268,0)*Mitigation_Industry!$F$367/1000</f>
        <v>0</v>
      </c>
      <c r="V87" s="137">
        <f>Mitigation_Industry!V$280*Mitigation_Industry!$J$273*MAX(Mitigation_Industry!$J$268,0)*Mitigation_Industry!$F$367/1000</f>
        <v>0</v>
      </c>
      <c r="W87" s="137">
        <f>Mitigation_Industry!W$280*Mitigation_Industry!$J$273*MAX(Mitigation_Industry!$J$268,0)*Mitigation_Industry!$F$367/1000</f>
        <v>0</v>
      </c>
      <c r="X87" s="137">
        <f>Mitigation_Industry!X$280*Mitigation_Industry!$J$273*MAX(Mitigation_Industry!$J$268,0)*Mitigation_Industry!$F$367/1000</f>
        <v>0</v>
      </c>
      <c r="Y87" s="137">
        <f>Mitigation_Industry!Y$280*Mitigation_Industry!$J$273*MAX(Mitigation_Industry!$J$268,0)*Mitigation_Industry!$F$367/1000</f>
        <v>0</v>
      </c>
      <c r="Z87" s="137">
        <f>Mitigation_Industry!Z$280*Mitigation_Industry!$J$273*MAX(Mitigation_Industry!$J$268,0)*Mitigation_Industry!$F$367/1000</f>
        <v>0</v>
      </c>
      <c r="AA87" s="137">
        <f>Mitigation_Industry!AA$280*Mitigation_Industry!$J$273*MAX(Mitigation_Industry!$J$268,0)*Mitigation_Industry!$F$367/1000</f>
        <v>0</v>
      </c>
      <c r="AB87" s="137">
        <f>Mitigation_Industry!AB$280*Mitigation_Industry!$J$273*MAX(Mitigation_Industry!$J$268,0)*Mitigation_Industry!$F$367/1000</f>
        <v>0</v>
      </c>
      <c r="AC87" s="137">
        <f>Mitigation_Industry!AC$280*Mitigation_Industry!$J$273*MAX(Mitigation_Industry!$J$268,0)*Mitigation_Industry!$F$367/1000</f>
        <v>0</v>
      </c>
      <c r="AD87" s="137">
        <f>Mitigation_Industry!AD$280*Mitigation_Industry!$J$273*MAX(Mitigation_Industry!$J$268,0)*Mitigation_Industry!$F$367/1000</f>
        <v>0</v>
      </c>
      <c r="AE87" s="137">
        <f>Mitigation_Industry!AE$280*Mitigation_Industry!$J$273*MAX(Mitigation_Industry!$J$268,0)*Mitigation_Industry!$F$367/1000</f>
        <v>0</v>
      </c>
      <c r="AF87" s="138"/>
      <c r="AG87" s="138"/>
      <c r="AH87" s="138"/>
      <c r="AI87" s="138"/>
    </row>
    <row r="88" spans="1:35" customFormat="1" ht="14.25" x14ac:dyDescent="0.45">
      <c r="B88" s="14" t="s">
        <v>2576</v>
      </c>
      <c r="C88" s="14" t="s">
        <v>117</v>
      </c>
      <c r="D88" s="15" t="s">
        <v>2644</v>
      </c>
      <c r="E88" s="16" t="s">
        <v>2068</v>
      </c>
      <c r="F88" s="14" t="s">
        <v>2637</v>
      </c>
      <c r="G88" s="17"/>
      <c r="H88" s="125" t="str">
        <f>Settings!$B$3&amp;".mit.wm.frt.ure.np.1"</f>
        <v>egy.mit.wm.frt.ure.np.1</v>
      </c>
      <c r="K88" s="136"/>
      <c r="L88" s="137">
        <f>Mitigation_Industry!L$281*Mitigation_Industry!$J$273*MAX(Mitigation_Industry!$J$269,0)*Mitigation_Industry!$F$368/1000</f>
        <v>0</v>
      </c>
      <c r="M88" s="137">
        <f>Mitigation_Industry!M$281*Mitigation_Industry!$J$273*MAX(Mitigation_Industry!$J$269,0)*Mitigation_Industry!$F$368/1000</f>
        <v>0</v>
      </c>
      <c r="N88" s="137">
        <f>Mitigation_Industry!N$281*Mitigation_Industry!$J$273*MAX(Mitigation_Industry!$J$269,0)*Mitigation_Industry!$F$368/1000</f>
        <v>0</v>
      </c>
      <c r="O88" s="137">
        <f>Mitigation_Industry!O$281*Mitigation_Industry!$J$273*MAX(Mitigation_Industry!$J$269,0)*Mitigation_Industry!$F$368/1000</f>
        <v>0</v>
      </c>
      <c r="P88" s="137">
        <f>Mitigation_Industry!P$281*Mitigation_Industry!$J$273*MAX(Mitigation_Industry!$J$269,0)*Mitigation_Industry!$F$368/1000</f>
        <v>0</v>
      </c>
      <c r="Q88" s="137">
        <f>Mitigation_Industry!Q$281*Mitigation_Industry!$J$273*MAX(Mitigation_Industry!$J$269,0)*Mitigation_Industry!$F$368/1000</f>
        <v>0</v>
      </c>
      <c r="R88" s="137">
        <f>Mitigation_Industry!R$281*Mitigation_Industry!$J$273*MAX(Mitigation_Industry!$J$269,0)*Mitigation_Industry!$F$368/1000</f>
        <v>0</v>
      </c>
      <c r="S88" s="137">
        <f>Mitigation_Industry!S$281*Mitigation_Industry!$J$273*MAX(Mitigation_Industry!$J$269,0)*Mitigation_Industry!$F$368/1000</f>
        <v>0</v>
      </c>
      <c r="T88" s="137">
        <f>Mitigation_Industry!T$281*Mitigation_Industry!$J$273*MAX(Mitigation_Industry!$J$269,0)*Mitigation_Industry!$F$368/1000</f>
        <v>0</v>
      </c>
      <c r="U88" s="137">
        <f>Mitigation_Industry!U$281*Mitigation_Industry!$J$273*MAX(Mitigation_Industry!$J$269,0)*Mitigation_Industry!$F$368/1000</f>
        <v>0</v>
      </c>
      <c r="V88" s="137">
        <f>Mitigation_Industry!V$281*Mitigation_Industry!$J$273*MAX(Mitigation_Industry!$J$269,0)*Mitigation_Industry!$F$368/1000</f>
        <v>0</v>
      </c>
      <c r="W88" s="137">
        <f>Mitigation_Industry!W$281*Mitigation_Industry!$J$273*MAX(Mitigation_Industry!$J$269,0)*Mitigation_Industry!$F$368/1000</f>
        <v>0</v>
      </c>
      <c r="X88" s="137">
        <f>Mitigation_Industry!X$281*Mitigation_Industry!$J$273*MAX(Mitigation_Industry!$J$269,0)*Mitigation_Industry!$F$368/1000</f>
        <v>0</v>
      </c>
      <c r="Y88" s="137">
        <f>Mitigation_Industry!Y$281*Mitigation_Industry!$J$273*MAX(Mitigation_Industry!$J$269,0)*Mitigation_Industry!$F$368/1000</f>
        <v>0</v>
      </c>
      <c r="Z88" s="137">
        <f>Mitigation_Industry!Z$281*Mitigation_Industry!$J$273*MAX(Mitigation_Industry!$J$269,0)*Mitigation_Industry!$F$368/1000</f>
        <v>0</v>
      </c>
      <c r="AA88" s="137">
        <f>Mitigation_Industry!AA$281*Mitigation_Industry!$J$273*MAX(Mitigation_Industry!$J$269,0)*Mitigation_Industry!$F$368/1000</f>
        <v>0</v>
      </c>
      <c r="AB88" s="137">
        <f>Mitigation_Industry!AB$281*Mitigation_Industry!$J$273*MAX(Mitigation_Industry!$J$269,0)*Mitigation_Industry!$F$368/1000</f>
        <v>0</v>
      </c>
      <c r="AC88" s="137">
        <f>Mitigation_Industry!AC$281*Mitigation_Industry!$J$273*MAX(Mitigation_Industry!$J$269,0)*Mitigation_Industry!$F$368/1000</f>
        <v>0</v>
      </c>
      <c r="AD88" s="137">
        <f>Mitigation_Industry!AD$281*Mitigation_Industry!$J$273*MAX(Mitigation_Industry!$J$269,0)*Mitigation_Industry!$F$368/1000</f>
        <v>0</v>
      </c>
      <c r="AE88" s="137">
        <f>Mitigation_Industry!AE$281*Mitigation_Industry!$J$273*MAX(Mitigation_Industry!$J$269,0)*Mitigation_Industry!$F$368/1000</f>
        <v>0</v>
      </c>
      <c r="AF88" s="138"/>
      <c r="AG88" s="138"/>
      <c r="AH88" s="138"/>
      <c r="AI88" s="138"/>
    </row>
    <row r="89" spans="1:35" customFormat="1" ht="14.25" x14ac:dyDescent="0.45">
      <c r="B89" s="14" t="s">
        <v>2578</v>
      </c>
      <c r="C89" s="14" t="s">
        <v>117</v>
      </c>
      <c r="D89" s="15" t="s">
        <v>2645</v>
      </c>
      <c r="E89" s="16" t="s">
        <v>2068</v>
      </c>
      <c r="F89" s="14" t="s">
        <v>2637</v>
      </c>
      <c r="G89" s="17"/>
      <c r="H89" s="125" t="str">
        <f>Settings!$B$3&amp;".mit.wm.frt.nit.np.1"</f>
        <v>egy.mit.wm.frt.nit.np.1</v>
      </c>
      <c r="K89" s="136"/>
      <c r="L89" s="137">
        <f>Mitigation_Industry!L$282*Mitigation_Industry!$J$273*MAX(Mitigation_Industry!$J$270,0)*Mitigation_Industry!$F$369/1000</f>
        <v>0</v>
      </c>
      <c r="M89" s="137">
        <f>Mitigation_Industry!M$282*Mitigation_Industry!$J$273*MAX(Mitigation_Industry!$J$270,0)*Mitigation_Industry!$F$369/1000</f>
        <v>0</v>
      </c>
      <c r="N89" s="137">
        <f>Mitigation_Industry!N$282*Mitigation_Industry!$J$273*MAX(Mitigation_Industry!$J$270,0)*Mitigation_Industry!$F$369/1000</f>
        <v>0</v>
      </c>
      <c r="O89" s="137">
        <f>Mitigation_Industry!O$282*Mitigation_Industry!$J$273*MAX(Mitigation_Industry!$J$270,0)*Mitigation_Industry!$F$369/1000</f>
        <v>0</v>
      </c>
      <c r="P89" s="137">
        <f>Mitigation_Industry!P$282*Mitigation_Industry!$J$273*MAX(Mitigation_Industry!$J$270,0)*Mitigation_Industry!$F$369/1000</f>
        <v>0</v>
      </c>
      <c r="Q89" s="137">
        <f>Mitigation_Industry!Q$282*Mitigation_Industry!$J$273*MAX(Mitigation_Industry!$J$270,0)*Mitigation_Industry!$F$369/1000</f>
        <v>0</v>
      </c>
      <c r="R89" s="137">
        <f>Mitigation_Industry!R$282*Mitigation_Industry!$J$273*MAX(Mitigation_Industry!$J$270,0)*Mitigation_Industry!$F$369/1000</f>
        <v>0</v>
      </c>
      <c r="S89" s="137">
        <f>Mitigation_Industry!S$282*Mitigation_Industry!$J$273*MAX(Mitigation_Industry!$J$270,0)*Mitigation_Industry!$F$369/1000</f>
        <v>0</v>
      </c>
      <c r="T89" s="137">
        <f>Mitigation_Industry!T$282*Mitigation_Industry!$J$273*MAX(Mitigation_Industry!$J$270,0)*Mitigation_Industry!$F$369/1000</f>
        <v>0</v>
      </c>
      <c r="U89" s="137">
        <f>Mitigation_Industry!U$282*Mitigation_Industry!$J$273*MAX(Mitigation_Industry!$J$270,0)*Mitigation_Industry!$F$369/1000</f>
        <v>0</v>
      </c>
      <c r="V89" s="137">
        <f>Mitigation_Industry!V$282*Mitigation_Industry!$J$273*MAX(Mitigation_Industry!$J$270,0)*Mitigation_Industry!$F$369/1000</f>
        <v>0</v>
      </c>
      <c r="W89" s="137">
        <f>Mitigation_Industry!W$282*Mitigation_Industry!$J$273*MAX(Mitigation_Industry!$J$270,0)*Mitigation_Industry!$F$369/1000</f>
        <v>0</v>
      </c>
      <c r="X89" s="137">
        <f>Mitigation_Industry!X$282*Mitigation_Industry!$J$273*MAX(Mitigation_Industry!$J$270,0)*Mitigation_Industry!$F$369/1000</f>
        <v>0</v>
      </c>
      <c r="Y89" s="137">
        <f>Mitigation_Industry!Y$282*Mitigation_Industry!$J$273*MAX(Mitigation_Industry!$J$270,0)*Mitigation_Industry!$F$369/1000</f>
        <v>0</v>
      </c>
      <c r="Z89" s="137">
        <f>Mitigation_Industry!Z$282*Mitigation_Industry!$J$273*MAX(Mitigation_Industry!$J$270,0)*Mitigation_Industry!$F$369/1000</f>
        <v>0</v>
      </c>
      <c r="AA89" s="137">
        <f>Mitigation_Industry!AA$282*Mitigation_Industry!$J$273*MAX(Mitigation_Industry!$J$270,0)*Mitigation_Industry!$F$369/1000</f>
        <v>0</v>
      </c>
      <c r="AB89" s="137">
        <f>Mitigation_Industry!AB$282*Mitigation_Industry!$J$273*MAX(Mitigation_Industry!$J$270,0)*Mitigation_Industry!$F$369/1000</f>
        <v>0</v>
      </c>
      <c r="AC89" s="137">
        <f>Mitigation_Industry!AC$282*Mitigation_Industry!$J$273*MAX(Mitigation_Industry!$J$270,0)*Mitigation_Industry!$F$369/1000</f>
        <v>0</v>
      </c>
      <c r="AD89" s="137">
        <f>Mitigation_Industry!AD$282*Mitigation_Industry!$J$273*MAX(Mitigation_Industry!$J$270,0)*Mitigation_Industry!$F$369/1000</f>
        <v>0</v>
      </c>
      <c r="AE89" s="137">
        <f>Mitigation_Industry!AE$282*Mitigation_Industry!$J$273*MAX(Mitigation_Industry!$J$270,0)*Mitigation_Industry!$F$369/1000</f>
        <v>0</v>
      </c>
      <c r="AF89" s="138"/>
      <c r="AG89" s="138"/>
      <c r="AH89" s="138"/>
      <c r="AI89" s="138"/>
    </row>
    <row r="90" spans="1:35" customFormat="1" ht="14.25" x14ac:dyDescent="0.45">
      <c r="B90" s="14" t="s">
        <v>2580</v>
      </c>
      <c r="C90" s="14" t="s">
        <v>115</v>
      </c>
      <c r="D90" s="15" t="s">
        <v>2646</v>
      </c>
      <c r="E90" s="16" t="s">
        <v>2068</v>
      </c>
      <c r="F90" s="14" t="s">
        <v>2637</v>
      </c>
      <c r="G90" s="17"/>
      <c r="H90" s="125" t="str">
        <f>Settings!$B$3&amp;".mit.wm.alu.prp.np.1"</f>
        <v>egy.mit.wm.alu.prp.np.1</v>
      </c>
      <c r="K90" s="136"/>
      <c r="L90" s="137">
        <f>Mitigation_Industry!L$283*Mitigation_Industry!$J$273*MAX(Mitigation_Industry!$J$271,0)*Mitigation_Industry!$F$370/1000</f>
        <v>0.43758937310482698</v>
      </c>
      <c r="M90" s="137">
        <f>Mitigation_Industry!M$283*Mitigation_Industry!$J$273*MAX(Mitigation_Industry!$J$271,0)*Mitigation_Industry!$F$370/1000</f>
        <v>0.4616567886255924</v>
      </c>
      <c r="N90" s="137">
        <f>Mitigation_Industry!N$283*Mitigation_Industry!$J$273*MAX(Mitigation_Industry!$J$271,0)*Mitigation_Industry!$F$370/1000</f>
        <v>0.48704791199999997</v>
      </c>
      <c r="O90" s="137">
        <f>Mitigation_Industry!O$283*Mitigation_Industry!$J$273*MAX(Mitigation_Industry!$J$271,0)*Mitigation_Industry!$F$370/1000</f>
        <v>0.51383554716000002</v>
      </c>
      <c r="P90" s="137">
        <f>Mitigation_Industry!P$283*Mitigation_Industry!$J$273*MAX(Mitigation_Industry!$J$271,0)*Mitigation_Industry!$F$370/1000</f>
        <v>0.54209650225379991</v>
      </c>
      <c r="Q90" s="137">
        <f>Mitigation_Industry!Q$283*Mitigation_Industry!$J$273*MAX(Mitigation_Industry!$J$271,0)*Mitigation_Industry!$F$370/1000</f>
        <v>0.5719118098777588</v>
      </c>
      <c r="R90" s="137">
        <f>Mitigation_Industry!R$283*Mitigation_Industry!$J$273*MAX(Mitigation_Industry!$J$271,0)*Mitigation_Industry!$F$370/1000</f>
        <v>0.6033669594210358</v>
      </c>
      <c r="S90" s="137">
        <f>Mitigation_Industry!S$283*Mitigation_Industry!$J$273*MAX(Mitigation_Industry!$J$271,0)*Mitigation_Industry!$F$370/1000</f>
        <v>0.63655214218919254</v>
      </c>
      <c r="T90" s="137">
        <f>Mitigation_Industry!T$283*Mitigation_Industry!$J$273*MAX(Mitigation_Industry!$J$271,0)*Mitigation_Industry!$F$370/1000</f>
        <v>0.6715625100095981</v>
      </c>
      <c r="U90" s="137">
        <f>Mitigation_Industry!U$283*Mitigation_Industry!$J$273*MAX(Mitigation_Industry!$J$271,0)*Mitigation_Industry!$F$370/1000</f>
        <v>0.70849844806012596</v>
      </c>
      <c r="V90" s="137">
        <f>Mitigation_Industry!V$283*Mitigation_Industry!$J$273*MAX(Mitigation_Industry!$J$271,0)*Mitigation_Industry!$F$370/1000</f>
        <v>0.74746586270343296</v>
      </c>
      <c r="W90" s="137">
        <f>Mitigation_Industry!W$283*Mitigation_Industry!$J$273*MAX(Mitigation_Industry!$J$271,0)*Mitigation_Industry!$F$370/1000</f>
        <v>0.78857648515212175</v>
      </c>
      <c r="X90" s="137">
        <f>Mitigation_Industry!X$283*Mitigation_Industry!$J$273*MAX(Mitigation_Industry!$J$271,0)*Mitigation_Industry!$F$370/1000</f>
        <v>0.83194819183548852</v>
      </c>
      <c r="Y90" s="137">
        <f>Mitigation_Industry!Y$283*Mitigation_Industry!$J$273*MAX(Mitigation_Industry!$J$271,0)*Mitigation_Industry!$F$370/1000</f>
        <v>0.87770534238644027</v>
      </c>
      <c r="Z90" s="137">
        <f>Mitigation_Industry!Z$283*Mitigation_Industry!$J$273*MAX(Mitigation_Industry!$J$271,0)*Mitigation_Industry!$F$370/1000</f>
        <v>0.92597913621769457</v>
      </c>
      <c r="AA90" s="137">
        <f>Mitigation_Industry!AA$283*Mitigation_Industry!$J$273*MAX(Mitigation_Industry!$J$271,0)*Mitigation_Industry!$F$370/1000</f>
        <v>0.97690798870966755</v>
      </c>
      <c r="AB90" s="137">
        <f>Mitigation_Industry!AB$283*Mitigation_Industry!$J$273*MAX(Mitigation_Industry!$J$271,0)*Mitigation_Industry!$F$370/1000</f>
        <v>1.0306379280886993</v>
      </c>
      <c r="AC90" s="137">
        <f>Mitigation_Industry!AC$283*Mitigation_Industry!$J$273*MAX(Mitigation_Industry!$J$271,0)*Mitigation_Industry!$F$370/1000</f>
        <v>1.0873230141335775</v>
      </c>
      <c r="AD90" s="137">
        <f>Mitigation_Industry!AD$283*Mitigation_Industry!$J$273*MAX(Mitigation_Industry!$J$271,0)*Mitigation_Industry!$F$370/1000</f>
        <v>1.1471257799109245</v>
      </c>
      <c r="AE90" s="137">
        <f>Mitigation_Industry!AE$283*Mitigation_Industry!$J$273*MAX(Mitigation_Industry!$J$271,0)*Mitigation_Industry!$F$370/1000</f>
        <v>1.2102176978060251</v>
      </c>
      <c r="AF90" s="138"/>
      <c r="AG90" s="138"/>
      <c r="AH90" s="138"/>
      <c r="AI90" s="138"/>
    </row>
    <row r="91" spans="1:35" customFormat="1" ht="14.25" x14ac:dyDescent="0.45">
      <c r="B91" s="14" t="s">
        <v>2582</v>
      </c>
      <c r="C91" s="14" t="s">
        <v>43</v>
      </c>
      <c r="D91" s="15" t="s">
        <v>2647</v>
      </c>
      <c r="E91" s="16" t="s">
        <v>2068</v>
      </c>
      <c r="F91" s="14" t="s">
        <v>2637</v>
      </c>
      <c r="G91" s="17"/>
      <c r="H91" s="125" t="str">
        <f>Settings!$B$3&amp;".mit.wm.stl.drg.no.1"</f>
        <v>egy.mit.wm.stl.drg.no.1</v>
      </c>
      <c r="K91" s="136"/>
      <c r="L91" s="137">
        <f>Mitigation_Industry!L$276*Mitigation_Industry!$K$273*MAX(Mitigation_Industry!$K$264,0)*Mitigation_Industry!$H$363/1000</f>
        <v>0</v>
      </c>
      <c r="M91" s="137">
        <f>Mitigation_Industry!M$276*Mitigation_Industry!$K$273*MAX(Mitigation_Industry!$K$264,0)*Mitigation_Industry!$H$363/1000</f>
        <v>0</v>
      </c>
      <c r="N91" s="137">
        <f>Mitigation_Industry!N$276*Mitigation_Industry!$K$273*MAX(Mitigation_Industry!$K$264,0)*Mitigation_Industry!$H$363/1000</f>
        <v>0</v>
      </c>
      <c r="O91" s="137">
        <f>Mitigation_Industry!O$276*Mitigation_Industry!$K$273*MAX(Mitigation_Industry!$K$264,0)*Mitigation_Industry!$H$363/1000</f>
        <v>0</v>
      </c>
      <c r="P91" s="137">
        <f>Mitigation_Industry!P$276*Mitigation_Industry!$K$273*MAX(Mitigation_Industry!$K$264,0)*Mitigation_Industry!$H$363/1000</f>
        <v>0</v>
      </c>
      <c r="Q91" s="137">
        <f>Mitigation_Industry!Q$276*Mitigation_Industry!$K$273*MAX(Mitigation_Industry!$K$264,0)*Mitigation_Industry!$H$363/1000</f>
        <v>0</v>
      </c>
      <c r="R91" s="137">
        <f>Mitigation_Industry!R$276*Mitigation_Industry!$K$273*MAX(Mitigation_Industry!$K$264,0)*Mitigation_Industry!$H$363/1000</f>
        <v>0</v>
      </c>
      <c r="S91" s="137">
        <f>Mitigation_Industry!S$276*Mitigation_Industry!$K$273*MAX(Mitigation_Industry!$K$264,0)*Mitigation_Industry!$H$363/1000</f>
        <v>0</v>
      </c>
      <c r="T91" s="137">
        <f>Mitigation_Industry!T$276*Mitigation_Industry!$K$273*MAX(Mitigation_Industry!$K$264,0)*Mitigation_Industry!$H$363/1000</f>
        <v>0</v>
      </c>
      <c r="U91" s="137">
        <f>Mitigation_Industry!U$276*Mitigation_Industry!$K$273*MAX(Mitigation_Industry!$K$264,0)*Mitigation_Industry!$H$363/1000</f>
        <v>0</v>
      </c>
      <c r="V91" s="137">
        <f>Mitigation_Industry!V$276*Mitigation_Industry!$K$273*MAX(Mitigation_Industry!$K$264,0)*Mitigation_Industry!$H$363/1000</f>
        <v>0</v>
      </c>
      <c r="W91" s="137">
        <f>Mitigation_Industry!W$276*Mitigation_Industry!$K$273*MAX(Mitigation_Industry!$K$264,0)*Mitigation_Industry!$H$363/1000</f>
        <v>0</v>
      </c>
      <c r="X91" s="137">
        <f>Mitigation_Industry!X$276*Mitigation_Industry!$K$273*MAX(Mitigation_Industry!$K$264,0)*Mitigation_Industry!$H$363/1000</f>
        <v>0</v>
      </c>
      <c r="Y91" s="137">
        <f>Mitigation_Industry!Y$276*Mitigation_Industry!$K$273*MAX(Mitigation_Industry!$K$264,0)*Mitigation_Industry!$H$363/1000</f>
        <v>0</v>
      </c>
      <c r="Z91" s="137">
        <f>Mitigation_Industry!Z$276*Mitigation_Industry!$K$273*MAX(Mitigation_Industry!$K$264,0)*Mitigation_Industry!$H$363/1000</f>
        <v>0</v>
      </c>
      <c r="AA91" s="137">
        <f>Mitigation_Industry!AA$276*Mitigation_Industry!$K$273*MAX(Mitigation_Industry!$K$264,0)*Mitigation_Industry!$H$363/1000</f>
        <v>0</v>
      </c>
      <c r="AB91" s="137">
        <f>Mitigation_Industry!AB$276*Mitigation_Industry!$K$273*MAX(Mitigation_Industry!$K$264,0)*Mitigation_Industry!$H$363/1000</f>
        <v>0</v>
      </c>
      <c r="AC91" s="137">
        <f>Mitigation_Industry!AC$276*Mitigation_Industry!$K$273*MAX(Mitigation_Industry!$K$264,0)*Mitigation_Industry!$H$363/1000</f>
        <v>0</v>
      </c>
      <c r="AD91" s="137">
        <f>Mitigation_Industry!AD$276*Mitigation_Industry!$K$273*MAX(Mitigation_Industry!$K$264,0)*Mitigation_Industry!$H$363/1000</f>
        <v>0</v>
      </c>
      <c r="AE91" s="137">
        <f>Mitigation_Industry!AE$276*Mitigation_Industry!$K$273*MAX(Mitigation_Industry!$K$264,0)*Mitigation_Industry!$H$363/1000</f>
        <v>0</v>
      </c>
      <c r="AF91" s="138"/>
      <c r="AG91" s="138"/>
      <c r="AH91" s="138"/>
      <c r="AI91" s="138"/>
    </row>
    <row r="92" spans="1:35" customFormat="1" ht="14.25" x14ac:dyDescent="0.45">
      <c r="B92" s="14" t="s">
        <v>2584</v>
      </c>
      <c r="C92" s="14" t="s">
        <v>43</v>
      </c>
      <c r="D92" s="15" t="s">
        <v>2648</v>
      </c>
      <c r="E92" s="16" t="s">
        <v>2068</v>
      </c>
      <c r="F92" s="14" t="s">
        <v>2637</v>
      </c>
      <c r="G92" s="17"/>
      <c r="H92" s="125" t="str">
        <f>Settings!$B$3&amp;".mit.wm.stl.scr.no.1"</f>
        <v>egy.mit.wm.stl.scr.no.1</v>
      </c>
      <c r="K92" s="136"/>
      <c r="L92" s="137">
        <f>Mitigation_Industry!L$277*Mitigation_Industry!$K$273*MAX(Mitigation_Industry!$K$265,0)*Mitigation_Industry!$H$364/1000</f>
        <v>0</v>
      </c>
      <c r="M92" s="137">
        <f>Mitigation_Industry!M$277*Mitigation_Industry!$K$273*MAX(Mitigation_Industry!$K$265,0)*Mitigation_Industry!$H$364/1000</f>
        <v>0</v>
      </c>
      <c r="N92" s="137">
        <f>Mitigation_Industry!N$277*Mitigation_Industry!$K$273*MAX(Mitigation_Industry!$K$265,0)*Mitigation_Industry!$H$364/1000</f>
        <v>0</v>
      </c>
      <c r="O92" s="137">
        <f>Mitigation_Industry!O$277*Mitigation_Industry!$K$273*MAX(Mitigation_Industry!$K$265,0)*Mitigation_Industry!$H$364/1000</f>
        <v>0</v>
      </c>
      <c r="P92" s="137">
        <f>Mitigation_Industry!P$277*Mitigation_Industry!$K$273*MAX(Mitigation_Industry!$K$265,0)*Mitigation_Industry!$H$364/1000</f>
        <v>0</v>
      </c>
      <c r="Q92" s="137">
        <f>Mitigation_Industry!Q$277*Mitigation_Industry!$K$273*MAX(Mitigation_Industry!$K$265,0)*Mitigation_Industry!$H$364/1000</f>
        <v>0</v>
      </c>
      <c r="R92" s="137">
        <f>Mitigation_Industry!R$277*Mitigation_Industry!$K$273*MAX(Mitigation_Industry!$K$265,0)*Mitigation_Industry!$H$364/1000</f>
        <v>0</v>
      </c>
      <c r="S92" s="137">
        <f>Mitigation_Industry!S$277*Mitigation_Industry!$K$273*MAX(Mitigation_Industry!$K$265,0)*Mitigation_Industry!$H$364/1000</f>
        <v>0</v>
      </c>
      <c r="T92" s="137">
        <f>Mitigation_Industry!T$277*Mitigation_Industry!$K$273*MAX(Mitigation_Industry!$K$265,0)*Mitigation_Industry!$H$364/1000</f>
        <v>0</v>
      </c>
      <c r="U92" s="137">
        <f>Mitigation_Industry!U$277*Mitigation_Industry!$K$273*MAX(Mitigation_Industry!$K$265,0)*Mitigation_Industry!$H$364/1000</f>
        <v>0</v>
      </c>
      <c r="V92" s="137">
        <f>Mitigation_Industry!V$277*Mitigation_Industry!$K$273*MAX(Mitigation_Industry!$K$265,0)*Mitigation_Industry!$H$364/1000</f>
        <v>0</v>
      </c>
      <c r="W92" s="137">
        <f>Mitigation_Industry!W$277*Mitigation_Industry!$K$273*MAX(Mitigation_Industry!$K$265,0)*Mitigation_Industry!$H$364/1000</f>
        <v>0</v>
      </c>
      <c r="X92" s="137">
        <f>Mitigation_Industry!X$277*Mitigation_Industry!$K$273*MAX(Mitigation_Industry!$K$265,0)*Mitigation_Industry!$H$364/1000</f>
        <v>0</v>
      </c>
      <c r="Y92" s="137">
        <f>Mitigation_Industry!Y$277*Mitigation_Industry!$K$273*MAX(Mitigation_Industry!$K$265,0)*Mitigation_Industry!$H$364/1000</f>
        <v>0</v>
      </c>
      <c r="Z92" s="137">
        <f>Mitigation_Industry!Z$277*Mitigation_Industry!$K$273*MAX(Mitigation_Industry!$K$265,0)*Mitigation_Industry!$H$364/1000</f>
        <v>0</v>
      </c>
      <c r="AA92" s="137">
        <f>Mitigation_Industry!AA$277*Mitigation_Industry!$K$273*MAX(Mitigation_Industry!$K$265,0)*Mitigation_Industry!$H$364/1000</f>
        <v>0</v>
      </c>
      <c r="AB92" s="137">
        <f>Mitigation_Industry!AB$277*Mitigation_Industry!$K$273*MAX(Mitigation_Industry!$K$265,0)*Mitigation_Industry!$H$364/1000</f>
        <v>0</v>
      </c>
      <c r="AC92" s="137">
        <f>Mitigation_Industry!AC$277*Mitigation_Industry!$K$273*MAX(Mitigation_Industry!$K$265,0)*Mitigation_Industry!$H$364/1000</f>
        <v>0</v>
      </c>
      <c r="AD92" s="137">
        <f>Mitigation_Industry!AD$277*Mitigation_Industry!$K$273*MAX(Mitigation_Industry!$K$265,0)*Mitigation_Industry!$H$364/1000</f>
        <v>0</v>
      </c>
      <c r="AE92" s="137">
        <f>Mitigation_Industry!AE$277*Mitigation_Industry!$K$273*MAX(Mitigation_Industry!$K$265,0)*Mitigation_Industry!$H$364/1000</f>
        <v>0</v>
      </c>
      <c r="AF92" s="138"/>
      <c r="AG92" s="138"/>
      <c r="AH92" s="138"/>
      <c r="AI92" s="138"/>
    </row>
    <row r="93" spans="1:35" customFormat="1" ht="14.25" x14ac:dyDescent="0.45">
      <c r="B93" s="14" t="s">
        <v>2586</v>
      </c>
      <c r="C93" s="14" t="s">
        <v>43</v>
      </c>
      <c r="D93" s="15" t="s">
        <v>2649</v>
      </c>
      <c r="E93" s="16" t="s">
        <v>2068</v>
      </c>
      <c r="F93" s="14" t="s">
        <v>2637</v>
      </c>
      <c r="G93" s="17"/>
      <c r="H93" s="125" t="str">
        <f>Settings!$B$3&amp;".mit.wm.stl.bof.no.1"</f>
        <v>egy.mit.wm.stl.bof.no.1</v>
      </c>
      <c r="K93" s="136"/>
      <c r="L93" s="137">
        <f>Mitigation_Industry!L$278*Mitigation_Industry!$K$273*MAX(Mitigation_Industry!$K$266,0)*Mitigation_Industry!$H$365/1000</f>
        <v>0</v>
      </c>
      <c r="M93" s="137">
        <f>Mitigation_Industry!M$278*Mitigation_Industry!$K$273*MAX(Mitigation_Industry!$K$266,0)*Mitigation_Industry!$H$365/1000</f>
        <v>0</v>
      </c>
      <c r="N93" s="137">
        <f>Mitigation_Industry!N$278*Mitigation_Industry!$K$273*MAX(Mitigation_Industry!$K$266,0)*Mitigation_Industry!$H$365/1000</f>
        <v>0</v>
      </c>
      <c r="O93" s="137">
        <f>Mitigation_Industry!O$278*Mitigation_Industry!$K$273*MAX(Mitigation_Industry!$K$266,0)*Mitigation_Industry!$H$365/1000</f>
        <v>0</v>
      </c>
      <c r="P93" s="137">
        <f>Mitigation_Industry!P$278*Mitigation_Industry!$K$273*MAX(Mitigation_Industry!$K$266,0)*Mitigation_Industry!$H$365/1000</f>
        <v>0</v>
      </c>
      <c r="Q93" s="137">
        <f>Mitigation_Industry!Q$278*Mitigation_Industry!$K$273*MAX(Mitigation_Industry!$K$266,0)*Mitigation_Industry!$H$365/1000</f>
        <v>0</v>
      </c>
      <c r="R93" s="137">
        <f>Mitigation_Industry!R$278*Mitigation_Industry!$K$273*MAX(Mitigation_Industry!$K$266,0)*Mitigation_Industry!$H$365/1000</f>
        <v>0</v>
      </c>
      <c r="S93" s="137">
        <f>Mitigation_Industry!S$278*Mitigation_Industry!$K$273*MAX(Mitigation_Industry!$K$266,0)*Mitigation_Industry!$H$365/1000</f>
        <v>0</v>
      </c>
      <c r="T93" s="137">
        <f>Mitigation_Industry!T$278*Mitigation_Industry!$K$273*MAX(Mitigation_Industry!$K$266,0)*Mitigation_Industry!$H$365/1000</f>
        <v>0</v>
      </c>
      <c r="U93" s="137">
        <f>Mitigation_Industry!U$278*Mitigation_Industry!$K$273*MAX(Mitigation_Industry!$K$266,0)*Mitigation_Industry!$H$365/1000</f>
        <v>0</v>
      </c>
      <c r="V93" s="137">
        <f>Mitigation_Industry!V$278*Mitigation_Industry!$K$273*MAX(Mitigation_Industry!$K$266,0)*Mitigation_Industry!$H$365/1000</f>
        <v>0</v>
      </c>
      <c r="W93" s="137">
        <f>Mitigation_Industry!W$278*Mitigation_Industry!$K$273*MAX(Mitigation_Industry!$K$266,0)*Mitigation_Industry!$H$365/1000</f>
        <v>0</v>
      </c>
      <c r="X93" s="137">
        <f>Mitigation_Industry!X$278*Mitigation_Industry!$K$273*MAX(Mitigation_Industry!$K$266,0)*Mitigation_Industry!$H$365/1000</f>
        <v>0</v>
      </c>
      <c r="Y93" s="137">
        <f>Mitigation_Industry!Y$278*Mitigation_Industry!$K$273*MAX(Mitigation_Industry!$K$266,0)*Mitigation_Industry!$H$365/1000</f>
        <v>0</v>
      </c>
      <c r="Z93" s="137">
        <f>Mitigation_Industry!Z$278*Mitigation_Industry!$K$273*MAX(Mitigation_Industry!$K$266,0)*Mitigation_Industry!$H$365/1000</f>
        <v>0</v>
      </c>
      <c r="AA93" s="137">
        <f>Mitigation_Industry!AA$278*Mitigation_Industry!$K$273*MAX(Mitigation_Industry!$K$266,0)*Mitigation_Industry!$H$365/1000</f>
        <v>0</v>
      </c>
      <c r="AB93" s="137">
        <f>Mitigation_Industry!AB$278*Mitigation_Industry!$K$273*MAX(Mitigation_Industry!$K$266,0)*Mitigation_Industry!$H$365/1000</f>
        <v>0</v>
      </c>
      <c r="AC93" s="137">
        <f>Mitigation_Industry!AC$278*Mitigation_Industry!$K$273*MAX(Mitigation_Industry!$K$266,0)*Mitigation_Industry!$H$365/1000</f>
        <v>0</v>
      </c>
      <c r="AD93" s="137">
        <f>Mitigation_Industry!AD$278*Mitigation_Industry!$K$273*MAX(Mitigation_Industry!$K$266,0)*Mitigation_Industry!$H$365/1000</f>
        <v>0</v>
      </c>
      <c r="AE93" s="137">
        <f>Mitigation_Industry!AE$278*Mitigation_Industry!$K$273*MAX(Mitigation_Industry!$K$266,0)*Mitigation_Industry!$H$365/1000</f>
        <v>0</v>
      </c>
      <c r="AF93" s="138"/>
      <c r="AG93" s="138"/>
      <c r="AH93" s="138"/>
      <c r="AI93" s="138"/>
    </row>
    <row r="94" spans="1:35" customFormat="1" ht="14.25" x14ac:dyDescent="0.45">
      <c r="B94" s="14" t="s">
        <v>2588</v>
      </c>
      <c r="C94" s="14" t="s">
        <v>113</v>
      </c>
      <c r="D94" s="15" t="s">
        <v>2650</v>
      </c>
      <c r="E94" s="16" t="s">
        <v>2068</v>
      </c>
      <c r="F94" s="14" t="s">
        <v>2637</v>
      </c>
      <c r="G94" s="17"/>
      <c r="H94" s="125" t="str">
        <f>Settings!$B$3&amp;".mit.wm.cmt.dry.no.1"</f>
        <v>egy.mit.wm.cmt.dry.no.1</v>
      </c>
      <c r="K94" s="136"/>
      <c r="L94" s="137">
        <f>Mitigation_Industry!L$279*Mitigation_Industry!$K$273*MAX(Mitigation_Industry!$K$267,0)*Mitigation_Industry!$H$366/1000</f>
        <v>0</v>
      </c>
      <c r="M94" s="137">
        <f>Mitigation_Industry!M$279*Mitigation_Industry!$K$273*MAX(Mitigation_Industry!$K$267,0)*Mitigation_Industry!$H$366/1000</f>
        <v>0</v>
      </c>
      <c r="N94" s="137">
        <f>Mitigation_Industry!N$279*Mitigation_Industry!$K$273*MAX(Mitigation_Industry!$K$267,0)*Mitigation_Industry!$H$366/1000</f>
        <v>0</v>
      </c>
      <c r="O94" s="137">
        <f>Mitigation_Industry!O$279*Mitigation_Industry!$K$273*MAX(Mitigation_Industry!$K$267,0)*Mitigation_Industry!$H$366/1000</f>
        <v>0</v>
      </c>
      <c r="P94" s="137">
        <f>Mitigation_Industry!P$279*Mitigation_Industry!$K$273*MAX(Mitigation_Industry!$K$267,0)*Mitigation_Industry!$H$366/1000</f>
        <v>0</v>
      </c>
      <c r="Q94" s="137">
        <f>Mitigation_Industry!Q$279*Mitigation_Industry!$K$273*MAX(Mitigation_Industry!$K$267,0)*Mitigation_Industry!$H$366/1000</f>
        <v>0</v>
      </c>
      <c r="R94" s="137">
        <f>Mitigation_Industry!R$279*Mitigation_Industry!$K$273*MAX(Mitigation_Industry!$K$267,0)*Mitigation_Industry!$H$366/1000</f>
        <v>0</v>
      </c>
      <c r="S94" s="137">
        <f>Mitigation_Industry!S$279*Mitigation_Industry!$K$273*MAX(Mitigation_Industry!$K$267,0)*Mitigation_Industry!$H$366/1000</f>
        <v>0</v>
      </c>
      <c r="T94" s="137">
        <f>Mitigation_Industry!T$279*Mitigation_Industry!$K$273*MAX(Mitigation_Industry!$K$267,0)*Mitigation_Industry!$H$366/1000</f>
        <v>0</v>
      </c>
      <c r="U94" s="137">
        <f>Mitigation_Industry!U$279*Mitigation_Industry!$K$273*MAX(Mitigation_Industry!$K$267,0)*Mitigation_Industry!$H$366/1000</f>
        <v>0</v>
      </c>
      <c r="V94" s="137">
        <f>Mitigation_Industry!V$279*Mitigation_Industry!$K$273*MAX(Mitigation_Industry!$K$267,0)*Mitigation_Industry!$H$366/1000</f>
        <v>0</v>
      </c>
      <c r="W94" s="137">
        <f>Mitigation_Industry!W$279*Mitigation_Industry!$K$273*MAX(Mitigation_Industry!$K$267,0)*Mitigation_Industry!$H$366/1000</f>
        <v>0</v>
      </c>
      <c r="X94" s="137">
        <f>Mitigation_Industry!X$279*Mitigation_Industry!$K$273*MAX(Mitigation_Industry!$K$267,0)*Mitigation_Industry!$H$366/1000</f>
        <v>0</v>
      </c>
      <c r="Y94" s="137">
        <f>Mitigation_Industry!Y$279*Mitigation_Industry!$K$273*MAX(Mitigation_Industry!$K$267,0)*Mitigation_Industry!$H$366/1000</f>
        <v>0</v>
      </c>
      <c r="Z94" s="137">
        <f>Mitigation_Industry!Z$279*Mitigation_Industry!$K$273*MAX(Mitigation_Industry!$K$267,0)*Mitigation_Industry!$H$366/1000</f>
        <v>0</v>
      </c>
      <c r="AA94" s="137">
        <f>Mitigation_Industry!AA$279*Mitigation_Industry!$K$273*MAX(Mitigation_Industry!$K$267,0)*Mitigation_Industry!$H$366/1000</f>
        <v>0</v>
      </c>
      <c r="AB94" s="137">
        <f>Mitigation_Industry!AB$279*Mitigation_Industry!$K$273*MAX(Mitigation_Industry!$K$267,0)*Mitigation_Industry!$H$366/1000</f>
        <v>0</v>
      </c>
      <c r="AC94" s="137">
        <f>Mitigation_Industry!AC$279*Mitigation_Industry!$K$273*MAX(Mitigation_Industry!$K$267,0)*Mitigation_Industry!$H$366/1000</f>
        <v>0</v>
      </c>
      <c r="AD94" s="137">
        <f>Mitigation_Industry!AD$279*Mitigation_Industry!$K$273*MAX(Mitigation_Industry!$K$267,0)*Mitigation_Industry!$H$366/1000</f>
        <v>0</v>
      </c>
      <c r="AE94" s="137">
        <f>Mitigation_Industry!AE$279*Mitigation_Industry!$K$273*MAX(Mitigation_Industry!$K$267,0)*Mitigation_Industry!$H$366/1000</f>
        <v>0</v>
      </c>
      <c r="AF94" s="138"/>
      <c r="AG94" s="138"/>
      <c r="AH94" s="138"/>
      <c r="AI94" s="138"/>
    </row>
    <row r="95" spans="1:35" customFormat="1" ht="14.25" x14ac:dyDescent="0.45">
      <c r="B95" s="14" t="s">
        <v>2590</v>
      </c>
      <c r="C95" s="14" t="s">
        <v>117</v>
      </c>
      <c r="D95" s="15" t="s">
        <v>2651</v>
      </c>
      <c r="E95" s="16" t="s">
        <v>2068</v>
      </c>
      <c r="F95" s="14" t="s">
        <v>2637</v>
      </c>
      <c r="G95" s="17"/>
      <c r="H95" s="125" t="str">
        <f>Settings!$B$3&amp;".mit.wm.frt.amc.no.1"</f>
        <v>egy.mit.wm.frt.amc.no.1</v>
      </c>
      <c r="K95" s="136"/>
      <c r="L95" s="137">
        <f>Mitigation_Industry!L$280*Mitigation_Industry!$K$273*MAX(Mitigation_Industry!$K$268,0)*Mitigation_Industry!$H$367/1000</f>
        <v>0</v>
      </c>
      <c r="M95" s="137">
        <f>Mitigation_Industry!M$280*Mitigation_Industry!$K$273*MAX(Mitigation_Industry!$K$268,0)*Mitigation_Industry!$H$367/1000</f>
        <v>0</v>
      </c>
      <c r="N95" s="137">
        <f>Mitigation_Industry!N$280*Mitigation_Industry!$K$273*MAX(Mitigation_Industry!$K$268,0)*Mitigation_Industry!$H$367/1000</f>
        <v>0</v>
      </c>
      <c r="O95" s="137">
        <f>Mitigation_Industry!O$280*Mitigation_Industry!$K$273*MAX(Mitigation_Industry!$K$268,0)*Mitigation_Industry!$H$367/1000</f>
        <v>0</v>
      </c>
      <c r="P95" s="137">
        <f>Mitigation_Industry!P$280*Mitigation_Industry!$K$273*MAX(Mitigation_Industry!$K$268,0)*Mitigation_Industry!$H$367/1000</f>
        <v>0</v>
      </c>
      <c r="Q95" s="137">
        <f>Mitigation_Industry!Q$280*Mitigation_Industry!$K$273*MAX(Mitigation_Industry!$K$268,0)*Mitigation_Industry!$H$367/1000</f>
        <v>0</v>
      </c>
      <c r="R95" s="137">
        <f>Mitigation_Industry!R$280*Mitigation_Industry!$K$273*MAX(Mitigation_Industry!$K$268,0)*Mitigation_Industry!$H$367/1000</f>
        <v>0</v>
      </c>
      <c r="S95" s="137">
        <f>Mitigation_Industry!S$280*Mitigation_Industry!$K$273*MAX(Mitigation_Industry!$K$268,0)*Mitigation_Industry!$H$367/1000</f>
        <v>0</v>
      </c>
      <c r="T95" s="137">
        <f>Mitigation_Industry!T$280*Mitigation_Industry!$K$273*MAX(Mitigation_Industry!$K$268,0)*Mitigation_Industry!$H$367/1000</f>
        <v>0</v>
      </c>
      <c r="U95" s="137">
        <f>Mitigation_Industry!U$280*Mitigation_Industry!$K$273*MAX(Mitigation_Industry!$K$268,0)*Mitigation_Industry!$H$367/1000</f>
        <v>0</v>
      </c>
      <c r="V95" s="137">
        <f>Mitigation_Industry!V$280*Mitigation_Industry!$K$273*MAX(Mitigation_Industry!$K$268,0)*Mitigation_Industry!$H$367/1000</f>
        <v>0</v>
      </c>
      <c r="W95" s="137">
        <f>Mitigation_Industry!W$280*Mitigation_Industry!$K$273*MAX(Mitigation_Industry!$K$268,0)*Mitigation_Industry!$H$367/1000</f>
        <v>0</v>
      </c>
      <c r="X95" s="137">
        <f>Mitigation_Industry!X$280*Mitigation_Industry!$K$273*MAX(Mitigation_Industry!$K$268,0)*Mitigation_Industry!$H$367/1000</f>
        <v>0</v>
      </c>
      <c r="Y95" s="137">
        <f>Mitigation_Industry!Y$280*Mitigation_Industry!$K$273*MAX(Mitigation_Industry!$K$268,0)*Mitigation_Industry!$H$367/1000</f>
        <v>0</v>
      </c>
      <c r="Z95" s="137">
        <f>Mitigation_Industry!Z$280*Mitigation_Industry!$K$273*MAX(Mitigation_Industry!$K$268,0)*Mitigation_Industry!$H$367/1000</f>
        <v>0</v>
      </c>
      <c r="AA95" s="137">
        <f>Mitigation_Industry!AA$280*Mitigation_Industry!$K$273*MAX(Mitigation_Industry!$K$268,0)*Mitigation_Industry!$H$367/1000</f>
        <v>0</v>
      </c>
      <c r="AB95" s="137">
        <f>Mitigation_Industry!AB$280*Mitigation_Industry!$K$273*MAX(Mitigation_Industry!$K$268,0)*Mitigation_Industry!$H$367/1000</f>
        <v>0</v>
      </c>
      <c r="AC95" s="137">
        <f>Mitigation_Industry!AC$280*Mitigation_Industry!$K$273*MAX(Mitigation_Industry!$K$268,0)*Mitigation_Industry!$H$367/1000</f>
        <v>0</v>
      </c>
      <c r="AD95" s="137">
        <f>Mitigation_Industry!AD$280*Mitigation_Industry!$K$273*MAX(Mitigation_Industry!$K$268,0)*Mitigation_Industry!$H$367/1000</f>
        <v>0</v>
      </c>
      <c r="AE95" s="137">
        <f>Mitigation_Industry!AE$280*Mitigation_Industry!$K$273*MAX(Mitigation_Industry!$K$268,0)*Mitigation_Industry!$H$367/1000</f>
        <v>0</v>
      </c>
      <c r="AF95" s="138"/>
      <c r="AG95" s="138"/>
      <c r="AH95" s="138"/>
      <c r="AI95" s="138"/>
    </row>
    <row r="96" spans="1:35" customFormat="1" ht="14.25" x14ac:dyDescent="0.45">
      <c r="B96" s="14" t="s">
        <v>2592</v>
      </c>
      <c r="C96" s="14" t="s">
        <v>117</v>
      </c>
      <c r="D96" s="15" t="s">
        <v>2652</v>
      </c>
      <c r="E96" s="16" t="s">
        <v>2068</v>
      </c>
      <c r="F96" s="14" t="s">
        <v>2637</v>
      </c>
      <c r="G96" s="17"/>
      <c r="H96" s="125" t="str">
        <f>Settings!$B$3&amp;".mit.wm.frt.ure.no.1"</f>
        <v>egy.mit.wm.frt.ure.no.1</v>
      </c>
      <c r="K96" s="136"/>
      <c r="L96" s="137">
        <f>Mitigation_Industry!L$281*Mitigation_Industry!$K$273*MAX(Mitigation_Industry!$K$269,0)*Mitigation_Industry!$H$368/1000</f>
        <v>0</v>
      </c>
      <c r="M96" s="137">
        <f>Mitigation_Industry!M$281*Mitigation_Industry!$K$273*MAX(Mitigation_Industry!$K$269,0)*Mitigation_Industry!$H$368/1000</f>
        <v>0</v>
      </c>
      <c r="N96" s="137">
        <f>Mitigation_Industry!N$281*Mitigation_Industry!$K$273*MAX(Mitigation_Industry!$K$269,0)*Mitigation_Industry!$H$368/1000</f>
        <v>0</v>
      </c>
      <c r="O96" s="137">
        <f>Mitigation_Industry!O$281*Mitigation_Industry!$K$273*MAX(Mitigation_Industry!$K$269,0)*Mitigation_Industry!$H$368/1000</f>
        <v>0</v>
      </c>
      <c r="P96" s="137">
        <f>Mitigation_Industry!P$281*Mitigation_Industry!$K$273*MAX(Mitigation_Industry!$K$269,0)*Mitigation_Industry!$H$368/1000</f>
        <v>0</v>
      </c>
      <c r="Q96" s="137">
        <f>Mitigation_Industry!Q$281*Mitigation_Industry!$K$273*MAX(Mitigation_Industry!$K$269,0)*Mitigation_Industry!$H$368/1000</f>
        <v>0</v>
      </c>
      <c r="R96" s="137">
        <f>Mitigation_Industry!R$281*Mitigation_Industry!$K$273*MAX(Mitigation_Industry!$K$269,0)*Mitigation_Industry!$H$368/1000</f>
        <v>0</v>
      </c>
      <c r="S96" s="137">
        <f>Mitigation_Industry!S$281*Mitigation_Industry!$K$273*MAX(Mitigation_Industry!$K$269,0)*Mitigation_Industry!$H$368/1000</f>
        <v>0</v>
      </c>
      <c r="T96" s="137">
        <f>Mitigation_Industry!T$281*Mitigation_Industry!$K$273*MAX(Mitigation_Industry!$K$269,0)*Mitigation_Industry!$H$368/1000</f>
        <v>0</v>
      </c>
      <c r="U96" s="137">
        <f>Mitigation_Industry!U$281*Mitigation_Industry!$K$273*MAX(Mitigation_Industry!$K$269,0)*Mitigation_Industry!$H$368/1000</f>
        <v>0</v>
      </c>
      <c r="V96" s="137">
        <f>Mitigation_Industry!V$281*Mitigation_Industry!$K$273*MAX(Mitigation_Industry!$K$269,0)*Mitigation_Industry!$H$368/1000</f>
        <v>0</v>
      </c>
      <c r="W96" s="137">
        <f>Mitigation_Industry!W$281*Mitigation_Industry!$K$273*MAX(Mitigation_Industry!$K$269,0)*Mitigation_Industry!$H$368/1000</f>
        <v>0</v>
      </c>
      <c r="X96" s="137">
        <f>Mitigation_Industry!X$281*Mitigation_Industry!$K$273*MAX(Mitigation_Industry!$K$269,0)*Mitigation_Industry!$H$368/1000</f>
        <v>0</v>
      </c>
      <c r="Y96" s="137">
        <f>Mitigation_Industry!Y$281*Mitigation_Industry!$K$273*MAX(Mitigation_Industry!$K$269,0)*Mitigation_Industry!$H$368/1000</f>
        <v>0</v>
      </c>
      <c r="Z96" s="137">
        <f>Mitigation_Industry!Z$281*Mitigation_Industry!$K$273*MAX(Mitigation_Industry!$K$269,0)*Mitigation_Industry!$H$368/1000</f>
        <v>0</v>
      </c>
      <c r="AA96" s="137">
        <f>Mitigation_Industry!AA$281*Mitigation_Industry!$K$273*MAX(Mitigation_Industry!$K$269,0)*Mitigation_Industry!$H$368/1000</f>
        <v>0</v>
      </c>
      <c r="AB96" s="137">
        <f>Mitigation_Industry!AB$281*Mitigation_Industry!$K$273*MAX(Mitigation_Industry!$K$269,0)*Mitigation_Industry!$H$368/1000</f>
        <v>0</v>
      </c>
      <c r="AC96" s="137">
        <f>Mitigation_Industry!AC$281*Mitigation_Industry!$K$273*MAX(Mitigation_Industry!$K$269,0)*Mitigation_Industry!$H$368/1000</f>
        <v>0</v>
      </c>
      <c r="AD96" s="137">
        <f>Mitigation_Industry!AD$281*Mitigation_Industry!$K$273*MAX(Mitigation_Industry!$K$269,0)*Mitigation_Industry!$H$368/1000</f>
        <v>0</v>
      </c>
      <c r="AE96" s="137">
        <f>Mitigation_Industry!AE$281*Mitigation_Industry!$K$273*MAX(Mitigation_Industry!$K$269,0)*Mitigation_Industry!$H$368/1000</f>
        <v>0</v>
      </c>
      <c r="AF96" s="138"/>
      <c r="AG96" s="138"/>
      <c r="AH96" s="138"/>
      <c r="AI96" s="138"/>
    </row>
    <row r="97" spans="1:35" customFormat="1" ht="14.25" x14ac:dyDescent="0.45">
      <c r="B97" s="14" t="s">
        <v>2594</v>
      </c>
      <c r="C97" s="14" t="s">
        <v>117</v>
      </c>
      <c r="D97" s="15" t="s">
        <v>2653</v>
      </c>
      <c r="E97" s="16" t="s">
        <v>2068</v>
      </c>
      <c r="F97" s="14" t="s">
        <v>2637</v>
      </c>
      <c r="G97" s="17"/>
      <c r="H97" s="125" t="str">
        <f>Settings!$B$3&amp;".mit.wm.frt.nit.no.1"</f>
        <v>egy.mit.wm.frt.nit.no.1</v>
      </c>
      <c r="K97" s="136"/>
      <c r="L97" s="137">
        <f>Mitigation_Industry!L$282*Mitigation_Industry!$K$273*MAX(Mitigation_Industry!$K$270,0)*Mitigation_Industry!$H$369/1000</f>
        <v>0.57123661061347031</v>
      </c>
      <c r="M97" s="137">
        <f>Mitigation_Industry!M$282*Mitigation_Industry!$K$273*MAX(Mitigation_Industry!$K$270,0)*Mitigation_Industry!$H$369/1000</f>
        <v>0.58380381604696674</v>
      </c>
      <c r="N97" s="137">
        <f>Mitigation_Industry!N$282*Mitigation_Industry!$K$273*MAX(Mitigation_Industry!$K$270,0)*Mitigation_Industry!$H$369/1000</f>
        <v>0.5966475</v>
      </c>
      <c r="O97" s="137">
        <f>Mitigation_Industry!O$282*Mitigation_Industry!$K$273*MAX(Mitigation_Industry!$K$270,0)*Mitigation_Industry!$H$369/1000</f>
        <v>0.60977374500000003</v>
      </c>
      <c r="P97" s="137">
        <f>Mitigation_Industry!P$282*Mitigation_Industry!$K$273*MAX(Mitigation_Industry!$K$270,0)*Mitigation_Industry!$H$369/1000</f>
        <v>0.62318876738999995</v>
      </c>
      <c r="Q97" s="137">
        <f>Mitigation_Industry!Q$282*Mitigation_Industry!$K$273*MAX(Mitigation_Industry!$K$270,0)*Mitigation_Industry!$H$369/1000</f>
        <v>0.6368989202725801</v>
      </c>
      <c r="R97" s="137">
        <f>Mitigation_Industry!R$282*Mitigation_Industry!$K$273*MAX(Mitigation_Industry!$K$270,0)*Mitigation_Industry!$H$369/1000</f>
        <v>0.65091069651857669</v>
      </c>
      <c r="S97" s="137">
        <f>Mitigation_Industry!S$282*Mitigation_Industry!$K$273*MAX(Mitigation_Industry!$K$270,0)*Mitigation_Industry!$H$369/1000</f>
        <v>0.66523073184198556</v>
      </c>
      <c r="T97" s="137">
        <f>Mitigation_Industry!T$282*Mitigation_Industry!$K$273*MAX(Mitigation_Industry!$K$270,0)*Mitigation_Industry!$H$369/1000</f>
        <v>0.67986580794250906</v>
      </c>
      <c r="U97" s="137">
        <f>Mitigation_Industry!U$282*Mitigation_Industry!$K$273*MAX(Mitigation_Industry!$K$270,0)*Mitigation_Industry!$H$369/1000</f>
        <v>0.69482285571724434</v>
      </c>
      <c r="V97" s="137">
        <f>Mitigation_Industry!V$282*Mitigation_Industry!$K$273*MAX(Mitigation_Industry!$K$270,0)*Mitigation_Industry!$H$369/1000</f>
        <v>0.7101089585430238</v>
      </c>
      <c r="W97" s="137">
        <f>Mitigation_Industry!W$282*Mitigation_Industry!$K$273*MAX(Mitigation_Industry!$K$270,0)*Mitigation_Industry!$H$369/1000</f>
        <v>0.72573135563097024</v>
      </c>
      <c r="X97" s="137">
        <f>Mitigation_Industry!X$282*Mitigation_Industry!$K$273*MAX(Mitigation_Industry!$K$270,0)*Mitigation_Industry!$H$369/1000</f>
        <v>0.74169744545485172</v>
      </c>
      <c r="Y97" s="137">
        <f>Mitigation_Industry!Y$282*Mitigation_Industry!$K$273*MAX(Mitigation_Industry!$K$270,0)*Mitigation_Industry!$H$369/1000</f>
        <v>0.75801478925485843</v>
      </c>
      <c r="Z97" s="137">
        <f>Mitigation_Industry!Z$282*Mitigation_Industry!$K$273*MAX(Mitigation_Industry!$K$270,0)*Mitigation_Industry!$H$369/1000</f>
        <v>0.7746911146184654</v>
      </c>
      <c r="AA97" s="137">
        <f>Mitigation_Industry!AA$282*Mitigation_Industry!$K$273*MAX(Mitigation_Industry!$K$270,0)*Mitigation_Industry!$H$369/1000</f>
        <v>0.79173431914007153</v>
      </c>
      <c r="AB97" s="137">
        <f>Mitigation_Industry!AB$282*Mitigation_Industry!$K$273*MAX(Mitigation_Industry!$K$270,0)*Mitigation_Industry!$H$369/1000</f>
        <v>0.8091524741611531</v>
      </c>
      <c r="AC97" s="137">
        <f>Mitigation_Industry!AC$282*Mitigation_Industry!$K$273*MAX(Mitigation_Industry!$K$270,0)*Mitigation_Industry!$H$369/1000</f>
        <v>0.8269538285926985</v>
      </c>
      <c r="AD97" s="137">
        <f>Mitigation_Industry!AD$282*Mitigation_Industry!$K$273*MAX(Mitigation_Industry!$K$270,0)*Mitigation_Industry!$H$369/1000</f>
        <v>0.84514681282173787</v>
      </c>
      <c r="AE97" s="137">
        <f>Mitigation_Industry!AE$282*Mitigation_Industry!$K$273*MAX(Mitigation_Industry!$K$270,0)*Mitigation_Industry!$H$369/1000</f>
        <v>0.8637400427038161</v>
      </c>
      <c r="AF97" s="138"/>
      <c r="AG97" s="138"/>
      <c r="AH97" s="138"/>
      <c r="AI97" s="138"/>
    </row>
    <row r="98" spans="1:35" customFormat="1" ht="14.25" x14ac:dyDescent="0.45">
      <c r="B98" s="14" t="s">
        <v>2596</v>
      </c>
      <c r="C98" s="14" t="s">
        <v>115</v>
      </c>
      <c r="D98" s="15" t="s">
        <v>2654</v>
      </c>
      <c r="E98" s="16" t="s">
        <v>2068</v>
      </c>
      <c r="F98" s="14" t="s">
        <v>2637</v>
      </c>
      <c r="G98" s="17"/>
      <c r="H98" s="125" t="str">
        <f>Settings!$B$3&amp;".mit.wm.alu.prp.no.1"</f>
        <v>egy.mit.wm.alu.prp.no.1</v>
      </c>
      <c r="K98" s="136"/>
      <c r="L98" s="137">
        <f>Mitigation_Industry!L$283*Mitigation_Industry!$K$273*MAX(Mitigation_Industry!$K$271,0)*Mitigation_Industry!$H$370/1000</f>
        <v>0.20862065092877519</v>
      </c>
      <c r="M98" s="137">
        <f>Mitigation_Industry!M$283*Mitigation_Industry!$K$273*MAX(Mitigation_Industry!$K$271,0)*Mitigation_Industry!$H$370/1000</f>
        <v>0.22009478672985783</v>
      </c>
      <c r="N98" s="137">
        <f>Mitigation_Industry!N$283*Mitigation_Industry!$K$273*MAX(Mitigation_Industry!$K$271,0)*Mitigation_Industry!$H$370/1000</f>
        <v>0.23220000000000002</v>
      </c>
      <c r="O98" s="137">
        <f>Mitigation_Industry!O$283*Mitigation_Industry!$K$273*MAX(Mitigation_Industry!$K$271,0)*Mitigation_Industry!$H$370/1000</f>
        <v>0.24497099999999999</v>
      </c>
      <c r="P98" s="137">
        <f>Mitigation_Industry!P$283*Mitigation_Industry!$K$273*MAX(Mitigation_Industry!$K$271,0)*Mitigation_Industry!$H$370/1000</f>
        <v>0.25844440499999999</v>
      </c>
      <c r="Q98" s="137">
        <f>Mitigation_Industry!Q$283*Mitigation_Industry!$K$273*MAX(Mitigation_Industry!$K$271,0)*Mitigation_Industry!$H$370/1000</f>
        <v>0.27265884727499995</v>
      </c>
      <c r="R98" s="137">
        <f>Mitigation_Industry!R$283*Mitigation_Industry!$K$273*MAX(Mitigation_Industry!$K$271,0)*Mitigation_Industry!$H$370/1000</f>
        <v>0.28765508387512501</v>
      </c>
      <c r="S98" s="137">
        <f>Mitigation_Industry!S$283*Mitigation_Industry!$K$273*MAX(Mitigation_Industry!$K$271,0)*Mitigation_Industry!$H$370/1000</f>
        <v>0.30347611348825682</v>
      </c>
      <c r="T98" s="137">
        <f>Mitigation_Industry!T$283*Mitigation_Industry!$K$273*MAX(Mitigation_Industry!$K$271,0)*Mitigation_Industry!$H$370/1000</f>
        <v>0.32016729973011093</v>
      </c>
      <c r="U98" s="137">
        <f>Mitigation_Industry!U$283*Mitigation_Industry!$K$273*MAX(Mitigation_Industry!$K$271,0)*Mitigation_Industry!$H$370/1000</f>
        <v>0.33777650121526698</v>
      </c>
      <c r="V98" s="137">
        <f>Mitigation_Industry!V$283*Mitigation_Industry!$K$273*MAX(Mitigation_Industry!$K$271,0)*Mitigation_Industry!$H$370/1000</f>
        <v>0.35635420878210672</v>
      </c>
      <c r="W98" s="137">
        <f>Mitigation_Industry!W$283*Mitigation_Industry!$K$273*MAX(Mitigation_Industry!$K$271,0)*Mitigation_Industry!$H$370/1000</f>
        <v>0.37595369026512254</v>
      </c>
      <c r="X98" s="137">
        <f>Mitigation_Industry!X$283*Mitigation_Industry!$K$273*MAX(Mitigation_Industry!$K$271,0)*Mitigation_Industry!$H$370/1000</f>
        <v>0.39663114322970433</v>
      </c>
      <c r="Y98" s="137">
        <f>Mitigation_Industry!Y$283*Mitigation_Industry!$K$273*MAX(Mitigation_Industry!$K$271,0)*Mitigation_Industry!$H$370/1000</f>
        <v>0.41844585610733798</v>
      </c>
      <c r="Z98" s="137">
        <f>Mitigation_Industry!Z$283*Mitigation_Industry!$K$273*MAX(Mitigation_Industry!$K$271,0)*Mitigation_Industry!$H$370/1000</f>
        <v>0.44146037819324158</v>
      </c>
      <c r="AA98" s="137">
        <f>Mitigation_Industry!AA$283*Mitigation_Industry!$K$273*MAX(Mitigation_Industry!$K$271,0)*Mitigation_Industry!$H$370/1000</f>
        <v>0.46574069899386977</v>
      </c>
      <c r="AB98" s="137">
        <f>Mitigation_Industry!AB$283*Mitigation_Industry!$K$273*MAX(Mitigation_Industry!$K$271,0)*Mitigation_Industry!$H$370/1000</f>
        <v>0.49135643743853269</v>
      </c>
      <c r="AC98" s="137">
        <f>Mitigation_Industry!AC$283*Mitigation_Industry!$K$273*MAX(Mitigation_Industry!$K$271,0)*Mitigation_Industry!$H$370/1000</f>
        <v>0.51838104149765185</v>
      </c>
      <c r="AD98" s="137">
        <f>Mitigation_Industry!AD$283*Mitigation_Industry!$K$273*MAX(Mitigation_Industry!$K$271,0)*Mitigation_Industry!$H$370/1000</f>
        <v>0.5468919987800227</v>
      </c>
      <c r="AE98" s="137">
        <f>Mitigation_Industry!AE$283*Mitigation_Industry!$K$273*MAX(Mitigation_Industry!$K$271,0)*Mitigation_Industry!$H$370/1000</f>
        <v>0.57697105871292398</v>
      </c>
      <c r="AF98" s="138"/>
      <c r="AG98" s="138"/>
      <c r="AH98" s="138"/>
      <c r="AI98" s="138"/>
    </row>
    <row r="99" spans="1:35" x14ac:dyDescent="0.35"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</row>
    <row r="100" spans="1:35" customFormat="1" ht="14.25" x14ac:dyDescent="0.45">
      <c r="A100" s="11"/>
      <c r="B100" s="6"/>
      <c r="C100" s="7" t="s">
        <v>2655</v>
      </c>
      <c r="D100" s="6" t="s">
        <v>1488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34">
        <v>2021</v>
      </c>
      <c r="L100" s="135">
        <v>2022</v>
      </c>
      <c r="M100" s="134">
        <v>2023</v>
      </c>
      <c r="N100" s="134">
        <v>2024</v>
      </c>
      <c r="O100" s="134">
        <v>2025</v>
      </c>
      <c r="P100" s="134">
        <v>2026</v>
      </c>
      <c r="Q100" s="134">
        <v>2027</v>
      </c>
      <c r="R100" s="134">
        <v>2028</v>
      </c>
      <c r="S100" s="134">
        <v>2029</v>
      </c>
      <c r="T100" s="134">
        <v>2030</v>
      </c>
      <c r="U100" s="134">
        <v>2031</v>
      </c>
      <c r="V100" s="134">
        <v>2032</v>
      </c>
      <c r="W100" s="134">
        <v>2033</v>
      </c>
      <c r="X100" s="134">
        <v>2034</v>
      </c>
      <c r="Y100" s="134">
        <v>2035</v>
      </c>
      <c r="Z100" s="134">
        <v>2036</v>
      </c>
      <c r="AA100" s="134">
        <v>2037</v>
      </c>
      <c r="AB100" s="134">
        <v>2038</v>
      </c>
      <c r="AC100" s="134">
        <v>2039</v>
      </c>
      <c r="AD100" s="134">
        <v>2040</v>
      </c>
      <c r="AE100" s="134">
        <v>2041</v>
      </c>
      <c r="AF100" s="134">
        <v>2042</v>
      </c>
      <c r="AG100" s="134">
        <v>2043</v>
      </c>
      <c r="AH100" s="134">
        <v>2044</v>
      </c>
      <c r="AI100" s="134">
        <v>2045</v>
      </c>
    </row>
    <row r="101" spans="1:35" customFormat="1" ht="14.25" x14ac:dyDescent="0.45">
      <c r="B101" s="14" t="s">
        <v>2565</v>
      </c>
      <c r="C101" s="14" t="s">
        <v>43</v>
      </c>
      <c r="D101" s="15" t="s">
        <v>2656</v>
      </c>
      <c r="E101" s="16" t="s">
        <v>2068</v>
      </c>
      <c r="F101" s="14" t="s">
        <v>2655</v>
      </c>
      <c r="G101" s="17"/>
      <c r="H101" s="125" t="str">
        <f>Settings!$B$3&amp;".mit.wp.stl.drg.np.1"</f>
        <v>egy.mit.wp.stl.drg.np.1</v>
      </c>
      <c r="I101" t="s">
        <v>2657</v>
      </c>
      <c r="K101" s="136"/>
      <c r="L101" s="137">
        <f t="shared" ref="L101:AE101" si="0">L$83*EXP(-L$65*L$27)</f>
        <v>0.17734546065090059</v>
      </c>
      <c r="M101" s="137">
        <f t="shared" si="0"/>
        <v>0.18514866091954021</v>
      </c>
      <c r="N101" s="137">
        <f t="shared" si="0"/>
        <v>0.193295202</v>
      </c>
      <c r="O101" s="137">
        <f t="shared" si="0"/>
        <v>0.20180019088800003</v>
      </c>
      <c r="P101" s="137">
        <f t="shared" si="0"/>
        <v>0.21067939928707202</v>
      </c>
      <c r="Q101" s="137">
        <f t="shared" si="0"/>
        <v>0.21994929285570322</v>
      </c>
      <c r="R101" s="137">
        <f t="shared" si="0"/>
        <v>0.22962706174135414</v>
      </c>
      <c r="S101" s="137">
        <f t="shared" si="0"/>
        <v>0.2397306524579737</v>
      </c>
      <c r="T101" s="137">
        <f t="shared" si="0"/>
        <v>0.25027880116612461</v>
      </c>
      <c r="U101" s="137">
        <f t="shared" si="0"/>
        <v>0.2612910684174341</v>
      </c>
      <c r="V101" s="137">
        <f t="shared" si="0"/>
        <v>0.27278787542780114</v>
      </c>
      <c r="W101" s="137">
        <f t="shared" si="0"/>
        <v>0.28479054194662445</v>
      </c>
      <c r="X101" s="137">
        <f t="shared" si="0"/>
        <v>0.29732132579227588</v>
      </c>
      <c r="Y101" s="137">
        <f t="shared" si="0"/>
        <v>0.3104034641271361</v>
      </c>
      <c r="Z101" s="137">
        <f t="shared" si="0"/>
        <v>0.32406121654872999</v>
      </c>
      <c r="AA101" s="137">
        <f t="shared" si="0"/>
        <v>0.33831991007687412</v>
      </c>
      <c r="AB101" s="137">
        <f t="shared" si="0"/>
        <v>0.35320598612025667</v>
      </c>
      <c r="AC101" s="137">
        <f t="shared" si="0"/>
        <v>0.36874704950954795</v>
      </c>
      <c r="AD101" s="137">
        <f t="shared" si="0"/>
        <v>0.38497191968796801</v>
      </c>
      <c r="AE101" s="137">
        <f t="shared" si="0"/>
        <v>0.40191068415423858</v>
      </c>
      <c r="AF101" s="138"/>
      <c r="AG101" s="138"/>
      <c r="AH101" s="138"/>
      <c r="AI101" s="138"/>
    </row>
    <row r="102" spans="1:35" customFormat="1" ht="14.25" x14ac:dyDescent="0.45">
      <c r="B102" s="14" t="s">
        <v>2568</v>
      </c>
      <c r="C102" s="14" t="s">
        <v>43</v>
      </c>
      <c r="D102" s="15" t="s">
        <v>2658</v>
      </c>
      <c r="E102" s="16" t="s">
        <v>2068</v>
      </c>
      <c r="F102" s="14" t="s">
        <v>2655</v>
      </c>
      <c r="G102" s="17"/>
      <c r="H102" s="125" t="str">
        <f>Settings!$B$3&amp;".mit.wp.stl.scr.np.1"</f>
        <v>egy.mit.wp.stl.scr.np.1</v>
      </c>
      <c r="K102" s="136"/>
      <c r="L102" s="137">
        <f t="shared" ref="L102:AE102" si="1">L$84*EXP(-L$66*L$28)</f>
        <v>0.19368983132954593</v>
      </c>
      <c r="M102" s="137">
        <f t="shared" si="1"/>
        <v>0.20221218390804596</v>
      </c>
      <c r="N102" s="137">
        <f t="shared" si="1"/>
        <v>0.21110951999999997</v>
      </c>
      <c r="O102" s="137">
        <f t="shared" si="1"/>
        <v>0.22039833887999999</v>
      </c>
      <c r="P102" s="137">
        <f t="shared" si="1"/>
        <v>0.23009586579071997</v>
      </c>
      <c r="Q102" s="137">
        <f t="shared" si="1"/>
        <v>0.24022008388551169</v>
      </c>
      <c r="R102" s="137">
        <f t="shared" si="1"/>
        <v>0.25078976757647414</v>
      </c>
      <c r="S102" s="137">
        <f t="shared" si="1"/>
        <v>0.26182451734983908</v>
      </c>
      <c r="T102" s="137">
        <f t="shared" si="1"/>
        <v>0.27334479611323198</v>
      </c>
      <c r="U102" s="137">
        <f t="shared" si="1"/>
        <v>0.28537196714221424</v>
      </c>
      <c r="V102" s="137">
        <f t="shared" si="1"/>
        <v>0.29792833369647159</v>
      </c>
      <c r="W102" s="137">
        <f t="shared" si="1"/>
        <v>0.31103718037911643</v>
      </c>
      <c r="X102" s="137">
        <f t="shared" si="1"/>
        <v>0.32472281631579752</v>
      </c>
      <c r="Y102" s="137">
        <f t="shared" si="1"/>
        <v>0.33901062023369266</v>
      </c>
      <c r="Z102" s="137">
        <f t="shared" si="1"/>
        <v>0.35392708752397511</v>
      </c>
      <c r="AA102" s="137">
        <f t="shared" si="1"/>
        <v>0.36949987937502998</v>
      </c>
      <c r="AB102" s="137">
        <f t="shared" si="1"/>
        <v>0.38575787406753137</v>
      </c>
      <c r="AC102" s="137">
        <f t="shared" si="1"/>
        <v>0.40273122052650273</v>
      </c>
      <c r="AD102" s="137">
        <f t="shared" si="1"/>
        <v>0.42045139422966882</v>
      </c>
      <c r="AE102" s="137">
        <f t="shared" si="1"/>
        <v>0.43895125557577425</v>
      </c>
      <c r="AF102" s="138"/>
      <c r="AG102" s="138"/>
      <c r="AH102" s="138"/>
      <c r="AI102" s="138"/>
    </row>
    <row r="103" spans="1:35" customFormat="1" ht="14.25" x14ac:dyDescent="0.45">
      <c r="B103" s="14" t="s">
        <v>2570</v>
      </c>
      <c r="C103" s="14" t="s">
        <v>43</v>
      </c>
      <c r="D103" s="15" t="s">
        <v>2659</v>
      </c>
      <c r="E103" s="16" t="s">
        <v>2068</v>
      </c>
      <c r="F103" s="14" t="s">
        <v>2655</v>
      </c>
      <c r="G103" s="17"/>
      <c r="H103" s="125" t="str">
        <f>Settings!$B$3&amp;".mit.wp.stl.bof.np.1"</f>
        <v>egy.mit.wp.stl.bof.np.1</v>
      </c>
      <c r="K103" s="136"/>
      <c r="L103" s="137">
        <f t="shared" ref="L103:AE103" si="2">L$85*EXP(-L$67*L$29)</f>
        <v>0</v>
      </c>
      <c r="M103" s="137">
        <f t="shared" si="2"/>
        <v>0</v>
      </c>
      <c r="N103" s="137">
        <f t="shared" si="2"/>
        <v>0</v>
      </c>
      <c r="O103" s="137">
        <f t="shared" si="2"/>
        <v>0</v>
      </c>
      <c r="P103" s="137">
        <f t="shared" si="2"/>
        <v>0</v>
      </c>
      <c r="Q103" s="137">
        <f t="shared" si="2"/>
        <v>0</v>
      </c>
      <c r="R103" s="137">
        <f t="shared" si="2"/>
        <v>0</v>
      </c>
      <c r="S103" s="137">
        <f t="shared" si="2"/>
        <v>0</v>
      </c>
      <c r="T103" s="137">
        <f t="shared" si="2"/>
        <v>0</v>
      </c>
      <c r="U103" s="137">
        <f t="shared" si="2"/>
        <v>0</v>
      </c>
      <c r="V103" s="137">
        <f t="shared" si="2"/>
        <v>0</v>
      </c>
      <c r="W103" s="137">
        <f t="shared" si="2"/>
        <v>0</v>
      </c>
      <c r="X103" s="137">
        <f t="shared" si="2"/>
        <v>0</v>
      </c>
      <c r="Y103" s="137">
        <f t="shared" si="2"/>
        <v>0</v>
      </c>
      <c r="Z103" s="137">
        <f t="shared" si="2"/>
        <v>0</v>
      </c>
      <c r="AA103" s="137">
        <f t="shared" si="2"/>
        <v>0</v>
      </c>
      <c r="AB103" s="137">
        <f t="shared" si="2"/>
        <v>0</v>
      </c>
      <c r="AC103" s="137">
        <f t="shared" si="2"/>
        <v>0</v>
      </c>
      <c r="AD103" s="137">
        <f t="shared" si="2"/>
        <v>0</v>
      </c>
      <c r="AE103" s="137">
        <f t="shared" si="2"/>
        <v>0</v>
      </c>
      <c r="AF103" s="138"/>
      <c r="AG103" s="138"/>
      <c r="AH103" s="138"/>
      <c r="AI103" s="138"/>
    </row>
    <row r="104" spans="1:35" customFormat="1" ht="14.25" x14ac:dyDescent="0.45">
      <c r="B104" s="14" t="s">
        <v>2572</v>
      </c>
      <c r="C104" s="14" t="s">
        <v>113</v>
      </c>
      <c r="D104" s="15" t="s">
        <v>2660</v>
      </c>
      <c r="E104" s="16" t="s">
        <v>2068</v>
      </c>
      <c r="F104" s="14" t="s">
        <v>2655</v>
      </c>
      <c r="G104" s="17"/>
      <c r="H104" s="125" t="str">
        <f>Settings!$B$3&amp;".mit.wp.cmt.dry.np.1"</f>
        <v>egy.mit.wp.cmt.dry.np.1</v>
      </c>
      <c r="K104" s="136"/>
      <c r="L104" s="137">
        <f t="shared" ref="L104:AE104" si="3">L$86*EXP(-L$68*L$30)</f>
        <v>25.163138219961041</v>
      </c>
      <c r="M104" s="137">
        <f t="shared" si="3"/>
        <v>25.993521781219755</v>
      </c>
      <c r="N104" s="137">
        <f t="shared" si="3"/>
        <v>26.851308</v>
      </c>
      <c r="O104" s="137">
        <f t="shared" si="3"/>
        <v>27.737401163999998</v>
      </c>
      <c r="P104" s="137">
        <f t="shared" si="3"/>
        <v>28.652735402411995</v>
      </c>
      <c r="Q104" s="137">
        <f t="shared" si="3"/>
        <v>29.598275670691589</v>
      </c>
      <c r="R104" s="137">
        <f t="shared" si="3"/>
        <v>30.575018767824407</v>
      </c>
      <c r="S104" s="137">
        <f t="shared" si="3"/>
        <v>31.583994387162612</v>
      </c>
      <c r="T104" s="137">
        <f t="shared" si="3"/>
        <v>32.626266201938975</v>
      </c>
      <c r="U104" s="137">
        <f t="shared" si="3"/>
        <v>33.70293298660296</v>
      </c>
      <c r="V104" s="137">
        <f t="shared" si="3"/>
        <v>34.815129775160841</v>
      </c>
      <c r="W104" s="137">
        <f t="shared" si="3"/>
        <v>35.964029057741151</v>
      </c>
      <c r="X104" s="137">
        <f t="shared" si="3"/>
        <v>37.150842016646592</v>
      </c>
      <c r="Y104" s="137">
        <f t="shared" si="3"/>
        <v>38.376819803195943</v>
      </c>
      <c r="Z104" s="137">
        <f t="shared" si="3"/>
        <v>39.643254856701404</v>
      </c>
      <c r="AA104" s="137">
        <f t="shared" si="3"/>
        <v>40.951482266972548</v>
      </c>
      <c r="AB104" s="137">
        <f t="shared" si="3"/>
        <v>42.302881181782631</v>
      </c>
      <c r="AC104" s="137">
        <f t="shared" si="3"/>
        <v>43.698876260781446</v>
      </c>
      <c r="AD104" s="137">
        <f t="shared" si="3"/>
        <v>45.140939177387231</v>
      </c>
      <c r="AE104" s="137">
        <f t="shared" si="3"/>
        <v>46.630590170241007</v>
      </c>
      <c r="AF104" s="138"/>
      <c r="AG104" s="138"/>
      <c r="AH104" s="138"/>
      <c r="AI104" s="138"/>
    </row>
    <row r="105" spans="1:35" customFormat="1" ht="14.25" x14ac:dyDescent="0.45">
      <c r="B105" s="14" t="s">
        <v>2574</v>
      </c>
      <c r="C105" s="14" t="s">
        <v>117</v>
      </c>
      <c r="D105" s="15" t="s">
        <v>2661</v>
      </c>
      <c r="E105" s="16" t="s">
        <v>2068</v>
      </c>
      <c r="F105" s="14" t="s">
        <v>2655</v>
      </c>
      <c r="G105" s="17"/>
      <c r="H105" s="125" t="str">
        <f>Settings!$B$3&amp;".mit.wp.frt.amc.np.1"</f>
        <v>egy.mit.wp.frt.amc.np.1</v>
      </c>
      <c r="K105" s="136"/>
      <c r="L105" s="137">
        <f t="shared" ref="L105:AE105" si="4">L$87*EXP(-L$69*L$31)</f>
        <v>0</v>
      </c>
      <c r="M105" s="137">
        <f t="shared" si="4"/>
        <v>0</v>
      </c>
      <c r="N105" s="137">
        <f t="shared" si="4"/>
        <v>0</v>
      </c>
      <c r="O105" s="137">
        <f t="shared" si="4"/>
        <v>0</v>
      </c>
      <c r="P105" s="137">
        <f t="shared" si="4"/>
        <v>0</v>
      </c>
      <c r="Q105" s="137">
        <f t="shared" si="4"/>
        <v>0</v>
      </c>
      <c r="R105" s="137">
        <f t="shared" si="4"/>
        <v>0</v>
      </c>
      <c r="S105" s="137">
        <f t="shared" si="4"/>
        <v>0</v>
      </c>
      <c r="T105" s="137">
        <f t="shared" si="4"/>
        <v>0</v>
      </c>
      <c r="U105" s="137">
        <f t="shared" si="4"/>
        <v>0</v>
      </c>
      <c r="V105" s="137">
        <f t="shared" si="4"/>
        <v>0</v>
      </c>
      <c r="W105" s="137">
        <f t="shared" si="4"/>
        <v>0</v>
      </c>
      <c r="X105" s="137">
        <f t="shared" si="4"/>
        <v>0</v>
      </c>
      <c r="Y105" s="137">
        <f t="shared" si="4"/>
        <v>0</v>
      </c>
      <c r="Z105" s="137">
        <f t="shared" si="4"/>
        <v>0</v>
      </c>
      <c r="AA105" s="137">
        <f t="shared" si="4"/>
        <v>0</v>
      </c>
      <c r="AB105" s="137">
        <f t="shared" si="4"/>
        <v>0</v>
      </c>
      <c r="AC105" s="137">
        <f t="shared" si="4"/>
        <v>0</v>
      </c>
      <c r="AD105" s="137">
        <f t="shared" si="4"/>
        <v>0</v>
      </c>
      <c r="AE105" s="137">
        <f t="shared" si="4"/>
        <v>0</v>
      </c>
      <c r="AF105" s="138"/>
      <c r="AG105" s="138"/>
      <c r="AH105" s="138"/>
      <c r="AI105" s="138"/>
    </row>
    <row r="106" spans="1:35" customFormat="1" ht="14.25" x14ac:dyDescent="0.45">
      <c r="B106" s="14" t="s">
        <v>2576</v>
      </c>
      <c r="C106" s="14" t="s">
        <v>117</v>
      </c>
      <c r="D106" s="15" t="s">
        <v>2662</v>
      </c>
      <c r="E106" s="16" t="s">
        <v>2068</v>
      </c>
      <c r="F106" s="14" t="s">
        <v>2655</v>
      </c>
      <c r="G106" s="17"/>
      <c r="H106" s="125" t="str">
        <f>Settings!$B$3&amp;".mit.wp.frt.ure.np.1"</f>
        <v>egy.mit.wp.frt.ure.np.1</v>
      </c>
      <c r="K106" s="136"/>
      <c r="L106" s="137">
        <f t="shared" ref="L106:AE106" si="5">L$88*EXP(-L$70*L$32)</f>
        <v>0</v>
      </c>
      <c r="M106" s="137">
        <f t="shared" si="5"/>
        <v>0</v>
      </c>
      <c r="N106" s="137">
        <f t="shared" si="5"/>
        <v>0</v>
      </c>
      <c r="O106" s="137">
        <f t="shared" si="5"/>
        <v>0</v>
      </c>
      <c r="P106" s="137">
        <f t="shared" si="5"/>
        <v>0</v>
      </c>
      <c r="Q106" s="137">
        <f t="shared" si="5"/>
        <v>0</v>
      </c>
      <c r="R106" s="137">
        <f t="shared" si="5"/>
        <v>0</v>
      </c>
      <c r="S106" s="137">
        <f t="shared" si="5"/>
        <v>0</v>
      </c>
      <c r="T106" s="137">
        <f t="shared" si="5"/>
        <v>0</v>
      </c>
      <c r="U106" s="137">
        <f t="shared" si="5"/>
        <v>0</v>
      </c>
      <c r="V106" s="137">
        <f t="shared" si="5"/>
        <v>0</v>
      </c>
      <c r="W106" s="137">
        <f t="shared" si="5"/>
        <v>0</v>
      </c>
      <c r="X106" s="137">
        <f t="shared" si="5"/>
        <v>0</v>
      </c>
      <c r="Y106" s="137">
        <f t="shared" si="5"/>
        <v>0</v>
      </c>
      <c r="Z106" s="137">
        <f t="shared" si="5"/>
        <v>0</v>
      </c>
      <c r="AA106" s="137">
        <f t="shared" si="5"/>
        <v>0</v>
      </c>
      <c r="AB106" s="137">
        <f t="shared" si="5"/>
        <v>0</v>
      </c>
      <c r="AC106" s="137">
        <f t="shared" si="5"/>
        <v>0</v>
      </c>
      <c r="AD106" s="137">
        <f t="shared" si="5"/>
        <v>0</v>
      </c>
      <c r="AE106" s="137">
        <f t="shared" si="5"/>
        <v>0</v>
      </c>
      <c r="AF106" s="138"/>
      <c r="AG106" s="138"/>
      <c r="AH106" s="138"/>
      <c r="AI106" s="138"/>
    </row>
    <row r="107" spans="1:35" customFormat="1" ht="14.25" x14ac:dyDescent="0.45">
      <c r="B107" s="14" t="s">
        <v>2578</v>
      </c>
      <c r="C107" s="14" t="s">
        <v>117</v>
      </c>
      <c r="D107" s="15" t="s">
        <v>2663</v>
      </c>
      <c r="E107" s="16" t="s">
        <v>2068</v>
      </c>
      <c r="F107" s="14" t="s">
        <v>2655</v>
      </c>
      <c r="G107" s="17"/>
      <c r="H107" s="125" t="str">
        <f>Settings!$B$3&amp;".mit.wp.frt.nit.np.1"</f>
        <v>egy.mit.wp.frt.nit.np.1</v>
      </c>
      <c r="K107" s="136"/>
      <c r="L107" s="137">
        <f t="shared" ref="L107:AE107" si="6">L$89*EXP(-L$71*L$33)</f>
        <v>0</v>
      </c>
      <c r="M107" s="137">
        <f t="shared" si="6"/>
        <v>0</v>
      </c>
      <c r="N107" s="137">
        <f t="shared" si="6"/>
        <v>0</v>
      </c>
      <c r="O107" s="137">
        <f t="shared" si="6"/>
        <v>0</v>
      </c>
      <c r="P107" s="137">
        <f t="shared" si="6"/>
        <v>0</v>
      </c>
      <c r="Q107" s="137">
        <f t="shared" si="6"/>
        <v>0</v>
      </c>
      <c r="R107" s="137">
        <f t="shared" si="6"/>
        <v>0</v>
      </c>
      <c r="S107" s="137">
        <f t="shared" si="6"/>
        <v>0</v>
      </c>
      <c r="T107" s="137">
        <f t="shared" si="6"/>
        <v>0</v>
      </c>
      <c r="U107" s="137">
        <f t="shared" si="6"/>
        <v>0</v>
      </c>
      <c r="V107" s="137">
        <f t="shared" si="6"/>
        <v>0</v>
      </c>
      <c r="W107" s="137">
        <f t="shared" si="6"/>
        <v>0</v>
      </c>
      <c r="X107" s="137">
        <f t="shared" si="6"/>
        <v>0</v>
      </c>
      <c r="Y107" s="137">
        <f t="shared" si="6"/>
        <v>0</v>
      </c>
      <c r="Z107" s="137">
        <f t="shared" si="6"/>
        <v>0</v>
      </c>
      <c r="AA107" s="137">
        <f t="shared" si="6"/>
        <v>0</v>
      </c>
      <c r="AB107" s="137">
        <f t="shared" si="6"/>
        <v>0</v>
      </c>
      <c r="AC107" s="137">
        <f t="shared" si="6"/>
        <v>0</v>
      </c>
      <c r="AD107" s="137">
        <f t="shared" si="6"/>
        <v>0</v>
      </c>
      <c r="AE107" s="137">
        <f t="shared" si="6"/>
        <v>0</v>
      </c>
      <c r="AF107" s="138"/>
      <c r="AG107" s="138"/>
      <c r="AH107" s="138"/>
      <c r="AI107" s="138"/>
    </row>
    <row r="108" spans="1:35" customFormat="1" ht="14.25" x14ac:dyDescent="0.45">
      <c r="B108" s="14" t="s">
        <v>2580</v>
      </c>
      <c r="C108" s="14" t="s">
        <v>115</v>
      </c>
      <c r="D108" s="15" t="s">
        <v>2664</v>
      </c>
      <c r="E108" s="16" t="s">
        <v>2068</v>
      </c>
      <c r="F108" s="14" t="s">
        <v>2655</v>
      </c>
      <c r="G108" s="17"/>
      <c r="H108" s="125" t="str">
        <f>Settings!$B$3&amp;".mit.wp.alu.prp.np.1"</f>
        <v>egy.mit.wp.alu.prp.np.1</v>
      </c>
      <c r="K108" s="136"/>
      <c r="L108" s="137">
        <f t="shared" ref="L108:AE108" si="7">L$90*EXP(-L$72*L$34)</f>
        <v>0.43758937310482698</v>
      </c>
      <c r="M108" s="137">
        <f t="shared" si="7"/>
        <v>0.4616567886255924</v>
      </c>
      <c r="N108" s="137">
        <f t="shared" si="7"/>
        <v>0.48704791199999997</v>
      </c>
      <c r="O108" s="137">
        <f t="shared" si="7"/>
        <v>0.51383554716000002</v>
      </c>
      <c r="P108" s="137">
        <f t="shared" si="7"/>
        <v>0.54209650225379991</v>
      </c>
      <c r="Q108" s="137">
        <f t="shared" si="7"/>
        <v>0.5719118098777588</v>
      </c>
      <c r="R108" s="137">
        <f t="shared" si="7"/>
        <v>0.6033669594210358</v>
      </c>
      <c r="S108" s="137">
        <f t="shared" si="7"/>
        <v>0.63655214218919254</v>
      </c>
      <c r="T108" s="137">
        <f t="shared" si="7"/>
        <v>0.6715625100095981</v>
      </c>
      <c r="U108" s="137">
        <f t="shared" si="7"/>
        <v>0.70849844806012596</v>
      </c>
      <c r="V108" s="137">
        <f t="shared" si="7"/>
        <v>0.74746586270343296</v>
      </c>
      <c r="W108" s="137">
        <f t="shared" si="7"/>
        <v>0.78857648515212175</v>
      </c>
      <c r="X108" s="137">
        <f t="shared" si="7"/>
        <v>0.83194819183548852</v>
      </c>
      <c r="Y108" s="137">
        <f t="shared" si="7"/>
        <v>0.87770534238644027</v>
      </c>
      <c r="Z108" s="137">
        <f t="shared" si="7"/>
        <v>0.92597913621769457</v>
      </c>
      <c r="AA108" s="137">
        <f t="shared" si="7"/>
        <v>0.97690798870966755</v>
      </c>
      <c r="AB108" s="137">
        <f t="shared" si="7"/>
        <v>1.0306379280886993</v>
      </c>
      <c r="AC108" s="137">
        <f t="shared" si="7"/>
        <v>1.0873230141335775</v>
      </c>
      <c r="AD108" s="137">
        <f t="shared" si="7"/>
        <v>1.1471257799109245</v>
      </c>
      <c r="AE108" s="137">
        <f t="shared" si="7"/>
        <v>1.2102176978060251</v>
      </c>
      <c r="AF108" s="138"/>
      <c r="AG108" s="138"/>
      <c r="AH108" s="138"/>
      <c r="AI108" s="138"/>
    </row>
    <row r="109" spans="1:35" customFormat="1" ht="14.25" x14ac:dyDescent="0.45">
      <c r="B109" s="14" t="s">
        <v>2582</v>
      </c>
      <c r="C109" s="14" t="s">
        <v>43</v>
      </c>
      <c r="D109" s="15" t="s">
        <v>2665</v>
      </c>
      <c r="E109" s="16" t="s">
        <v>2068</v>
      </c>
      <c r="F109" s="14" t="s">
        <v>2655</v>
      </c>
      <c r="G109" s="17"/>
      <c r="H109" s="125" t="str">
        <f>Settings!$B$3&amp;".mit.wp.stl.drg.no.1"</f>
        <v>egy.mit.wp.stl.drg.no.1</v>
      </c>
      <c r="K109" s="136"/>
      <c r="L109" s="137">
        <f t="shared" ref="L109:AE109" si="8">L$91*EXP(-L$73*L$35)</f>
        <v>0</v>
      </c>
      <c r="M109" s="137">
        <f t="shared" si="8"/>
        <v>0</v>
      </c>
      <c r="N109" s="137">
        <f t="shared" si="8"/>
        <v>0</v>
      </c>
      <c r="O109" s="137">
        <f t="shared" si="8"/>
        <v>0</v>
      </c>
      <c r="P109" s="137">
        <f t="shared" si="8"/>
        <v>0</v>
      </c>
      <c r="Q109" s="137">
        <f t="shared" si="8"/>
        <v>0</v>
      </c>
      <c r="R109" s="137">
        <f t="shared" si="8"/>
        <v>0</v>
      </c>
      <c r="S109" s="137">
        <f t="shared" si="8"/>
        <v>0</v>
      </c>
      <c r="T109" s="137">
        <f t="shared" si="8"/>
        <v>0</v>
      </c>
      <c r="U109" s="137">
        <f t="shared" si="8"/>
        <v>0</v>
      </c>
      <c r="V109" s="137">
        <f t="shared" si="8"/>
        <v>0</v>
      </c>
      <c r="W109" s="137">
        <f t="shared" si="8"/>
        <v>0</v>
      </c>
      <c r="X109" s="137">
        <f t="shared" si="8"/>
        <v>0</v>
      </c>
      <c r="Y109" s="137">
        <f t="shared" si="8"/>
        <v>0</v>
      </c>
      <c r="Z109" s="137">
        <f t="shared" si="8"/>
        <v>0</v>
      </c>
      <c r="AA109" s="137">
        <f t="shared" si="8"/>
        <v>0</v>
      </c>
      <c r="AB109" s="137">
        <f t="shared" si="8"/>
        <v>0</v>
      </c>
      <c r="AC109" s="137">
        <f t="shared" si="8"/>
        <v>0</v>
      </c>
      <c r="AD109" s="137">
        <f t="shared" si="8"/>
        <v>0</v>
      </c>
      <c r="AE109" s="137">
        <f t="shared" si="8"/>
        <v>0</v>
      </c>
      <c r="AF109" s="138"/>
      <c r="AG109" s="138"/>
      <c r="AH109" s="138"/>
      <c r="AI109" s="138"/>
    </row>
    <row r="110" spans="1:35" customFormat="1" ht="14.25" x14ac:dyDescent="0.45">
      <c r="B110" s="14" t="s">
        <v>2584</v>
      </c>
      <c r="C110" s="14" t="s">
        <v>43</v>
      </c>
      <c r="D110" s="15" t="s">
        <v>2666</v>
      </c>
      <c r="E110" s="16" t="s">
        <v>2068</v>
      </c>
      <c r="F110" s="14" t="s">
        <v>2655</v>
      </c>
      <c r="G110" s="17"/>
      <c r="H110" s="125" t="str">
        <f>Settings!$B$3&amp;".mit.wp.stl.scr.no.1"</f>
        <v>egy.mit.wp.stl.scr.no.1</v>
      </c>
      <c r="K110" s="136"/>
      <c r="L110" s="137">
        <f t="shared" ref="L110:AE110" si="9">L$92*EXP(-L$74*L$36)</f>
        <v>0</v>
      </c>
      <c r="M110" s="137">
        <f t="shared" si="9"/>
        <v>0</v>
      </c>
      <c r="N110" s="137">
        <f t="shared" si="9"/>
        <v>0</v>
      </c>
      <c r="O110" s="137">
        <f t="shared" si="9"/>
        <v>0</v>
      </c>
      <c r="P110" s="137">
        <f t="shared" si="9"/>
        <v>0</v>
      </c>
      <c r="Q110" s="137">
        <f t="shared" si="9"/>
        <v>0</v>
      </c>
      <c r="R110" s="137">
        <f t="shared" si="9"/>
        <v>0</v>
      </c>
      <c r="S110" s="137">
        <f t="shared" si="9"/>
        <v>0</v>
      </c>
      <c r="T110" s="137">
        <f t="shared" si="9"/>
        <v>0</v>
      </c>
      <c r="U110" s="137">
        <f t="shared" si="9"/>
        <v>0</v>
      </c>
      <c r="V110" s="137">
        <f t="shared" si="9"/>
        <v>0</v>
      </c>
      <c r="W110" s="137">
        <f t="shared" si="9"/>
        <v>0</v>
      </c>
      <c r="X110" s="137">
        <f t="shared" si="9"/>
        <v>0</v>
      </c>
      <c r="Y110" s="137">
        <f t="shared" si="9"/>
        <v>0</v>
      </c>
      <c r="Z110" s="137">
        <f t="shared" si="9"/>
        <v>0</v>
      </c>
      <c r="AA110" s="137">
        <f t="shared" si="9"/>
        <v>0</v>
      </c>
      <c r="AB110" s="137">
        <f t="shared" si="9"/>
        <v>0</v>
      </c>
      <c r="AC110" s="137">
        <f t="shared" si="9"/>
        <v>0</v>
      </c>
      <c r="AD110" s="137">
        <f t="shared" si="9"/>
        <v>0</v>
      </c>
      <c r="AE110" s="137">
        <f t="shared" si="9"/>
        <v>0</v>
      </c>
      <c r="AF110" s="138"/>
      <c r="AG110" s="138"/>
      <c r="AH110" s="138"/>
      <c r="AI110" s="138"/>
    </row>
    <row r="111" spans="1:35" customFormat="1" ht="14.25" x14ac:dyDescent="0.45">
      <c r="B111" s="14" t="s">
        <v>2586</v>
      </c>
      <c r="C111" s="14" t="s">
        <v>43</v>
      </c>
      <c r="D111" s="15" t="s">
        <v>2667</v>
      </c>
      <c r="E111" s="16" t="s">
        <v>2068</v>
      </c>
      <c r="F111" s="14" t="s">
        <v>2655</v>
      </c>
      <c r="G111" s="17"/>
      <c r="H111" s="125" t="str">
        <f>Settings!$B$3&amp;".mit.wp.stl.bof.no.1"</f>
        <v>egy.mit.wp.stl.bof.no.1</v>
      </c>
      <c r="K111" s="136"/>
      <c r="L111" s="137">
        <f t="shared" ref="L111:AE111" si="10">L$93*EXP(-L$75*L$37)</f>
        <v>0</v>
      </c>
      <c r="M111" s="137">
        <f t="shared" si="10"/>
        <v>0</v>
      </c>
      <c r="N111" s="137">
        <f t="shared" si="10"/>
        <v>0</v>
      </c>
      <c r="O111" s="137">
        <f t="shared" si="10"/>
        <v>0</v>
      </c>
      <c r="P111" s="137">
        <f t="shared" si="10"/>
        <v>0</v>
      </c>
      <c r="Q111" s="137">
        <f t="shared" si="10"/>
        <v>0</v>
      </c>
      <c r="R111" s="137">
        <f t="shared" si="10"/>
        <v>0</v>
      </c>
      <c r="S111" s="137">
        <f t="shared" si="10"/>
        <v>0</v>
      </c>
      <c r="T111" s="137">
        <f t="shared" si="10"/>
        <v>0</v>
      </c>
      <c r="U111" s="137">
        <f t="shared" si="10"/>
        <v>0</v>
      </c>
      <c r="V111" s="137">
        <f t="shared" si="10"/>
        <v>0</v>
      </c>
      <c r="W111" s="137">
        <f t="shared" si="10"/>
        <v>0</v>
      </c>
      <c r="X111" s="137">
        <f t="shared" si="10"/>
        <v>0</v>
      </c>
      <c r="Y111" s="137">
        <f t="shared" si="10"/>
        <v>0</v>
      </c>
      <c r="Z111" s="137">
        <f t="shared" si="10"/>
        <v>0</v>
      </c>
      <c r="AA111" s="137">
        <f t="shared" si="10"/>
        <v>0</v>
      </c>
      <c r="AB111" s="137">
        <f t="shared" si="10"/>
        <v>0</v>
      </c>
      <c r="AC111" s="137">
        <f t="shared" si="10"/>
        <v>0</v>
      </c>
      <c r="AD111" s="137">
        <f t="shared" si="10"/>
        <v>0</v>
      </c>
      <c r="AE111" s="137">
        <f t="shared" si="10"/>
        <v>0</v>
      </c>
      <c r="AF111" s="138"/>
      <c r="AG111" s="138"/>
      <c r="AH111" s="138"/>
      <c r="AI111" s="138"/>
    </row>
    <row r="112" spans="1:35" customFormat="1" ht="14.25" x14ac:dyDescent="0.45">
      <c r="B112" s="14" t="s">
        <v>2588</v>
      </c>
      <c r="C112" s="14" t="s">
        <v>113</v>
      </c>
      <c r="D112" s="15" t="s">
        <v>2668</v>
      </c>
      <c r="E112" s="16" t="s">
        <v>2068</v>
      </c>
      <c r="F112" s="14" t="s">
        <v>2655</v>
      </c>
      <c r="G112" s="17"/>
      <c r="H112" s="125" t="str">
        <f>Settings!$B$3&amp;".mit.wp.cmt.dry.no.1"</f>
        <v>egy.mit.wp.cmt.dry.no.1</v>
      </c>
      <c r="K112" s="136"/>
      <c r="L112" s="137">
        <f t="shared" ref="L112:AE112" si="11">L$94*EXP(-L$76*L$38)</f>
        <v>0</v>
      </c>
      <c r="M112" s="137">
        <f t="shared" si="11"/>
        <v>0</v>
      </c>
      <c r="N112" s="137">
        <f t="shared" si="11"/>
        <v>0</v>
      </c>
      <c r="O112" s="137">
        <f t="shared" si="11"/>
        <v>0</v>
      </c>
      <c r="P112" s="137">
        <f t="shared" si="11"/>
        <v>0</v>
      </c>
      <c r="Q112" s="137">
        <f t="shared" si="11"/>
        <v>0</v>
      </c>
      <c r="R112" s="137">
        <f t="shared" si="11"/>
        <v>0</v>
      </c>
      <c r="S112" s="137">
        <f t="shared" si="11"/>
        <v>0</v>
      </c>
      <c r="T112" s="137">
        <f t="shared" si="11"/>
        <v>0</v>
      </c>
      <c r="U112" s="137">
        <f t="shared" si="11"/>
        <v>0</v>
      </c>
      <c r="V112" s="137">
        <f t="shared" si="11"/>
        <v>0</v>
      </c>
      <c r="W112" s="137">
        <f t="shared" si="11"/>
        <v>0</v>
      </c>
      <c r="X112" s="137">
        <f t="shared" si="11"/>
        <v>0</v>
      </c>
      <c r="Y112" s="137">
        <f t="shared" si="11"/>
        <v>0</v>
      </c>
      <c r="Z112" s="137">
        <f t="shared" si="11"/>
        <v>0</v>
      </c>
      <c r="AA112" s="137">
        <f t="shared" si="11"/>
        <v>0</v>
      </c>
      <c r="AB112" s="137">
        <f t="shared" si="11"/>
        <v>0</v>
      </c>
      <c r="AC112" s="137">
        <f t="shared" si="11"/>
        <v>0</v>
      </c>
      <c r="AD112" s="137">
        <f t="shared" si="11"/>
        <v>0</v>
      </c>
      <c r="AE112" s="137">
        <f t="shared" si="11"/>
        <v>0</v>
      </c>
      <c r="AF112" s="138"/>
      <c r="AG112" s="138"/>
      <c r="AH112" s="138"/>
      <c r="AI112" s="138"/>
    </row>
    <row r="113" spans="1:35" customFormat="1" ht="14.25" x14ac:dyDescent="0.45">
      <c r="B113" s="14" t="s">
        <v>2590</v>
      </c>
      <c r="C113" s="14" t="s">
        <v>117</v>
      </c>
      <c r="D113" s="15" t="s">
        <v>2669</v>
      </c>
      <c r="E113" s="16" t="s">
        <v>2068</v>
      </c>
      <c r="F113" s="14" t="s">
        <v>2655</v>
      </c>
      <c r="G113" s="17"/>
      <c r="H113" s="125" t="str">
        <f>Settings!$B$3&amp;".mit.wp.frt.amc.no.1"</f>
        <v>egy.mit.wp.frt.amc.no.1</v>
      </c>
      <c r="K113" s="136"/>
      <c r="L113" s="137">
        <f t="shared" ref="L113:AE113" si="12">L$95*EXP(-L$77*L$39)</f>
        <v>0</v>
      </c>
      <c r="M113" s="137">
        <f t="shared" si="12"/>
        <v>0</v>
      </c>
      <c r="N113" s="137">
        <f t="shared" si="12"/>
        <v>0</v>
      </c>
      <c r="O113" s="137">
        <f t="shared" si="12"/>
        <v>0</v>
      </c>
      <c r="P113" s="137">
        <f t="shared" si="12"/>
        <v>0</v>
      </c>
      <c r="Q113" s="137">
        <f t="shared" si="12"/>
        <v>0</v>
      </c>
      <c r="R113" s="137">
        <f t="shared" si="12"/>
        <v>0</v>
      </c>
      <c r="S113" s="137">
        <f t="shared" si="12"/>
        <v>0</v>
      </c>
      <c r="T113" s="137">
        <f t="shared" si="12"/>
        <v>0</v>
      </c>
      <c r="U113" s="137">
        <f t="shared" si="12"/>
        <v>0</v>
      </c>
      <c r="V113" s="137">
        <f t="shared" si="12"/>
        <v>0</v>
      </c>
      <c r="W113" s="137">
        <f t="shared" si="12"/>
        <v>0</v>
      </c>
      <c r="X113" s="137">
        <f t="shared" si="12"/>
        <v>0</v>
      </c>
      <c r="Y113" s="137">
        <f t="shared" si="12"/>
        <v>0</v>
      </c>
      <c r="Z113" s="137">
        <f t="shared" si="12"/>
        <v>0</v>
      </c>
      <c r="AA113" s="137">
        <f t="shared" si="12"/>
        <v>0</v>
      </c>
      <c r="AB113" s="137">
        <f t="shared" si="12"/>
        <v>0</v>
      </c>
      <c r="AC113" s="137">
        <f t="shared" si="12"/>
        <v>0</v>
      </c>
      <c r="AD113" s="137">
        <f t="shared" si="12"/>
        <v>0</v>
      </c>
      <c r="AE113" s="137">
        <f t="shared" si="12"/>
        <v>0</v>
      </c>
      <c r="AF113" s="138"/>
      <c r="AG113" s="138"/>
      <c r="AH113" s="138"/>
      <c r="AI113" s="138"/>
    </row>
    <row r="114" spans="1:35" customFormat="1" ht="14.25" x14ac:dyDescent="0.45">
      <c r="B114" s="14" t="s">
        <v>2592</v>
      </c>
      <c r="C114" s="14" t="s">
        <v>117</v>
      </c>
      <c r="D114" s="15" t="s">
        <v>2670</v>
      </c>
      <c r="E114" s="16" t="s">
        <v>2068</v>
      </c>
      <c r="F114" s="14" t="s">
        <v>2655</v>
      </c>
      <c r="G114" s="17"/>
      <c r="H114" s="125" t="str">
        <f>Settings!$B$3&amp;".mit.wp.frt.ure.no.1"</f>
        <v>egy.mit.wp.frt.ure.no.1</v>
      </c>
      <c r="K114" s="136"/>
      <c r="L114" s="137">
        <f t="shared" ref="L114:AE114" si="13">L$96*EXP(-L$78*L$40)</f>
        <v>0</v>
      </c>
      <c r="M114" s="137">
        <f t="shared" si="13"/>
        <v>0</v>
      </c>
      <c r="N114" s="137">
        <f t="shared" si="13"/>
        <v>0</v>
      </c>
      <c r="O114" s="137">
        <f t="shared" si="13"/>
        <v>0</v>
      </c>
      <c r="P114" s="137">
        <f t="shared" si="13"/>
        <v>0</v>
      </c>
      <c r="Q114" s="137">
        <f t="shared" si="13"/>
        <v>0</v>
      </c>
      <c r="R114" s="137">
        <f t="shared" si="13"/>
        <v>0</v>
      </c>
      <c r="S114" s="137">
        <f t="shared" si="13"/>
        <v>0</v>
      </c>
      <c r="T114" s="137">
        <f t="shared" si="13"/>
        <v>0</v>
      </c>
      <c r="U114" s="137">
        <f t="shared" si="13"/>
        <v>0</v>
      </c>
      <c r="V114" s="137">
        <f t="shared" si="13"/>
        <v>0</v>
      </c>
      <c r="W114" s="137">
        <f t="shared" si="13"/>
        <v>0</v>
      </c>
      <c r="X114" s="137">
        <f t="shared" si="13"/>
        <v>0</v>
      </c>
      <c r="Y114" s="137">
        <f t="shared" si="13"/>
        <v>0</v>
      </c>
      <c r="Z114" s="137">
        <f t="shared" si="13"/>
        <v>0</v>
      </c>
      <c r="AA114" s="137">
        <f t="shared" si="13"/>
        <v>0</v>
      </c>
      <c r="AB114" s="137">
        <f t="shared" si="13"/>
        <v>0</v>
      </c>
      <c r="AC114" s="137">
        <f t="shared" si="13"/>
        <v>0</v>
      </c>
      <c r="AD114" s="137">
        <f t="shared" si="13"/>
        <v>0</v>
      </c>
      <c r="AE114" s="137">
        <f t="shared" si="13"/>
        <v>0</v>
      </c>
      <c r="AF114" s="138"/>
      <c r="AG114" s="138"/>
      <c r="AH114" s="138"/>
      <c r="AI114" s="138"/>
    </row>
    <row r="115" spans="1:35" customFormat="1" ht="14.25" x14ac:dyDescent="0.45">
      <c r="B115" s="14" t="s">
        <v>2594</v>
      </c>
      <c r="C115" s="14" t="s">
        <v>117</v>
      </c>
      <c r="D115" s="15" t="s">
        <v>2671</v>
      </c>
      <c r="E115" s="16" t="s">
        <v>2068</v>
      </c>
      <c r="F115" s="14" t="s">
        <v>2655</v>
      </c>
      <c r="G115" s="17"/>
      <c r="H115" s="125" t="str">
        <f>Settings!$B$3&amp;".mit.wp.frt.nit.no.1"</f>
        <v>egy.mit.wp.frt.nit.no.1</v>
      </c>
      <c r="K115" s="136"/>
      <c r="L115" s="137">
        <f t="shared" ref="L115:AE115" si="14">L$97*EXP(-L$79*L$41)</f>
        <v>0.57123661061347031</v>
      </c>
      <c r="M115" s="137">
        <f t="shared" si="14"/>
        <v>0.58380381604696674</v>
      </c>
      <c r="N115" s="137">
        <f t="shared" si="14"/>
        <v>0.5966475</v>
      </c>
      <c r="O115" s="137">
        <f t="shared" si="14"/>
        <v>0.60977374500000003</v>
      </c>
      <c r="P115" s="137">
        <f t="shared" si="14"/>
        <v>0.62318876738999995</v>
      </c>
      <c r="Q115" s="137">
        <f t="shared" si="14"/>
        <v>0.6368989202725801</v>
      </c>
      <c r="R115" s="137">
        <f t="shared" si="14"/>
        <v>0.65091069651857669</v>
      </c>
      <c r="S115" s="137">
        <f t="shared" si="14"/>
        <v>0.66523073184198556</v>
      </c>
      <c r="T115" s="137">
        <f t="shared" si="14"/>
        <v>0.67986580794250906</v>
      </c>
      <c r="U115" s="137">
        <f t="shared" si="14"/>
        <v>0.69482285571724434</v>
      </c>
      <c r="V115" s="137">
        <f t="shared" si="14"/>
        <v>0.7101089585430238</v>
      </c>
      <c r="W115" s="137">
        <f t="shared" si="14"/>
        <v>0.72573135563097024</v>
      </c>
      <c r="X115" s="137">
        <f t="shared" si="14"/>
        <v>0.74169744545485172</v>
      </c>
      <c r="Y115" s="137">
        <f t="shared" si="14"/>
        <v>0.75801478925485843</v>
      </c>
      <c r="Z115" s="137">
        <f t="shared" si="14"/>
        <v>0.7746911146184654</v>
      </c>
      <c r="AA115" s="137">
        <f t="shared" si="14"/>
        <v>0.79173431914007153</v>
      </c>
      <c r="AB115" s="137">
        <f t="shared" si="14"/>
        <v>0.8091524741611531</v>
      </c>
      <c r="AC115" s="137">
        <f t="shared" si="14"/>
        <v>0.8269538285926985</v>
      </c>
      <c r="AD115" s="137">
        <f t="shared" si="14"/>
        <v>0.84514681282173787</v>
      </c>
      <c r="AE115" s="137">
        <f t="shared" si="14"/>
        <v>0.8637400427038161</v>
      </c>
      <c r="AF115" s="138"/>
      <c r="AG115" s="138"/>
      <c r="AH115" s="138"/>
      <c r="AI115" s="138"/>
    </row>
    <row r="116" spans="1:35" customFormat="1" ht="14.25" x14ac:dyDescent="0.45">
      <c r="B116" s="14" t="s">
        <v>2596</v>
      </c>
      <c r="C116" s="14" t="s">
        <v>115</v>
      </c>
      <c r="D116" s="15" t="s">
        <v>2672</v>
      </c>
      <c r="E116" s="16" t="s">
        <v>2068</v>
      </c>
      <c r="F116" s="14" t="s">
        <v>2655</v>
      </c>
      <c r="G116" s="17"/>
      <c r="H116" s="125" t="str">
        <f>Settings!$B$3&amp;".mit.wp.alu.prp.no.1"</f>
        <v>egy.mit.wp.alu.prp.no.1</v>
      </c>
      <c r="K116" s="136"/>
      <c r="L116" s="137">
        <f t="shared" ref="L116:AE116" si="15">L$98*EXP(-L$80*L$42)</f>
        <v>0.20862065092877519</v>
      </c>
      <c r="M116" s="137">
        <f t="shared" si="15"/>
        <v>0.22009478672985783</v>
      </c>
      <c r="N116" s="137">
        <f t="shared" si="15"/>
        <v>0.23220000000000002</v>
      </c>
      <c r="O116" s="137">
        <f t="shared" si="15"/>
        <v>0.24497099999999999</v>
      </c>
      <c r="P116" s="137">
        <f t="shared" si="15"/>
        <v>0.25844440499999999</v>
      </c>
      <c r="Q116" s="137">
        <f t="shared" si="15"/>
        <v>0.27265884727499995</v>
      </c>
      <c r="R116" s="137">
        <f t="shared" si="15"/>
        <v>0.28765508387512501</v>
      </c>
      <c r="S116" s="137">
        <f t="shared" si="15"/>
        <v>0.30347611348825682</v>
      </c>
      <c r="T116" s="137">
        <f t="shared" si="15"/>
        <v>0.32016729973011093</v>
      </c>
      <c r="U116" s="137">
        <f t="shared" si="15"/>
        <v>0.33777650121526698</v>
      </c>
      <c r="V116" s="137">
        <f t="shared" si="15"/>
        <v>0.35635420878210672</v>
      </c>
      <c r="W116" s="137">
        <f t="shared" si="15"/>
        <v>0.37595369026512254</v>
      </c>
      <c r="X116" s="137">
        <f t="shared" si="15"/>
        <v>0.39663114322970433</v>
      </c>
      <c r="Y116" s="137">
        <f t="shared" si="15"/>
        <v>0.41844585610733798</v>
      </c>
      <c r="Z116" s="137">
        <f t="shared" si="15"/>
        <v>0.44146037819324158</v>
      </c>
      <c r="AA116" s="137">
        <f t="shared" si="15"/>
        <v>0.46574069899386977</v>
      </c>
      <c r="AB116" s="137">
        <f t="shared" si="15"/>
        <v>0.49135643743853269</v>
      </c>
      <c r="AC116" s="137">
        <f t="shared" si="15"/>
        <v>0.51838104149765185</v>
      </c>
      <c r="AD116" s="137">
        <f t="shared" si="15"/>
        <v>0.5468919987800227</v>
      </c>
      <c r="AE116" s="137">
        <f t="shared" si="15"/>
        <v>0.57697105871292398</v>
      </c>
      <c r="AF116" s="138"/>
      <c r="AG116" s="138"/>
      <c r="AH116" s="138"/>
      <c r="AI116" s="138"/>
    </row>
    <row r="117" spans="1:35" x14ac:dyDescent="0.35"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</row>
    <row r="118" spans="1:35" customFormat="1" ht="14.25" x14ac:dyDescent="0.45">
      <c r="A118" s="11"/>
      <c r="B118" s="6"/>
      <c r="C118" s="7" t="s">
        <v>2673</v>
      </c>
      <c r="D118" s="6" t="s">
        <v>1488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34">
        <v>2021</v>
      </c>
      <c r="L118" s="135">
        <v>2022</v>
      </c>
      <c r="M118" s="134">
        <v>2023</v>
      </c>
      <c r="N118" s="134">
        <v>2024</v>
      </c>
      <c r="O118" s="134">
        <v>2025</v>
      </c>
      <c r="P118" s="134">
        <v>2026</v>
      </c>
      <c r="Q118" s="134">
        <v>2027</v>
      </c>
      <c r="R118" s="134">
        <v>2028</v>
      </c>
      <c r="S118" s="134">
        <v>2029</v>
      </c>
      <c r="T118" s="134">
        <v>2030</v>
      </c>
      <c r="U118" s="134">
        <v>2031</v>
      </c>
      <c r="V118" s="134">
        <v>2032</v>
      </c>
      <c r="W118" s="134">
        <v>2033</v>
      </c>
      <c r="X118" s="134">
        <v>2034</v>
      </c>
      <c r="Y118" s="134">
        <v>2035</v>
      </c>
      <c r="Z118" s="134">
        <v>2036</v>
      </c>
      <c r="AA118" s="134">
        <v>2037</v>
      </c>
      <c r="AB118" s="134">
        <v>2038</v>
      </c>
      <c r="AC118" s="134">
        <v>2039</v>
      </c>
      <c r="AD118" s="134">
        <v>2040</v>
      </c>
      <c r="AE118" s="134">
        <v>2041</v>
      </c>
      <c r="AF118" s="134">
        <v>2042</v>
      </c>
      <c r="AG118" s="134">
        <v>2043</v>
      </c>
      <c r="AH118" s="134">
        <v>2044</v>
      </c>
      <c r="AI118" s="134">
        <v>2045</v>
      </c>
    </row>
    <row r="119" spans="1:35" customFormat="1" ht="14.25" x14ac:dyDescent="0.45">
      <c r="B119" s="14" t="s">
        <v>2674</v>
      </c>
      <c r="C119" s="14" t="s">
        <v>2675</v>
      </c>
      <c r="D119" s="15" t="s">
        <v>2676</v>
      </c>
      <c r="E119" s="16" t="s">
        <v>1854</v>
      </c>
      <c r="F119" s="14" t="s">
        <v>2674</v>
      </c>
      <c r="G119" s="17"/>
      <c r="H119" s="125" t="str">
        <f>Settings!$B$3&amp;".mit.revf0.cbam.tot.1"</f>
        <v>egy.mit.revf0.cbam.tot.1</v>
      </c>
      <c r="I119" t="s">
        <v>2677</v>
      </c>
      <c r="K119" s="136"/>
      <c r="L119" s="140">
        <f>SUMPRODUCT(L$45:L$52*Mitigation_Industry!$I$330:$I$337*L$17:L$24)</f>
        <v>0</v>
      </c>
      <c r="M119" s="140">
        <f>SUMPRODUCT(M$45:M$52*Mitigation_Industry!$I$330:$I$337*M$17:M$24)</f>
        <v>0</v>
      </c>
      <c r="N119" s="140">
        <f>SUMPRODUCT(N$45:N$52*Mitigation_Industry!$I$330:$I$337*N$17:N$24)</f>
        <v>0</v>
      </c>
      <c r="O119" s="140">
        <f>SUMPRODUCT(O$45:O$52*Mitigation_Industry!$I$330:$I$337*O$17:O$24)</f>
        <v>0</v>
      </c>
      <c r="P119" s="140">
        <f>SUMPRODUCT(P$45:P$52*Mitigation_Industry!$I$330:$I$337*P$17:P$24)</f>
        <v>0</v>
      </c>
      <c r="Q119" s="140">
        <f>SUMPRODUCT(Q$45:Q$52*Mitigation_Industry!$I$330:$I$337*Q$17:Q$24)</f>
        <v>0</v>
      </c>
      <c r="R119" s="140">
        <f>SUMPRODUCT(R$45:R$52*Mitigation_Industry!$I$330:$I$337*R$17:R$24)</f>
        <v>0</v>
      </c>
      <c r="S119" s="140">
        <f>SUMPRODUCT(S$45:S$52*Mitigation_Industry!$I$330:$I$337*S$17:S$24)</f>
        <v>0</v>
      </c>
      <c r="T119" s="140">
        <f>SUMPRODUCT(T$45:T$52*Mitigation_Industry!$I$330:$I$337*T$17:T$24)</f>
        <v>0</v>
      </c>
      <c r="U119" s="140">
        <f>SUMPRODUCT(U$45:U$52*Mitigation_Industry!$I$330:$I$337*U$17:U$24)</f>
        <v>0</v>
      </c>
      <c r="V119" s="140">
        <f>SUMPRODUCT(V$45:V$52*Mitigation_Industry!$I$330:$I$337*V$17:V$24)</f>
        <v>0</v>
      </c>
      <c r="W119" s="140">
        <f>SUMPRODUCT(W$45:W$52*Mitigation_Industry!$I$330:$I$337*W$17:W$24)</f>
        <v>0</v>
      </c>
      <c r="X119" s="140">
        <f>SUMPRODUCT(X$45:X$52*Mitigation_Industry!$I$330:$I$337*X$17:X$24)</f>
        <v>0</v>
      </c>
      <c r="Y119" s="140">
        <f>SUMPRODUCT(Y$45:Y$52*Mitigation_Industry!$I$330:$I$337*Y$17:Y$24)</f>
        <v>0</v>
      </c>
      <c r="Z119" s="140">
        <f>SUMPRODUCT(Z$45:Z$52*Mitigation_Industry!$I$330:$I$337*Z$17:Z$24)</f>
        <v>0</v>
      </c>
      <c r="AA119" s="140">
        <f>SUMPRODUCT(AA$45:AA$52*Mitigation_Industry!$I$330:$I$337*AA$17:AA$24)</f>
        <v>0</v>
      </c>
      <c r="AB119" s="140">
        <f>SUMPRODUCT(AB$45:AB$52*Mitigation_Industry!$I$330:$I$337*AB$17:AB$24)</f>
        <v>0</v>
      </c>
      <c r="AC119" s="140">
        <f>SUMPRODUCT(AC$45:AC$52*Mitigation_Industry!$I$330:$I$337*AC$17:AC$24)</f>
        <v>0</v>
      </c>
      <c r="AD119" s="140">
        <f>SUMPRODUCT(AD$45:AD$52*Mitigation_Industry!$I$330:$I$337*AD$17:AD$24)</f>
        <v>0</v>
      </c>
      <c r="AE119" s="140">
        <f>SUMPRODUCT(AE$45:AE$52*Mitigation_Industry!$I$330:$I$337*AE$17:AE$24)</f>
        <v>0</v>
      </c>
      <c r="AF119" s="138"/>
      <c r="AG119" s="138"/>
      <c r="AH119" s="138"/>
      <c r="AI119" s="138"/>
    </row>
    <row r="120" spans="1:35" customFormat="1" ht="14.25" x14ac:dyDescent="0.45">
      <c r="B120" s="14" t="s">
        <v>2678</v>
      </c>
      <c r="C120" s="14" t="s">
        <v>2675</v>
      </c>
      <c r="D120" s="15" t="s">
        <v>2679</v>
      </c>
      <c r="E120" s="16" t="s">
        <v>1854</v>
      </c>
      <c r="F120" s="14" t="s">
        <v>2678</v>
      </c>
      <c r="G120" s="17"/>
      <c r="H120" s="125" t="str">
        <f>Settings!$B$3&amp;".mit.revp0.cbam.tot.1"</f>
        <v>egy.mit.revp0.cbam.tot.1</v>
      </c>
      <c r="I120" t="s">
        <v>2680</v>
      </c>
      <c r="K120" s="136"/>
      <c r="L120" s="140">
        <f>SUMPRODUCT(Mitigation_Industry!L$341:L$348*Mitigation_Industry!$J$330:$J$337*L$27:L$34)-SUMPRODUCT((L$83:L$98-L$101:L$116)*L$27:L$42)</f>
        <v>0</v>
      </c>
      <c r="M120" s="140">
        <f>SUMPRODUCT(Mitigation_Industry!M$341:M$348*Mitigation_Industry!$J$330:$J$337*M$27:M$34)-SUMPRODUCT((M$83:M$98-M$101:M$116)*M$27:M$42)</f>
        <v>0</v>
      </c>
      <c r="N120" s="140">
        <f>SUMPRODUCT(Mitigation_Industry!N$341:N$348*Mitigation_Industry!$J$330:$J$337*N$27:N$34)-SUMPRODUCT((N$83:N$98-N$101:N$116)*N$27:N$42)</f>
        <v>0</v>
      </c>
      <c r="O120" s="140">
        <f>SUMPRODUCT(Mitigation_Industry!O$341:O$348*Mitigation_Industry!$J$330:$J$337*O$27:O$34)-SUMPRODUCT((O$83:O$98-O$101:O$116)*O$27:O$42)</f>
        <v>0</v>
      </c>
      <c r="P120" s="140">
        <f>SUMPRODUCT(Mitigation_Industry!P$341:P$348*Mitigation_Industry!$J$330:$J$337*P$27:P$34)-SUMPRODUCT((P$83:P$98-P$101:P$116)*P$27:P$42)</f>
        <v>0</v>
      </c>
      <c r="Q120" s="140">
        <f>SUMPRODUCT(Mitigation_Industry!Q$341:Q$348*Mitigation_Industry!$J$330:$J$337*Q$27:Q$34)-SUMPRODUCT((Q$83:Q$98-Q$101:Q$116)*Q$27:Q$42)</f>
        <v>0</v>
      </c>
      <c r="R120" s="140">
        <f>SUMPRODUCT(Mitigation_Industry!R$341:R$348*Mitigation_Industry!$J$330:$J$337*R$27:R$34)-SUMPRODUCT((R$83:R$98-R$101:R$116)*R$27:R$42)</f>
        <v>0</v>
      </c>
      <c r="S120" s="140">
        <f>SUMPRODUCT(Mitigation_Industry!S$341:S$348*Mitigation_Industry!$J$330:$J$337*S$27:S$34)-SUMPRODUCT((S$83:S$98-S$101:S$116)*S$27:S$42)</f>
        <v>0</v>
      </c>
      <c r="T120" s="140">
        <f>SUMPRODUCT(Mitigation_Industry!T$341:T$348*Mitigation_Industry!$J$330:$J$337*T$27:T$34)-SUMPRODUCT((T$83:T$98-T$101:T$116)*T$27:T$42)</f>
        <v>0</v>
      </c>
      <c r="U120" s="140">
        <f>SUMPRODUCT(Mitigation_Industry!U$341:U$348*Mitigation_Industry!$J$330:$J$337*U$27:U$34)-SUMPRODUCT((U$83:U$98-U$101:U$116)*U$27:U$42)</f>
        <v>0</v>
      </c>
      <c r="V120" s="140">
        <f>SUMPRODUCT(Mitigation_Industry!V$341:V$348*Mitigation_Industry!$J$330:$J$337*V$27:V$34)-SUMPRODUCT((V$83:V$98-V$101:V$116)*V$27:V$42)</f>
        <v>0</v>
      </c>
      <c r="W120" s="140">
        <f>SUMPRODUCT(Mitigation_Industry!W$341:W$348*Mitigation_Industry!$J$330:$J$337*W$27:W$34)-SUMPRODUCT((W$83:W$98-W$101:W$116)*W$27:W$42)</f>
        <v>0</v>
      </c>
      <c r="X120" s="140">
        <f>SUMPRODUCT(Mitigation_Industry!X$341:X$348*Mitigation_Industry!$J$330:$J$337*X$27:X$34)-SUMPRODUCT((X$83:X$98-X$101:X$116)*X$27:X$42)</f>
        <v>0</v>
      </c>
      <c r="Y120" s="140">
        <f>SUMPRODUCT(Mitigation_Industry!Y$341:Y$348*Mitigation_Industry!$J$330:$J$337*Y$27:Y$34)-SUMPRODUCT((Y$83:Y$98-Y$101:Y$116)*Y$27:Y$42)</f>
        <v>0</v>
      </c>
      <c r="Z120" s="140">
        <f>SUMPRODUCT(Mitigation_Industry!Z$341:Z$348*Mitigation_Industry!$J$330:$J$337*Z$27:Z$34)-SUMPRODUCT((Z$83:Z$98-Z$101:Z$116)*Z$27:Z$42)</f>
        <v>0</v>
      </c>
      <c r="AA120" s="140">
        <f>SUMPRODUCT(Mitigation_Industry!AA$341:AA$348*Mitigation_Industry!$J$330:$J$337*AA$27:AA$34)-SUMPRODUCT((AA$83:AA$98-AA$101:AA$116)*AA$27:AA$42)</f>
        <v>0</v>
      </c>
      <c r="AB120" s="140">
        <f>SUMPRODUCT(Mitigation_Industry!AB$341:AB$348*Mitigation_Industry!$J$330:$J$337*AB$27:AB$34)-SUMPRODUCT((AB$83:AB$98-AB$101:AB$116)*AB$27:AB$42)</f>
        <v>0</v>
      </c>
      <c r="AC120" s="140">
        <f>SUMPRODUCT(Mitigation_Industry!AC$341:AC$348*Mitigation_Industry!$J$330:$J$337*AC$27:AC$34)-SUMPRODUCT((AC$83:AC$98-AC$101:AC$116)*AC$27:AC$42)</f>
        <v>0</v>
      </c>
      <c r="AD120" s="140">
        <f>SUMPRODUCT(Mitigation_Industry!AD$341:AD$348*Mitigation_Industry!$J$330:$J$337*AD$27:AD$34)-SUMPRODUCT((AD$83:AD$98-AD$101:AD$116)*AD$27:AD$42)</f>
        <v>0</v>
      </c>
      <c r="AE120" s="140">
        <f>SUMPRODUCT(Mitigation_Industry!AE$341:AE$348*Mitigation_Industry!$J$330:$J$337*AE$27:AE$34)-SUMPRODUCT((AE$83:AE$98-AE$101:AE$116)*AE$27:AE$42)</f>
        <v>0</v>
      </c>
      <c r="AF120" s="138"/>
      <c r="AG120" s="138"/>
      <c r="AH120" s="138"/>
      <c r="AI120" s="138"/>
    </row>
    <row r="121" spans="1:35" customFormat="1" ht="14.25" x14ac:dyDescent="0.45">
      <c r="B121" s="14" t="s">
        <v>2681</v>
      </c>
      <c r="C121" s="14" t="s">
        <v>2675</v>
      </c>
      <c r="D121" s="15" t="s">
        <v>2682</v>
      </c>
      <c r="E121" s="16" t="s">
        <v>1854</v>
      </c>
      <c r="F121" s="14" t="s">
        <v>2681</v>
      </c>
      <c r="G121" s="17"/>
      <c r="H121" s="125" t="str">
        <f>Settings!$B$3&amp;".mit.rev0.cbam.tot.1"</f>
        <v>egy.mit.rev0.cbam.tot.1</v>
      </c>
      <c r="I121" t="s">
        <v>2683</v>
      </c>
      <c r="K121" s="136"/>
      <c r="L121" s="140">
        <f t="shared" ref="L121:AE121" si="16">L119+L120</f>
        <v>0</v>
      </c>
      <c r="M121" s="140">
        <f t="shared" si="16"/>
        <v>0</v>
      </c>
      <c r="N121" s="140">
        <f t="shared" si="16"/>
        <v>0</v>
      </c>
      <c r="O121" s="140">
        <f t="shared" si="16"/>
        <v>0</v>
      </c>
      <c r="P121" s="140">
        <f t="shared" si="16"/>
        <v>0</v>
      </c>
      <c r="Q121" s="140">
        <f t="shared" si="16"/>
        <v>0</v>
      </c>
      <c r="R121" s="140">
        <f t="shared" si="16"/>
        <v>0</v>
      </c>
      <c r="S121" s="140">
        <f t="shared" si="16"/>
        <v>0</v>
      </c>
      <c r="T121" s="140">
        <f t="shared" si="16"/>
        <v>0</v>
      </c>
      <c r="U121" s="140">
        <f t="shared" si="16"/>
        <v>0</v>
      </c>
      <c r="V121" s="140">
        <f t="shared" si="16"/>
        <v>0</v>
      </c>
      <c r="W121" s="140">
        <f t="shared" si="16"/>
        <v>0</v>
      </c>
      <c r="X121" s="140">
        <f t="shared" si="16"/>
        <v>0</v>
      </c>
      <c r="Y121" s="140">
        <f t="shared" si="16"/>
        <v>0</v>
      </c>
      <c r="Z121" s="140">
        <f t="shared" si="16"/>
        <v>0</v>
      </c>
      <c r="AA121" s="140">
        <f t="shared" si="16"/>
        <v>0</v>
      </c>
      <c r="AB121" s="140">
        <f t="shared" si="16"/>
        <v>0</v>
      </c>
      <c r="AC121" s="140">
        <f t="shared" si="16"/>
        <v>0</v>
      </c>
      <c r="AD121" s="140">
        <f t="shared" si="16"/>
        <v>0</v>
      </c>
      <c r="AE121" s="140">
        <f t="shared" si="16"/>
        <v>0</v>
      </c>
      <c r="AF121" s="138"/>
      <c r="AG121" s="138"/>
      <c r="AH121" s="138"/>
      <c r="AI121" s="138"/>
    </row>
    <row r="122" spans="1:35" customFormat="1" ht="14.25" x14ac:dyDescent="0.45">
      <c r="B122" s="14" t="s">
        <v>2673</v>
      </c>
      <c r="C122" s="14" t="s">
        <v>2675</v>
      </c>
      <c r="D122" s="15" t="s">
        <v>2684</v>
      </c>
      <c r="E122" s="16" t="s">
        <v>1854</v>
      </c>
      <c r="F122" s="14" t="s">
        <v>2673</v>
      </c>
      <c r="G122" s="17"/>
      <c r="H122" s="125" t="str">
        <f>Settings!$B$3&amp;".mit.fund.cbam.tot.1"</f>
        <v>egy.mit.fund.cbam.tot.1</v>
      </c>
      <c r="I122" t="s">
        <v>2685</v>
      </c>
      <c r="K122" s="136"/>
      <c r="L122" s="140">
        <f t="shared" ref="L122:AE122" si="17">L$11*L121</f>
        <v>0</v>
      </c>
      <c r="M122" s="140">
        <f t="shared" si="17"/>
        <v>0</v>
      </c>
      <c r="N122" s="140">
        <f t="shared" si="17"/>
        <v>0</v>
      </c>
      <c r="O122" s="140">
        <f t="shared" si="17"/>
        <v>0</v>
      </c>
      <c r="P122" s="140">
        <f t="shared" si="17"/>
        <v>0</v>
      </c>
      <c r="Q122" s="140">
        <f t="shared" si="17"/>
        <v>0</v>
      </c>
      <c r="R122" s="140">
        <f t="shared" si="17"/>
        <v>0</v>
      </c>
      <c r="S122" s="140">
        <f t="shared" si="17"/>
        <v>0</v>
      </c>
      <c r="T122" s="140">
        <f t="shared" si="17"/>
        <v>0</v>
      </c>
      <c r="U122" s="140">
        <f t="shared" si="17"/>
        <v>0</v>
      </c>
      <c r="V122" s="140">
        <f t="shared" si="17"/>
        <v>0</v>
      </c>
      <c r="W122" s="140">
        <f t="shared" si="17"/>
        <v>0</v>
      </c>
      <c r="X122" s="140">
        <f t="shared" si="17"/>
        <v>0</v>
      </c>
      <c r="Y122" s="140">
        <f t="shared" si="17"/>
        <v>0</v>
      </c>
      <c r="Z122" s="140">
        <f t="shared" si="17"/>
        <v>0</v>
      </c>
      <c r="AA122" s="140">
        <f t="shared" si="17"/>
        <v>0</v>
      </c>
      <c r="AB122" s="140">
        <f t="shared" si="17"/>
        <v>0</v>
      </c>
      <c r="AC122" s="140">
        <f t="shared" si="17"/>
        <v>0</v>
      </c>
      <c r="AD122" s="140">
        <f t="shared" si="17"/>
        <v>0</v>
      </c>
      <c r="AE122" s="140">
        <f t="shared" si="17"/>
        <v>0</v>
      </c>
      <c r="AF122" s="138"/>
      <c r="AG122" s="138"/>
      <c r="AH122" s="138"/>
      <c r="AI122" s="138"/>
    </row>
    <row r="123" spans="1:35" customFormat="1" ht="14.25" x14ac:dyDescent="0.45">
      <c r="B123" s="14" t="s">
        <v>2686</v>
      </c>
      <c r="C123" s="14" t="s">
        <v>2675</v>
      </c>
      <c r="D123" s="15" t="s">
        <v>2687</v>
      </c>
      <c r="E123" s="16" t="s">
        <v>2068</v>
      </c>
      <c r="F123" s="14" t="s">
        <v>2686</v>
      </c>
      <c r="G123" s="17"/>
      <c r="H123" s="125" t="str">
        <f>Settings!$B$3&amp;".mit.emrp0.cbam.tot.1"</f>
        <v>egy.mit.emrp0.cbam.tot.1</v>
      </c>
      <c r="I123" t="s">
        <v>2688</v>
      </c>
      <c r="K123" s="136"/>
      <c r="L123" s="137">
        <f t="shared" ref="L123:AE123" si="18">SUM(L$101:L$116)-SUM(L$83:L$98)</f>
        <v>0</v>
      </c>
      <c r="M123" s="137">
        <f t="shared" si="18"/>
        <v>0</v>
      </c>
      <c r="N123" s="137">
        <f t="shared" si="18"/>
        <v>0</v>
      </c>
      <c r="O123" s="137">
        <f t="shared" si="18"/>
        <v>0</v>
      </c>
      <c r="P123" s="137">
        <f t="shared" si="18"/>
        <v>0</v>
      </c>
      <c r="Q123" s="137">
        <f t="shared" si="18"/>
        <v>0</v>
      </c>
      <c r="R123" s="137">
        <f t="shared" si="18"/>
        <v>0</v>
      </c>
      <c r="S123" s="137">
        <f t="shared" si="18"/>
        <v>0</v>
      </c>
      <c r="T123" s="137">
        <f t="shared" si="18"/>
        <v>0</v>
      </c>
      <c r="U123" s="137">
        <f t="shared" si="18"/>
        <v>0</v>
      </c>
      <c r="V123" s="137">
        <f t="shared" si="18"/>
        <v>0</v>
      </c>
      <c r="W123" s="137">
        <f t="shared" si="18"/>
        <v>0</v>
      </c>
      <c r="X123" s="137">
        <f t="shared" si="18"/>
        <v>0</v>
      </c>
      <c r="Y123" s="137">
        <f t="shared" si="18"/>
        <v>0</v>
      </c>
      <c r="Z123" s="137">
        <f t="shared" si="18"/>
        <v>0</v>
      </c>
      <c r="AA123" s="137">
        <f t="shared" si="18"/>
        <v>0</v>
      </c>
      <c r="AB123" s="137">
        <f t="shared" si="18"/>
        <v>0</v>
      </c>
      <c r="AC123" s="137">
        <f t="shared" si="18"/>
        <v>0</v>
      </c>
      <c r="AD123" s="137">
        <f t="shared" si="18"/>
        <v>0</v>
      </c>
      <c r="AE123" s="137">
        <f t="shared" si="18"/>
        <v>0</v>
      </c>
      <c r="AF123" s="138"/>
      <c r="AG123" s="138"/>
      <c r="AH123" s="138"/>
      <c r="AI123" s="138"/>
    </row>
    <row r="124" spans="1:35" customFormat="1" ht="14.25" x14ac:dyDescent="0.45">
      <c r="B124" s="14" t="s">
        <v>2689</v>
      </c>
      <c r="C124" s="14" t="s">
        <v>2675</v>
      </c>
      <c r="D124" s="15" t="s">
        <v>2690</v>
      </c>
      <c r="E124" s="16" t="s">
        <v>2691</v>
      </c>
      <c r="F124" s="14" t="s">
        <v>2689</v>
      </c>
      <c r="G124" s="17"/>
      <c r="H124" s="17"/>
      <c r="I124" t="s">
        <v>2692</v>
      </c>
      <c r="K124" s="136"/>
      <c r="L124" s="139">
        <f t="shared" ref="L124:AE124" si="19">SUMPRODUCT(L$45:L$52*L$55:L$62)+SUMPRODUCT(L$101:L$116*L$65:L$80)</f>
        <v>0.11343980799323071</v>
      </c>
      <c r="M124" s="139">
        <f t="shared" si="19"/>
        <v>0.11712329976149224</v>
      </c>
      <c r="N124" s="139">
        <f t="shared" si="19"/>
        <v>0.12092889969856549</v>
      </c>
      <c r="O124" s="139">
        <f t="shared" si="19"/>
        <v>0.12486074250600086</v>
      </c>
      <c r="P124" s="139">
        <f t="shared" si="19"/>
        <v>0.1289231063134835</v>
      </c>
      <c r="Q124" s="139">
        <f t="shared" si="19"/>
        <v>0.13312041780294456</v>
      </c>
      <c r="R124" s="139">
        <f t="shared" si="19"/>
        <v>0.13745725752256618</v>
      </c>
      <c r="S124" s="139">
        <f t="shared" si="19"/>
        <v>0.14193836539803825</v>
      </c>
      <c r="T124" s="139">
        <f t="shared" si="19"/>
        <v>0.14656864644872269</v>
      </c>
      <c r="U124" s="139">
        <f t="shared" si="19"/>
        <v>0.15135317671669662</v>
      </c>
      <c r="V124" s="139">
        <f t="shared" si="19"/>
        <v>0.1562972094169694</v>
      </c>
      <c r="W124" s="139">
        <f t="shared" si="19"/>
        <v>0.1614061813175115</v>
      </c>
      <c r="X124" s="139">
        <f t="shared" si="19"/>
        <v>0.16668571935808552</v>
      </c>
      <c r="Y124" s="139">
        <f t="shared" si="19"/>
        <v>0.17214164751724373</v>
      </c>
      <c r="Z124" s="139">
        <f t="shared" si="19"/>
        <v>0.17777999393723931</v>
      </c>
      <c r="AA124" s="139">
        <f t="shared" si="19"/>
        <v>0.18360699831700622</v>
      </c>
      <c r="AB124" s="139">
        <f t="shared" si="19"/>
        <v>0.18962911958377954</v>
      </c>
      <c r="AC124" s="139">
        <f t="shared" si="19"/>
        <v>0.19585304385437208</v>
      </c>
      <c r="AD124" s="139">
        <f t="shared" si="19"/>
        <v>0.20228569269757843</v>
      </c>
      <c r="AE124" s="139">
        <f t="shared" si="19"/>
        <v>0.20893423170965852</v>
      </c>
      <c r="AF124" s="138"/>
      <c r="AG124" s="138"/>
      <c r="AH124" s="138"/>
      <c r="AI124" s="138"/>
    </row>
    <row r="125" spans="1:35" customFormat="1" ht="14.25" x14ac:dyDescent="0.45">
      <c r="B125" s="14" t="s">
        <v>2693</v>
      </c>
      <c r="C125" s="14" t="s">
        <v>2675</v>
      </c>
      <c r="D125" s="15" t="s">
        <v>2694</v>
      </c>
      <c r="E125" s="16" t="s">
        <v>1398</v>
      </c>
      <c r="F125" s="14" t="s">
        <v>2693</v>
      </c>
      <c r="G125" s="17"/>
      <c r="H125" s="17"/>
      <c r="K125" s="136"/>
      <c r="L125" s="137">
        <f t="shared" ref="L125:AE125" si="20">IF(OR(L$122&lt;=0,L$124&lt;=0),0,MIN($F$5,SQRT(L$122/L$124*IF($F$4="COST",2,1))))</f>
        <v>0</v>
      </c>
      <c r="M125" s="137">
        <f t="shared" si="20"/>
        <v>0</v>
      </c>
      <c r="N125" s="137">
        <f t="shared" si="20"/>
        <v>0</v>
      </c>
      <c r="O125" s="137">
        <f t="shared" si="20"/>
        <v>0</v>
      </c>
      <c r="P125" s="137">
        <f t="shared" si="20"/>
        <v>0</v>
      </c>
      <c r="Q125" s="137">
        <f t="shared" si="20"/>
        <v>0</v>
      </c>
      <c r="R125" s="137">
        <f t="shared" si="20"/>
        <v>0</v>
      </c>
      <c r="S125" s="137">
        <f t="shared" si="20"/>
        <v>0</v>
      </c>
      <c r="T125" s="137">
        <f t="shared" si="20"/>
        <v>0</v>
      </c>
      <c r="U125" s="137">
        <f t="shared" si="20"/>
        <v>0</v>
      </c>
      <c r="V125" s="137">
        <f t="shared" si="20"/>
        <v>0</v>
      </c>
      <c r="W125" s="137">
        <f t="shared" si="20"/>
        <v>0</v>
      </c>
      <c r="X125" s="137">
        <f t="shared" si="20"/>
        <v>0</v>
      </c>
      <c r="Y125" s="137">
        <f t="shared" si="20"/>
        <v>0</v>
      </c>
      <c r="Z125" s="137">
        <f t="shared" si="20"/>
        <v>0</v>
      </c>
      <c r="AA125" s="137">
        <f t="shared" si="20"/>
        <v>0</v>
      </c>
      <c r="AB125" s="137">
        <f t="shared" si="20"/>
        <v>0</v>
      </c>
      <c r="AC125" s="137">
        <f t="shared" si="20"/>
        <v>0</v>
      </c>
      <c r="AD125" s="137">
        <f t="shared" si="20"/>
        <v>0</v>
      </c>
      <c r="AE125" s="137">
        <f t="shared" si="20"/>
        <v>0</v>
      </c>
      <c r="AF125" s="138"/>
      <c r="AG125" s="138"/>
      <c r="AH125" s="138"/>
      <c r="AI125" s="138"/>
    </row>
    <row r="126" spans="1:35" x14ac:dyDescent="0.35"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2"/>
      <c r="AG126" s="132"/>
      <c r="AH126" s="132"/>
      <c r="AI126" s="132"/>
    </row>
    <row r="127" spans="1:35" customFormat="1" ht="14.25" x14ac:dyDescent="0.45">
      <c r="A127" s="11"/>
      <c r="B127" s="6"/>
      <c r="C127" s="7" t="s">
        <v>2695</v>
      </c>
      <c r="D127" s="6" t="s">
        <v>1488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2696</v>
      </c>
      <c r="J127" s="48">
        <v>1</v>
      </c>
      <c r="K127" s="134">
        <v>2021</v>
      </c>
      <c r="L127" s="135">
        <v>2022</v>
      </c>
      <c r="M127" s="134">
        <v>2023</v>
      </c>
      <c r="N127" s="134">
        <v>2024</v>
      </c>
      <c r="O127" s="134">
        <v>2025</v>
      </c>
      <c r="P127" s="134">
        <v>2026</v>
      </c>
      <c r="Q127" s="134">
        <v>2027</v>
      </c>
      <c r="R127" s="134">
        <v>2028</v>
      </c>
      <c r="S127" s="134">
        <v>2029</v>
      </c>
      <c r="T127" s="134">
        <v>2030</v>
      </c>
      <c r="U127" s="134">
        <v>2031</v>
      </c>
      <c r="V127" s="134">
        <v>2032</v>
      </c>
      <c r="W127" s="134">
        <v>2033</v>
      </c>
      <c r="X127" s="134">
        <v>2034</v>
      </c>
      <c r="Y127" s="134">
        <v>2035</v>
      </c>
      <c r="Z127" s="134">
        <v>2036</v>
      </c>
      <c r="AA127" s="134">
        <v>2037</v>
      </c>
      <c r="AB127" s="134">
        <v>2038</v>
      </c>
      <c r="AC127" s="134">
        <v>2039</v>
      </c>
      <c r="AD127" s="134">
        <v>2040</v>
      </c>
      <c r="AE127" s="134">
        <v>2041</v>
      </c>
      <c r="AF127" s="134">
        <v>2042</v>
      </c>
      <c r="AG127" s="134">
        <v>2043</v>
      </c>
      <c r="AH127" s="134">
        <v>2044</v>
      </c>
      <c r="AI127" s="134">
        <v>2045</v>
      </c>
    </row>
    <row r="128" spans="1:35" customFormat="1" ht="14.25" x14ac:dyDescent="0.45">
      <c r="B128" s="14" t="s">
        <v>2697</v>
      </c>
      <c r="C128" s="14" t="s">
        <v>2675</v>
      </c>
      <c r="D128" s="15" t="s">
        <v>2698</v>
      </c>
      <c r="E128" s="16" t="s">
        <v>2068</v>
      </c>
      <c r="F128" s="14" t="s">
        <v>2699</v>
      </c>
      <c r="G128" s="17"/>
      <c r="H128" s="17"/>
      <c r="K128" s="136"/>
      <c r="L128" s="139">
        <f t="shared" ref="L128:AE128" si="21">SUMPRODUCT(L$45:L$52*(1-EXP(-L$55:L$62*L$125)))+SUMPRODUCT(L$101:L$116*(1-EXP(-L$65:L$80*L$125)))</f>
        <v>0</v>
      </c>
      <c r="M128" s="139">
        <f t="shared" si="21"/>
        <v>0</v>
      </c>
      <c r="N128" s="139">
        <f t="shared" si="21"/>
        <v>0</v>
      </c>
      <c r="O128" s="139">
        <f t="shared" si="21"/>
        <v>0</v>
      </c>
      <c r="P128" s="139">
        <f t="shared" si="21"/>
        <v>0</v>
      </c>
      <c r="Q128" s="139">
        <f t="shared" si="21"/>
        <v>0</v>
      </c>
      <c r="R128" s="139">
        <f t="shared" si="21"/>
        <v>0</v>
      </c>
      <c r="S128" s="139">
        <f t="shared" si="21"/>
        <v>0</v>
      </c>
      <c r="T128" s="139">
        <f t="shared" si="21"/>
        <v>0</v>
      </c>
      <c r="U128" s="139">
        <f t="shared" si="21"/>
        <v>0</v>
      </c>
      <c r="V128" s="139">
        <f t="shared" si="21"/>
        <v>0</v>
      </c>
      <c r="W128" s="139">
        <f t="shared" si="21"/>
        <v>0</v>
      </c>
      <c r="X128" s="139">
        <f t="shared" si="21"/>
        <v>0</v>
      </c>
      <c r="Y128" s="139">
        <f t="shared" si="21"/>
        <v>0</v>
      </c>
      <c r="Z128" s="139">
        <f t="shared" si="21"/>
        <v>0</v>
      </c>
      <c r="AA128" s="139">
        <f t="shared" si="21"/>
        <v>0</v>
      </c>
      <c r="AB128" s="139">
        <f t="shared" si="21"/>
        <v>0</v>
      </c>
      <c r="AC128" s="139">
        <f t="shared" si="21"/>
        <v>0</v>
      </c>
      <c r="AD128" s="139">
        <f t="shared" si="21"/>
        <v>0</v>
      </c>
      <c r="AE128" s="139">
        <f t="shared" si="21"/>
        <v>0</v>
      </c>
      <c r="AF128" s="138"/>
      <c r="AG128" s="138"/>
      <c r="AH128" s="138"/>
      <c r="AI128" s="138"/>
    </row>
    <row r="129" spans="2:35" customFormat="1" ht="14.25" x14ac:dyDescent="0.45">
      <c r="B129" s="14" t="s">
        <v>2700</v>
      </c>
      <c r="C129" s="14" t="s">
        <v>2675</v>
      </c>
      <c r="D129" s="15" t="s">
        <v>2701</v>
      </c>
      <c r="E129" s="16" t="s">
        <v>1854</v>
      </c>
      <c r="F129" s="14" t="s">
        <v>2702</v>
      </c>
      <c r="G129" s="17"/>
      <c r="H129" s="17"/>
      <c r="K129" s="136"/>
      <c r="L129" s="137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37">
        <f t="shared" si="22"/>
        <v>0</v>
      </c>
      <c r="N129" s="137">
        <f t="shared" si="22"/>
        <v>0</v>
      </c>
      <c r="O129" s="137">
        <f t="shared" si="22"/>
        <v>0</v>
      </c>
      <c r="P129" s="137">
        <f t="shared" si="22"/>
        <v>0</v>
      </c>
      <c r="Q129" s="137">
        <f t="shared" si="22"/>
        <v>0</v>
      </c>
      <c r="R129" s="137">
        <f t="shared" si="22"/>
        <v>0</v>
      </c>
      <c r="S129" s="137">
        <f t="shared" si="22"/>
        <v>0</v>
      </c>
      <c r="T129" s="137">
        <f t="shared" si="22"/>
        <v>0</v>
      </c>
      <c r="U129" s="137">
        <f t="shared" si="22"/>
        <v>0</v>
      </c>
      <c r="V129" s="137">
        <f t="shared" si="22"/>
        <v>0</v>
      </c>
      <c r="W129" s="137">
        <f t="shared" si="22"/>
        <v>0</v>
      </c>
      <c r="X129" s="137">
        <f t="shared" si="22"/>
        <v>0</v>
      </c>
      <c r="Y129" s="137">
        <f t="shared" si="22"/>
        <v>0</v>
      </c>
      <c r="Z129" s="137">
        <f t="shared" si="22"/>
        <v>0</v>
      </c>
      <c r="AA129" s="137">
        <f t="shared" si="22"/>
        <v>0</v>
      </c>
      <c r="AB129" s="137">
        <f t="shared" si="22"/>
        <v>0</v>
      </c>
      <c r="AC129" s="137">
        <f t="shared" si="22"/>
        <v>0</v>
      </c>
      <c r="AD129" s="137">
        <f t="shared" si="22"/>
        <v>0</v>
      </c>
      <c r="AE129" s="137">
        <f t="shared" si="22"/>
        <v>0</v>
      </c>
      <c r="AF129" s="138"/>
      <c r="AG129" s="138"/>
      <c r="AH129" s="138"/>
      <c r="AI129" s="138"/>
    </row>
    <row r="130" spans="2:35" customFormat="1" ht="14.25" x14ac:dyDescent="0.45">
      <c r="B130" s="14" t="s">
        <v>2703</v>
      </c>
      <c r="C130" s="14" t="s">
        <v>2675</v>
      </c>
      <c r="D130" s="15" t="s">
        <v>2704</v>
      </c>
      <c r="E130" s="16" t="s">
        <v>2705</v>
      </c>
      <c r="F130" s="14" t="s">
        <v>2706</v>
      </c>
      <c r="G130" s="17"/>
      <c r="H130" s="17"/>
      <c r="K130" s="136"/>
      <c r="L130" s="139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39">
        <f t="shared" si="23"/>
        <v>0</v>
      </c>
      <c r="N130" s="139">
        <f t="shared" si="23"/>
        <v>0</v>
      </c>
      <c r="O130" s="139">
        <f t="shared" si="23"/>
        <v>0</v>
      </c>
      <c r="P130" s="139">
        <f t="shared" si="23"/>
        <v>0</v>
      </c>
      <c r="Q130" s="139">
        <f t="shared" si="23"/>
        <v>0</v>
      </c>
      <c r="R130" s="139">
        <f t="shared" si="23"/>
        <v>0</v>
      </c>
      <c r="S130" s="139">
        <f t="shared" si="23"/>
        <v>0</v>
      </c>
      <c r="T130" s="139">
        <f t="shared" si="23"/>
        <v>0</v>
      </c>
      <c r="U130" s="139">
        <f t="shared" si="23"/>
        <v>0</v>
      </c>
      <c r="V130" s="139">
        <f t="shared" si="23"/>
        <v>0</v>
      </c>
      <c r="W130" s="139">
        <f t="shared" si="23"/>
        <v>0</v>
      </c>
      <c r="X130" s="139">
        <f t="shared" si="23"/>
        <v>0</v>
      </c>
      <c r="Y130" s="139">
        <f t="shared" si="23"/>
        <v>0</v>
      </c>
      <c r="Z130" s="139">
        <f t="shared" si="23"/>
        <v>0</v>
      </c>
      <c r="AA130" s="139">
        <f t="shared" si="23"/>
        <v>0</v>
      </c>
      <c r="AB130" s="139">
        <f t="shared" si="23"/>
        <v>0</v>
      </c>
      <c r="AC130" s="139">
        <f t="shared" si="23"/>
        <v>0</v>
      </c>
      <c r="AD130" s="139">
        <f t="shared" si="23"/>
        <v>0</v>
      </c>
      <c r="AE130" s="139">
        <f t="shared" si="23"/>
        <v>0</v>
      </c>
      <c r="AF130" s="138"/>
      <c r="AG130" s="138"/>
      <c r="AH130" s="138"/>
      <c r="AI130" s="138"/>
    </row>
    <row r="131" spans="2:35" customFormat="1" ht="14.25" x14ac:dyDescent="0.45">
      <c r="B131" s="14" t="s">
        <v>2707</v>
      </c>
      <c r="C131" s="14" t="s">
        <v>2675</v>
      </c>
      <c r="D131" s="15" t="s">
        <v>2708</v>
      </c>
      <c r="E131" s="16" t="s">
        <v>1398</v>
      </c>
      <c r="F131" s="14" t="s">
        <v>2709</v>
      </c>
      <c r="G131" s="17"/>
      <c r="H131" s="17"/>
      <c r="K131" s="136"/>
      <c r="L131" s="137">
        <f t="shared" ref="L131:AE131" si="24">IF(L$122&lt;=0,0,IF(L$130&lt;=0,L$125,MIN($F$5,IF(L$125-(L$129-L$122)/L$130&lt;=0,L$125/2,L$125-(L$129-L$122)/L$130))))</f>
        <v>0</v>
      </c>
      <c r="M131" s="137">
        <f t="shared" si="24"/>
        <v>0</v>
      </c>
      <c r="N131" s="137">
        <f t="shared" si="24"/>
        <v>0</v>
      </c>
      <c r="O131" s="137">
        <f t="shared" si="24"/>
        <v>0</v>
      </c>
      <c r="P131" s="137">
        <f t="shared" si="24"/>
        <v>0</v>
      </c>
      <c r="Q131" s="137">
        <f t="shared" si="24"/>
        <v>0</v>
      </c>
      <c r="R131" s="137">
        <f t="shared" si="24"/>
        <v>0</v>
      </c>
      <c r="S131" s="137">
        <f t="shared" si="24"/>
        <v>0</v>
      </c>
      <c r="T131" s="137">
        <f t="shared" si="24"/>
        <v>0</v>
      </c>
      <c r="U131" s="137">
        <f t="shared" si="24"/>
        <v>0</v>
      </c>
      <c r="V131" s="137">
        <f t="shared" si="24"/>
        <v>0</v>
      </c>
      <c r="W131" s="137">
        <f t="shared" si="24"/>
        <v>0</v>
      </c>
      <c r="X131" s="137">
        <f t="shared" si="24"/>
        <v>0</v>
      </c>
      <c r="Y131" s="137">
        <f t="shared" si="24"/>
        <v>0</v>
      </c>
      <c r="Z131" s="137">
        <f t="shared" si="24"/>
        <v>0</v>
      </c>
      <c r="AA131" s="137">
        <f t="shared" si="24"/>
        <v>0</v>
      </c>
      <c r="AB131" s="137">
        <f t="shared" si="24"/>
        <v>0</v>
      </c>
      <c r="AC131" s="137">
        <f t="shared" si="24"/>
        <v>0</v>
      </c>
      <c r="AD131" s="137">
        <f t="shared" si="24"/>
        <v>0</v>
      </c>
      <c r="AE131" s="137">
        <f t="shared" si="24"/>
        <v>0</v>
      </c>
      <c r="AF131" s="138"/>
      <c r="AG131" s="138"/>
      <c r="AH131" s="138"/>
      <c r="AI131" s="138"/>
    </row>
    <row r="132" spans="2:35" customFormat="1" ht="14.25" x14ac:dyDescent="0.45">
      <c r="B132" s="14" t="s">
        <v>2710</v>
      </c>
      <c r="C132" s="14" t="s">
        <v>2675</v>
      </c>
      <c r="D132" s="15" t="s">
        <v>2711</v>
      </c>
      <c r="E132" s="16" t="s">
        <v>2068</v>
      </c>
      <c r="F132" s="14" t="s">
        <v>2699</v>
      </c>
      <c r="G132" s="17"/>
      <c r="H132" s="17"/>
      <c r="K132" s="136"/>
      <c r="L132" s="139">
        <f t="shared" ref="L132:AE132" si="25">SUMPRODUCT(L$45:L$52*(1-EXP(-L$55:L$62*L$131)))+SUMPRODUCT(L$101:L$116*(1-EXP(-L$65:L$80*L$131)))</f>
        <v>0</v>
      </c>
      <c r="M132" s="139">
        <f t="shared" si="25"/>
        <v>0</v>
      </c>
      <c r="N132" s="139">
        <f t="shared" si="25"/>
        <v>0</v>
      </c>
      <c r="O132" s="139">
        <f t="shared" si="25"/>
        <v>0</v>
      </c>
      <c r="P132" s="139">
        <f t="shared" si="25"/>
        <v>0</v>
      </c>
      <c r="Q132" s="139">
        <f t="shared" si="25"/>
        <v>0</v>
      </c>
      <c r="R132" s="139">
        <f t="shared" si="25"/>
        <v>0</v>
      </c>
      <c r="S132" s="139">
        <f t="shared" si="25"/>
        <v>0</v>
      </c>
      <c r="T132" s="139">
        <f t="shared" si="25"/>
        <v>0</v>
      </c>
      <c r="U132" s="139">
        <f t="shared" si="25"/>
        <v>0</v>
      </c>
      <c r="V132" s="139">
        <f t="shared" si="25"/>
        <v>0</v>
      </c>
      <c r="W132" s="139">
        <f t="shared" si="25"/>
        <v>0</v>
      </c>
      <c r="X132" s="139">
        <f t="shared" si="25"/>
        <v>0</v>
      </c>
      <c r="Y132" s="139">
        <f t="shared" si="25"/>
        <v>0</v>
      </c>
      <c r="Z132" s="139">
        <f t="shared" si="25"/>
        <v>0</v>
      </c>
      <c r="AA132" s="139">
        <f t="shared" si="25"/>
        <v>0</v>
      </c>
      <c r="AB132" s="139">
        <f t="shared" si="25"/>
        <v>0</v>
      </c>
      <c r="AC132" s="139">
        <f t="shared" si="25"/>
        <v>0</v>
      </c>
      <c r="AD132" s="139">
        <f t="shared" si="25"/>
        <v>0</v>
      </c>
      <c r="AE132" s="139">
        <f t="shared" si="25"/>
        <v>0</v>
      </c>
      <c r="AF132" s="138"/>
      <c r="AG132" s="138"/>
      <c r="AH132" s="138"/>
      <c r="AI132" s="138"/>
    </row>
    <row r="133" spans="2:35" customFormat="1" ht="14.25" x14ac:dyDescent="0.45">
      <c r="B133" s="14" t="s">
        <v>2712</v>
      </c>
      <c r="C133" s="14" t="s">
        <v>2675</v>
      </c>
      <c r="D133" s="15" t="s">
        <v>2713</v>
      </c>
      <c r="E133" s="16" t="s">
        <v>1854</v>
      </c>
      <c r="F133" s="14" t="s">
        <v>2702</v>
      </c>
      <c r="G133" s="17"/>
      <c r="H133" s="17"/>
      <c r="K133" s="136"/>
      <c r="L133" s="137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37">
        <f t="shared" si="26"/>
        <v>0</v>
      </c>
      <c r="N133" s="137">
        <f t="shared" si="26"/>
        <v>0</v>
      </c>
      <c r="O133" s="137">
        <f t="shared" si="26"/>
        <v>0</v>
      </c>
      <c r="P133" s="137">
        <f t="shared" si="26"/>
        <v>0</v>
      </c>
      <c r="Q133" s="137">
        <f t="shared" si="26"/>
        <v>0</v>
      </c>
      <c r="R133" s="137">
        <f t="shared" si="26"/>
        <v>0</v>
      </c>
      <c r="S133" s="137">
        <f t="shared" si="26"/>
        <v>0</v>
      </c>
      <c r="T133" s="137">
        <f t="shared" si="26"/>
        <v>0</v>
      </c>
      <c r="U133" s="137">
        <f t="shared" si="26"/>
        <v>0</v>
      </c>
      <c r="V133" s="137">
        <f t="shared" si="26"/>
        <v>0</v>
      </c>
      <c r="W133" s="137">
        <f t="shared" si="26"/>
        <v>0</v>
      </c>
      <c r="X133" s="137">
        <f t="shared" si="26"/>
        <v>0</v>
      </c>
      <c r="Y133" s="137">
        <f t="shared" si="26"/>
        <v>0</v>
      </c>
      <c r="Z133" s="137">
        <f t="shared" si="26"/>
        <v>0</v>
      </c>
      <c r="AA133" s="137">
        <f t="shared" si="26"/>
        <v>0</v>
      </c>
      <c r="AB133" s="137">
        <f t="shared" si="26"/>
        <v>0</v>
      </c>
      <c r="AC133" s="137">
        <f t="shared" si="26"/>
        <v>0</v>
      </c>
      <c r="AD133" s="137">
        <f t="shared" si="26"/>
        <v>0</v>
      </c>
      <c r="AE133" s="137">
        <f t="shared" si="26"/>
        <v>0</v>
      </c>
      <c r="AF133" s="138"/>
      <c r="AG133" s="138"/>
      <c r="AH133" s="138"/>
      <c r="AI133" s="138"/>
    </row>
    <row r="134" spans="2:35" customFormat="1" ht="14.25" x14ac:dyDescent="0.45">
      <c r="B134" s="14" t="s">
        <v>2714</v>
      </c>
      <c r="C134" s="14" t="s">
        <v>2675</v>
      </c>
      <c r="D134" s="15" t="s">
        <v>2715</v>
      </c>
      <c r="E134" s="16" t="s">
        <v>2705</v>
      </c>
      <c r="F134" s="14" t="s">
        <v>2706</v>
      </c>
      <c r="G134" s="17"/>
      <c r="H134" s="17"/>
      <c r="K134" s="136"/>
      <c r="L134" s="139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39">
        <f t="shared" si="27"/>
        <v>0</v>
      </c>
      <c r="N134" s="139">
        <f t="shared" si="27"/>
        <v>0</v>
      </c>
      <c r="O134" s="139">
        <f t="shared" si="27"/>
        <v>0</v>
      </c>
      <c r="P134" s="139">
        <f t="shared" si="27"/>
        <v>0</v>
      </c>
      <c r="Q134" s="139">
        <f t="shared" si="27"/>
        <v>0</v>
      </c>
      <c r="R134" s="139">
        <f t="shared" si="27"/>
        <v>0</v>
      </c>
      <c r="S134" s="139">
        <f t="shared" si="27"/>
        <v>0</v>
      </c>
      <c r="T134" s="139">
        <f t="shared" si="27"/>
        <v>0</v>
      </c>
      <c r="U134" s="139">
        <f t="shared" si="27"/>
        <v>0</v>
      </c>
      <c r="V134" s="139">
        <f t="shared" si="27"/>
        <v>0</v>
      </c>
      <c r="W134" s="139">
        <f t="shared" si="27"/>
        <v>0</v>
      </c>
      <c r="X134" s="139">
        <f t="shared" si="27"/>
        <v>0</v>
      </c>
      <c r="Y134" s="139">
        <f t="shared" si="27"/>
        <v>0</v>
      </c>
      <c r="Z134" s="139">
        <f t="shared" si="27"/>
        <v>0</v>
      </c>
      <c r="AA134" s="139">
        <f t="shared" si="27"/>
        <v>0</v>
      </c>
      <c r="AB134" s="139">
        <f t="shared" si="27"/>
        <v>0</v>
      </c>
      <c r="AC134" s="139">
        <f t="shared" si="27"/>
        <v>0</v>
      </c>
      <c r="AD134" s="139">
        <f t="shared" si="27"/>
        <v>0</v>
      </c>
      <c r="AE134" s="139">
        <f t="shared" si="27"/>
        <v>0</v>
      </c>
      <c r="AF134" s="138"/>
      <c r="AG134" s="138"/>
      <c r="AH134" s="138"/>
      <c r="AI134" s="138"/>
    </row>
    <row r="135" spans="2:35" customFormat="1" ht="14.25" x14ac:dyDescent="0.45">
      <c r="B135" s="14" t="s">
        <v>2716</v>
      </c>
      <c r="C135" s="14" t="s">
        <v>2675</v>
      </c>
      <c r="D135" s="15" t="s">
        <v>2717</v>
      </c>
      <c r="E135" s="16" t="s">
        <v>1398</v>
      </c>
      <c r="F135" s="14" t="s">
        <v>2709</v>
      </c>
      <c r="G135" s="17"/>
      <c r="H135" s="17"/>
      <c r="K135" s="136"/>
      <c r="L135" s="137">
        <f t="shared" ref="L135:AE135" si="28">IF(L$122&lt;=0,0,IF(L$134&lt;=0,L$131,MIN($F$5,IF(L$131-(L$133-L$122)/L$134&lt;=0,L$131/2,L$131-(L$133-L$122)/L$134))))</f>
        <v>0</v>
      </c>
      <c r="M135" s="137">
        <f t="shared" si="28"/>
        <v>0</v>
      </c>
      <c r="N135" s="137">
        <f t="shared" si="28"/>
        <v>0</v>
      </c>
      <c r="O135" s="137">
        <f t="shared" si="28"/>
        <v>0</v>
      </c>
      <c r="P135" s="137">
        <f t="shared" si="28"/>
        <v>0</v>
      </c>
      <c r="Q135" s="137">
        <f t="shared" si="28"/>
        <v>0</v>
      </c>
      <c r="R135" s="137">
        <f t="shared" si="28"/>
        <v>0</v>
      </c>
      <c r="S135" s="137">
        <f t="shared" si="28"/>
        <v>0</v>
      </c>
      <c r="T135" s="137">
        <f t="shared" si="28"/>
        <v>0</v>
      </c>
      <c r="U135" s="137">
        <f t="shared" si="28"/>
        <v>0</v>
      </c>
      <c r="V135" s="137">
        <f t="shared" si="28"/>
        <v>0</v>
      </c>
      <c r="W135" s="137">
        <f t="shared" si="28"/>
        <v>0</v>
      </c>
      <c r="X135" s="137">
        <f t="shared" si="28"/>
        <v>0</v>
      </c>
      <c r="Y135" s="137">
        <f t="shared" si="28"/>
        <v>0</v>
      </c>
      <c r="Z135" s="137">
        <f t="shared" si="28"/>
        <v>0</v>
      </c>
      <c r="AA135" s="137">
        <f t="shared" si="28"/>
        <v>0</v>
      </c>
      <c r="AB135" s="137">
        <f t="shared" si="28"/>
        <v>0</v>
      </c>
      <c r="AC135" s="137">
        <f t="shared" si="28"/>
        <v>0</v>
      </c>
      <c r="AD135" s="137">
        <f t="shared" si="28"/>
        <v>0</v>
      </c>
      <c r="AE135" s="137">
        <f t="shared" si="28"/>
        <v>0</v>
      </c>
      <c r="AF135" s="138"/>
      <c r="AG135" s="138"/>
      <c r="AH135" s="138"/>
      <c r="AI135" s="138"/>
    </row>
    <row r="136" spans="2:35" customFormat="1" ht="14.25" x14ac:dyDescent="0.45">
      <c r="B136" s="14" t="s">
        <v>2718</v>
      </c>
      <c r="C136" s="14" t="s">
        <v>2675</v>
      </c>
      <c r="D136" s="15" t="s">
        <v>2719</v>
      </c>
      <c r="E136" s="16" t="s">
        <v>2068</v>
      </c>
      <c r="F136" s="14" t="s">
        <v>2699</v>
      </c>
      <c r="G136" s="17"/>
      <c r="H136" s="17"/>
      <c r="K136" s="136"/>
      <c r="L136" s="139">
        <f t="shared" ref="L136:AE136" si="29">SUMPRODUCT(L$45:L$52*(1-EXP(-L$55:L$62*L$135)))+SUMPRODUCT(L$101:L$116*(1-EXP(-L$65:L$80*L$135)))</f>
        <v>0</v>
      </c>
      <c r="M136" s="139">
        <f t="shared" si="29"/>
        <v>0</v>
      </c>
      <c r="N136" s="139">
        <f t="shared" si="29"/>
        <v>0</v>
      </c>
      <c r="O136" s="139">
        <f t="shared" si="29"/>
        <v>0</v>
      </c>
      <c r="P136" s="139">
        <f t="shared" si="29"/>
        <v>0</v>
      </c>
      <c r="Q136" s="139">
        <f t="shared" si="29"/>
        <v>0</v>
      </c>
      <c r="R136" s="139">
        <f t="shared" si="29"/>
        <v>0</v>
      </c>
      <c r="S136" s="139">
        <f t="shared" si="29"/>
        <v>0</v>
      </c>
      <c r="T136" s="139">
        <f t="shared" si="29"/>
        <v>0</v>
      </c>
      <c r="U136" s="139">
        <f t="shared" si="29"/>
        <v>0</v>
      </c>
      <c r="V136" s="139">
        <f t="shared" si="29"/>
        <v>0</v>
      </c>
      <c r="W136" s="139">
        <f t="shared" si="29"/>
        <v>0</v>
      </c>
      <c r="X136" s="139">
        <f t="shared" si="29"/>
        <v>0</v>
      </c>
      <c r="Y136" s="139">
        <f t="shared" si="29"/>
        <v>0</v>
      </c>
      <c r="Z136" s="139">
        <f t="shared" si="29"/>
        <v>0</v>
      </c>
      <c r="AA136" s="139">
        <f t="shared" si="29"/>
        <v>0</v>
      </c>
      <c r="AB136" s="139">
        <f t="shared" si="29"/>
        <v>0</v>
      </c>
      <c r="AC136" s="139">
        <f t="shared" si="29"/>
        <v>0</v>
      </c>
      <c r="AD136" s="139">
        <f t="shared" si="29"/>
        <v>0</v>
      </c>
      <c r="AE136" s="139">
        <f t="shared" si="29"/>
        <v>0</v>
      </c>
      <c r="AF136" s="138"/>
      <c r="AG136" s="138"/>
      <c r="AH136" s="138"/>
      <c r="AI136" s="138"/>
    </row>
    <row r="137" spans="2:35" customFormat="1" ht="14.25" x14ac:dyDescent="0.45">
      <c r="B137" s="14" t="s">
        <v>2720</v>
      </c>
      <c r="C137" s="14" t="s">
        <v>2675</v>
      </c>
      <c r="D137" s="15" t="s">
        <v>2721</v>
      </c>
      <c r="E137" s="16" t="s">
        <v>1854</v>
      </c>
      <c r="F137" s="14" t="s">
        <v>2702</v>
      </c>
      <c r="G137" s="17"/>
      <c r="H137" s="17"/>
      <c r="K137" s="136"/>
      <c r="L137" s="137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37">
        <f t="shared" si="30"/>
        <v>0</v>
      </c>
      <c r="N137" s="137">
        <f t="shared" si="30"/>
        <v>0</v>
      </c>
      <c r="O137" s="137">
        <f t="shared" si="30"/>
        <v>0</v>
      </c>
      <c r="P137" s="137">
        <f t="shared" si="30"/>
        <v>0</v>
      </c>
      <c r="Q137" s="137">
        <f t="shared" si="30"/>
        <v>0</v>
      </c>
      <c r="R137" s="137">
        <f t="shared" si="30"/>
        <v>0</v>
      </c>
      <c r="S137" s="137">
        <f t="shared" si="30"/>
        <v>0</v>
      </c>
      <c r="T137" s="137">
        <f t="shared" si="30"/>
        <v>0</v>
      </c>
      <c r="U137" s="137">
        <f t="shared" si="30"/>
        <v>0</v>
      </c>
      <c r="V137" s="137">
        <f t="shared" si="30"/>
        <v>0</v>
      </c>
      <c r="W137" s="137">
        <f t="shared" si="30"/>
        <v>0</v>
      </c>
      <c r="X137" s="137">
        <f t="shared" si="30"/>
        <v>0</v>
      </c>
      <c r="Y137" s="137">
        <f t="shared" si="30"/>
        <v>0</v>
      </c>
      <c r="Z137" s="137">
        <f t="shared" si="30"/>
        <v>0</v>
      </c>
      <c r="AA137" s="137">
        <f t="shared" si="30"/>
        <v>0</v>
      </c>
      <c r="AB137" s="137">
        <f t="shared" si="30"/>
        <v>0</v>
      </c>
      <c r="AC137" s="137">
        <f t="shared" si="30"/>
        <v>0</v>
      </c>
      <c r="AD137" s="137">
        <f t="shared" si="30"/>
        <v>0</v>
      </c>
      <c r="AE137" s="137">
        <f t="shared" si="30"/>
        <v>0</v>
      </c>
      <c r="AF137" s="138"/>
      <c r="AG137" s="138"/>
      <c r="AH137" s="138"/>
      <c r="AI137" s="138"/>
    </row>
    <row r="138" spans="2:35" customFormat="1" ht="14.25" x14ac:dyDescent="0.45">
      <c r="B138" s="14" t="s">
        <v>2722</v>
      </c>
      <c r="C138" s="14" t="s">
        <v>2675</v>
      </c>
      <c r="D138" s="15" t="s">
        <v>2723</v>
      </c>
      <c r="E138" s="16" t="s">
        <v>2705</v>
      </c>
      <c r="F138" s="14" t="s">
        <v>2706</v>
      </c>
      <c r="G138" s="17"/>
      <c r="H138" s="17"/>
      <c r="K138" s="136"/>
      <c r="L138" s="139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39">
        <f t="shared" si="31"/>
        <v>0</v>
      </c>
      <c r="N138" s="139">
        <f t="shared" si="31"/>
        <v>0</v>
      </c>
      <c r="O138" s="139">
        <f t="shared" si="31"/>
        <v>0</v>
      </c>
      <c r="P138" s="139">
        <f t="shared" si="31"/>
        <v>0</v>
      </c>
      <c r="Q138" s="139">
        <f t="shared" si="31"/>
        <v>0</v>
      </c>
      <c r="R138" s="139">
        <f t="shared" si="31"/>
        <v>0</v>
      </c>
      <c r="S138" s="139">
        <f t="shared" si="31"/>
        <v>0</v>
      </c>
      <c r="T138" s="139">
        <f t="shared" si="31"/>
        <v>0</v>
      </c>
      <c r="U138" s="139">
        <f t="shared" si="31"/>
        <v>0</v>
      </c>
      <c r="V138" s="139">
        <f t="shared" si="31"/>
        <v>0</v>
      </c>
      <c r="W138" s="139">
        <f t="shared" si="31"/>
        <v>0</v>
      </c>
      <c r="X138" s="139">
        <f t="shared" si="31"/>
        <v>0</v>
      </c>
      <c r="Y138" s="139">
        <f t="shared" si="31"/>
        <v>0</v>
      </c>
      <c r="Z138" s="139">
        <f t="shared" si="31"/>
        <v>0</v>
      </c>
      <c r="AA138" s="139">
        <f t="shared" si="31"/>
        <v>0</v>
      </c>
      <c r="AB138" s="139">
        <f t="shared" si="31"/>
        <v>0</v>
      </c>
      <c r="AC138" s="139">
        <f t="shared" si="31"/>
        <v>0</v>
      </c>
      <c r="AD138" s="139">
        <f t="shared" si="31"/>
        <v>0</v>
      </c>
      <c r="AE138" s="139">
        <f t="shared" si="31"/>
        <v>0</v>
      </c>
      <c r="AF138" s="138"/>
      <c r="AG138" s="138"/>
      <c r="AH138" s="138"/>
      <c r="AI138" s="138"/>
    </row>
    <row r="139" spans="2:35" customFormat="1" ht="14.25" x14ac:dyDescent="0.45">
      <c r="B139" s="14" t="s">
        <v>2724</v>
      </c>
      <c r="C139" s="14" t="s">
        <v>2675</v>
      </c>
      <c r="D139" s="15" t="s">
        <v>2725</v>
      </c>
      <c r="E139" s="16" t="s">
        <v>1398</v>
      </c>
      <c r="F139" s="14" t="s">
        <v>2709</v>
      </c>
      <c r="G139" s="17"/>
      <c r="H139" s="17"/>
      <c r="K139" s="136"/>
      <c r="L139" s="137">
        <f t="shared" ref="L139:AE139" si="32">IF(L$122&lt;=0,0,IF(L$138&lt;=0,L$135,MIN($F$5,IF(L$135-(L$137-L$122)/L$138&lt;=0,L$135/2,L$135-(L$137-L$122)/L$138))))</f>
        <v>0</v>
      </c>
      <c r="M139" s="137">
        <f t="shared" si="32"/>
        <v>0</v>
      </c>
      <c r="N139" s="137">
        <f t="shared" si="32"/>
        <v>0</v>
      </c>
      <c r="O139" s="137">
        <f t="shared" si="32"/>
        <v>0</v>
      </c>
      <c r="P139" s="137">
        <f t="shared" si="32"/>
        <v>0</v>
      </c>
      <c r="Q139" s="137">
        <f t="shared" si="32"/>
        <v>0</v>
      </c>
      <c r="R139" s="137">
        <f t="shared" si="32"/>
        <v>0</v>
      </c>
      <c r="S139" s="137">
        <f t="shared" si="32"/>
        <v>0</v>
      </c>
      <c r="T139" s="137">
        <f t="shared" si="32"/>
        <v>0</v>
      </c>
      <c r="U139" s="137">
        <f t="shared" si="32"/>
        <v>0</v>
      </c>
      <c r="V139" s="137">
        <f t="shared" si="32"/>
        <v>0</v>
      </c>
      <c r="W139" s="137">
        <f t="shared" si="32"/>
        <v>0</v>
      </c>
      <c r="X139" s="137">
        <f t="shared" si="32"/>
        <v>0</v>
      </c>
      <c r="Y139" s="137">
        <f t="shared" si="32"/>
        <v>0</v>
      </c>
      <c r="Z139" s="137">
        <f t="shared" si="32"/>
        <v>0</v>
      </c>
      <c r="AA139" s="137">
        <f t="shared" si="32"/>
        <v>0</v>
      </c>
      <c r="AB139" s="137">
        <f t="shared" si="32"/>
        <v>0</v>
      </c>
      <c r="AC139" s="137">
        <f t="shared" si="32"/>
        <v>0</v>
      </c>
      <c r="AD139" s="137">
        <f t="shared" si="32"/>
        <v>0</v>
      </c>
      <c r="AE139" s="137">
        <f t="shared" si="32"/>
        <v>0</v>
      </c>
      <c r="AF139" s="138"/>
      <c r="AG139" s="138"/>
      <c r="AH139" s="138"/>
      <c r="AI139" s="138"/>
    </row>
    <row r="140" spans="2:35" customFormat="1" ht="14.25" x14ac:dyDescent="0.45">
      <c r="B140" s="14" t="s">
        <v>2726</v>
      </c>
      <c r="C140" s="14" t="s">
        <v>2675</v>
      </c>
      <c r="D140" s="15" t="s">
        <v>2727</v>
      </c>
      <c r="E140" s="16" t="s">
        <v>2068</v>
      </c>
      <c r="F140" s="14" t="s">
        <v>2699</v>
      </c>
      <c r="G140" s="17"/>
      <c r="H140" s="17"/>
      <c r="K140" s="136"/>
      <c r="L140" s="139">
        <f t="shared" ref="L140:AE140" si="33">SUMPRODUCT(L$45:L$52*(1-EXP(-L$55:L$62*L$139)))+SUMPRODUCT(L$101:L$116*(1-EXP(-L$65:L$80*L$139)))</f>
        <v>0</v>
      </c>
      <c r="M140" s="139">
        <f t="shared" si="33"/>
        <v>0</v>
      </c>
      <c r="N140" s="139">
        <f t="shared" si="33"/>
        <v>0</v>
      </c>
      <c r="O140" s="139">
        <f t="shared" si="33"/>
        <v>0</v>
      </c>
      <c r="P140" s="139">
        <f t="shared" si="33"/>
        <v>0</v>
      </c>
      <c r="Q140" s="139">
        <f t="shared" si="33"/>
        <v>0</v>
      </c>
      <c r="R140" s="139">
        <f t="shared" si="33"/>
        <v>0</v>
      </c>
      <c r="S140" s="139">
        <f t="shared" si="33"/>
        <v>0</v>
      </c>
      <c r="T140" s="139">
        <f t="shared" si="33"/>
        <v>0</v>
      </c>
      <c r="U140" s="139">
        <f t="shared" si="33"/>
        <v>0</v>
      </c>
      <c r="V140" s="139">
        <f t="shared" si="33"/>
        <v>0</v>
      </c>
      <c r="W140" s="139">
        <f t="shared" si="33"/>
        <v>0</v>
      </c>
      <c r="X140" s="139">
        <f t="shared" si="33"/>
        <v>0</v>
      </c>
      <c r="Y140" s="139">
        <f t="shared" si="33"/>
        <v>0</v>
      </c>
      <c r="Z140" s="139">
        <f t="shared" si="33"/>
        <v>0</v>
      </c>
      <c r="AA140" s="139">
        <f t="shared" si="33"/>
        <v>0</v>
      </c>
      <c r="AB140" s="139">
        <f t="shared" si="33"/>
        <v>0</v>
      </c>
      <c r="AC140" s="139">
        <f t="shared" si="33"/>
        <v>0</v>
      </c>
      <c r="AD140" s="139">
        <f t="shared" si="33"/>
        <v>0</v>
      </c>
      <c r="AE140" s="139">
        <f t="shared" si="33"/>
        <v>0</v>
      </c>
      <c r="AF140" s="138"/>
      <c r="AG140" s="138"/>
      <c r="AH140" s="138"/>
      <c r="AI140" s="138"/>
    </row>
    <row r="141" spans="2:35" customFormat="1" ht="14.25" x14ac:dyDescent="0.45">
      <c r="B141" s="14" t="s">
        <v>2728</v>
      </c>
      <c r="C141" s="14" t="s">
        <v>2675</v>
      </c>
      <c r="D141" s="15" t="s">
        <v>2729</v>
      </c>
      <c r="E141" s="16" t="s">
        <v>1854</v>
      </c>
      <c r="F141" s="14" t="s">
        <v>2702</v>
      </c>
      <c r="G141" s="17"/>
      <c r="H141" s="17"/>
      <c r="K141" s="136"/>
      <c r="L141" s="137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37">
        <f t="shared" si="34"/>
        <v>0</v>
      </c>
      <c r="N141" s="137">
        <f t="shared" si="34"/>
        <v>0</v>
      </c>
      <c r="O141" s="137">
        <f t="shared" si="34"/>
        <v>0</v>
      </c>
      <c r="P141" s="137">
        <f t="shared" si="34"/>
        <v>0</v>
      </c>
      <c r="Q141" s="137">
        <f t="shared" si="34"/>
        <v>0</v>
      </c>
      <c r="R141" s="137">
        <f t="shared" si="34"/>
        <v>0</v>
      </c>
      <c r="S141" s="137">
        <f t="shared" si="34"/>
        <v>0</v>
      </c>
      <c r="T141" s="137">
        <f t="shared" si="34"/>
        <v>0</v>
      </c>
      <c r="U141" s="137">
        <f t="shared" si="34"/>
        <v>0</v>
      </c>
      <c r="V141" s="137">
        <f t="shared" si="34"/>
        <v>0</v>
      </c>
      <c r="W141" s="137">
        <f t="shared" si="34"/>
        <v>0</v>
      </c>
      <c r="X141" s="137">
        <f t="shared" si="34"/>
        <v>0</v>
      </c>
      <c r="Y141" s="137">
        <f t="shared" si="34"/>
        <v>0</v>
      </c>
      <c r="Z141" s="137">
        <f t="shared" si="34"/>
        <v>0</v>
      </c>
      <c r="AA141" s="137">
        <f t="shared" si="34"/>
        <v>0</v>
      </c>
      <c r="AB141" s="137">
        <f t="shared" si="34"/>
        <v>0</v>
      </c>
      <c r="AC141" s="137">
        <f t="shared" si="34"/>
        <v>0</v>
      </c>
      <c r="AD141" s="137">
        <f t="shared" si="34"/>
        <v>0</v>
      </c>
      <c r="AE141" s="137">
        <f t="shared" si="34"/>
        <v>0</v>
      </c>
      <c r="AF141" s="138"/>
      <c r="AG141" s="138"/>
      <c r="AH141" s="138"/>
      <c r="AI141" s="138"/>
    </row>
    <row r="142" spans="2:35" customFormat="1" ht="14.25" x14ac:dyDescent="0.45">
      <c r="B142" s="14" t="s">
        <v>2730</v>
      </c>
      <c r="C142" s="14" t="s">
        <v>2675</v>
      </c>
      <c r="D142" s="15" t="s">
        <v>2731</v>
      </c>
      <c r="E142" s="16" t="s">
        <v>2705</v>
      </c>
      <c r="F142" s="14" t="s">
        <v>2706</v>
      </c>
      <c r="G142" s="17"/>
      <c r="H142" s="17"/>
      <c r="K142" s="136"/>
      <c r="L142" s="139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39">
        <f t="shared" si="35"/>
        <v>0</v>
      </c>
      <c r="N142" s="139">
        <f t="shared" si="35"/>
        <v>0</v>
      </c>
      <c r="O142" s="139">
        <f t="shared" si="35"/>
        <v>0</v>
      </c>
      <c r="P142" s="139">
        <f t="shared" si="35"/>
        <v>0</v>
      </c>
      <c r="Q142" s="139">
        <f t="shared" si="35"/>
        <v>0</v>
      </c>
      <c r="R142" s="139">
        <f t="shared" si="35"/>
        <v>0</v>
      </c>
      <c r="S142" s="139">
        <f t="shared" si="35"/>
        <v>0</v>
      </c>
      <c r="T142" s="139">
        <f t="shared" si="35"/>
        <v>0</v>
      </c>
      <c r="U142" s="139">
        <f t="shared" si="35"/>
        <v>0</v>
      </c>
      <c r="V142" s="139">
        <f t="shared" si="35"/>
        <v>0</v>
      </c>
      <c r="W142" s="139">
        <f t="shared" si="35"/>
        <v>0</v>
      </c>
      <c r="X142" s="139">
        <f t="shared" si="35"/>
        <v>0</v>
      </c>
      <c r="Y142" s="139">
        <f t="shared" si="35"/>
        <v>0</v>
      </c>
      <c r="Z142" s="139">
        <f t="shared" si="35"/>
        <v>0</v>
      </c>
      <c r="AA142" s="139">
        <f t="shared" si="35"/>
        <v>0</v>
      </c>
      <c r="AB142" s="139">
        <f t="shared" si="35"/>
        <v>0</v>
      </c>
      <c r="AC142" s="139">
        <f t="shared" si="35"/>
        <v>0</v>
      </c>
      <c r="AD142" s="139">
        <f t="shared" si="35"/>
        <v>0</v>
      </c>
      <c r="AE142" s="139">
        <f t="shared" si="35"/>
        <v>0</v>
      </c>
      <c r="AF142" s="138"/>
      <c r="AG142" s="138"/>
      <c r="AH142" s="138"/>
      <c r="AI142" s="138"/>
    </row>
    <row r="143" spans="2:35" customFormat="1" ht="14.25" x14ac:dyDescent="0.45">
      <c r="B143" s="14" t="s">
        <v>2732</v>
      </c>
      <c r="C143" s="14" t="s">
        <v>2675</v>
      </c>
      <c r="D143" s="15" t="s">
        <v>2733</v>
      </c>
      <c r="E143" s="16" t="s">
        <v>1398</v>
      </c>
      <c r="F143" s="14" t="s">
        <v>2709</v>
      </c>
      <c r="G143" s="17"/>
      <c r="H143" s="17"/>
      <c r="K143" s="136"/>
      <c r="L143" s="137">
        <f t="shared" ref="L143:AE143" si="36">IF(L$122&lt;=0,0,IF(L$142&lt;=0,L$139,MIN($F$5,IF(L$139-(L$141-L$122)/L$142&lt;=0,L$139/2,L$139-(L$141-L$122)/L$142))))</f>
        <v>0</v>
      </c>
      <c r="M143" s="137">
        <f t="shared" si="36"/>
        <v>0</v>
      </c>
      <c r="N143" s="137">
        <f t="shared" si="36"/>
        <v>0</v>
      </c>
      <c r="O143" s="137">
        <f t="shared" si="36"/>
        <v>0</v>
      </c>
      <c r="P143" s="137">
        <f t="shared" si="36"/>
        <v>0</v>
      </c>
      <c r="Q143" s="137">
        <f t="shared" si="36"/>
        <v>0</v>
      </c>
      <c r="R143" s="137">
        <f t="shared" si="36"/>
        <v>0</v>
      </c>
      <c r="S143" s="137">
        <f t="shared" si="36"/>
        <v>0</v>
      </c>
      <c r="T143" s="137">
        <f t="shared" si="36"/>
        <v>0</v>
      </c>
      <c r="U143" s="137">
        <f t="shared" si="36"/>
        <v>0</v>
      </c>
      <c r="V143" s="137">
        <f t="shared" si="36"/>
        <v>0</v>
      </c>
      <c r="W143" s="137">
        <f t="shared" si="36"/>
        <v>0</v>
      </c>
      <c r="X143" s="137">
        <f t="shared" si="36"/>
        <v>0</v>
      </c>
      <c r="Y143" s="137">
        <f t="shared" si="36"/>
        <v>0</v>
      </c>
      <c r="Z143" s="137">
        <f t="shared" si="36"/>
        <v>0</v>
      </c>
      <c r="AA143" s="137">
        <f t="shared" si="36"/>
        <v>0</v>
      </c>
      <c r="AB143" s="137">
        <f t="shared" si="36"/>
        <v>0</v>
      </c>
      <c r="AC143" s="137">
        <f t="shared" si="36"/>
        <v>0</v>
      </c>
      <c r="AD143" s="137">
        <f t="shared" si="36"/>
        <v>0</v>
      </c>
      <c r="AE143" s="137">
        <f t="shared" si="36"/>
        <v>0</v>
      </c>
      <c r="AF143" s="138"/>
      <c r="AG143" s="138"/>
      <c r="AH143" s="138"/>
      <c r="AI143" s="138"/>
    </row>
    <row r="144" spans="2:35" customFormat="1" ht="14.25" x14ac:dyDescent="0.45">
      <c r="B144" s="14" t="s">
        <v>2734</v>
      </c>
      <c r="C144" s="14" t="s">
        <v>2675</v>
      </c>
      <c r="D144" s="15" t="s">
        <v>2735</v>
      </c>
      <c r="E144" s="16" t="s">
        <v>2068</v>
      </c>
      <c r="F144" s="14" t="s">
        <v>2699</v>
      </c>
      <c r="G144" s="17"/>
      <c r="H144" s="17"/>
      <c r="K144" s="136"/>
      <c r="L144" s="139">
        <f t="shared" ref="L144:AE144" si="37">SUMPRODUCT(L$45:L$52*(1-EXP(-L$55:L$62*L$143)))+SUMPRODUCT(L$101:L$116*(1-EXP(-L$65:L$80*L$143)))</f>
        <v>0</v>
      </c>
      <c r="M144" s="139">
        <f t="shared" si="37"/>
        <v>0</v>
      </c>
      <c r="N144" s="139">
        <f t="shared" si="37"/>
        <v>0</v>
      </c>
      <c r="O144" s="139">
        <f t="shared" si="37"/>
        <v>0</v>
      </c>
      <c r="P144" s="139">
        <f t="shared" si="37"/>
        <v>0</v>
      </c>
      <c r="Q144" s="139">
        <f t="shared" si="37"/>
        <v>0</v>
      </c>
      <c r="R144" s="139">
        <f t="shared" si="37"/>
        <v>0</v>
      </c>
      <c r="S144" s="139">
        <f t="shared" si="37"/>
        <v>0</v>
      </c>
      <c r="T144" s="139">
        <f t="shared" si="37"/>
        <v>0</v>
      </c>
      <c r="U144" s="139">
        <f t="shared" si="37"/>
        <v>0</v>
      </c>
      <c r="V144" s="139">
        <f t="shared" si="37"/>
        <v>0</v>
      </c>
      <c r="W144" s="139">
        <f t="shared" si="37"/>
        <v>0</v>
      </c>
      <c r="X144" s="139">
        <f t="shared" si="37"/>
        <v>0</v>
      </c>
      <c r="Y144" s="139">
        <f t="shared" si="37"/>
        <v>0</v>
      </c>
      <c r="Z144" s="139">
        <f t="shared" si="37"/>
        <v>0</v>
      </c>
      <c r="AA144" s="139">
        <f t="shared" si="37"/>
        <v>0</v>
      </c>
      <c r="AB144" s="139">
        <f t="shared" si="37"/>
        <v>0</v>
      </c>
      <c r="AC144" s="139">
        <f t="shared" si="37"/>
        <v>0</v>
      </c>
      <c r="AD144" s="139">
        <f t="shared" si="37"/>
        <v>0</v>
      </c>
      <c r="AE144" s="139">
        <f t="shared" si="37"/>
        <v>0</v>
      </c>
      <c r="AF144" s="138"/>
      <c r="AG144" s="138"/>
      <c r="AH144" s="138"/>
      <c r="AI144" s="138"/>
    </row>
    <row r="145" spans="2:35" customFormat="1" ht="14.25" x14ac:dyDescent="0.45">
      <c r="B145" s="14" t="s">
        <v>2736</v>
      </c>
      <c r="C145" s="14" t="s">
        <v>2675</v>
      </c>
      <c r="D145" s="15" t="s">
        <v>2737</v>
      </c>
      <c r="E145" s="16" t="s">
        <v>1854</v>
      </c>
      <c r="F145" s="14" t="s">
        <v>2702</v>
      </c>
      <c r="G145" s="17"/>
      <c r="H145" s="17"/>
      <c r="K145" s="136"/>
      <c r="L145" s="137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37">
        <f t="shared" si="38"/>
        <v>0</v>
      </c>
      <c r="N145" s="137">
        <f t="shared" si="38"/>
        <v>0</v>
      </c>
      <c r="O145" s="137">
        <f t="shared" si="38"/>
        <v>0</v>
      </c>
      <c r="P145" s="137">
        <f t="shared" si="38"/>
        <v>0</v>
      </c>
      <c r="Q145" s="137">
        <f t="shared" si="38"/>
        <v>0</v>
      </c>
      <c r="R145" s="137">
        <f t="shared" si="38"/>
        <v>0</v>
      </c>
      <c r="S145" s="137">
        <f t="shared" si="38"/>
        <v>0</v>
      </c>
      <c r="T145" s="137">
        <f t="shared" si="38"/>
        <v>0</v>
      </c>
      <c r="U145" s="137">
        <f t="shared" si="38"/>
        <v>0</v>
      </c>
      <c r="V145" s="137">
        <f t="shared" si="38"/>
        <v>0</v>
      </c>
      <c r="W145" s="137">
        <f t="shared" si="38"/>
        <v>0</v>
      </c>
      <c r="X145" s="137">
        <f t="shared" si="38"/>
        <v>0</v>
      </c>
      <c r="Y145" s="137">
        <f t="shared" si="38"/>
        <v>0</v>
      </c>
      <c r="Z145" s="137">
        <f t="shared" si="38"/>
        <v>0</v>
      </c>
      <c r="AA145" s="137">
        <f t="shared" si="38"/>
        <v>0</v>
      </c>
      <c r="AB145" s="137">
        <f t="shared" si="38"/>
        <v>0</v>
      </c>
      <c r="AC145" s="137">
        <f t="shared" si="38"/>
        <v>0</v>
      </c>
      <c r="AD145" s="137">
        <f t="shared" si="38"/>
        <v>0</v>
      </c>
      <c r="AE145" s="137">
        <f t="shared" si="38"/>
        <v>0</v>
      </c>
      <c r="AF145" s="138"/>
      <c r="AG145" s="138"/>
      <c r="AH145" s="138"/>
      <c r="AI145" s="138"/>
    </row>
    <row r="146" spans="2:35" customFormat="1" ht="14.25" x14ac:dyDescent="0.45">
      <c r="B146" s="14" t="s">
        <v>2738</v>
      </c>
      <c r="C146" s="14" t="s">
        <v>2675</v>
      </c>
      <c r="D146" s="15" t="s">
        <v>2739</v>
      </c>
      <c r="E146" s="16" t="s">
        <v>2705</v>
      </c>
      <c r="F146" s="14" t="s">
        <v>2706</v>
      </c>
      <c r="G146" s="17"/>
      <c r="H146" s="17"/>
      <c r="K146" s="136"/>
      <c r="L146" s="139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39">
        <f t="shared" si="39"/>
        <v>0</v>
      </c>
      <c r="N146" s="139">
        <f t="shared" si="39"/>
        <v>0</v>
      </c>
      <c r="O146" s="139">
        <f t="shared" si="39"/>
        <v>0</v>
      </c>
      <c r="P146" s="139">
        <f t="shared" si="39"/>
        <v>0</v>
      </c>
      <c r="Q146" s="139">
        <f t="shared" si="39"/>
        <v>0</v>
      </c>
      <c r="R146" s="139">
        <f t="shared" si="39"/>
        <v>0</v>
      </c>
      <c r="S146" s="139">
        <f t="shared" si="39"/>
        <v>0</v>
      </c>
      <c r="T146" s="139">
        <f t="shared" si="39"/>
        <v>0</v>
      </c>
      <c r="U146" s="139">
        <f t="shared" si="39"/>
        <v>0</v>
      </c>
      <c r="V146" s="139">
        <f t="shared" si="39"/>
        <v>0</v>
      </c>
      <c r="W146" s="139">
        <f t="shared" si="39"/>
        <v>0</v>
      </c>
      <c r="X146" s="139">
        <f t="shared" si="39"/>
        <v>0</v>
      </c>
      <c r="Y146" s="139">
        <f t="shared" si="39"/>
        <v>0</v>
      </c>
      <c r="Z146" s="139">
        <f t="shared" si="39"/>
        <v>0</v>
      </c>
      <c r="AA146" s="139">
        <f t="shared" si="39"/>
        <v>0</v>
      </c>
      <c r="AB146" s="139">
        <f t="shared" si="39"/>
        <v>0</v>
      </c>
      <c r="AC146" s="139">
        <f t="shared" si="39"/>
        <v>0</v>
      </c>
      <c r="AD146" s="139">
        <f t="shared" si="39"/>
        <v>0</v>
      </c>
      <c r="AE146" s="139">
        <f t="shared" si="39"/>
        <v>0</v>
      </c>
      <c r="AF146" s="138"/>
      <c r="AG146" s="138"/>
      <c r="AH146" s="138"/>
      <c r="AI146" s="138"/>
    </row>
    <row r="147" spans="2:35" customFormat="1" ht="14.25" x14ac:dyDescent="0.45">
      <c r="B147" s="14" t="s">
        <v>2740</v>
      </c>
      <c r="C147" s="14" t="s">
        <v>2675</v>
      </c>
      <c r="D147" s="15" t="s">
        <v>2741</v>
      </c>
      <c r="E147" s="16" t="s">
        <v>1398</v>
      </c>
      <c r="F147" s="14" t="s">
        <v>2709</v>
      </c>
      <c r="G147" s="17"/>
      <c r="H147" s="17"/>
      <c r="K147" s="136"/>
      <c r="L147" s="137">
        <f t="shared" ref="L147:AE147" si="40">IF(L$122&lt;=0,0,IF(L$146&lt;=0,L$143,MIN($F$5,IF(L$143-(L$145-L$122)/L$146&lt;=0,L$143/2,L$143-(L$145-L$122)/L$146))))</f>
        <v>0</v>
      </c>
      <c r="M147" s="137">
        <f t="shared" si="40"/>
        <v>0</v>
      </c>
      <c r="N147" s="137">
        <f t="shared" si="40"/>
        <v>0</v>
      </c>
      <c r="O147" s="137">
        <f t="shared" si="40"/>
        <v>0</v>
      </c>
      <c r="P147" s="137">
        <f t="shared" si="40"/>
        <v>0</v>
      </c>
      <c r="Q147" s="137">
        <f t="shared" si="40"/>
        <v>0</v>
      </c>
      <c r="R147" s="137">
        <f t="shared" si="40"/>
        <v>0</v>
      </c>
      <c r="S147" s="137">
        <f t="shared" si="40"/>
        <v>0</v>
      </c>
      <c r="T147" s="137">
        <f t="shared" si="40"/>
        <v>0</v>
      </c>
      <c r="U147" s="137">
        <f t="shared" si="40"/>
        <v>0</v>
      </c>
      <c r="V147" s="137">
        <f t="shared" si="40"/>
        <v>0</v>
      </c>
      <c r="W147" s="137">
        <f t="shared" si="40"/>
        <v>0</v>
      </c>
      <c r="X147" s="137">
        <f t="shared" si="40"/>
        <v>0</v>
      </c>
      <c r="Y147" s="137">
        <f t="shared" si="40"/>
        <v>0</v>
      </c>
      <c r="Z147" s="137">
        <f t="shared" si="40"/>
        <v>0</v>
      </c>
      <c r="AA147" s="137">
        <f t="shared" si="40"/>
        <v>0</v>
      </c>
      <c r="AB147" s="137">
        <f t="shared" si="40"/>
        <v>0</v>
      </c>
      <c r="AC147" s="137">
        <f t="shared" si="40"/>
        <v>0</v>
      </c>
      <c r="AD147" s="137">
        <f t="shared" si="40"/>
        <v>0</v>
      </c>
      <c r="AE147" s="137">
        <f t="shared" si="40"/>
        <v>0</v>
      </c>
      <c r="AF147" s="138"/>
      <c r="AG147" s="138"/>
      <c r="AH147" s="138"/>
      <c r="AI147" s="138"/>
    </row>
    <row r="148" spans="2:35" customFormat="1" ht="14.25" x14ac:dyDescent="0.45">
      <c r="B148" s="14" t="s">
        <v>2742</v>
      </c>
      <c r="C148" s="14" t="s">
        <v>2675</v>
      </c>
      <c r="D148" s="15" t="s">
        <v>2743</v>
      </c>
      <c r="E148" s="16" t="s">
        <v>2068</v>
      </c>
      <c r="F148" s="14" t="s">
        <v>2699</v>
      </c>
      <c r="G148" s="17"/>
      <c r="H148" s="17"/>
      <c r="K148" s="136"/>
      <c r="L148" s="139">
        <f t="shared" ref="L148:AE148" si="41">SUMPRODUCT(L$45:L$52*(1-EXP(-L$55:L$62*L$147)))+SUMPRODUCT(L$101:L$116*(1-EXP(-L$65:L$80*L$147)))</f>
        <v>0</v>
      </c>
      <c r="M148" s="139">
        <f t="shared" si="41"/>
        <v>0</v>
      </c>
      <c r="N148" s="139">
        <f t="shared" si="41"/>
        <v>0</v>
      </c>
      <c r="O148" s="139">
        <f t="shared" si="41"/>
        <v>0</v>
      </c>
      <c r="P148" s="139">
        <f t="shared" si="41"/>
        <v>0</v>
      </c>
      <c r="Q148" s="139">
        <f t="shared" si="41"/>
        <v>0</v>
      </c>
      <c r="R148" s="139">
        <f t="shared" si="41"/>
        <v>0</v>
      </c>
      <c r="S148" s="139">
        <f t="shared" si="41"/>
        <v>0</v>
      </c>
      <c r="T148" s="139">
        <f t="shared" si="41"/>
        <v>0</v>
      </c>
      <c r="U148" s="139">
        <f t="shared" si="41"/>
        <v>0</v>
      </c>
      <c r="V148" s="139">
        <f t="shared" si="41"/>
        <v>0</v>
      </c>
      <c r="W148" s="139">
        <f t="shared" si="41"/>
        <v>0</v>
      </c>
      <c r="X148" s="139">
        <f t="shared" si="41"/>
        <v>0</v>
      </c>
      <c r="Y148" s="139">
        <f t="shared" si="41"/>
        <v>0</v>
      </c>
      <c r="Z148" s="139">
        <f t="shared" si="41"/>
        <v>0</v>
      </c>
      <c r="AA148" s="139">
        <f t="shared" si="41"/>
        <v>0</v>
      </c>
      <c r="AB148" s="139">
        <f t="shared" si="41"/>
        <v>0</v>
      </c>
      <c r="AC148" s="139">
        <f t="shared" si="41"/>
        <v>0</v>
      </c>
      <c r="AD148" s="139">
        <f t="shared" si="41"/>
        <v>0</v>
      </c>
      <c r="AE148" s="139">
        <f t="shared" si="41"/>
        <v>0</v>
      </c>
      <c r="AF148" s="138"/>
      <c r="AG148" s="138"/>
      <c r="AH148" s="138"/>
      <c r="AI148" s="138"/>
    </row>
    <row r="149" spans="2:35" customFormat="1" ht="14.25" x14ac:dyDescent="0.45">
      <c r="B149" s="14" t="s">
        <v>2744</v>
      </c>
      <c r="C149" s="14" t="s">
        <v>2675</v>
      </c>
      <c r="D149" s="15" t="s">
        <v>2745</v>
      </c>
      <c r="E149" s="16" t="s">
        <v>1854</v>
      </c>
      <c r="F149" s="14" t="s">
        <v>2702</v>
      </c>
      <c r="G149" s="17"/>
      <c r="H149" s="17"/>
      <c r="K149" s="136"/>
      <c r="L149" s="137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37">
        <f t="shared" si="42"/>
        <v>0</v>
      </c>
      <c r="N149" s="137">
        <f t="shared" si="42"/>
        <v>0</v>
      </c>
      <c r="O149" s="137">
        <f t="shared" si="42"/>
        <v>0</v>
      </c>
      <c r="P149" s="137">
        <f t="shared" si="42"/>
        <v>0</v>
      </c>
      <c r="Q149" s="137">
        <f t="shared" si="42"/>
        <v>0</v>
      </c>
      <c r="R149" s="137">
        <f t="shared" si="42"/>
        <v>0</v>
      </c>
      <c r="S149" s="137">
        <f t="shared" si="42"/>
        <v>0</v>
      </c>
      <c r="T149" s="137">
        <f t="shared" si="42"/>
        <v>0</v>
      </c>
      <c r="U149" s="137">
        <f t="shared" si="42"/>
        <v>0</v>
      </c>
      <c r="V149" s="137">
        <f t="shared" si="42"/>
        <v>0</v>
      </c>
      <c r="W149" s="137">
        <f t="shared" si="42"/>
        <v>0</v>
      </c>
      <c r="X149" s="137">
        <f t="shared" si="42"/>
        <v>0</v>
      </c>
      <c r="Y149" s="137">
        <f t="shared" si="42"/>
        <v>0</v>
      </c>
      <c r="Z149" s="137">
        <f t="shared" si="42"/>
        <v>0</v>
      </c>
      <c r="AA149" s="137">
        <f t="shared" si="42"/>
        <v>0</v>
      </c>
      <c r="AB149" s="137">
        <f t="shared" si="42"/>
        <v>0</v>
      </c>
      <c r="AC149" s="137">
        <f t="shared" si="42"/>
        <v>0</v>
      </c>
      <c r="AD149" s="137">
        <f t="shared" si="42"/>
        <v>0</v>
      </c>
      <c r="AE149" s="137">
        <f t="shared" si="42"/>
        <v>0</v>
      </c>
      <c r="AF149" s="138"/>
      <c r="AG149" s="138"/>
      <c r="AH149" s="138"/>
      <c r="AI149" s="138"/>
    </row>
    <row r="150" spans="2:35" customFormat="1" ht="14.25" x14ac:dyDescent="0.45">
      <c r="B150" s="14" t="s">
        <v>2746</v>
      </c>
      <c r="C150" s="14" t="s">
        <v>2675</v>
      </c>
      <c r="D150" s="15" t="s">
        <v>2747</v>
      </c>
      <c r="E150" s="16" t="s">
        <v>2705</v>
      </c>
      <c r="F150" s="14" t="s">
        <v>2706</v>
      </c>
      <c r="G150" s="17"/>
      <c r="H150" s="17"/>
      <c r="K150" s="136"/>
      <c r="L150" s="139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39">
        <f t="shared" si="43"/>
        <v>0</v>
      </c>
      <c r="N150" s="139">
        <f t="shared" si="43"/>
        <v>0</v>
      </c>
      <c r="O150" s="139">
        <f t="shared" si="43"/>
        <v>0</v>
      </c>
      <c r="P150" s="139">
        <f t="shared" si="43"/>
        <v>0</v>
      </c>
      <c r="Q150" s="139">
        <f t="shared" si="43"/>
        <v>0</v>
      </c>
      <c r="R150" s="139">
        <f t="shared" si="43"/>
        <v>0</v>
      </c>
      <c r="S150" s="139">
        <f t="shared" si="43"/>
        <v>0</v>
      </c>
      <c r="T150" s="139">
        <f t="shared" si="43"/>
        <v>0</v>
      </c>
      <c r="U150" s="139">
        <f t="shared" si="43"/>
        <v>0</v>
      </c>
      <c r="V150" s="139">
        <f t="shared" si="43"/>
        <v>0</v>
      </c>
      <c r="W150" s="139">
        <f t="shared" si="43"/>
        <v>0</v>
      </c>
      <c r="X150" s="139">
        <f t="shared" si="43"/>
        <v>0</v>
      </c>
      <c r="Y150" s="139">
        <f t="shared" si="43"/>
        <v>0</v>
      </c>
      <c r="Z150" s="139">
        <f t="shared" si="43"/>
        <v>0</v>
      </c>
      <c r="AA150" s="139">
        <f t="shared" si="43"/>
        <v>0</v>
      </c>
      <c r="AB150" s="139">
        <f t="shared" si="43"/>
        <v>0</v>
      </c>
      <c r="AC150" s="139">
        <f t="shared" si="43"/>
        <v>0</v>
      </c>
      <c r="AD150" s="139">
        <f t="shared" si="43"/>
        <v>0</v>
      </c>
      <c r="AE150" s="139">
        <f t="shared" si="43"/>
        <v>0</v>
      </c>
      <c r="AF150" s="138"/>
      <c r="AG150" s="138"/>
      <c r="AH150" s="138"/>
      <c r="AI150" s="138"/>
    </row>
    <row r="151" spans="2:35" customFormat="1" ht="14.25" x14ac:dyDescent="0.45">
      <c r="B151" s="14" t="s">
        <v>2748</v>
      </c>
      <c r="C151" s="14" t="s">
        <v>2675</v>
      </c>
      <c r="D151" s="15" t="s">
        <v>2749</v>
      </c>
      <c r="E151" s="16" t="s">
        <v>1398</v>
      </c>
      <c r="F151" s="14" t="s">
        <v>2709</v>
      </c>
      <c r="G151" s="17"/>
      <c r="H151" s="17"/>
      <c r="K151" s="136"/>
      <c r="L151" s="137">
        <f t="shared" ref="L151:AE151" si="44">IF(L$122&lt;=0,0,IF(L$150&lt;=0,L$147,MIN($F$5,IF(L$147-(L$149-L$122)/L$150&lt;=0,L$147/2,L$147-(L$149-L$122)/L$150))))</f>
        <v>0</v>
      </c>
      <c r="M151" s="137">
        <f t="shared" si="44"/>
        <v>0</v>
      </c>
      <c r="N151" s="137">
        <f t="shared" si="44"/>
        <v>0</v>
      </c>
      <c r="O151" s="137">
        <f t="shared" si="44"/>
        <v>0</v>
      </c>
      <c r="P151" s="137">
        <f t="shared" si="44"/>
        <v>0</v>
      </c>
      <c r="Q151" s="137">
        <f t="shared" si="44"/>
        <v>0</v>
      </c>
      <c r="R151" s="137">
        <f t="shared" si="44"/>
        <v>0</v>
      </c>
      <c r="S151" s="137">
        <f t="shared" si="44"/>
        <v>0</v>
      </c>
      <c r="T151" s="137">
        <f t="shared" si="44"/>
        <v>0</v>
      </c>
      <c r="U151" s="137">
        <f t="shared" si="44"/>
        <v>0</v>
      </c>
      <c r="V151" s="137">
        <f t="shared" si="44"/>
        <v>0</v>
      </c>
      <c r="W151" s="137">
        <f t="shared" si="44"/>
        <v>0</v>
      </c>
      <c r="X151" s="137">
        <f t="shared" si="44"/>
        <v>0</v>
      </c>
      <c r="Y151" s="137">
        <f t="shared" si="44"/>
        <v>0</v>
      </c>
      <c r="Z151" s="137">
        <f t="shared" si="44"/>
        <v>0</v>
      </c>
      <c r="AA151" s="137">
        <f t="shared" si="44"/>
        <v>0</v>
      </c>
      <c r="AB151" s="137">
        <f t="shared" si="44"/>
        <v>0</v>
      </c>
      <c r="AC151" s="137">
        <f t="shared" si="44"/>
        <v>0</v>
      </c>
      <c r="AD151" s="137">
        <f t="shared" si="44"/>
        <v>0</v>
      </c>
      <c r="AE151" s="137">
        <f t="shared" si="44"/>
        <v>0</v>
      </c>
      <c r="AF151" s="138"/>
      <c r="AG151" s="138"/>
      <c r="AH151" s="138"/>
      <c r="AI151" s="138"/>
    </row>
    <row r="152" spans="2:35" customFormat="1" ht="14.25" x14ac:dyDescent="0.45">
      <c r="B152" s="14" t="s">
        <v>2750</v>
      </c>
      <c r="C152" s="14" t="s">
        <v>2675</v>
      </c>
      <c r="D152" s="15" t="s">
        <v>2751</v>
      </c>
      <c r="E152" s="16" t="s">
        <v>2068</v>
      </c>
      <c r="F152" s="14" t="s">
        <v>2699</v>
      </c>
      <c r="G152" s="17"/>
      <c r="H152" s="17"/>
      <c r="K152" s="136"/>
      <c r="L152" s="139">
        <f t="shared" ref="L152:AE152" si="45">SUMPRODUCT(L$45:L$52*(1-EXP(-L$55:L$62*L$151)))+SUMPRODUCT(L$101:L$116*(1-EXP(-L$65:L$80*L$151)))</f>
        <v>0</v>
      </c>
      <c r="M152" s="139">
        <f t="shared" si="45"/>
        <v>0</v>
      </c>
      <c r="N152" s="139">
        <f t="shared" si="45"/>
        <v>0</v>
      </c>
      <c r="O152" s="139">
        <f t="shared" si="45"/>
        <v>0</v>
      </c>
      <c r="P152" s="139">
        <f t="shared" si="45"/>
        <v>0</v>
      </c>
      <c r="Q152" s="139">
        <f t="shared" si="45"/>
        <v>0</v>
      </c>
      <c r="R152" s="139">
        <f t="shared" si="45"/>
        <v>0</v>
      </c>
      <c r="S152" s="139">
        <f t="shared" si="45"/>
        <v>0</v>
      </c>
      <c r="T152" s="139">
        <f t="shared" si="45"/>
        <v>0</v>
      </c>
      <c r="U152" s="139">
        <f t="shared" si="45"/>
        <v>0</v>
      </c>
      <c r="V152" s="139">
        <f t="shared" si="45"/>
        <v>0</v>
      </c>
      <c r="W152" s="139">
        <f t="shared" si="45"/>
        <v>0</v>
      </c>
      <c r="X152" s="139">
        <f t="shared" si="45"/>
        <v>0</v>
      </c>
      <c r="Y152" s="139">
        <f t="shared" si="45"/>
        <v>0</v>
      </c>
      <c r="Z152" s="139">
        <f t="shared" si="45"/>
        <v>0</v>
      </c>
      <c r="AA152" s="139">
        <f t="shared" si="45"/>
        <v>0</v>
      </c>
      <c r="AB152" s="139">
        <f t="shared" si="45"/>
        <v>0</v>
      </c>
      <c r="AC152" s="139">
        <f t="shared" si="45"/>
        <v>0</v>
      </c>
      <c r="AD152" s="139">
        <f t="shared" si="45"/>
        <v>0</v>
      </c>
      <c r="AE152" s="139">
        <f t="shared" si="45"/>
        <v>0</v>
      </c>
      <c r="AF152" s="138"/>
      <c r="AG152" s="138"/>
      <c r="AH152" s="138"/>
      <c r="AI152" s="138"/>
    </row>
    <row r="153" spans="2:35" customFormat="1" ht="14.25" x14ac:dyDescent="0.45">
      <c r="B153" s="14" t="s">
        <v>2752</v>
      </c>
      <c r="C153" s="14" t="s">
        <v>2675</v>
      </c>
      <c r="D153" s="15" t="s">
        <v>2753</v>
      </c>
      <c r="E153" s="16" t="s">
        <v>1854</v>
      </c>
      <c r="F153" s="14" t="s">
        <v>2702</v>
      </c>
      <c r="G153" s="17"/>
      <c r="H153" s="17"/>
      <c r="K153" s="136"/>
      <c r="L153" s="137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37">
        <f t="shared" si="46"/>
        <v>0</v>
      </c>
      <c r="N153" s="137">
        <f t="shared" si="46"/>
        <v>0</v>
      </c>
      <c r="O153" s="137">
        <f t="shared" si="46"/>
        <v>0</v>
      </c>
      <c r="P153" s="137">
        <f t="shared" si="46"/>
        <v>0</v>
      </c>
      <c r="Q153" s="137">
        <f t="shared" si="46"/>
        <v>0</v>
      </c>
      <c r="R153" s="137">
        <f t="shared" si="46"/>
        <v>0</v>
      </c>
      <c r="S153" s="137">
        <f t="shared" si="46"/>
        <v>0</v>
      </c>
      <c r="T153" s="137">
        <f t="shared" si="46"/>
        <v>0</v>
      </c>
      <c r="U153" s="137">
        <f t="shared" si="46"/>
        <v>0</v>
      </c>
      <c r="V153" s="137">
        <f t="shared" si="46"/>
        <v>0</v>
      </c>
      <c r="W153" s="137">
        <f t="shared" si="46"/>
        <v>0</v>
      </c>
      <c r="X153" s="137">
        <f t="shared" si="46"/>
        <v>0</v>
      </c>
      <c r="Y153" s="137">
        <f t="shared" si="46"/>
        <v>0</v>
      </c>
      <c r="Z153" s="137">
        <f t="shared" si="46"/>
        <v>0</v>
      </c>
      <c r="AA153" s="137">
        <f t="shared" si="46"/>
        <v>0</v>
      </c>
      <c r="AB153" s="137">
        <f t="shared" si="46"/>
        <v>0</v>
      </c>
      <c r="AC153" s="137">
        <f t="shared" si="46"/>
        <v>0</v>
      </c>
      <c r="AD153" s="137">
        <f t="shared" si="46"/>
        <v>0</v>
      </c>
      <c r="AE153" s="137">
        <f t="shared" si="46"/>
        <v>0</v>
      </c>
      <c r="AF153" s="138"/>
      <c r="AG153" s="138"/>
      <c r="AH153" s="138"/>
      <c r="AI153" s="138"/>
    </row>
    <row r="154" spans="2:35" customFormat="1" ht="14.25" x14ac:dyDescent="0.45">
      <c r="B154" s="14" t="s">
        <v>2754</v>
      </c>
      <c r="C154" s="14" t="s">
        <v>2675</v>
      </c>
      <c r="D154" s="15" t="s">
        <v>2755</v>
      </c>
      <c r="E154" s="16" t="s">
        <v>2705</v>
      </c>
      <c r="F154" s="14" t="s">
        <v>2706</v>
      </c>
      <c r="G154" s="17"/>
      <c r="H154" s="17"/>
      <c r="K154" s="136"/>
      <c r="L154" s="139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39">
        <f t="shared" si="47"/>
        <v>0</v>
      </c>
      <c r="N154" s="139">
        <f t="shared" si="47"/>
        <v>0</v>
      </c>
      <c r="O154" s="139">
        <f t="shared" si="47"/>
        <v>0</v>
      </c>
      <c r="P154" s="139">
        <f t="shared" si="47"/>
        <v>0</v>
      </c>
      <c r="Q154" s="139">
        <f t="shared" si="47"/>
        <v>0</v>
      </c>
      <c r="R154" s="139">
        <f t="shared" si="47"/>
        <v>0</v>
      </c>
      <c r="S154" s="139">
        <f t="shared" si="47"/>
        <v>0</v>
      </c>
      <c r="T154" s="139">
        <f t="shared" si="47"/>
        <v>0</v>
      </c>
      <c r="U154" s="139">
        <f t="shared" si="47"/>
        <v>0</v>
      </c>
      <c r="V154" s="139">
        <f t="shared" si="47"/>
        <v>0</v>
      </c>
      <c r="W154" s="139">
        <f t="shared" si="47"/>
        <v>0</v>
      </c>
      <c r="X154" s="139">
        <f t="shared" si="47"/>
        <v>0</v>
      </c>
      <c r="Y154" s="139">
        <f t="shared" si="47"/>
        <v>0</v>
      </c>
      <c r="Z154" s="139">
        <f t="shared" si="47"/>
        <v>0</v>
      </c>
      <c r="AA154" s="139">
        <f t="shared" si="47"/>
        <v>0</v>
      </c>
      <c r="AB154" s="139">
        <f t="shared" si="47"/>
        <v>0</v>
      </c>
      <c r="AC154" s="139">
        <f t="shared" si="47"/>
        <v>0</v>
      </c>
      <c r="AD154" s="139">
        <f t="shared" si="47"/>
        <v>0</v>
      </c>
      <c r="AE154" s="139">
        <f t="shared" si="47"/>
        <v>0</v>
      </c>
      <c r="AF154" s="138"/>
      <c r="AG154" s="138"/>
      <c r="AH154" s="138"/>
      <c r="AI154" s="138"/>
    </row>
    <row r="155" spans="2:35" customFormat="1" ht="14.25" x14ac:dyDescent="0.45">
      <c r="B155" s="14" t="s">
        <v>2756</v>
      </c>
      <c r="C155" s="14" t="s">
        <v>2675</v>
      </c>
      <c r="D155" s="15" t="s">
        <v>2757</v>
      </c>
      <c r="E155" s="16" t="s">
        <v>1398</v>
      </c>
      <c r="F155" s="14" t="s">
        <v>2709</v>
      </c>
      <c r="G155" s="17"/>
      <c r="H155" s="17"/>
      <c r="K155" s="136"/>
      <c r="L155" s="137">
        <f t="shared" ref="L155:AE155" si="48">IF(L$122&lt;=0,0,IF(L$154&lt;=0,L$151,MIN($F$5,IF(L$151-(L$153-L$122)/L$154&lt;=0,L$151/2,L$151-(L$153-L$122)/L$154))))</f>
        <v>0</v>
      </c>
      <c r="M155" s="137">
        <f t="shared" si="48"/>
        <v>0</v>
      </c>
      <c r="N155" s="137">
        <f t="shared" si="48"/>
        <v>0</v>
      </c>
      <c r="O155" s="137">
        <f t="shared" si="48"/>
        <v>0</v>
      </c>
      <c r="P155" s="137">
        <f t="shared" si="48"/>
        <v>0</v>
      </c>
      <c r="Q155" s="137">
        <f t="shared" si="48"/>
        <v>0</v>
      </c>
      <c r="R155" s="137">
        <f t="shared" si="48"/>
        <v>0</v>
      </c>
      <c r="S155" s="137">
        <f t="shared" si="48"/>
        <v>0</v>
      </c>
      <c r="T155" s="137">
        <f t="shared" si="48"/>
        <v>0</v>
      </c>
      <c r="U155" s="137">
        <f t="shared" si="48"/>
        <v>0</v>
      </c>
      <c r="V155" s="137">
        <f t="shared" si="48"/>
        <v>0</v>
      </c>
      <c r="W155" s="137">
        <f t="shared" si="48"/>
        <v>0</v>
      </c>
      <c r="X155" s="137">
        <f t="shared" si="48"/>
        <v>0</v>
      </c>
      <c r="Y155" s="137">
        <f t="shared" si="48"/>
        <v>0</v>
      </c>
      <c r="Z155" s="137">
        <f t="shared" si="48"/>
        <v>0</v>
      </c>
      <c r="AA155" s="137">
        <f t="shared" si="48"/>
        <v>0</v>
      </c>
      <c r="AB155" s="137">
        <f t="shared" si="48"/>
        <v>0</v>
      </c>
      <c r="AC155" s="137">
        <f t="shared" si="48"/>
        <v>0</v>
      </c>
      <c r="AD155" s="137">
        <f t="shared" si="48"/>
        <v>0</v>
      </c>
      <c r="AE155" s="137">
        <f t="shared" si="48"/>
        <v>0</v>
      </c>
      <c r="AF155" s="138"/>
      <c r="AG155" s="138"/>
      <c r="AH155" s="138"/>
      <c r="AI155" s="138"/>
    </row>
    <row r="156" spans="2:35" customFormat="1" ht="14.25" x14ac:dyDescent="0.45">
      <c r="B156" s="14" t="s">
        <v>2758</v>
      </c>
      <c r="C156" s="14" t="s">
        <v>2675</v>
      </c>
      <c r="D156" s="15" t="s">
        <v>2759</v>
      </c>
      <c r="E156" s="16" t="s">
        <v>2068</v>
      </c>
      <c r="F156" s="14" t="s">
        <v>2699</v>
      </c>
      <c r="G156" s="17"/>
      <c r="H156" s="17"/>
      <c r="K156" s="136"/>
      <c r="L156" s="139">
        <f t="shared" ref="L156:AE156" si="49">SUMPRODUCT(L$45:L$52*(1-EXP(-L$55:L$62*L$155)))+SUMPRODUCT(L$101:L$116*(1-EXP(-L$65:L$80*L$155)))</f>
        <v>0</v>
      </c>
      <c r="M156" s="139">
        <f t="shared" si="49"/>
        <v>0</v>
      </c>
      <c r="N156" s="139">
        <f t="shared" si="49"/>
        <v>0</v>
      </c>
      <c r="O156" s="139">
        <f t="shared" si="49"/>
        <v>0</v>
      </c>
      <c r="P156" s="139">
        <f t="shared" si="49"/>
        <v>0</v>
      </c>
      <c r="Q156" s="139">
        <f t="shared" si="49"/>
        <v>0</v>
      </c>
      <c r="R156" s="139">
        <f t="shared" si="49"/>
        <v>0</v>
      </c>
      <c r="S156" s="139">
        <f t="shared" si="49"/>
        <v>0</v>
      </c>
      <c r="T156" s="139">
        <f t="shared" si="49"/>
        <v>0</v>
      </c>
      <c r="U156" s="139">
        <f t="shared" si="49"/>
        <v>0</v>
      </c>
      <c r="V156" s="139">
        <f t="shared" si="49"/>
        <v>0</v>
      </c>
      <c r="W156" s="139">
        <f t="shared" si="49"/>
        <v>0</v>
      </c>
      <c r="X156" s="139">
        <f t="shared" si="49"/>
        <v>0</v>
      </c>
      <c r="Y156" s="139">
        <f t="shared" si="49"/>
        <v>0</v>
      </c>
      <c r="Z156" s="139">
        <f t="shared" si="49"/>
        <v>0</v>
      </c>
      <c r="AA156" s="139">
        <f t="shared" si="49"/>
        <v>0</v>
      </c>
      <c r="AB156" s="139">
        <f t="shared" si="49"/>
        <v>0</v>
      </c>
      <c r="AC156" s="139">
        <f t="shared" si="49"/>
        <v>0</v>
      </c>
      <c r="AD156" s="139">
        <f t="shared" si="49"/>
        <v>0</v>
      </c>
      <c r="AE156" s="139">
        <f t="shared" si="49"/>
        <v>0</v>
      </c>
      <c r="AF156" s="138"/>
      <c r="AG156" s="138"/>
      <c r="AH156" s="138"/>
      <c r="AI156" s="138"/>
    </row>
    <row r="157" spans="2:35" customFormat="1" ht="14.25" x14ac:dyDescent="0.45">
      <c r="B157" s="14" t="s">
        <v>2760</v>
      </c>
      <c r="C157" s="14" t="s">
        <v>2675</v>
      </c>
      <c r="D157" s="15" t="s">
        <v>2761</v>
      </c>
      <c r="E157" s="16" t="s">
        <v>1854</v>
      </c>
      <c r="F157" s="14" t="s">
        <v>2702</v>
      </c>
      <c r="G157" s="17"/>
      <c r="H157" s="17"/>
      <c r="K157" s="136"/>
      <c r="L157" s="137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37">
        <f t="shared" si="50"/>
        <v>0</v>
      </c>
      <c r="N157" s="137">
        <f t="shared" si="50"/>
        <v>0</v>
      </c>
      <c r="O157" s="137">
        <f t="shared" si="50"/>
        <v>0</v>
      </c>
      <c r="P157" s="137">
        <f t="shared" si="50"/>
        <v>0</v>
      </c>
      <c r="Q157" s="137">
        <f t="shared" si="50"/>
        <v>0</v>
      </c>
      <c r="R157" s="137">
        <f t="shared" si="50"/>
        <v>0</v>
      </c>
      <c r="S157" s="137">
        <f t="shared" si="50"/>
        <v>0</v>
      </c>
      <c r="T157" s="137">
        <f t="shared" si="50"/>
        <v>0</v>
      </c>
      <c r="U157" s="137">
        <f t="shared" si="50"/>
        <v>0</v>
      </c>
      <c r="V157" s="137">
        <f t="shared" si="50"/>
        <v>0</v>
      </c>
      <c r="W157" s="137">
        <f t="shared" si="50"/>
        <v>0</v>
      </c>
      <c r="X157" s="137">
        <f t="shared" si="50"/>
        <v>0</v>
      </c>
      <c r="Y157" s="137">
        <f t="shared" si="50"/>
        <v>0</v>
      </c>
      <c r="Z157" s="137">
        <f t="shared" si="50"/>
        <v>0</v>
      </c>
      <c r="AA157" s="137">
        <f t="shared" si="50"/>
        <v>0</v>
      </c>
      <c r="AB157" s="137">
        <f t="shared" si="50"/>
        <v>0</v>
      </c>
      <c r="AC157" s="137">
        <f t="shared" si="50"/>
        <v>0</v>
      </c>
      <c r="AD157" s="137">
        <f t="shared" si="50"/>
        <v>0</v>
      </c>
      <c r="AE157" s="137">
        <f t="shared" si="50"/>
        <v>0</v>
      </c>
      <c r="AF157" s="138"/>
      <c r="AG157" s="138"/>
      <c r="AH157" s="138"/>
      <c r="AI157" s="138"/>
    </row>
    <row r="158" spans="2:35" customFormat="1" ht="14.25" x14ac:dyDescent="0.45">
      <c r="B158" s="14" t="s">
        <v>2762</v>
      </c>
      <c r="C158" s="14" t="s">
        <v>2675</v>
      </c>
      <c r="D158" s="15" t="s">
        <v>2763</v>
      </c>
      <c r="E158" s="16" t="s">
        <v>2705</v>
      </c>
      <c r="F158" s="14" t="s">
        <v>2706</v>
      </c>
      <c r="G158" s="17"/>
      <c r="H158" s="17"/>
      <c r="K158" s="136"/>
      <c r="L158" s="139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39">
        <f t="shared" si="51"/>
        <v>0</v>
      </c>
      <c r="N158" s="139">
        <f t="shared" si="51"/>
        <v>0</v>
      </c>
      <c r="O158" s="139">
        <f t="shared" si="51"/>
        <v>0</v>
      </c>
      <c r="P158" s="139">
        <f t="shared" si="51"/>
        <v>0</v>
      </c>
      <c r="Q158" s="139">
        <f t="shared" si="51"/>
        <v>0</v>
      </c>
      <c r="R158" s="139">
        <f t="shared" si="51"/>
        <v>0</v>
      </c>
      <c r="S158" s="139">
        <f t="shared" si="51"/>
        <v>0</v>
      </c>
      <c r="T158" s="139">
        <f t="shared" si="51"/>
        <v>0</v>
      </c>
      <c r="U158" s="139">
        <f t="shared" si="51"/>
        <v>0</v>
      </c>
      <c r="V158" s="139">
        <f t="shared" si="51"/>
        <v>0</v>
      </c>
      <c r="W158" s="139">
        <f t="shared" si="51"/>
        <v>0</v>
      </c>
      <c r="X158" s="139">
        <f t="shared" si="51"/>
        <v>0</v>
      </c>
      <c r="Y158" s="139">
        <f t="shared" si="51"/>
        <v>0</v>
      </c>
      <c r="Z158" s="139">
        <f t="shared" si="51"/>
        <v>0</v>
      </c>
      <c r="AA158" s="139">
        <f t="shared" si="51"/>
        <v>0</v>
      </c>
      <c r="AB158" s="139">
        <f t="shared" si="51"/>
        <v>0</v>
      </c>
      <c r="AC158" s="139">
        <f t="shared" si="51"/>
        <v>0</v>
      </c>
      <c r="AD158" s="139">
        <f t="shared" si="51"/>
        <v>0</v>
      </c>
      <c r="AE158" s="139">
        <f t="shared" si="51"/>
        <v>0</v>
      </c>
      <c r="AF158" s="138"/>
      <c r="AG158" s="138"/>
      <c r="AH158" s="138"/>
      <c r="AI158" s="138"/>
    </row>
    <row r="159" spans="2:35" customFormat="1" ht="14.25" x14ac:dyDescent="0.45">
      <c r="B159" s="14" t="s">
        <v>2764</v>
      </c>
      <c r="C159" s="14" t="s">
        <v>2675</v>
      </c>
      <c r="D159" s="15" t="s">
        <v>2765</v>
      </c>
      <c r="E159" s="16" t="s">
        <v>1398</v>
      </c>
      <c r="F159" s="14" t="s">
        <v>2709</v>
      </c>
      <c r="G159" s="17"/>
      <c r="H159" s="17"/>
      <c r="K159" s="136"/>
      <c r="L159" s="137">
        <f t="shared" ref="L159:AE159" si="52">IF(L$122&lt;=0,0,IF(L$158&lt;=0,L$155,MIN($F$5,IF(L$155-(L$157-L$122)/L$158&lt;=0,L$155/2,L$155-(L$157-L$122)/L$158))))</f>
        <v>0</v>
      </c>
      <c r="M159" s="137">
        <f t="shared" si="52"/>
        <v>0</v>
      </c>
      <c r="N159" s="137">
        <f t="shared" si="52"/>
        <v>0</v>
      </c>
      <c r="O159" s="137">
        <f t="shared" si="52"/>
        <v>0</v>
      </c>
      <c r="P159" s="137">
        <f t="shared" si="52"/>
        <v>0</v>
      </c>
      <c r="Q159" s="137">
        <f t="shared" si="52"/>
        <v>0</v>
      </c>
      <c r="R159" s="137">
        <f t="shared" si="52"/>
        <v>0</v>
      </c>
      <c r="S159" s="137">
        <f t="shared" si="52"/>
        <v>0</v>
      </c>
      <c r="T159" s="137">
        <f t="shared" si="52"/>
        <v>0</v>
      </c>
      <c r="U159" s="137">
        <f t="shared" si="52"/>
        <v>0</v>
      </c>
      <c r="V159" s="137">
        <f t="shared" si="52"/>
        <v>0</v>
      </c>
      <c r="W159" s="137">
        <f t="shared" si="52"/>
        <v>0</v>
      </c>
      <c r="X159" s="137">
        <f t="shared" si="52"/>
        <v>0</v>
      </c>
      <c r="Y159" s="137">
        <f t="shared" si="52"/>
        <v>0</v>
      </c>
      <c r="Z159" s="137">
        <f t="shared" si="52"/>
        <v>0</v>
      </c>
      <c r="AA159" s="137">
        <f t="shared" si="52"/>
        <v>0</v>
      </c>
      <c r="AB159" s="137">
        <f t="shared" si="52"/>
        <v>0</v>
      </c>
      <c r="AC159" s="137">
        <f t="shared" si="52"/>
        <v>0</v>
      </c>
      <c r="AD159" s="137">
        <f t="shared" si="52"/>
        <v>0</v>
      </c>
      <c r="AE159" s="137">
        <f t="shared" si="52"/>
        <v>0</v>
      </c>
      <c r="AF159" s="138"/>
      <c r="AG159" s="138"/>
      <c r="AH159" s="138"/>
      <c r="AI159" s="138"/>
    </row>
    <row r="160" spans="2:35" customFormat="1" ht="14.25" x14ac:dyDescent="0.45">
      <c r="B160" s="14" t="s">
        <v>2766</v>
      </c>
      <c r="C160" s="14" t="s">
        <v>2675</v>
      </c>
      <c r="D160" s="15" t="s">
        <v>2767</v>
      </c>
      <c r="E160" s="16" t="s">
        <v>2068</v>
      </c>
      <c r="F160" s="14" t="s">
        <v>2699</v>
      </c>
      <c r="G160" s="17"/>
      <c r="H160" s="17"/>
      <c r="K160" s="136"/>
      <c r="L160" s="139">
        <f t="shared" ref="L160:AE160" si="53">SUMPRODUCT(L$45:L$52*(1-EXP(-L$55:L$62*L$159)))+SUMPRODUCT(L$101:L$116*(1-EXP(-L$65:L$80*L$159)))</f>
        <v>0</v>
      </c>
      <c r="M160" s="139">
        <f t="shared" si="53"/>
        <v>0</v>
      </c>
      <c r="N160" s="139">
        <f t="shared" si="53"/>
        <v>0</v>
      </c>
      <c r="O160" s="139">
        <f t="shared" si="53"/>
        <v>0</v>
      </c>
      <c r="P160" s="139">
        <f t="shared" si="53"/>
        <v>0</v>
      </c>
      <c r="Q160" s="139">
        <f t="shared" si="53"/>
        <v>0</v>
      </c>
      <c r="R160" s="139">
        <f t="shared" si="53"/>
        <v>0</v>
      </c>
      <c r="S160" s="139">
        <f t="shared" si="53"/>
        <v>0</v>
      </c>
      <c r="T160" s="139">
        <f t="shared" si="53"/>
        <v>0</v>
      </c>
      <c r="U160" s="139">
        <f t="shared" si="53"/>
        <v>0</v>
      </c>
      <c r="V160" s="139">
        <f t="shared" si="53"/>
        <v>0</v>
      </c>
      <c r="W160" s="139">
        <f t="shared" si="53"/>
        <v>0</v>
      </c>
      <c r="X160" s="139">
        <f t="shared" si="53"/>
        <v>0</v>
      </c>
      <c r="Y160" s="139">
        <f t="shared" si="53"/>
        <v>0</v>
      </c>
      <c r="Z160" s="139">
        <f t="shared" si="53"/>
        <v>0</v>
      </c>
      <c r="AA160" s="139">
        <f t="shared" si="53"/>
        <v>0</v>
      </c>
      <c r="AB160" s="139">
        <f t="shared" si="53"/>
        <v>0</v>
      </c>
      <c r="AC160" s="139">
        <f t="shared" si="53"/>
        <v>0</v>
      </c>
      <c r="AD160" s="139">
        <f t="shared" si="53"/>
        <v>0</v>
      </c>
      <c r="AE160" s="139">
        <f t="shared" si="53"/>
        <v>0</v>
      </c>
      <c r="AF160" s="138"/>
      <c r="AG160" s="138"/>
      <c r="AH160" s="138"/>
      <c r="AI160" s="138"/>
    </row>
    <row r="161" spans="2:35" customFormat="1" ht="14.25" x14ac:dyDescent="0.45">
      <c r="B161" s="14" t="s">
        <v>2768</v>
      </c>
      <c r="C161" s="14" t="s">
        <v>2675</v>
      </c>
      <c r="D161" s="15" t="s">
        <v>2769</v>
      </c>
      <c r="E161" s="16" t="s">
        <v>1854</v>
      </c>
      <c r="F161" s="14" t="s">
        <v>2702</v>
      </c>
      <c r="G161" s="17"/>
      <c r="H161" s="17"/>
      <c r="K161" s="136"/>
      <c r="L161" s="137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37">
        <f t="shared" si="54"/>
        <v>0</v>
      </c>
      <c r="N161" s="137">
        <f t="shared" si="54"/>
        <v>0</v>
      </c>
      <c r="O161" s="137">
        <f t="shared" si="54"/>
        <v>0</v>
      </c>
      <c r="P161" s="137">
        <f t="shared" si="54"/>
        <v>0</v>
      </c>
      <c r="Q161" s="137">
        <f t="shared" si="54"/>
        <v>0</v>
      </c>
      <c r="R161" s="137">
        <f t="shared" si="54"/>
        <v>0</v>
      </c>
      <c r="S161" s="137">
        <f t="shared" si="54"/>
        <v>0</v>
      </c>
      <c r="T161" s="137">
        <f t="shared" si="54"/>
        <v>0</v>
      </c>
      <c r="U161" s="137">
        <f t="shared" si="54"/>
        <v>0</v>
      </c>
      <c r="V161" s="137">
        <f t="shared" si="54"/>
        <v>0</v>
      </c>
      <c r="W161" s="137">
        <f t="shared" si="54"/>
        <v>0</v>
      </c>
      <c r="X161" s="137">
        <f t="shared" si="54"/>
        <v>0</v>
      </c>
      <c r="Y161" s="137">
        <f t="shared" si="54"/>
        <v>0</v>
      </c>
      <c r="Z161" s="137">
        <f t="shared" si="54"/>
        <v>0</v>
      </c>
      <c r="AA161" s="137">
        <f t="shared" si="54"/>
        <v>0</v>
      </c>
      <c r="AB161" s="137">
        <f t="shared" si="54"/>
        <v>0</v>
      </c>
      <c r="AC161" s="137">
        <f t="shared" si="54"/>
        <v>0</v>
      </c>
      <c r="AD161" s="137">
        <f t="shared" si="54"/>
        <v>0</v>
      </c>
      <c r="AE161" s="137">
        <f t="shared" si="54"/>
        <v>0</v>
      </c>
      <c r="AF161" s="138"/>
      <c r="AG161" s="138"/>
      <c r="AH161" s="138"/>
      <c r="AI161" s="138"/>
    </row>
    <row r="162" spans="2:35" customFormat="1" ht="14.25" x14ac:dyDescent="0.45">
      <c r="B162" s="14" t="s">
        <v>2770</v>
      </c>
      <c r="C162" s="14" t="s">
        <v>2675</v>
      </c>
      <c r="D162" s="15" t="s">
        <v>2771</v>
      </c>
      <c r="E162" s="16" t="s">
        <v>2705</v>
      </c>
      <c r="F162" s="14" t="s">
        <v>2706</v>
      </c>
      <c r="G162" s="17"/>
      <c r="H162" s="17"/>
      <c r="K162" s="136"/>
      <c r="L162" s="139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39">
        <f t="shared" si="55"/>
        <v>0</v>
      </c>
      <c r="N162" s="139">
        <f t="shared" si="55"/>
        <v>0</v>
      </c>
      <c r="O162" s="139">
        <f t="shared" si="55"/>
        <v>0</v>
      </c>
      <c r="P162" s="139">
        <f t="shared" si="55"/>
        <v>0</v>
      </c>
      <c r="Q162" s="139">
        <f t="shared" si="55"/>
        <v>0</v>
      </c>
      <c r="R162" s="139">
        <f t="shared" si="55"/>
        <v>0</v>
      </c>
      <c r="S162" s="139">
        <f t="shared" si="55"/>
        <v>0</v>
      </c>
      <c r="T162" s="139">
        <f t="shared" si="55"/>
        <v>0</v>
      </c>
      <c r="U162" s="139">
        <f t="shared" si="55"/>
        <v>0</v>
      </c>
      <c r="V162" s="139">
        <f t="shared" si="55"/>
        <v>0</v>
      </c>
      <c r="W162" s="139">
        <f t="shared" si="55"/>
        <v>0</v>
      </c>
      <c r="X162" s="139">
        <f t="shared" si="55"/>
        <v>0</v>
      </c>
      <c r="Y162" s="139">
        <f t="shared" si="55"/>
        <v>0</v>
      </c>
      <c r="Z162" s="139">
        <f t="shared" si="55"/>
        <v>0</v>
      </c>
      <c r="AA162" s="139">
        <f t="shared" si="55"/>
        <v>0</v>
      </c>
      <c r="AB162" s="139">
        <f t="shared" si="55"/>
        <v>0</v>
      </c>
      <c r="AC162" s="139">
        <f t="shared" si="55"/>
        <v>0</v>
      </c>
      <c r="AD162" s="139">
        <f t="shared" si="55"/>
        <v>0</v>
      </c>
      <c r="AE162" s="139">
        <f t="shared" si="55"/>
        <v>0</v>
      </c>
      <c r="AF162" s="138"/>
      <c r="AG162" s="138"/>
      <c r="AH162" s="138"/>
      <c r="AI162" s="138"/>
    </row>
    <row r="163" spans="2:35" customFormat="1" ht="14.25" x14ac:dyDescent="0.45">
      <c r="B163" s="14" t="s">
        <v>2772</v>
      </c>
      <c r="C163" s="14" t="s">
        <v>2675</v>
      </c>
      <c r="D163" s="15" t="s">
        <v>2773</v>
      </c>
      <c r="E163" s="16" t="s">
        <v>1398</v>
      </c>
      <c r="F163" s="14" t="s">
        <v>2709</v>
      </c>
      <c r="G163" s="17"/>
      <c r="H163" s="17"/>
      <c r="K163" s="136"/>
      <c r="L163" s="137">
        <f t="shared" ref="L163:AE163" si="56">IF(L$122&lt;=0,0,IF(L$162&lt;=0,L$159,MIN($F$5,IF(L$159-(L$161-L$122)/L$162&lt;=0,L$159/2,L$159-(L$161-L$122)/L$162))))</f>
        <v>0</v>
      </c>
      <c r="M163" s="137">
        <f t="shared" si="56"/>
        <v>0</v>
      </c>
      <c r="N163" s="137">
        <f t="shared" si="56"/>
        <v>0</v>
      </c>
      <c r="O163" s="137">
        <f t="shared" si="56"/>
        <v>0</v>
      </c>
      <c r="P163" s="137">
        <f t="shared" si="56"/>
        <v>0</v>
      </c>
      <c r="Q163" s="137">
        <f t="shared" si="56"/>
        <v>0</v>
      </c>
      <c r="R163" s="137">
        <f t="shared" si="56"/>
        <v>0</v>
      </c>
      <c r="S163" s="137">
        <f t="shared" si="56"/>
        <v>0</v>
      </c>
      <c r="T163" s="137">
        <f t="shared" si="56"/>
        <v>0</v>
      </c>
      <c r="U163" s="137">
        <f t="shared" si="56"/>
        <v>0</v>
      </c>
      <c r="V163" s="137">
        <f t="shared" si="56"/>
        <v>0</v>
      </c>
      <c r="W163" s="137">
        <f t="shared" si="56"/>
        <v>0</v>
      </c>
      <c r="X163" s="137">
        <f t="shared" si="56"/>
        <v>0</v>
      </c>
      <c r="Y163" s="137">
        <f t="shared" si="56"/>
        <v>0</v>
      </c>
      <c r="Z163" s="137">
        <f t="shared" si="56"/>
        <v>0</v>
      </c>
      <c r="AA163" s="137">
        <f t="shared" si="56"/>
        <v>0</v>
      </c>
      <c r="AB163" s="137">
        <f t="shared" si="56"/>
        <v>0</v>
      </c>
      <c r="AC163" s="137">
        <f t="shared" si="56"/>
        <v>0</v>
      </c>
      <c r="AD163" s="137">
        <f t="shared" si="56"/>
        <v>0</v>
      </c>
      <c r="AE163" s="137">
        <f t="shared" si="56"/>
        <v>0</v>
      </c>
      <c r="AF163" s="138"/>
      <c r="AG163" s="138"/>
      <c r="AH163" s="138"/>
      <c r="AI163" s="138"/>
    </row>
    <row r="164" spans="2:35" customFormat="1" ht="14.25" x14ac:dyDescent="0.45">
      <c r="B164" s="14" t="s">
        <v>2774</v>
      </c>
      <c r="C164" s="14" t="s">
        <v>2675</v>
      </c>
      <c r="D164" s="15" t="s">
        <v>2775</v>
      </c>
      <c r="E164" s="16" t="s">
        <v>2068</v>
      </c>
      <c r="F164" s="14" t="s">
        <v>2699</v>
      </c>
      <c r="G164" s="17"/>
      <c r="H164" s="17"/>
      <c r="K164" s="136"/>
      <c r="L164" s="139">
        <f t="shared" ref="L164:AE164" si="57">SUMPRODUCT(L$45:L$52*(1-EXP(-L$55:L$62*L$163)))+SUMPRODUCT(L$101:L$116*(1-EXP(-L$65:L$80*L$163)))</f>
        <v>0</v>
      </c>
      <c r="M164" s="139">
        <f t="shared" si="57"/>
        <v>0</v>
      </c>
      <c r="N164" s="139">
        <f t="shared" si="57"/>
        <v>0</v>
      </c>
      <c r="O164" s="139">
        <f t="shared" si="57"/>
        <v>0</v>
      </c>
      <c r="P164" s="139">
        <f t="shared" si="57"/>
        <v>0</v>
      </c>
      <c r="Q164" s="139">
        <f t="shared" si="57"/>
        <v>0</v>
      </c>
      <c r="R164" s="139">
        <f t="shared" si="57"/>
        <v>0</v>
      </c>
      <c r="S164" s="139">
        <f t="shared" si="57"/>
        <v>0</v>
      </c>
      <c r="T164" s="139">
        <f t="shared" si="57"/>
        <v>0</v>
      </c>
      <c r="U164" s="139">
        <f t="shared" si="57"/>
        <v>0</v>
      </c>
      <c r="V164" s="139">
        <f t="shared" si="57"/>
        <v>0</v>
      </c>
      <c r="W164" s="139">
        <f t="shared" si="57"/>
        <v>0</v>
      </c>
      <c r="X164" s="139">
        <f t="shared" si="57"/>
        <v>0</v>
      </c>
      <c r="Y164" s="139">
        <f t="shared" si="57"/>
        <v>0</v>
      </c>
      <c r="Z164" s="139">
        <f t="shared" si="57"/>
        <v>0</v>
      </c>
      <c r="AA164" s="139">
        <f t="shared" si="57"/>
        <v>0</v>
      </c>
      <c r="AB164" s="139">
        <f t="shared" si="57"/>
        <v>0</v>
      </c>
      <c r="AC164" s="139">
        <f t="shared" si="57"/>
        <v>0</v>
      </c>
      <c r="AD164" s="139">
        <f t="shared" si="57"/>
        <v>0</v>
      </c>
      <c r="AE164" s="139">
        <f t="shared" si="57"/>
        <v>0</v>
      </c>
      <c r="AF164" s="138"/>
      <c r="AG164" s="138"/>
      <c r="AH164" s="138"/>
      <c r="AI164" s="138"/>
    </row>
    <row r="165" spans="2:35" customFormat="1" ht="14.25" x14ac:dyDescent="0.45">
      <c r="B165" s="14" t="s">
        <v>2776</v>
      </c>
      <c r="C165" s="14" t="s">
        <v>2675</v>
      </c>
      <c r="D165" s="15" t="s">
        <v>2777</v>
      </c>
      <c r="E165" s="16" t="s">
        <v>1854</v>
      </c>
      <c r="F165" s="14" t="s">
        <v>2702</v>
      </c>
      <c r="G165" s="17"/>
      <c r="H165" s="17"/>
      <c r="K165" s="136"/>
      <c r="L165" s="137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37">
        <f t="shared" si="58"/>
        <v>0</v>
      </c>
      <c r="N165" s="137">
        <f t="shared" si="58"/>
        <v>0</v>
      </c>
      <c r="O165" s="137">
        <f t="shared" si="58"/>
        <v>0</v>
      </c>
      <c r="P165" s="137">
        <f t="shared" si="58"/>
        <v>0</v>
      </c>
      <c r="Q165" s="137">
        <f t="shared" si="58"/>
        <v>0</v>
      </c>
      <c r="R165" s="137">
        <f t="shared" si="58"/>
        <v>0</v>
      </c>
      <c r="S165" s="137">
        <f t="shared" si="58"/>
        <v>0</v>
      </c>
      <c r="T165" s="137">
        <f t="shared" si="58"/>
        <v>0</v>
      </c>
      <c r="U165" s="137">
        <f t="shared" si="58"/>
        <v>0</v>
      </c>
      <c r="V165" s="137">
        <f t="shared" si="58"/>
        <v>0</v>
      </c>
      <c r="W165" s="137">
        <f t="shared" si="58"/>
        <v>0</v>
      </c>
      <c r="X165" s="137">
        <f t="shared" si="58"/>
        <v>0</v>
      </c>
      <c r="Y165" s="137">
        <f t="shared" si="58"/>
        <v>0</v>
      </c>
      <c r="Z165" s="137">
        <f t="shared" si="58"/>
        <v>0</v>
      </c>
      <c r="AA165" s="137">
        <f t="shared" si="58"/>
        <v>0</v>
      </c>
      <c r="AB165" s="137">
        <f t="shared" si="58"/>
        <v>0</v>
      </c>
      <c r="AC165" s="137">
        <f t="shared" si="58"/>
        <v>0</v>
      </c>
      <c r="AD165" s="137">
        <f t="shared" si="58"/>
        <v>0</v>
      </c>
      <c r="AE165" s="137">
        <f t="shared" si="58"/>
        <v>0</v>
      </c>
      <c r="AF165" s="138"/>
      <c r="AG165" s="138"/>
      <c r="AH165" s="138"/>
      <c r="AI165" s="138"/>
    </row>
    <row r="166" spans="2:35" customFormat="1" ht="14.25" x14ac:dyDescent="0.45">
      <c r="B166" s="14" t="s">
        <v>2778</v>
      </c>
      <c r="C166" s="14" t="s">
        <v>2675</v>
      </c>
      <c r="D166" s="15" t="s">
        <v>2779</v>
      </c>
      <c r="E166" s="16" t="s">
        <v>2705</v>
      </c>
      <c r="F166" s="14" t="s">
        <v>2706</v>
      </c>
      <c r="G166" s="17"/>
      <c r="H166" s="17"/>
      <c r="K166" s="136"/>
      <c r="L166" s="139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39">
        <f t="shared" si="59"/>
        <v>0</v>
      </c>
      <c r="N166" s="139">
        <f t="shared" si="59"/>
        <v>0</v>
      </c>
      <c r="O166" s="139">
        <f t="shared" si="59"/>
        <v>0</v>
      </c>
      <c r="P166" s="139">
        <f t="shared" si="59"/>
        <v>0</v>
      </c>
      <c r="Q166" s="139">
        <f t="shared" si="59"/>
        <v>0</v>
      </c>
      <c r="R166" s="139">
        <f t="shared" si="59"/>
        <v>0</v>
      </c>
      <c r="S166" s="139">
        <f t="shared" si="59"/>
        <v>0</v>
      </c>
      <c r="T166" s="139">
        <f t="shared" si="59"/>
        <v>0</v>
      </c>
      <c r="U166" s="139">
        <f t="shared" si="59"/>
        <v>0</v>
      </c>
      <c r="V166" s="139">
        <f t="shared" si="59"/>
        <v>0</v>
      </c>
      <c r="W166" s="139">
        <f t="shared" si="59"/>
        <v>0</v>
      </c>
      <c r="X166" s="139">
        <f t="shared" si="59"/>
        <v>0</v>
      </c>
      <c r="Y166" s="139">
        <f t="shared" si="59"/>
        <v>0</v>
      </c>
      <c r="Z166" s="139">
        <f t="shared" si="59"/>
        <v>0</v>
      </c>
      <c r="AA166" s="139">
        <f t="shared" si="59"/>
        <v>0</v>
      </c>
      <c r="AB166" s="139">
        <f t="shared" si="59"/>
        <v>0</v>
      </c>
      <c r="AC166" s="139">
        <f t="shared" si="59"/>
        <v>0</v>
      </c>
      <c r="AD166" s="139">
        <f t="shared" si="59"/>
        <v>0</v>
      </c>
      <c r="AE166" s="139">
        <f t="shared" si="59"/>
        <v>0</v>
      </c>
      <c r="AF166" s="138"/>
      <c r="AG166" s="138"/>
      <c r="AH166" s="138"/>
      <c r="AI166" s="138"/>
    </row>
    <row r="167" spans="2:35" customFormat="1" ht="14.25" x14ac:dyDescent="0.45">
      <c r="B167" s="14" t="s">
        <v>2780</v>
      </c>
      <c r="C167" s="14" t="s">
        <v>2675</v>
      </c>
      <c r="D167" s="15" t="s">
        <v>2781</v>
      </c>
      <c r="E167" s="16" t="s">
        <v>1398</v>
      </c>
      <c r="F167" s="14" t="s">
        <v>2709</v>
      </c>
      <c r="G167" s="17"/>
      <c r="H167" s="17"/>
      <c r="K167" s="136"/>
      <c r="L167" s="137">
        <f t="shared" ref="L167:AE167" si="60">IF(L$122&lt;=0,0,IF(L$166&lt;=0,L$163,MIN($F$5,IF(L$163-(L$165-L$122)/L$166&lt;=0,L$163/2,L$163-(L$165-L$122)/L$166))))</f>
        <v>0</v>
      </c>
      <c r="M167" s="137">
        <f t="shared" si="60"/>
        <v>0</v>
      </c>
      <c r="N167" s="137">
        <f t="shared" si="60"/>
        <v>0</v>
      </c>
      <c r="O167" s="137">
        <f t="shared" si="60"/>
        <v>0</v>
      </c>
      <c r="P167" s="137">
        <f t="shared" si="60"/>
        <v>0</v>
      </c>
      <c r="Q167" s="137">
        <f t="shared" si="60"/>
        <v>0</v>
      </c>
      <c r="R167" s="137">
        <f t="shared" si="60"/>
        <v>0</v>
      </c>
      <c r="S167" s="137">
        <f t="shared" si="60"/>
        <v>0</v>
      </c>
      <c r="T167" s="137">
        <f t="shared" si="60"/>
        <v>0</v>
      </c>
      <c r="U167" s="137">
        <f t="shared" si="60"/>
        <v>0</v>
      </c>
      <c r="V167" s="137">
        <f t="shared" si="60"/>
        <v>0</v>
      </c>
      <c r="W167" s="137">
        <f t="shared" si="60"/>
        <v>0</v>
      </c>
      <c r="X167" s="137">
        <f t="shared" si="60"/>
        <v>0</v>
      </c>
      <c r="Y167" s="137">
        <f t="shared" si="60"/>
        <v>0</v>
      </c>
      <c r="Z167" s="137">
        <f t="shared" si="60"/>
        <v>0</v>
      </c>
      <c r="AA167" s="137">
        <f t="shared" si="60"/>
        <v>0</v>
      </c>
      <c r="AB167" s="137">
        <f t="shared" si="60"/>
        <v>0</v>
      </c>
      <c r="AC167" s="137">
        <f t="shared" si="60"/>
        <v>0</v>
      </c>
      <c r="AD167" s="137">
        <f t="shared" si="60"/>
        <v>0</v>
      </c>
      <c r="AE167" s="137">
        <f t="shared" si="60"/>
        <v>0</v>
      </c>
      <c r="AF167" s="138"/>
      <c r="AG167" s="138"/>
      <c r="AH167" s="138"/>
      <c r="AI167" s="138"/>
    </row>
    <row r="168" spans="2:35" customFormat="1" ht="14.25" x14ac:dyDescent="0.45">
      <c r="B168" s="14" t="s">
        <v>2782</v>
      </c>
      <c r="C168" s="14" t="s">
        <v>2675</v>
      </c>
      <c r="D168" s="15" t="s">
        <v>2783</v>
      </c>
      <c r="E168" s="16" t="s">
        <v>2068</v>
      </c>
      <c r="F168" s="14" t="s">
        <v>2699</v>
      </c>
      <c r="G168" s="17"/>
      <c r="H168" s="17"/>
      <c r="K168" s="136"/>
      <c r="L168" s="139">
        <f t="shared" ref="L168:AE168" si="61">SUMPRODUCT(L$45:L$52*(1-EXP(-L$55:L$62*L$167)))+SUMPRODUCT(L$101:L$116*(1-EXP(-L$65:L$80*L$167)))</f>
        <v>0</v>
      </c>
      <c r="M168" s="139">
        <f t="shared" si="61"/>
        <v>0</v>
      </c>
      <c r="N168" s="139">
        <f t="shared" si="61"/>
        <v>0</v>
      </c>
      <c r="O168" s="139">
        <f t="shared" si="61"/>
        <v>0</v>
      </c>
      <c r="P168" s="139">
        <f t="shared" si="61"/>
        <v>0</v>
      </c>
      <c r="Q168" s="139">
        <f t="shared" si="61"/>
        <v>0</v>
      </c>
      <c r="R168" s="139">
        <f t="shared" si="61"/>
        <v>0</v>
      </c>
      <c r="S168" s="139">
        <f t="shared" si="61"/>
        <v>0</v>
      </c>
      <c r="T168" s="139">
        <f t="shared" si="61"/>
        <v>0</v>
      </c>
      <c r="U168" s="139">
        <f t="shared" si="61"/>
        <v>0</v>
      </c>
      <c r="V168" s="139">
        <f t="shared" si="61"/>
        <v>0</v>
      </c>
      <c r="W168" s="139">
        <f t="shared" si="61"/>
        <v>0</v>
      </c>
      <c r="X168" s="139">
        <f t="shared" si="61"/>
        <v>0</v>
      </c>
      <c r="Y168" s="139">
        <f t="shared" si="61"/>
        <v>0</v>
      </c>
      <c r="Z168" s="139">
        <f t="shared" si="61"/>
        <v>0</v>
      </c>
      <c r="AA168" s="139">
        <f t="shared" si="61"/>
        <v>0</v>
      </c>
      <c r="AB168" s="139">
        <f t="shared" si="61"/>
        <v>0</v>
      </c>
      <c r="AC168" s="139">
        <f t="shared" si="61"/>
        <v>0</v>
      </c>
      <c r="AD168" s="139">
        <f t="shared" si="61"/>
        <v>0</v>
      </c>
      <c r="AE168" s="139">
        <f t="shared" si="61"/>
        <v>0</v>
      </c>
      <c r="AF168" s="138"/>
      <c r="AG168" s="138"/>
      <c r="AH168" s="138"/>
      <c r="AI168" s="138"/>
    </row>
    <row r="169" spans="2:35" customFormat="1" ht="14.25" x14ac:dyDescent="0.45">
      <c r="B169" s="14" t="s">
        <v>2784</v>
      </c>
      <c r="C169" s="14" t="s">
        <v>2675</v>
      </c>
      <c r="D169" s="15" t="s">
        <v>2785</v>
      </c>
      <c r="E169" s="16" t="s">
        <v>1854</v>
      </c>
      <c r="F169" s="14" t="s">
        <v>2702</v>
      </c>
      <c r="G169" s="17"/>
      <c r="H169" s="17"/>
      <c r="K169" s="136"/>
      <c r="L169" s="137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37">
        <f t="shared" si="62"/>
        <v>0</v>
      </c>
      <c r="N169" s="137">
        <f t="shared" si="62"/>
        <v>0</v>
      </c>
      <c r="O169" s="137">
        <f t="shared" si="62"/>
        <v>0</v>
      </c>
      <c r="P169" s="137">
        <f t="shared" si="62"/>
        <v>0</v>
      </c>
      <c r="Q169" s="137">
        <f t="shared" si="62"/>
        <v>0</v>
      </c>
      <c r="R169" s="137">
        <f t="shared" si="62"/>
        <v>0</v>
      </c>
      <c r="S169" s="137">
        <f t="shared" si="62"/>
        <v>0</v>
      </c>
      <c r="T169" s="137">
        <f t="shared" si="62"/>
        <v>0</v>
      </c>
      <c r="U169" s="137">
        <f t="shared" si="62"/>
        <v>0</v>
      </c>
      <c r="V169" s="137">
        <f t="shared" si="62"/>
        <v>0</v>
      </c>
      <c r="W169" s="137">
        <f t="shared" si="62"/>
        <v>0</v>
      </c>
      <c r="X169" s="137">
        <f t="shared" si="62"/>
        <v>0</v>
      </c>
      <c r="Y169" s="137">
        <f t="shared" si="62"/>
        <v>0</v>
      </c>
      <c r="Z169" s="137">
        <f t="shared" si="62"/>
        <v>0</v>
      </c>
      <c r="AA169" s="137">
        <f t="shared" si="62"/>
        <v>0</v>
      </c>
      <c r="AB169" s="137">
        <f t="shared" si="62"/>
        <v>0</v>
      </c>
      <c r="AC169" s="137">
        <f t="shared" si="62"/>
        <v>0</v>
      </c>
      <c r="AD169" s="137">
        <f t="shared" si="62"/>
        <v>0</v>
      </c>
      <c r="AE169" s="137">
        <f t="shared" si="62"/>
        <v>0</v>
      </c>
      <c r="AF169" s="138"/>
      <c r="AG169" s="138"/>
      <c r="AH169" s="138"/>
      <c r="AI169" s="138"/>
    </row>
    <row r="170" spans="2:35" customFormat="1" ht="14.25" x14ac:dyDescent="0.45">
      <c r="B170" s="14" t="s">
        <v>2786</v>
      </c>
      <c r="C170" s="14" t="s">
        <v>2675</v>
      </c>
      <c r="D170" s="15" t="s">
        <v>2787</v>
      </c>
      <c r="E170" s="16" t="s">
        <v>2705</v>
      </c>
      <c r="F170" s="14" t="s">
        <v>2706</v>
      </c>
      <c r="G170" s="17"/>
      <c r="H170" s="17"/>
      <c r="K170" s="136"/>
      <c r="L170" s="139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39">
        <f t="shared" si="63"/>
        <v>0</v>
      </c>
      <c r="N170" s="139">
        <f t="shared" si="63"/>
        <v>0</v>
      </c>
      <c r="O170" s="139">
        <f t="shared" si="63"/>
        <v>0</v>
      </c>
      <c r="P170" s="139">
        <f t="shared" si="63"/>
        <v>0</v>
      </c>
      <c r="Q170" s="139">
        <f t="shared" si="63"/>
        <v>0</v>
      </c>
      <c r="R170" s="139">
        <f t="shared" si="63"/>
        <v>0</v>
      </c>
      <c r="S170" s="139">
        <f t="shared" si="63"/>
        <v>0</v>
      </c>
      <c r="T170" s="139">
        <f t="shared" si="63"/>
        <v>0</v>
      </c>
      <c r="U170" s="139">
        <f t="shared" si="63"/>
        <v>0</v>
      </c>
      <c r="V170" s="139">
        <f t="shared" si="63"/>
        <v>0</v>
      </c>
      <c r="W170" s="139">
        <f t="shared" si="63"/>
        <v>0</v>
      </c>
      <c r="X170" s="139">
        <f t="shared" si="63"/>
        <v>0</v>
      </c>
      <c r="Y170" s="139">
        <f t="shared" si="63"/>
        <v>0</v>
      </c>
      <c r="Z170" s="139">
        <f t="shared" si="63"/>
        <v>0</v>
      </c>
      <c r="AA170" s="139">
        <f t="shared" si="63"/>
        <v>0</v>
      </c>
      <c r="AB170" s="139">
        <f t="shared" si="63"/>
        <v>0</v>
      </c>
      <c r="AC170" s="139">
        <f t="shared" si="63"/>
        <v>0</v>
      </c>
      <c r="AD170" s="139">
        <f t="shared" si="63"/>
        <v>0</v>
      </c>
      <c r="AE170" s="139">
        <f t="shared" si="63"/>
        <v>0</v>
      </c>
      <c r="AF170" s="138"/>
      <c r="AG170" s="138"/>
      <c r="AH170" s="138"/>
      <c r="AI170" s="138"/>
    </row>
    <row r="171" spans="2:35" customFormat="1" ht="14.25" x14ac:dyDescent="0.45">
      <c r="B171" s="14" t="s">
        <v>2788</v>
      </c>
      <c r="C171" s="14" t="s">
        <v>2675</v>
      </c>
      <c r="D171" s="15" t="s">
        <v>2789</v>
      </c>
      <c r="E171" s="16" t="s">
        <v>1398</v>
      </c>
      <c r="F171" s="14" t="s">
        <v>2709</v>
      </c>
      <c r="G171" s="17"/>
      <c r="H171" s="17"/>
      <c r="K171" s="136"/>
      <c r="L171" s="137">
        <f t="shared" ref="L171:AE171" si="64">IF(L$122&lt;=0,0,IF(L$170&lt;=0,L$167,MIN($F$5,IF(L$167-(L$169-L$122)/L$170&lt;=0,L$167/2,L$167-(L$169-L$122)/L$170))))</f>
        <v>0</v>
      </c>
      <c r="M171" s="137">
        <f t="shared" si="64"/>
        <v>0</v>
      </c>
      <c r="N171" s="137">
        <f t="shared" si="64"/>
        <v>0</v>
      </c>
      <c r="O171" s="137">
        <f t="shared" si="64"/>
        <v>0</v>
      </c>
      <c r="P171" s="137">
        <f t="shared" si="64"/>
        <v>0</v>
      </c>
      <c r="Q171" s="137">
        <f t="shared" si="64"/>
        <v>0</v>
      </c>
      <c r="R171" s="137">
        <f t="shared" si="64"/>
        <v>0</v>
      </c>
      <c r="S171" s="137">
        <f t="shared" si="64"/>
        <v>0</v>
      </c>
      <c r="T171" s="137">
        <f t="shared" si="64"/>
        <v>0</v>
      </c>
      <c r="U171" s="137">
        <f t="shared" si="64"/>
        <v>0</v>
      </c>
      <c r="V171" s="137">
        <f t="shared" si="64"/>
        <v>0</v>
      </c>
      <c r="W171" s="137">
        <f t="shared" si="64"/>
        <v>0</v>
      </c>
      <c r="X171" s="137">
        <f t="shared" si="64"/>
        <v>0</v>
      </c>
      <c r="Y171" s="137">
        <f t="shared" si="64"/>
        <v>0</v>
      </c>
      <c r="Z171" s="137">
        <f t="shared" si="64"/>
        <v>0</v>
      </c>
      <c r="AA171" s="137">
        <f t="shared" si="64"/>
        <v>0</v>
      </c>
      <c r="AB171" s="137">
        <f t="shared" si="64"/>
        <v>0</v>
      </c>
      <c r="AC171" s="137">
        <f t="shared" si="64"/>
        <v>0</v>
      </c>
      <c r="AD171" s="137">
        <f t="shared" si="64"/>
        <v>0</v>
      </c>
      <c r="AE171" s="137">
        <f t="shared" si="64"/>
        <v>0</v>
      </c>
      <c r="AF171" s="138"/>
      <c r="AG171" s="138"/>
      <c r="AH171" s="138"/>
      <c r="AI171" s="138"/>
    </row>
    <row r="172" spans="2:35" customFormat="1" ht="14.25" x14ac:dyDescent="0.45">
      <c r="B172" s="14" t="s">
        <v>2790</v>
      </c>
      <c r="C172" s="14" t="s">
        <v>2675</v>
      </c>
      <c r="D172" s="15" t="s">
        <v>2791</v>
      </c>
      <c r="E172" s="16" t="s">
        <v>2068</v>
      </c>
      <c r="F172" s="14" t="s">
        <v>2699</v>
      </c>
      <c r="G172" s="17"/>
      <c r="H172" s="17"/>
      <c r="K172" s="136"/>
      <c r="L172" s="139">
        <f t="shared" ref="L172:AE172" si="65">SUMPRODUCT(L$45:L$52*(1-EXP(-L$55:L$62*L$171)))+SUMPRODUCT(L$101:L$116*(1-EXP(-L$65:L$80*L$171)))</f>
        <v>0</v>
      </c>
      <c r="M172" s="139">
        <f t="shared" si="65"/>
        <v>0</v>
      </c>
      <c r="N172" s="139">
        <f t="shared" si="65"/>
        <v>0</v>
      </c>
      <c r="O172" s="139">
        <f t="shared" si="65"/>
        <v>0</v>
      </c>
      <c r="P172" s="139">
        <f t="shared" si="65"/>
        <v>0</v>
      </c>
      <c r="Q172" s="139">
        <f t="shared" si="65"/>
        <v>0</v>
      </c>
      <c r="R172" s="139">
        <f t="shared" si="65"/>
        <v>0</v>
      </c>
      <c r="S172" s="139">
        <f t="shared" si="65"/>
        <v>0</v>
      </c>
      <c r="T172" s="139">
        <f t="shared" si="65"/>
        <v>0</v>
      </c>
      <c r="U172" s="139">
        <f t="shared" si="65"/>
        <v>0</v>
      </c>
      <c r="V172" s="139">
        <f t="shared" si="65"/>
        <v>0</v>
      </c>
      <c r="W172" s="139">
        <f t="shared" si="65"/>
        <v>0</v>
      </c>
      <c r="X172" s="139">
        <f t="shared" si="65"/>
        <v>0</v>
      </c>
      <c r="Y172" s="139">
        <f t="shared" si="65"/>
        <v>0</v>
      </c>
      <c r="Z172" s="139">
        <f t="shared" si="65"/>
        <v>0</v>
      </c>
      <c r="AA172" s="139">
        <f t="shared" si="65"/>
        <v>0</v>
      </c>
      <c r="AB172" s="139">
        <f t="shared" si="65"/>
        <v>0</v>
      </c>
      <c r="AC172" s="139">
        <f t="shared" si="65"/>
        <v>0</v>
      </c>
      <c r="AD172" s="139">
        <f t="shared" si="65"/>
        <v>0</v>
      </c>
      <c r="AE172" s="139">
        <f t="shared" si="65"/>
        <v>0</v>
      </c>
      <c r="AF172" s="138"/>
      <c r="AG172" s="138"/>
      <c r="AH172" s="138"/>
      <c r="AI172" s="138"/>
    </row>
    <row r="173" spans="2:35" customFormat="1" ht="14.25" x14ac:dyDescent="0.45">
      <c r="B173" s="14" t="s">
        <v>2792</v>
      </c>
      <c r="C173" s="14" t="s">
        <v>2675</v>
      </c>
      <c r="D173" s="15" t="s">
        <v>2793</v>
      </c>
      <c r="E173" s="16" t="s">
        <v>1854</v>
      </c>
      <c r="F173" s="14" t="s">
        <v>2702</v>
      </c>
      <c r="G173" s="17"/>
      <c r="H173" s="17"/>
      <c r="K173" s="136"/>
      <c r="L173" s="137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37">
        <f t="shared" si="66"/>
        <v>0</v>
      </c>
      <c r="N173" s="137">
        <f t="shared" si="66"/>
        <v>0</v>
      </c>
      <c r="O173" s="137">
        <f t="shared" si="66"/>
        <v>0</v>
      </c>
      <c r="P173" s="137">
        <f t="shared" si="66"/>
        <v>0</v>
      </c>
      <c r="Q173" s="137">
        <f t="shared" si="66"/>
        <v>0</v>
      </c>
      <c r="R173" s="137">
        <f t="shared" si="66"/>
        <v>0</v>
      </c>
      <c r="S173" s="137">
        <f t="shared" si="66"/>
        <v>0</v>
      </c>
      <c r="T173" s="137">
        <f t="shared" si="66"/>
        <v>0</v>
      </c>
      <c r="U173" s="137">
        <f t="shared" si="66"/>
        <v>0</v>
      </c>
      <c r="V173" s="137">
        <f t="shared" si="66"/>
        <v>0</v>
      </c>
      <c r="W173" s="137">
        <f t="shared" si="66"/>
        <v>0</v>
      </c>
      <c r="X173" s="137">
        <f t="shared" si="66"/>
        <v>0</v>
      </c>
      <c r="Y173" s="137">
        <f t="shared" si="66"/>
        <v>0</v>
      </c>
      <c r="Z173" s="137">
        <f t="shared" si="66"/>
        <v>0</v>
      </c>
      <c r="AA173" s="137">
        <f t="shared" si="66"/>
        <v>0</v>
      </c>
      <c r="AB173" s="137">
        <f t="shared" si="66"/>
        <v>0</v>
      </c>
      <c r="AC173" s="137">
        <f t="shared" si="66"/>
        <v>0</v>
      </c>
      <c r="AD173" s="137">
        <f t="shared" si="66"/>
        <v>0</v>
      </c>
      <c r="AE173" s="137">
        <f t="shared" si="66"/>
        <v>0</v>
      </c>
      <c r="AF173" s="138"/>
      <c r="AG173" s="138"/>
      <c r="AH173" s="138"/>
      <c r="AI173" s="138"/>
    </row>
    <row r="174" spans="2:35" customFormat="1" ht="14.25" x14ac:dyDescent="0.45">
      <c r="B174" s="14" t="s">
        <v>2794</v>
      </c>
      <c r="C174" s="14" t="s">
        <v>2675</v>
      </c>
      <c r="D174" s="15" t="s">
        <v>2795</v>
      </c>
      <c r="E174" s="16" t="s">
        <v>2705</v>
      </c>
      <c r="F174" s="14" t="s">
        <v>2706</v>
      </c>
      <c r="G174" s="17"/>
      <c r="H174" s="17"/>
      <c r="K174" s="136"/>
      <c r="L174" s="139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39">
        <f t="shared" si="67"/>
        <v>0</v>
      </c>
      <c r="N174" s="139">
        <f t="shared" si="67"/>
        <v>0</v>
      </c>
      <c r="O174" s="139">
        <f t="shared" si="67"/>
        <v>0</v>
      </c>
      <c r="P174" s="139">
        <f t="shared" si="67"/>
        <v>0</v>
      </c>
      <c r="Q174" s="139">
        <f t="shared" si="67"/>
        <v>0</v>
      </c>
      <c r="R174" s="139">
        <f t="shared" si="67"/>
        <v>0</v>
      </c>
      <c r="S174" s="139">
        <f t="shared" si="67"/>
        <v>0</v>
      </c>
      <c r="T174" s="139">
        <f t="shared" si="67"/>
        <v>0</v>
      </c>
      <c r="U174" s="139">
        <f t="shared" si="67"/>
        <v>0</v>
      </c>
      <c r="V174" s="139">
        <f t="shared" si="67"/>
        <v>0</v>
      </c>
      <c r="W174" s="139">
        <f t="shared" si="67"/>
        <v>0</v>
      </c>
      <c r="X174" s="139">
        <f t="shared" si="67"/>
        <v>0</v>
      </c>
      <c r="Y174" s="139">
        <f t="shared" si="67"/>
        <v>0</v>
      </c>
      <c r="Z174" s="139">
        <f t="shared" si="67"/>
        <v>0</v>
      </c>
      <c r="AA174" s="139">
        <f t="shared" si="67"/>
        <v>0</v>
      </c>
      <c r="AB174" s="139">
        <f t="shared" si="67"/>
        <v>0</v>
      </c>
      <c r="AC174" s="139">
        <f t="shared" si="67"/>
        <v>0</v>
      </c>
      <c r="AD174" s="139">
        <f t="shared" si="67"/>
        <v>0</v>
      </c>
      <c r="AE174" s="139">
        <f t="shared" si="67"/>
        <v>0</v>
      </c>
      <c r="AF174" s="138"/>
      <c r="AG174" s="138"/>
      <c r="AH174" s="138"/>
      <c r="AI174" s="138"/>
    </row>
    <row r="175" spans="2:35" customFormat="1" ht="14.25" x14ac:dyDescent="0.45">
      <c r="B175" s="14" t="s">
        <v>2796</v>
      </c>
      <c r="C175" s="14" t="s">
        <v>2675</v>
      </c>
      <c r="D175" s="15" t="s">
        <v>2797</v>
      </c>
      <c r="E175" s="16" t="s">
        <v>1398</v>
      </c>
      <c r="F175" s="14" t="s">
        <v>2709</v>
      </c>
      <c r="G175" s="17"/>
      <c r="H175" s="17"/>
      <c r="K175" s="136"/>
      <c r="L175" s="137">
        <f t="shared" ref="L175:AE175" si="68">IF(L$122&lt;=0,0,IF(L$174&lt;=0,L$171,MIN($F$5,IF(L$171-(L$173-L$122)/L$174&lt;=0,L$171/2,L$171-(L$173-L$122)/L$174))))</f>
        <v>0</v>
      </c>
      <c r="M175" s="137">
        <f t="shared" si="68"/>
        <v>0</v>
      </c>
      <c r="N175" s="137">
        <f t="shared" si="68"/>
        <v>0</v>
      </c>
      <c r="O175" s="137">
        <f t="shared" si="68"/>
        <v>0</v>
      </c>
      <c r="P175" s="137">
        <f t="shared" si="68"/>
        <v>0</v>
      </c>
      <c r="Q175" s="137">
        <f t="shared" si="68"/>
        <v>0</v>
      </c>
      <c r="R175" s="137">
        <f t="shared" si="68"/>
        <v>0</v>
      </c>
      <c r="S175" s="137">
        <f t="shared" si="68"/>
        <v>0</v>
      </c>
      <c r="T175" s="137">
        <f t="shared" si="68"/>
        <v>0</v>
      </c>
      <c r="U175" s="137">
        <f t="shared" si="68"/>
        <v>0</v>
      </c>
      <c r="V175" s="137">
        <f t="shared" si="68"/>
        <v>0</v>
      </c>
      <c r="W175" s="137">
        <f t="shared" si="68"/>
        <v>0</v>
      </c>
      <c r="X175" s="137">
        <f t="shared" si="68"/>
        <v>0</v>
      </c>
      <c r="Y175" s="137">
        <f t="shared" si="68"/>
        <v>0</v>
      </c>
      <c r="Z175" s="137">
        <f t="shared" si="68"/>
        <v>0</v>
      </c>
      <c r="AA175" s="137">
        <f t="shared" si="68"/>
        <v>0</v>
      </c>
      <c r="AB175" s="137">
        <f t="shared" si="68"/>
        <v>0</v>
      </c>
      <c r="AC175" s="137">
        <f t="shared" si="68"/>
        <v>0</v>
      </c>
      <c r="AD175" s="137">
        <f t="shared" si="68"/>
        <v>0</v>
      </c>
      <c r="AE175" s="137">
        <f t="shared" si="68"/>
        <v>0</v>
      </c>
      <c r="AF175" s="138"/>
      <c r="AG175" s="138"/>
      <c r="AH175" s="138"/>
      <c r="AI175" s="138"/>
    </row>
    <row r="176" spans="2:35" customFormat="1" ht="14.25" x14ac:dyDescent="0.45">
      <c r="B176" s="14" t="s">
        <v>2798</v>
      </c>
      <c r="C176" s="14" t="s">
        <v>2675</v>
      </c>
      <c r="D176" s="15" t="s">
        <v>2799</v>
      </c>
      <c r="E176" s="16" t="s">
        <v>2068</v>
      </c>
      <c r="F176" s="14" t="s">
        <v>2699</v>
      </c>
      <c r="G176" s="17"/>
      <c r="H176" s="17"/>
      <c r="K176" s="136"/>
      <c r="L176" s="139">
        <f t="shared" ref="L176:AE176" si="69">SUMPRODUCT(L$45:L$52*(1-EXP(-L$55:L$62*L$175)))+SUMPRODUCT(L$101:L$116*(1-EXP(-L$65:L$80*L$175)))</f>
        <v>0</v>
      </c>
      <c r="M176" s="139">
        <f t="shared" si="69"/>
        <v>0</v>
      </c>
      <c r="N176" s="139">
        <f t="shared" si="69"/>
        <v>0</v>
      </c>
      <c r="O176" s="139">
        <f t="shared" si="69"/>
        <v>0</v>
      </c>
      <c r="P176" s="139">
        <f t="shared" si="69"/>
        <v>0</v>
      </c>
      <c r="Q176" s="139">
        <f t="shared" si="69"/>
        <v>0</v>
      </c>
      <c r="R176" s="139">
        <f t="shared" si="69"/>
        <v>0</v>
      </c>
      <c r="S176" s="139">
        <f t="shared" si="69"/>
        <v>0</v>
      </c>
      <c r="T176" s="139">
        <f t="shared" si="69"/>
        <v>0</v>
      </c>
      <c r="U176" s="139">
        <f t="shared" si="69"/>
        <v>0</v>
      </c>
      <c r="V176" s="139">
        <f t="shared" si="69"/>
        <v>0</v>
      </c>
      <c r="W176" s="139">
        <f t="shared" si="69"/>
        <v>0</v>
      </c>
      <c r="X176" s="139">
        <f t="shared" si="69"/>
        <v>0</v>
      </c>
      <c r="Y176" s="139">
        <f t="shared" si="69"/>
        <v>0</v>
      </c>
      <c r="Z176" s="139">
        <f t="shared" si="69"/>
        <v>0</v>
      </c>
      <c r="AA176" s="139">
        <f t="shared" si="69"/>
        <v>0</v>
      </c>
      <c r="AB176" s="139">
        <f t="shared" si="69"/>
        <v>0</v>
      </c>
      <c r="AC176" s="139">
        <f t="shared" si="69"/>
        <v>0</v>
      </c>
      <c r="AD176" s="139">
        <f t="shared" si="69"/>
        <v>0</v>
      </c>
      <c r="AE176" s="139">
        <f t="shared" si="69"/>
        <v>0</v>
      </c>
      <c r="AF176" s="138"/>
      <c r="AG176" s="138"/>
      <c r="AH176" s="138"/>
      <c r="AI176" s="138"/>
    </row>
    <row r="177" spans="1:35" customFormat="1" ht="14.25" x14ac:dyDescent="0.45">
      <c r="B177" s="14" t="s">
        <v>2800</v>
      </c>
      <c r="C177" s="14" t="s">
        <v>2675</v>
      </c>
      <c r="D177" s="15" t="s">
        <v>2801</v>
      </c>
      <c r="E177" s="16" t="s">
        <v>1854</v>
      </c>
      <c r="F177" s="14" t="s">
        <v>2702</v>
      </c>
      <c r="G177" s="17"/>
      <c r="H177" s="17"/>
      <c r="K177" s="136"/>
      <c r="L177" s="137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37">
        <f t="shared" si="70"/>
        <v>0</v>
      </c>
      <c r="N177" s="137">
        <f t="shared" si="70"/>
        <v>0</v>
      </c>
      <c r="O177" s="137">
        <f t="shared" si="70"/>
        <v>0</v>
      </c>
      <c r="P177" s="137">
        <f t="shared" si="70"/>
        <v>0</v>
      </c>
      <c r="Q177" s="137">
        <f t="shared" si="70"/>
        <v>0</v>
      </c>
      <c r="R177" s="137">
        <f t="shared" si="70"/>
        <v>0</v>
      </c>
      <c r="S177" s="137">
        <f t="shared" si="70"/>
        <v>0</v>
      </c>
      <c r="T177" s="137">
        <f t="shared" si="70"/>
        <v>0</v>
      </c>
      <c r="U177" s="137">
        <f t="shared" si="70"/>
        <v>0</v>
      </c>
      <c r="V177" s="137">
        <f t="shared" si="70"/>
        <v>0</v>
      </c>
      <c r="W177" s="137">
        <f t="shared" si="70"/>
        <v>0</v>
      </c>
      <c r="X177" s="137">
        <f t="shared" si="70"/>
        <v>0</v>
      </c>
      <c r="Y177" s="137">
        <f t="shared" si="70"/>
        <v>0</v>
      </c>
      <c r="Z177" s="137">
        <f t="shared" si="70"/>
        <v>0</v>
      </c>
      <c r="AA177" s="137">
        <f t="shared" si="70"/>
        <v>0</v>
      </c>
      <c r="AB177" s="137">
        <f t="shared" si="70"/>
        <v>0</v>
      </c>
      <c r="AC177" s="137">
        <f t="shared" si="70"/>
        <v>0</v>
      </c>
      <c r="AD177" s="137">
        <f t="shared" si="70"/>
        <v>0</v>
      </c>
      <c r="AE177" s="137">
        <f t="shared" si="70"/>
        <v>0</v>
      </c>
      <c r="AF177" s="138"/>
      <c r="AG177" s="138"/>
      <c r="AH177" s="138"/>
      <c r="AI177" s="138"/>
    </row>
    <row r="178" spans="1:35" customFormat="1" ht="14.25" x14ac:dyDescent="0.45">
      <c r="B178" s="14" t="s">
        <v>2802</v>
      </c>
      <c r="C178" s="14" t="s">
        <v>2675</v>
      </c>
      <c r="D178" s="15" t="s">
        <v>2803</v>
      </c>
      <c r="E178" s="16" t="s">
        <v>2705</v>
      </c>
      <c r="F178" s="14" t="s">
        <v>2706</v>
      </c>
      <c r="G178" s="17"/>
      <c r="H178" s="17"/>
      <c r="K178" s="136"/>
      <c r="L178" s="139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39">
        <f t="shared" si="71"/>
        <v>0</v>
      </c>
      <c r="N178" s="139">
        <f t="shared" si="71"/>
        <v>0</v>
      </c>
      <c r="O178" s="139">
        <f t="shared" si="71"/>
        <v>0</v>
      </c>
      <c r="P178" s="139">
        <f t="shared" si="71"/>
        <v>0</v>
      </c>
      <c r="Q178" s="139">
        <f t="shared" si="71"/>
        <v>0</v>
      </c>
      <c r="R178" s="139">
        <f t="shared" si="71"/>
        <v>0</v>
      </c>
      <c r="S178" s="139">
        <f t="shared" si="71"/>
        <v>0</v>
      </c>
      <c r="T178" s="139">
        <f t="shared" si="71"/>
        <v>0</v>
      </c>
      <c r="U178" s="139">
        <f t="shared" si="71"/>
        <v>0</v>
      </c>
      <c r="V178" s="139">
        <f t="shared" si="71"/>
        <v>0</v>
      </c>
      <c r="W178" s="139">
        <f t="shared" si="71"/>
        <v>0</v>
      </c>
      <c r="X178" s="139">
        <f t="shared" si="71"/>
        <v>0</v>
      </c>
      <c r="Y178" s="139">
        <f t="shared" si="71"/>
        <v>0</v>
      </c>
      <c r="Z178" s="139">
        <f t="shared" si="71"/>
        <v>0</v>
      </c>
      <c r="AA178" s="139">
        <f t="shared" si="71"/>
        <v>0</v>
      </c>
      <c r="AB178" s="139">
        <f t="shared" si="71"/>
        <v>0</v>
      </c>
      <c r="AC178" s="139">
        <f t="shared" si="71"/>
        <v>0</v>
      </c>
      <c r="AD178" s="139">
        <f t="shared" si="71"/>
        <v>0</v>
      </c>
      <c r="AE178" s="139">
        <f t="shared" si="71"/>
        <v>0</v>
      </c>
      <c r="AF178" s="138"/>
      <c r="AG178" s="138"/>
      <c r="AH178" s="138"/>
      <c r="AI178" s="138"/>
    </row>
    <row r="179" spans="1:35" customFormat="1" ht="14.25" x14ac:dyDescent="0.45">
      <c r="B179" s="14" t="s">
        <v>2804</v>
      </c>
      <c r="C179" s="14" t="s">
        <v>2675</v>
      </c>
      <c r="D179" s="15" t="s">
        <v>2805</v>
      </c>
      <c r="E179" s="16" t="s">
        <v>1398</v>
      </c>
      <c r="F179" s="14" t="s">
        <v>2709</v>
      </c>
      <c r="G179" s="17"/>
      <c r="H179" s="17"/>
      <c r="K179" s="136"/>
      <c r="L179" s="137">
        <f t="shared" ref="L179:AE179" si="72">IF(L$122&lt;=0,0,IF(L$178&lt;=0,L$175,MIN($F$5,IF(L$175-(L$177-L$122)/L$178&lt;=0,L$175/2,L$175-(L$177-L$122)/L$178))))</f>
        <v>0</v>
      </c>
      <c r="M179" s="137">
        <f t="shared" si="72"/>
        <v>0</v>
      </c>
      <c r="N179" s="137">
        <f t="shared" si="72"/>
        <v>0</v>
      </c>
      <c r="O179" s="137">
        <f t="shared" si="72"/>
        <v>0</v>
      </c>
      <c r="P179" s="137">
        <f t="shared" si="72"/>
        <v>0</v>
      </c>
      <c r="Q179" s="137">
        <f t="shared" si="72"/>
        <v>0</v>
      </c>
      <c r="R179" s="137">
        <f t="shared" si="72"/>
        <v>0</v>
      </c>
      <c r="S179" s="137">
        <f t="shared" si="72"/>
        <v>0</v>
      </c>
      <c r="T179" s="137">
        <f t="shared" si="72"/>
        <v>0</v>
      </c>
      <c r="U179" s="137">
        <f t="shared" si="72"/>
        <v>0</v>
      </c>
      <c r="V179" s="137">
        <f t="shared" si="72"/>
        <v>0</v>
      </c>
      <c r="W179" s="137">
        <f t="shared" si="72"/>
        <v>0</v>
      </c>
      <c r="X179" s="137">
        <f t="shared" si="72"/>
        <v>0</v>
      </c>
      <c r="Y179" s="137">
        <f t="shared" si="72"/>
        <v>0</v>
      </c>
      <c r="Z179" s="137">
        <f t="shared" si="72"/>
        <v>0</v>
      </c>
      <c r="AA179" s="137">
        <f t="shared" si="72"/>
        <v>0</v>
      </c>
      <c r="AB179" s="137">
        <f t="shared" si="72"/>
        <v>0</v>
      </c>
      <c r="AC179" s="137">
        <f t="shared" si="72"/>
        <v>0</v>
      </c>
      <c r="AD179" s="137">
        <f t="shared" si="72"/>
        <v>0</v>
      </c>
      <c r="AE179" s="137">
        <f t="shared" si="72"/>
        <v>0</v>
      </c>
      <c r="AF179" s="138"/>
      <c r="AG179" s="138"/>
      <c r="AH179" s="138"/>
      <c r="AI179" s="138"/>
    </row>
    <row r="180" spans="1:35" customFormat="1" ht="14.25" x14ac:dyDescent="0.45">
      <c r="B180" s="14" t="s">
        <v>2806</v>
      </c>
      <c r="C180" s="14" t="s">
        <v>2675</v>
      </c>
      <c r="D180" s="15" t="s">
        <v>2807</v>
      </c>
      <c r="E180" s="16" t="s">
        <v>2068</v>
      </c>
      <c r="F180" s="14" t="s">
        <v>2699</v>
      </c>
      <c r="G180" s="17"/>
      <c r="H180" s="17"/>
      <c r="K180" s="136"/>
      <c r="L180" s="139">
        <f t="shared" ref="L180:AE180" si="73">SUMPRODUCT(L$45:L$52*(1-EXP(-L$55:L$62*L$179)))+SUMPRODUCT(L$101:L$116*(1-EXP(-L$65:L$80*L$179)))</f>
        <v>0</v>
      </c>
      <c r="M180" s="139">
        <f t="shared" si="73"/>
        <v>0</v>
      </c>
      <c r="N180" s="139">
        <f t="shared" si="73"/>
        <v>0</v>
      </c>
      <c r="O180" s="139">
        <f t="shared" si="73"/>
        <v>0</v>
      </c>
      <c r="P180" s="139">
        <f t="shared" si="73"/>
        <v>0</v>
      </c>
      <c r="Q180" s="139">
        <f t="shared" si="73"/>
        <v>0</v>
      </c>
      <c r="R180" s="139">
        <f t="shared" si="73"/>
        <v>0</v>
      </c>
      <c r="S180" s="139">
        <f t="shared" si="73"/>
        <v>0</v>
      </c>
      <c r="T180" s="139">
        <f t="shared" si="73"/>
        <v>0</v>
      </c>
      <c r="U180" s="139">
        <f t="shared" si="73"/>
        <v>0</v>
      </c>
      <c r="V180" s="139">
        <f t="shared" si="73"/>
        <v>0</v>
      </c>
      <c r="W180" s="139">
        <f t="shared" si="73"/>
        <v>0</v>
      </c>
      <c r="X180" s="139">
        <f t="shared" si="73"/>
        <v>0</v>
      </c>
      <c r="Y180" s="139">
        <f t="shared" si="73"/>
        <v>0</v>
      </c>
      <c r="Z180" s="139">
        <f t="shared" si="73"/>
        <v>0</v>
      </c>
      <c r="AA180" s="139">
        <f t="shared" si="73"/>
        <v>0</v>
      </c>
      <c r="AB180" s="139">
        <f t="shared" si="73"/>
        <v>0</v>
      </c>
      <c r="AC180" s="139">
        <f t="shared" si="73"/>
        <v>0</v>
      </c>
      <c r="AD180" s="139">
        <f t="shared" si="73"/>
        <v>0</v>
      </c>
      <c r="AE180" s="139">
        <f t="shared" si="73"/>
        <v>0</v>
      </c>
      <c r="AF180" s="138"/>
      <c r="AG180" s="138"/>
      <c r="AH180" s="138"/>
      <c r="AI180" s="138"/>
    </row>
    <row r="181" spans="1:35" customFormat="1" ht="14.25" x14ac:dyDescent="0.45">
      <c r="B181" s="14" t="s">
        <v>2808</v>
      </c>
      <c r="C181" s="14" t="s">
        <v>2675</v>
      </c>
      <c r="D181" s="15" t="s">
        <v>2809</v>
      </c>
      <c r="E181" s="16" t="s">
        <v>1854</v>
      </c>
      <c r="F181" s="14" t="s">
        <v>2702</v>
      </c>
      <c r="G181" s="17"/>
      <c r="H181" s="17"/>
      <c r="K181" s="136"/>
      <c r="L181" s="137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37">
        <f t="shared" si="74"/>
        <v>0</v>
      </c>
      <c r="N181" s="137">
        <f t="shared" si="74"/>
        <v>0</v>
      </c>
      <c r="O181" s="137">
        <f t="shared" si="74"/>
        <v>0</v>
      </c>
      <c r="P181" s="137">
        <f t="shared" si="74"/>
        <v>0</v>
      </c>
      <c r="Q181" s="137">
        <f t="shared" si="74"/>
        <v>0</v>
      </c>
      <c r="R181" s="137">
        <f t="shared" si="74"/>
        <v>0</v>
      </c>
      <c r="S181" s="137">
        <f t="shared" si="74"/>
        <v>0</v>
      </c>
      <c r="T181" s="137">
        <f t="shared" si="74"/>
        <v>0</v>
      </c>
      <c r="U181" s="137">
        <f t="shared" si="74"/>
        <v>0</v>
      </c>
      <c r="V181" s="137">
        <f t="shared" si="74"/>
        <v>0</v>
      </c>
      <c r="W181" s="137">
        <f t="shared" si="74"/>
        <v>0</v>
      </c>
      <c r="X181" s="137">
        <f t="shared" si="74"/>
        <v>0</v>
      </c>
      <c r="Y181" s="137">
        <f t="shared" si="74"/>
        <v>0</v>
      </c>
      <c r="Z181" s="137">
        <f t="shared" si="74"/>
        <v>0</v>
      </c>
      <c r="AA181" s="137">
        <f t="shared" si="74"/>
        <v>0</v>
      </c>
      <c r="AB181" s="137">
        <f t="shared" si="74"/>
        <v>0</v>
      </c>
      <c r="AC181" s="137">
        <f t="shared" si="74"/>
        <v>0</v>
      </c>
      <c r="AD181" s="137">
        <f t="shared" si="74"/>
        <v>0</v>
      </c>
      <c r="AE181" s="137">
        <f t="shared" si="74"/>
        <v>0</v>
      </c>
      <c r="AF181" s="138"/>
      <c r="AG181" s="138"/>
      <c r="AH181" s="138"/>
      <c r="AI181" s="138"/>
    </row>
    <row r="182" spans="1:35" customFormat="1" ht="14.25" x14ac:dyDescent="0.45">
      <c r="B182" s="14" t="s">
        <v>2810</v>
      </c>
      <c r="C182" s="14" t="s">
        <v>2675</v>
      </c>
      <c r="D182" s="15" t="s">
        <v>2811</v>
      </c>
      <c r="E182" s="16" t="s">
        <v>2705</v>
      </c>
      <c r="F182" s="14" t="s">
        <v>2706</v>
      </c>
      <c r="G182" s="17"/>
      <c r="H182" s="17"/>
      <c r="K182" s="136"/>
      <c r="L182" s="139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39">
        <f t="shared" si="75"/>
        <v>0</v>
      </c>
      <c r="N182" s="139">
        <f t="shared" si="75"/>
        <v>0</v>
      </c>
      <c r="O182" s="139">
        <f t="shared" si="75"/>
        <v>0</v>
      </c>
      <c r="P182" s="139">
        <f t="shared" si="75"/>
        <v>0</v>
      </c>
      <c r="Q182" s="139">
        <f t="shared" si="75"/>
        <v>0</v>
      </c>
      <c r="R182" s="139">
        <f t="shared" si="75"/>
        <v>0</v>
      </c>
      <c r="S182" s="139">
        <f t="shared" si="75"/>
        <v>0</v>
      </c>
      <c r="T182" s="139">
        <f t="shared" si="75"/>
        <v>0</v>
      </c>
      <c r="U182" s="139">
        <f t="shared" si="75"/>
        <v>0</v>
      </c>
      <c r="V182" s="139">
        <f t="shared" si="75"/>
        <v>0</v>
      </c>
      <c r="W182" s="139">
        <f t="shared" si="75"/>
        <v>0</v>
      </c>
      <c r="X182" s="139">
        <f t="shared" si="75"/>
        <v>0</v>
      </c>
      <c r="Y182" s="139">
        <f t="shared" si="75"/>
        <v>0</v>
      </c>
      <c r="Z182" s="139">
        <f t="shared" si="75"/>
        <v>0</v>
      </c>
      <c r="AA182" s="139">
        <f t="shared" si="75"/>
        <v>0</v>
      </c>
      <c r="AB182" s="139">
        <f t="shared" si="75"/>
        <v>0</v>
      </c>
      <c r="AC182" s="139">
        <f t="shared" si="75"/>
        <v>0</v>
      </c>
      <c r="AD182" s="139">
        <f t="shared" si="75"/>
        <v>0</v>
      </c>
      <c r="AE182" s="139">
        <f t="shared" si="75"/>
        <v>0</v>
      </c>
      <c r="AF182" s="138"/>
      <c r="AG182" s="138"/>
      <c r="AH182" s="138"/>
      <c r="AI182" s="138"/>
    </row>
    <row r="183" spans="1:35" customFormat="1" ht="14.25" x14ac:dyDescent="0.45">
      <c r="B183" s="14" t="s">
        <v>2812</v>
      </c>
      <c r="C183" s="14" t="s">
        <v>2675</v>
      </c>
      <c r="D183" s="15" t="s">
        <v>2813</v>
      </c>
      <c r="E183" s="16" t="s">
        <v>1398</v>
      </c>
      <c r="F183" s="14" t="s">
        <v>2709</v>
      </c>
      <c r="G183" s="17"/>
      <c r="H183" s="17"/>
      <c r="K183" s="136"/>
      <c r="L183" s="137">
        <f t="shared" ref="L183:AE183" si="76">IF(L$122&lt;=0,0,IF(L$182&lt;=0,L$179,MIN($F$5,IF(L$179-(L$181-L$122)/L$182&lt;=0,L$179/2,L$179-(L$181-L$122)/L$182))))</f>
        <v>0</v>
      </c>
      <c r="M183" s="137">
        <f t="shared" si="76"/>
        <v>0</v>
      </c>
      <c r="N183" s="137">
        <f t="shared" si="76"/>
        <v>0</v>
      </c>
      <c r="O183" s="137">
        <f t="shared" si="76"/>
        <v>0</v>
      </c>
      <c r="P183" s="137">
        <f t="shared" si="76"/>
        <v>0</v>
      </c>
      <c r="Q183" s="137">
        <f t="shared" si="76"/>
        <v>0</v>
      </c>
      <c r="R183" s="137">
        <f t="shared" si="76"/>
        <v>0</v>
      </c>
      <c r="S183" s="137">
        <f t="shared" si="76"/>
        <v>0</v>
      </c>
      <c r="T183" s="137">
        <f t="shared" si="76"/>
        <v>0</v>
      </c>
      <c r="U183" s="137">
        <f t="shared" si="76"/>
        <v>0</v>
      </c>
      <c r="V183" s="137">
        <f t="shared" si="76"/>
        <v>0</v>
      </c>
      <c r="W183" s="137">
        <f t="shared" si="76"/>
        <v>0</v>
      </c>
      <c r="X183" s="137">
        <f t="shared" si="76"/>
        <v>0</v>
      </c>
      <c r="Y183" s="137">
        <f t="shared" si="76"/>
        <v>0</v>
      </c>
      <c r="Z183" s="137">
        <f t="shared" si="76"/>
        <v>0</v>
      </c>
      <c r="AA183" s="137">
        <f t="shared" si="76"/>
        <v>0</v>
      </c>
      <c r="AB183" s="137">
        <f t="shared" si="76"/>
        <v>0</v>
      </c>
      <c r="AC183" s="137">
        <f t="shared" si="76"/>
        <v>0</v>
      </c>
      <c r="AD183" s="137">
        <f t="shared" si="76"/>
        <v>0</v>
      </c>
      <c r="AE183" s="137">
        <f t="shared" si="76"/>
        <v>0</v>
      </c>
      <c r="AF183" s="138"/>
      <c r="AG183" s="138"/>
      <c r="AH183" s="138"/>
      <c r="AI183" s="138"/>
    </row>
    <row r="184" spans="1:35" customFormat="1" ht="14.25" x14ac:dyDescent="0.45">
      <c r="B184" s="14" t="s">
        <v>2814</v>
      </c>
      <c r="C184" s="14" t="s">
        <v>2675</v>
      </c>
      <c r="D184" s="15" t="s">
        <v>2815</v>
      </c>
      <c r="E184" s="16" t="s">
        <v>2068</v>
      </c>
      <c r="F184" s="14" t="s">
        <v>2699</v>
      </c>
      <c r="G184" s="17"/>
      <c r="H184" s="17"/>
      <c r="K184" s="136"/>
      <c r="L184" s="139">
        <f t="shared" ref="L184:AE184" si="77">SUMPRODUCT(L$45:L$52*(1-EXP(-L$55:L$62*L$183)))+SUMPRODUCT(L$101:L$116*(1-EXP(-L$65:L$80*L$183)))</f>
        <v>0</v>
      </c>
      <c r="M184" s="139">
        <f t="shared" si="77"/>
        <v>0</v>
      </c>
      <c r="N184" s="139">
        <f t="shared" si="77"/>
        <v>0</v>
      </c>
      <c r="O184" s="139">
        <f t="shared" si="77"/>
        <v>0</v>
      </c>
      <c r="P184" s="139">
        <f t="shared" si="77"/>
        <v>0</v>
      </c>
      <c r="Q184" s="139">
        <f t="shared" si="77"/>
        <v>0</v>
      </c>
      <c r="R184" s="139">
        <f t="shared" si="77"/>
        <v>0</v>
      </c>
      <c r="S184" s="139">
        <f t="shared" si="77"/>
        <v>0</v>
      </c>
      <c r="T184" s="139">
        <f t="shared" si="77"/>
        <v>0</v>
      </c>
      <c r="U184" s="139">
        <f t="shared" si="77"/>
        <v>0</v>
      </c>
      <c r="V184" s="139">
        <f t="shared" si="77"/>
        <v>0</v>
      </c>
      <c r="W184" s="139">
        <f t="shared" si="77"/>
        <v>0</v>
      </c>
      <c r="X184" s="139">
        <f t="shared" si="77"/>
        <v>0</v>
      </c>
      <c r="Y184" s="139">
        <f t="shared" si="77"/>
        <v>0</v>
      </c>
      <c r="Z184" s="139">
        <f t="shared" si="77"/>
        <v>0</v>
      </c>
      <c r="AA184" s="139">
        <f t="shared" si="77"/>
        <v>0</v>
      </c>
      <c r="AB184" s="139">
        <f t="shared" si="77"/>
        <v>0</v>
      </c>
      <c r="AC184" s="139">
        <f t="shared" si="77"/>
        <v>0</v>
      </c>
      <c r="AD184" s="139">
        <f t="shared" si="77"/>
        <v>0</v>
      </c>
      <c r="AE184" s="139">
        <f t="shared" si="77"/>
        <v>0</v>
      </c>
      <c r="AF184" s="138"/>
      <c r="AG184" s="138"/>
      <c r="AH184" s="138"/>
      <c r="AI184" s="138"/>
    </row>
    <row r="185" spans="1:35" customFormat="1" ht="14.25" x14ac:dyDescent="0.45">
      <c r="B185" s="14" t="s">
        <v>2816</v>
      </c>
      <c r="C185" s="14" t="s">
        <v>2675</v>
      </c>
      <c r="D185" s="15" t="s">
        <v>2817</v>
      </c>
      <c r="E185" s="16" t="s">
        <v>1854</v>
      </c>
      <c r="F185" s="14" t="s">
        <v>2702</v>
      </c>
      <c r="G185" s="17"/>
      <c r="H185" s="17"/>
      <c r="K185" s="136"/>
      <c r="L185" s="137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37">
        <f t="shared" si="78"/>
        <v>0</v>
      </c>
      <c r="N185" s="137">
        <f t="shared" si="78"/>
        <v>0</v>
      </c>
      <c r="O185" s="137">
        <f t="shared" si="78"/>
        <v>0</v>
      </c>
      <c r="P185" s="137">
        <f t="shared" si="78"/>
        <v>0</v>
      </c>
      <c r="Q185" s="137">
        <f t="shared" si="78"/>
        <v>0</v>
      </c>
      <c r="R185" s="137">
        <f t="shared" si="78"/>
        <v>0</v>
      </c>
      <c r="S185" s="137">
        <f t="shared" si="78"/>
        <v>0</v>
      </c>
      <c r="T185" s="137">
        <f t="shared" si="78"/>
        <v>0</v>
      </c>
      <c r="U185" s="137">
        <f t="shared" si="78"/>
        <v>0</v>
      </c>
      <c r="V185" s="137">
        <f t="shared" si="78"/>
        <v>0</v>
      </c>
      <c r="W185" s="137">
        <f t="shared" si="78"/>
        <v>0</v>
      </c>
      <c r="X185" s="137">
        <f t="shared" si="78"/>
        <v>0</v>
      </c>
      <c r="Y185" s="137">
        <f t="shared" si="78"/>
        <v>0</v>
      </c>
      <c r="Z185" s="137">
        <f t="shared" si="78"/>
        <v>0</v>
      </c>
      <c r="AA185" s="137">
        <f t="shared" si="78"/>
        <v>0</v>
      </c>
      <c r="AB185" s="137">
        <f t="shared" si="78"/>
        <v>0</v>
      </c>
      <c r="AC185" s="137">
        <f t="shared" si="78"/>
        <v>0</v>
      </c>
      <c r="AD185" s="137">
        <f t="shared" si="78"/>
        <v>0</v>
      </c>
      <c r="AE185" s="137">
        <f t="shared" si="78"/>
        <v>0</v>
      </c>
      <c r="AF185" s="138"/>
      <c r="AG185" s="138"/>
      <c r="AH185" s="138"/>
      <c r="AI185" s="138"/>
    </row>
    <row r="186" spans="1:35" customFormat="1" ht="14.25" x14ac:dyDescent="0.45">
      <c r="B186" s="14" t="s">
        <v>2818</v>
      </c>
      <c r="C186" s="14" t="s">
        <v>2675</v>
      </c>
      <c r="D186" s="15" t="s">
        <v>2819</v>
      </c>
      <c r="E186" s="16" t="s">
        <v>2705</v>
      </c>
      <c r="F186" s="14" t="s">
        <v>2706</v>
      </c>
      <c r="G186" s="17"/>
      <c r="H186" s="17"/>
      <c r="K186" s="136"/>
      <c r="L186" s="139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39">
        <f t="shared" si="79"/>
        <v>0</v>
      </c>
      <c r="N186" s="139">
        <f t="shared" si="79"/>
        <v>0</v>
      </c>
      <c r="O186" s="139">
        <f t="shared" si="79"/>
        <v>0</v>
      </c>
      <c r="P186" s="139">
        <f t="shared" si="79"/>
        <v>0</v>
      </c>
      <c r="Q186" s="139">
        <f t="shared" si="79"/>
        <v>0</v>
      </c>
      <c r="R186" s="139">
        <f t="shared" si="79"/>
        <v>0</v>
      </c>
      <c r="S186" s="139">
        <f t="shared" si="79"/>
        <v>0</v>
      </c>
      <c r="T186" s="139">
        <f t="shared" si="79"/>
        <v>0</v>
      </c>
      <c r="U186" s="139">
        <f t="shared" si="79"/>
        <v>0</v>
      </c>
      <c r="V186" s="139">
        <f t="shared" si="79"/>
        <v>0</v>
      </c>
      <c r="W186" s="139">
        <f t="shared" si="79"/>
        <v>0</v>
      </c>
      <c r="X186" s="139">
        <f t="shared" si="79"/>
        <v>0</v>
      </c>
      <c r="Y186" s="139">
        <f t="shared" si="79"/>
        <v>0</v>
      </c>
      <c r="Z186" s="139">
        <f t="shared" si="79"/>
        <v>0</v>
      </c>
      <c r="AA186" s="139">
        <f t="shared" si="79"/>
        <v>0</v>
      </c>
      <c r="AB186" s="139">
        <f t="shared" si="79"/>
        <v>0</v>
      </c>
      <c r="AC186" s="139">
        <f t="shared" si="79"/>
        <v>0</v>
      </c>
      <c r="AD186" s="139">
        <f t="shared" si="79"/>
        <v>0</v>
      </c>
      <c r="AE186" s="139">
        <f t="shared" si="79"/>
        <v>0</v>
      </c>
      <c r="AF186" s="138"/>
      <c r="AG186" s="138"/>
      <c r="AH186" s="138"/>
      <c r="AI186" s="138"/>
    </row>
    <row r="187" spans="1:35" customFormat="1" ht="14.25" x14ac:dyDescent="0.45">
      <c r="B187" s="14" t="s">
        <v>2820</v>
      </c>
      <c r="C187" s="14" t="s">
        <v>2675</v>
      </c>
      <c r="D187" s="15" t="s">
        <v>2821</v>
      </c>
      <c r="E187" s="16" t="s">
        <v>1398</v>
      </c>
      <c r="F187" s="14" t="s">
        <v>2709</v>
      </c>
      <c r="G187" s="17"/>
      <c r="H187" s="17"/>
      <c r="K187" s="136"/>
      <c r="L187" s="137">
        <f t="shared" ref="L187:AE187" si="80">IF(L$122&lt;=0,0,IF(L$186&lt;=0,L$183,MIN($F$5,IF(L$183-(L$185-L$122)/L$186&lt;=0,L$183/2,L$183-(L$185-L$122)/L$186))))</f>
        <v>0</v>
      </c>
      <c r="M187" s="137">
        <f t="shared" si="80"/>
        <v>0</v>
      </c>
      <c r="N187" s="137">
        <f t="shared" si="80"/>
        <v>0</v>
      </c>
      <c r="O187" s="137">
        <f t="shared" si="80"/>
        <v>0</v>
      </c>
      <c r="P187" s="137">
        <f t="shared" si="80"/>
        <v>0</v>
      </c>
      <c r="Q187" s="137">
        <f t="shared" si="80"/>
        <v>0</v>
      </c>
      <c r="R187" s="137">
        <f t="shared" si="80"/>
        <v>0</v>
      </c>
      <c r="S187" s="137">
        <f t="shared" si="80"/>
        <v>0</v>
      </c>
      <c r="T187" s="137">
        <f t="shared" si="80"/>
        <v>0</v>
      </c>
      <c r="U187" s="137">
        <f t="shared" si="80"/>
        <v>0</v>
      </c>
      <c r="V187" s="137">
        <f t="shared" si="80"/>
        <v>0</v>
      </c>
      <c r="W187" s="137">
        <f t="shared" si="80"/>
        <v>0</v>
      </c>
      <c r="X187" s="137">
        <f t="shared" si="80"/>
        <v>0</v>
      </c>
      <c r="Y187" s="137">
        <f t="shared" si="80"/>
        <v>0</v>
      </c>
      <c r="Z187" s="137">
        <f t="shared" si="80"/>
        <v>0</v>
      </c>
      <c r="AA187" s="137">
        <f t="shared" si="80"/>
        <v>0</v>
      </c>
      <c r="AB187" s="137">
        <f t="shared" si="80"/>
        <v>0</v>
      </c>
      <c r="AC187" s="137">
        <f t="shared" si="80"/>
        <v>0</v>
      </c>
      <c r="AD187" s="137">
        <f t="shared" si="80"/>
        <v>0</v>
      </c>
      <c r="AE187" s="137">
        <f t="shared" si="80"/>
        <v>0</v>
      </c>
      <c r="AF187" s="138"/>
      <c r="AG187" s="138"/>
      <c r="AH187" s="138"/>
      <c r="AI187" s="138"/>
    </row>
    <row r="188" spans="1:35" x14ac:dyDescent="0.35"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  <c r="AC188" s="132"/>
      <c r="AD188" s="132"/>
      <c r="AE188" s="132"/>
      <c r="AF188" s="132"/>
      <c r="AG188" s="132"/>
      <c r="AH188" s="132"/>
      <c r="AI188" s="132"/>
    </row>
    <row r="189" spans="1:35" customFormat="1" ht="14.25" x14ac:dyDescent="0.45">
      <c r="A189" s="11"/>
      <c r="B189" s="6"/>
      <c r="C189" s="7" t="s">
        <v>2822</v>
      </c>
      <c r="D189" s="6" t="s">
        <v>1488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34">
        <v>2021</v>
      </c>
      <c r="L189" s="135">
        <v>2022</v>
      </c>
      <c r="M189" s="134">
        <v>2023</v>
      </c>
      <c r="N189" s="134">
        <v>2024</v>
      </c>
      <c r="O189" s="134">
        <v>2025</v>
      </c>
      <c r="P189" s="134">
        <v>2026</v>
      </c>
      <c r="Q189" s="134">
        <v>2027</v>
      </c>
      <c r="R189" s="134">
        <v>2028</v>
      </c>
      <c r="S189" s="134">
        <v>2029</v>
      </c>
      <c r="T189" s="134">
        <v>2030</v>
      </c>
      <c r="U189" s="134">
        <v>2031</v>
      </c>
      <c r="V189" s="134">
        <v>2032</v>
      </c>
      <c r="W189" s="134">
        <v>2033</v>
      </c>
      <c r="X189" s="134">
        <v>2034</v>
      </c>
      <c r="Y189" s="134">
        <v>2035</v>
      </c>
      <c r="Z189" s="134">
        <v>2036</v>
      </c>
      <c r="AA189" s="134">
        <v>2037</v>
      </c>
      <c r="AB189" s="134">
        <v>2038</v>
      </c>
      <c r="AC189" s="134">
        <v>2039</v>
      </c>
      <c r="AD189" s="134">
        <v>2040</v>
      </c>
      <c r="AE189" s="134">
        <v>2041</v>
      </c>
      <c r="AF189" s="134">
        <v>2042</v>
      </c>
      <c r="AG189" s="134">
        <v>2043</v>
      </c>
      <c r="AH189" s="134">
        <v>2044</v>
      </c>
      <c r="AI189" s="134">
        <v>2045</v>
      </c>
    </row>
    <row r="190" spans="1:35" customFormat="1" ht="14.25" x14ac:dyDescent="0.45">
      <c r="B190" s="14" t="s">
        <v>1793</v>
      </c>
      <c r="C190" s="14" t="s">
        <v>2675</v>
      </c>
      <c r="D190" s="15" t="s">
        <v>2823</v>
      </c>
      <c r="E190" s="16" t="s">
        <v>1398</v>
      </c>
      <c r="F190" s="14" t="s">
        <v>1793</v>
      </c>
      <c r="G190" s="17"/>
      <c r="H190" s="125" t="str">
        <f>Settings!$B$3&amp;".mit.fundsp.cbam.tot.1"</f>
        <v>egy.mit.fundsp.cbam.tot.1</v>
      </c>
      <c r="I190" t="s">
        <v>2824</v>
      </c>
      <c r="K190" s="136"/>
      <c r="L190" s="137">
        <f t="shared" ref="L190:AE190" si="81">L$187</f>
        <v>0</v>
      </c>
      <c r="M190" s="137">
        <f t="shared" si="81"/>
        <v>0</v>
      </c>
      <c r="N190" s="137">
        <f t="shared" si="81"/>
        <v>0</v>
      </c>
      <c r="O190" s="137">
        <f t="shared" si="81"/>
        <v>0</v>
      </c>
      <c r="P190" s="137">
        <f t="shared" si="81"/>
        <v>0</v>
      </c>
      <c r="Q190" s="137">
        <f t="shared" si="81"/>
        <v>0</v>
      </c>
      <c r="R190" s="137">
        <f t="shared" si="81"/>
        <v>0</v>
      </c>
      <c r="S190" s="137">
        <f t="shared" si="81"/>
        <v>0</v>
      </c>
      <c r="T190" s="137">
        <f t="shared" si="81"/>
        <v>0</v>
      </c>
      <c r="U190" s="137">
        <f t="shared" si="81"/>
        <v>0</v>
      </c>
      <c r="V190" s="137">
        <f t="shared" si="81"/>
        <v>0</v>
      </c>
      <c r="W190" s="137">
        <f t="shared" si="81"/>
        <v>0</v>
      </c>
      <c r="X190" s="137">
        <f t="shared" si="81"/>
        <v>0</v>
      </c>
      <c r="Y190" s="137">
        <f t="shared" si="81"/>
        <v>0</v>
      </c>
      <c r="Z190" s="137">
        <f t="shared" si="81"/>
        <v>0</v>
      </c>
      <c r="AA190" s="137">
        <f t="shared" si="81"/>
        <v>0</v>
      </c>
      <c r="AB190" s="137">
        <f t="shared" si="81"/>
        <v>0</v>
      </c>
      <c r="AC190" s="137">
        <f t="shared" si="81"/>
        <v>0</v>
      </c>
      <c r="AD190" s="137">
        <f t="shared" si="81"/>
        <v>0</v>
      </c>
      <c r="AE190" s="137">
        <f t="shared" si="81"/>
        <v>0</v>
      </c>
      <c r="AF190" s="138"/>
      <c r="AG190" s="138"/>
      <c r="AH190" s="138"/>
      <c r="AI190" s="138"/>
    </row>
    <row r="191" spans="1:35" customFormat="1" ht="14.25" x14ac:dyDescent="0.45">
      <c r="B191" s="14" t="s">
        <v>2825</v>
      </c>
      <c r="C191" s="14" t="s">
        <v>2675</v>
      </c>
      <c r="D191" s="15" t="s">
        <v>2826</v>
      </c>
      <c r="E191" s="16" t="s">
        <v>2068</v>
      </c>
      <c r="F191" s="14" t="s">
        <v>2825</v>
      </c>
      <c r="G191" s="17"/>
      <c r="H191" s="125" t="str">
        <f>Settings!$B$3&amp;".mit.abat.cbam.tot.1"</f>
        <v>egy.mit.abat.cbam.tot.1</v>
      </c>
      <c r="I191" t="s">
        <v>2827</v>
      </c>
      <c r="K191" s="136"/>
      <c r="L191" s="139">
        <f t="shared" ref="L191:AE191" si="82">L192+L193</f>
        <v>0</v>
      </c>
      <c r="M191" s="139">
        <f t="shared" si="82"/>
        <v>0</v>
      </c>
      <c r="N191" s="139">
        <f t="shared" si="82"/>
        <v>0</v>
      </c>
      <c r="O191" s="139">
        <f t="shared" si="82"/>
        <v>0</v>
      </c>
      <c r="P191" s="139">
        <f t="shared" si="82"/>
        <v>0</v>
      </c>
      <c r="Q191" s="139">
        <f t="shared" si="82"/>
        <v>0</v>
      </c>
      <c r="R191" s="139">
        <f t="shared" si="82"/>
        <v>0</v>
      </c>
      <c r="S191" s="139">
        <f t="shared" si="82"/>
        <v>0</v>
      </c>
      <c r="T191" s="139">
        <f t="shared" si="82"/>
        <v>0</v>
      </c>
      <c r="U191" s="139">
        <f t="shared" si="82"/>
        <v>0</v>
      </c>
      <c r="V191" s="139">
        <f t="shared" si="82"/>
        <v>0</v>
      </c>
      <c r="W191" s="139">
        <f t="shared" si="82"/>
        <v>0</v>
      </c>
      <c r="X191" s="139">
        <f t="shared" si="82"/>
        <v>0</v>
      </c>
      <c r="Y191" s="139">
        <f t="shared" si="82"/>
        <v>0</v>
      </c>
      <c r="Z191" s="139">
        <f t="shared" si="82"/>
        <v>0</v>
      </c>
      <c r="AA191" s="139">
        <f t="shared" si="82"/>
        <v>0</v>
      </c>
      <c r="AB191" s="139">
        <f t="shared" si="82"/>
        <v>0</v>
      </c>
      <c r="AC191" s="139">
        <f t="shared" si="82"/>
        <v>0</v>
      </c>
      <c r="AD191" s="139">
        <f t="shared" si="82"/>
        <v>0</v>
      </c>
      <c r="AE191" s="139">
        <f t="shared" si="82"/>
        <v>0</v>
      </c>
      <c r="AF191" s="138"/>
      <c r="AG191" s="138"/>
      <c r="AH191" s="138"/>
      <c r="AI191" s="138"/>
    </row>
    <row r="192" spans="1:35" customFormat="1" ht="14.25" x14ac:dyDescent="0.45">
      <c r="B192" s="14" t="s">
        <v>2828</v>
      </c>
      <c r="C192" s="14" t="s">
        <v>2675</v>
      </c>
      <c r="D192" s="15" t="s">
        <v>2829</v>
      </c>
      <c r="E192" s="16" t="s">
        <v>2068</v>
      </c>
      <c r="F192" s="14" t="s">
        <v>2828</v>
      </c>
      <c r="G192" s="17"/>
      <c r="H192" s="125" t="str">
        <f>Settings!$B$3&amp;".mit.abatf.cbam.tot.1"</f>
        <v>egy.mit.abatf.cbam.tot.1</v>
      </c>
      <c r="I192" t="s">
        <v>2830</v>
      </c>
      <c r="K192" s="136"/>
      <c r="L192" s="139">
        <f t="shared" ref="L192:AE192" si="83">SUMPRODUCT(L$45:L$52*(1-EXP(-L$55:L$62*L$190)))</f>
        <v>0</v>
      </c>
      <c r="M192" s="139">
        <f t="shared" si="83"/>
        <v>0</v>
      </c>
      <c r="N192" s="139">
        <f t="shared" si="83"/>
        <v>0</v>
      </c>
      <c r="O192" s="139">
        <f t="shared" si="83"/>
        <v>0</v>
      </c>
      <c r="P192" s="139">
        <f t="shared" si="83"/>
        <v>0</v>
      </c>
      <c r="Q192" s="139">
        <f t="shared" si="83"/>
        <v>0</v>
      </c>
      <c r="R192" s="139">
        <f t="shared" si="83"/>
        <v>0</v>
      </c>
      <c r="S192" s="139">
        <f t="shared" si="83"/>
        <v>0</v>
      </c>
      <c r="T192" s="139">
        <f t="shared" si="83"/>
        <v>0</v>
      </c>
      <c r="U192" s="139">
        <f t="shared" si="83"/>
        <v>0</v>
      </c>
      <c r="V192" s="139">
        <f t="shared" si="83"/>
        <v>0</v>
      </c>
      <c r="W192" s="139">
        <f t="shared" si="83"/>
        <v>0</v>
      </c>
      <c r="X192" s="139">
        <f t="shared" si="83"/>
        <v>0</v>
      </c>
      <c r="Y192" s="139">
        <f t="shared" si="83"/>
        <v>0</v>
      </c>
      <c r="Z192" s="139">
        <f t="shared" si="83"/>
        <v>0</v>
      </c>
      <c r="AA192" s="139">
        <f t="shared" si="83"/>
        <v>0</v>
      </c>
      <c r="AB192" s="139">
        <f t="shared" si="83"/>
        <v>0</v>
      </c>
      <c r="AC192" s="139">
        <f t="shared" si="83"/>
        <v>0</v>
      </c>
      <c r="AD192" s="139">
        <f t="shared" si="83"/>
        <v>0</v>
      </c>
      <c r="AE192" s="139">
        <f t="shared" si="83"/>
        <v>0</v>
      </c>
      <c r="AF192" s="138"/>
      <c r="AG192" s="138"/>
      <c r="AH192" s="138"/>
      <c r="AI192" s="138"/>
    </row>
    <row r="193" spans="1:35" customFormat="1" ht="14.25" x14ac:dyDescent="0.45">
      <c r="B193" s="14" t="s">
        <v>2831</v>
      </c>
      <c r="C193" s="14" t="s">
        <v>2675</v>
      </c>
      <c r="D193" s="15" t="s">
        <v>2832</v>
      </c>
      <c r="E193" s="16" t="s">
        <v>2068</v>
      </c>
      <c r="F193" s="14" t="s">
        <v>2831</v>
      </c>
      <c r="G193" s="17"/>
      <c r="H193" s="125" t="str">
        <f>Settings!$B$3&amp;".mit.abatp.cbam.tot.1"</f>
        <v>egy.mit.abatp.cbam.tot.1</v>
      </c>
      <c r="I193" t="s">
        <v>2833</v>
      </c>
      <c r="K193" s="136"/>
      <c r="L193" s="139">
        <f t="shared" ref="L193:AE193" si="84">SUMPRODUCT(L$101:L$116*(1-EXP(-L$65:L$80*L$190)))</f>
        <v>0</v>
      </c>
      <c r="M193" s="139">
        <f t="shared" si="84"/>
        <v>0</v>
      </c>
      <c r="N193" s="139">
        <f t="shared" si="84"/>
        <v>0</v>
      </c>
      <c r="O193" s="139">
        <f t="shared" si="84"/>
        <v>0</v>
      </c>
      <c r="P193" s="139">
        <f t="shared" si="84"/>
        <v>0</v>
      </c>
      <c r="Q193" s="139">
        <f t="shared" si="84"/>
        <v>0</v>
      </c>
      <c r="R193" s="139">
        <f t="shared" si="84"/>
        <v>0</v>
      </c>
      <c r="S193" s="139">
        <f t="shared" si="84"/>
        <v>0</v>
      </c>
      <c r="T193" s="139">
        <f t="shared" si="84"/>
        <v>0</v>
      </c>
      <c r="U193" s="139">
        <f t="shared" si="84"/>
        <v>0</v>
      </c>
      <c r="V193" s="139">
        <f t="shared" si="84"/>
        <v>0</v>
      </c>
      <c r="W193" s="139">
        <f t="shared" si="84"/>
        <v>0</v>
      </c>
      <c r="X193" s="139">
        <f t="shared" si="84"/>
        <v>0</v>
      </c>
      <c r="Y193" s="139">
        <f t="shared" si="84"/>
        <v>0</v>
      </c>
      <c r="Z193" s="139">
        <f t="shared" si="84"/>
        <v>0</v>
      </c>
      <c r="AA193" s="139">
        <f t="shared" si="84"/>
        <v>0</v>
      </c>
      <c r="AB193" s="139">
        <f t="shared" si="84"/>
        <v>0</v>
      </c>
      <c r="AC193" s="139">
        <f t="shared" si="84"/>
        <v>0</v>
      </c>
      <c r="AD193" s="139">
        <f t="shared" si="84"/>
        <v>0</v>
      </c>
      <c r="AE193" s="139">
        <f t="shared" si="84"/>
        <v>0</v>
      </c>
      <c r="AF193" s="138"/>
      <c r="AG193" s="138"/>
      <c r="AH193" s="138"/>
      <c r="AI193" s="138"/>
    </row>
    <row r="194" spans="1:35" customFormat="1" ht="14.25" x14ac:dyDescent="0.45">
      <c r="B194" s="14" t="s">
        <v>2834</v>
      </c>
      <c r="C194" s="14" t="s">
        <v>2675</v>
      </c>
      <c r="D194" s="15" t="s">
        <v>2835</v>
      </c>
      <c r="E194" s="16" t="s">
        <v>1854</v>
      </c>
      <c r="F194" s="14" t="s">
        <v>2834</v>
      </c>
      <c r="G194" s="17"/>
      <c r="H194" s="125" t="str">
        <f>Settings!$B$3&amp;".mit.outlay.cbam.tot.1"</f>
        <v>egy.mit.outlay.cbam.tot.1</v>
      </c>
      <c r="K194" s="136"/>
      <c r="L194" s="137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37">
        <f t="shared" si="85"/>
        <v>0</v>
      </c>
      <c r="N194" s="137">
        <f t="shared" si="85"/>
        <v>0</v>
      </c>
      <c r="O194" s="137">
        <f t="shared" si="85"/>
        <v>0</v>
      </c>
      <c r="P194" s="137">
        <f t="shared" si="85"/>
        <v>0</v>
      </c>
      <c r="Q194" s="137">
        <f t="shared" si="85"/>
        <v>0</v>
      </c>
      <c r="R194" s="137">
        <f t="shared" si="85"/>
        <v>0</v>
      </c>
      <c r="S194" s="137">
        <f t="shared" si="85"/>
        <v>0</v>
      </c>
      <c r="T194" s="137">
        <f t="shared" si="85"/>
        <v>0</v>
      </c>
      <c r="U194" s="137">
        <f t="shared" si="85"/>
        <v>0</v>
      </c>
      <c r="V194" s="137">
        <f t="shared" si="85"/>
        <v>0</v>
      </c>
      <c r="W194" s="137">
        <f t="shared" si="85"/>
        <v>0</v>
      </c>
      <c r="X194" s="137">
        <f t="shared" si="85"/>
        <v>0</v>
      </c>
      <c r="Y194" s="137">
        <f t="shared" si="85"/>
        <v>0</v>
      </c>
      <c r="Z194" s="137">
        <f t="shared" si="85"/>
        <v>0</v>
      </c>
      <c r="AA194" s="137">
        <f t="shared" si="85"/>
        <v>0</v>
      </c>
      <c r="AB194" s="137">
        <f t="shared" si="85"/>
        <v>0</v>
      </c>
      <c r="AC194" s="137">
        <f t="shared" si="85"/>
        <v>0</v>
      </c>
      <c r="AD194" s="137">
        <f t="shared" si="85"/>
        <v>0</v>
      </c>
      <c r="AE194" s="137">
        <f t="shared" si="85"/>
        <v>0</v>
      </c>
      <c r="AF194" s="138"/>
      <c r="AG194" s="138"/>
      <c r="AH194" s="138"/>
      <c r="AI194" s="138"/>
    </row>
    <row r="195" spans="1:35" customFormat="1" ht="14.25" x14ac:dyDescent="0.45">
      <c r="B195" s="14" t="s">
        <v>2836</v>
      </c>
      <c r="C195" s="14" t="s">
        <v>2675</v>
      </c>
      <c r="D195" s="15" t="s">
        <v>2837</v>
      </c>
      <c r="E195" s="16" t="s">
        <v>1854</v>
      </c>
      <c r="F195" s="14" t="s">
        <v>2836</v>
      </c>
      <c r="G195" s="17"/>
      <c r="H195" s="17"/>
      <c r="K195" s="136"/>
      <c r="L195" s="139">
        <f t="shared" ref="L195:AE195" si="86">L$194-L$122</f>
        <v>0</v>
      </c>
      <c r="M195" s="139">
        <f t="shared" si="86"/>
        <v>0</v>
      </c>
      <c r="N195" s="139">
        <f t="shared" si="86"/>
        <v>0</v>
      </c>
      <c r="O195" s="139">
        <f t="shared" si="86"/>
        <v>0</v>
      </c>
      <c r="P195" s="139">
        <f t="shared" si="86"/>
        <v>0</v>
      </c>
      <c r="Q195" s="139">
        <f t="shared" si="86"/>
        <v>0</v>
      </c>
      <c r="R195" s="139">
        <f t="shared" si="86"/>
        <v>0</v>
      </c>
      <c r="S195" s="139">
        <f t="shared" si="86"/>
        <v>0</v>
      </c>
      <c r="T195" s="139">
        <f t="shared" si="86"/>
        <v>0</v>
      </c>
      <c r="U195" s="139">
        <f t="shared" si="86"/>
        <v>0</v>
      </c>
      <c r="V195" s="139">
        <f t="shared" si="86"/>
        <v>0</v>
      </c>
      <c r="W195" s="139">
        <f t="shared" si="86"/>
        <v>0</v>
      </c>
      <c r="X195" s="139">
        <f t="shared" si="86"/>
        <v>0</v>
      </c>
      <c r="Y195" s="139">
        <f t="shared" si="86"/>
        <v>0</v>
      </c>
      <c r="Z195" s="139">
        <f t="shared" si="86"/>
        <v>0</v>
      </c>
      <c r="AA195" s="139">
        <f t="shared" si="86"/>
        <v>0</v>
      </c>
      <c r="AB195" s="139">
        <f t="shared" si="86"/>
        <v>0</v>
      </c>
      <c r="AC195" s="139">
        <f t="shared" si="86"/>
        <v>0</v>
      </c>
      <c r="AD195" s="139">
        <f t="shared" si="86"/>
        <v>0</v>
      </c>
      <c r="AE195" s="139">
        <f t="shared" si="86"/>
        <v>0</v>
      </c>
      <c r="AF195" s="138"/>
      <c r="AG195" s="138"/>
      <c r="AH195" s="138"/>
      <c r="AI195" s="138"/>
    </row>
    <row r="196" spans="1:35" customFormat="1" ht="14.25" x14ac:dyDescent="0.45">
      <c r="B196" s="14" t="s">
        <v>2838</v>
      </c>
      <c r="C196" s="14" t="s">
        <v>2675</v>
      </c>
      <c r="D196" s="15" t="s">
        <v>2839</v>
      </c>
      <c r="E196" s="16" t="s">
        <v>1854</v>
      </c>
      <c r="F196" s="14" t="s">
        <v>2838</v>
      </c>
      <c r="G196" s="17"/>
      <c r="H196" s="125" t="str">
        <f>Settings!$B$3&amp;".mit.unspent.cbam.tot.1"</f>
        <v>egy.mit.unspent.cbam.tot.1</v>
      </c>
      <c r="K196" s="136"/>
      <c r="L196" s="137">
        <f t="shared" ref="L196:AE196" si="87">MAX(0,L$122-L$194)</f>
        <v>0</v>
      </c>
      <c r="M196" s="137">
        <f t="shared" si="87"/>
        <v>0</v>
      </c>
      <c r="N196" s="137">
        <f t="shared" si="87"/>
        <v>0</v>
      </c>
      <c r="O196" s="137">
        <f t="shared" si="87"/>
        <v>0</v>
      </c>
      <c r="P196" s="137">
        <f t="shared" si="87"/>
        <v>0</v>
      </c>
      <c r="Q196" s="137">
        <f t="shared" si="87"/>
        <v>0</v>
      </c>
      <c r="R196" s="137">
        <f t="shared" si="87"/>
        <v>0</v>
      </c>
      <c r="S196" s="137">
        <f t="shared" si="87"/>
        <v>0</v>
      </c>
      <c r="T196" s="137">
        <f t="shared" si="87"/>
        <v>0</v>
      </c>
      <c r="U196" s="137">
        <f t="shared" si="87"/>
        <v>0</v>
      </c>
      <c r="V196" s="137">
        <f t="shared" si="87"/>
        <v>0</v>
      </c>
      <c r="W196" s="137">
        <f t="shared" si="87"/>
        <v>0</v>
      </c>
      <c r="X196" s="137">
        <f t="shared" si="87"/>
        <v>0</v>
      </c>
      <c r="Y196" s="137">
        <f t="shared" si="87"/>
        <v>0</v>
      </c>
      <c r="Z196" s="137">
        <f t="shared" si="87"/>
        <v>0</v>
      </c>
      <c r="AA196" s="137">
        <f t="shared" si="87"/>
        <v>0</v>
      </c>
      <c r="AB196" s="137">
        <f t="shared" si="87"/>
        <v>0</v>
      </c>
      <c r="AC196" s="137">
        <f t="shared" si="87"/>
        <v>0</v>
      </c>
      <c r="AD196" s="137">
        <f t="shared" si="87"/>
        <v>0</v>
      </c>
      <c r="AE196" s="137">
        <f t="shared" si="87"/>
        <v>0</v>
      </c>
      <c r="AF196" s="138"/>
      <c r="AG196" s="138"/>
      <c r="AH196" s="138"/>
      <c r="AI196" s="138"/>
    </row>
    <row r="197" spans="1:35" customFormat="1" ht="14.25" x14ac:dyDescent="0.45">
      <c r="B197" s="14" t="s">
        <v>2840</v>
      </c>
      <c r="C197" s="14" t="s">
        <v>2675</v>
      </c>
      <c r="D197" s="15" t="s">
        <v>2841</v>
      </c>
      <c r="E197" s="16" t="s">
        <v>2842</v>
      </c>
      <c r="F197" s="14" t="s">
        <v>2840</v>
      </c>
      <c r="G197" s="17"/>
      <c r="H197" s="17"/>
      <c r="K197" s="136"/>
      <c r="L197" s="141">
        <f t="shared" ref="L197:AE197" si="88">(L$122&gt;0)*(L$190&gt;=$F$5-0.000000001)</f>
        <v>0</v>
      </c>
      <c r="M197" s="141">
        <f t="shared" si="88"/>
        <v>0</v>
      </c>
      <c r="N197" s="141">
        <f t="shared" si="88"/>
        <v>0</v>
      </c>
      <c r="O197" s="141">
        <f t="shared" si="88"/>
        <v>0</v>
      </c>
      <c r="P197" s="141">
        <f t="shared" si="88"/>
        <v>0</v>
      </c>
      <c r="Q197" s="141">
        <f t="shared" si="88"/>
        <v>0</v>
      </c>
      <c r="R197" s="141">
        <f t="shared" si="88"/>
        <v>0</v>
      </c>
      <c r="S197" s="141">
        <f t="shared" si="88"/>
        <v>0</v>
      </c>
      <c r="T197" s="141">
        <f t="shared" si="88"/>
        <v>0</v>
      </c>
      <c r="U197" s="141">
        <f t="shared" si="88"/>
        <v>0</v>
      </c>
      <c r="V197" s="141">
        <f t="shared" si="88"/>
        <v>0</v>
      </c>
      <c r="W197" s="141">
        <f t="shared" si="88"/>
        <v>0</v>
      </c>
      <c r="X197" s="141">
        <f t="shared" si="88"/>
        <v>0</v>
      </c>
      <c r="Y197" s="141">
        <f t="shared" si="88"/>
        <v>0</v>
      </c>
      <c r="Z197" s="141">
        <f t="shared" si="88"/>
        <v>0</v>
      </c>
      <c r="AA197" s="141">
        <f t="shared" si="88"/>
        <v>0</v>
      </c>
      <c r="AB197" s="141">
        <f t="shared" si="88"/>
        <v>0</v>
      </c>
      <c r="AC197" s="141">
        <f t="shared" si="88"/>
        <v>0</v>
      </c>
      <c r="AD197" s="141">
        <f t="shared" si="88"/>
        <v>0</v>
      </c>
      <c r="AE197" s="141">
        <f t="shared" si="88"/>
        <v>0</v>
      </c>
      <c r="AF197" s="138"/>
      <c r="AG197" s="138"/>
      <c r="AH197" s="138"/>
      <c r="AI197" s="138"/>
    </row>
    <row r="198" spans="1:35" customFormat="1" ht="14.25" x14ac:dyDescent="0.45">
      <c r="B198" s="14" t="s">
        <v>2843</v>
      </c>
      <c r="C198" s="14" t="s">
        <v>2675</v>
      </c>
      <c r="D198" s="15" t="s">
        <v>2844</v>
      </c>
      <c r="E198" s="16" t="s">
        <v>1398</v>
      </c>
      <c r="F198" s="14" t="s">
        <v>2843</v>
      </c>
      <c r="G198" s="17"/>
      <c r="H198" s="125" t="str">
        <f>Settings!$B$3&amp;".mit.cpt.cbam.tot.1"</f>
        <v>egy.mit.cpt.cbam.tot.1</v>
      </c>
      <c r="K198" s="136"/>
      <c r="L198" s="137">
        <f t="shared" ref="L198:AE198" si="89">IF(L$191&gt;0,L$194/L$191,0)</f>
        <v>0</v>
      </c>
      <c r="M198" s="137">
        <f t="shared" si="89"/>
        <v>0</v>
      </c>
      <c r="N198" s="137">
        <f t="shared" si="89"/>
        <v>0</v>
      </c>
      <c r="O198" s="137">
        <f t="shared" si="89"/>
        <v>0</v>
      </c>
      <c r="P198" s="137">
        <f t="shared" si="89"/>
        <v>0</v>
      </c>
      <c r="Q198" s="137">
        <f t="shared" si="89"/>
        <v>0</v>
      </c>
      <c r="R198" s="137">
        <f t="shared" si="89"/>
        <v>0</v>
      </c>
      <c r="S198" s="137">
        <f t="shared" si="89"/>
        <v>0</v>
      </c>
      <c r="T198" s="137">
        <f t="shared" si="89"/>
        <v>0</v>
      </c>
      <c r="U198" s="137">
        <f t="shared" si="89"/>
        <v>0</v>
      </c>
      <c r="V198" s="137">
        <f t="shared" si="89"/>
        <v>0</v>
      </c>
      <c r="W198" s="137">
        <f t="shared" si="89"/>
        <v>0</v>
      </c>
      <c r="X198" s="137">
        <f t="shared" si="89"/>
        <v>0</v>
      </c>
      <c r="Y198" s="137">
        <f t="shared" si="89"/>
        <v>0</v>
      </c>
      <c r="Z198" s="137">
        <f t="shared" si="89"/>
        <v>0</v>
      </c>
      <c r="AA198" s="137">
        <f t="shared" si="89"/>
        <v>0</v>
      </c>
      <c r="AB198" s="137">
        <f t="shared" si="89"/>
        <v>0</v>
      </c>
      <c r="AC198" s="137">
        <f t="shared" si="89"/>
        <v>0</v>
      </c>
      <c r="AD198" s="137">
        <f t="shared" si="89"/>
        <v>0</v>
      </c>
      <c r="AE198" s="137">
        <f t="shared" si="89"/>
        <v>0</v>
      </c>
      <c r="AF198" s="138"/>
      <c r="AG198" s="138"/>
      <c r="AH198" s="138"/>
      <c r="AI198" s="138"/>
    </row>
    <row r="199" spans="1:35" customFormat="1" ht="14.25" x14ac:dyDescent="0.45">
      <c r="B199" s="14" t="s">
        <v>2845</v>
      </c>
      <c r="C199" s="14" t="s">
        <v>2675</v>
      </c>
      <c r="D199" s="15" t="s">
        <v>2846</v>
      </c>
      <c r="E199" s="16" t="s">
        <v>1854</v>
      </c>
      <c r="F199" s="14" t="s">
        <v>2845</v>
      </c>
      <c r="G199" s="17"/>
      <c r="H199" s="17"/>
      <c r="I199" t="s">
        <v>2847</v>
      </c>
      <c r="K199" s="136"/>
      <c r="L199" s="140">
        <f>L$11*Mitigation_Industry!L$400</f>
        <v>0</v>
      </c>
      <c r="M199" s="140">
        <f>M$11*Mitigation_Industry!M$400</f>
        <v>0</v>
      </c>
      <c r="N199" s="140">
        <f>N$11*Mitigation_Industry!N$400</f>
        <v>0</v>
      </c>
      <c r="O199" s="140">
        <f>O$11*Mitigation_Industry!O$400</f>
        <v>0</v>
      </c>
      <c r="P199" s="140">
        <f>P$11*Mitigation_Industry!P$400</f>
        <v>0</v>
      </c>
      <c r="Q199" s="140">
        <f>Q$11*Mitigation_Industry!Q$400</f>
        <v>0</v>
      </c>
      <c r="R199" s="140">
        <f>R$11*Mitigation_Industry!R$400</f>
        <v>0</v>
      </c>
      <c r="S199" s="140">
        <f>S$11*Mitigation_Industry!S$400</f>
        <v>0</v>
      </c>
      <c r="T199" s="140">
        <f>T$11*Mitigation_Industry!T$400</f>
        <v>0</v>
      </c>
      <c r="U199" s="140">
        <f>U$11*Mitigation_Industry!U$400</f>
        <v>0</v>
      </c>
      <c r="V199" s="140">
        <f>V$11*Mitigation_Industry!V$400</f>
        <v>0</v>
      </c>
      <c r="W199" s="140">
        <f>W$11*Mitigation_Industry!W$400</f>
        <v>0</v>
      </c>
      <c r="X199" s="140">
        <f>X$11*Mitigation_Industry!X$400</f>
        <v>0</v>
      </c>
      <c r="Y199" s="140">
        <f>Y$11*Mitigation_Industry!Y$400</f>
        <v>0</v>
      </c>
      <c r="Z199" s="140">
        <f>Z$11*Mitigation_Industry!Z$400</f>
        <v>0</v>
      </c>
      <c r="AA199" s="140">
        <f>AA$11*Mitigation_Industry!AA$400</f>
        <v>0</v>
      </c>
      <c r="AB199" s="140">
        <f>AB$11*Mitigation_Industry!AB$400</f>
        <v>0</v>
      </c>
      <c r="AC199" s="140">
        <f>AC$11*Mitigation_Industry!AC$400</f>
        <v>0</v>
      </c>
      <c r="AD199" s="140">
        <f>AD$11*Mitigation_Industry!AD$400</f>
        <v>0</v>
      </c>
      <c r="AE199" s="140">
        <f>AE$11*Mitigation_Industry!AE$400</f>
        <v>0</v>
      </c>
      <c r="AF199" s="138"/>
      <c r="AG199" s="138"/>
      <c r="AH199" s="138"/>
      <c r="AI199" s="138"/>
    </row>
    <row r="200" spans="1:35" customFormat="1" ht="14.25" x14ac:dyDescent="0.45">
      <c r="B200" s="14" t="s">
        <v>2848</v>
      </c>
      <c r="C200" s="14" t="s">
        <v>2675</v>
      </c>
      <c r="D200" s="15" t="s">
        <v>2849</v>
      </c>
      <c r="E200" s="16" t="s">
        <v>1854</v>
      </c>
      <c r="F200" s="14" t="s">
        <v>2848</v>
      </c>
      <c r="G200" s="17"/>
      <c r="H200" s="17"/>
      <c r="I200" t="s">
        <v>2850</v>
      </c>
      <c r="K200" s="136"/>
      <c r="L200" s="140">
        <f t="shared" ref="L200:AE200" si="90">L199-L$122</f>
        <v>0</v>
      </c>
      <c r="M200" s="140">
        <f t="shared" si="90"/>
        <v>0</v>
      </c>
      <c r="N200" s="140">
        <f t="shared" si="90"/>
        <v>0</v>
      </c>
      <c r="O200" s="140">
        <f t="shared" si="90"/>
        <v>0</v>
      </c>
      <c r="P200" s="140">
        <f t="shared" si="90"/>
        <v>0</v>
      </c>
      <c r="Q200" s="140">
        <f t="shared" si="90"/>
        <v>0</v>
      </c>
      <c r="R200" s="140">
        <f t="shared" si="90"/>
        <v>0</v>
      </c>
      <c r="S200" s="140">
        <f t="shared" si="90"/>
        <v>0</v>
      </c>
      <c r="T200" s="140">
        <f t="shared" si="90"/>
        <v>0</v>
      </c>
      <c r="U200" s="140">
        <f t="shared" si="90"/>
        <v>0</v>
      </c>
      <c r="V200" s="140">
        <f t="shared" si="90"/>
        <v>0</v>
      </c>
      <c r="W200" s="140">
        <f t="shared" si="90"/>
        <v>0</v>
      </c>
      <c r="X200" s="140">
        <f t="shared" si="90"/>
        <v>0</v>
      </c>
      <c r="Y200" s="140">
        <f t="shared" si="90"/>
        <v>0</v>
      </c>
      <c r="Z200" s="140">
        <f t="shared" si="90"/>
        <v>0</v>
      </c>
      <c r="AA200" s="140">
        <f t="shared" si="90"/>
        <v>0</v>
      </c>
      <c r="AB200" s="140">
        <f t="shared" si="90"/>
        <v>0</v>
      </c>
      <c r="AC200" s="140">
        <f t="shared" si="90"/>
        <v>0</v>
      </c>
      <c r="AD200" s="140">
        <f t="shared" si="90"/>
        <v>0</v>
      </c>
      <c r="AE200" s="140">
        <f t="shared" si="90"/>
        <v>0</v>
      </c>
      <c r="AF200" s="138"/>
      <c r="AG200" s="138"/>
      <c r="AH200" s="138"/>
      <c r="AI200" s="138"/>
    </row>
    <row r="201" spans="1:35" x14ac:dyDescent="0.35"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  <c r="AC201" s="132"/>
      <c r="AD201" s="132"/>
      <c r="AE201" s="132"/>
      <c r="AF201" s="132"/>
      <c r="AG201" s="132"/>
      <c r="AH201" s="132"/>
      <c r="AI201" s="132"/>
    </row>
    <row r="202" spans="1:35" customFormat="1" ht="14.25" x14ac:dyDescent="0.45">
      <c r="A202" s="11"/>
      <c r="B202" s="6"/>
      <c r="C202" s="7" t="s">
        <v>1160</v>
      </c>
      <c r="D202" s="6" t="s">
        <v>1488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2851</v>
      </c>
      <c r="J202" s="48">
        <v>1</v>
      </c>
      <c r="K202" s="134">
        <v>2021</v>
      </c>
      <c r="L202" s="135">
        <v>2022</v>
      </c>
      <c r="M202" s="134">
        <v>2023</v>
      </c>
      <c r="N202" s="134">
        <v>2024</v>
      </c>
      <c r="O202" s="134">
        <v>2025</v>
      </c>
      <c r="P202" s="134">
        <v>2026</v>
      </c>
      <c r="Q202" s="134">
        <v>2027</v>
      </c>
      <c r="R202" s="134">
        <v>2028</v>
      </c>
      <c r="S202" s="134">
        <v>2029</v>
      </c>
      <c r="T202" s="134">
        <v>2030</v>
      </c>
      <c r="U202" s="134">
        <v>2031</v>
      </c>
      <c r="V202" s="134">
        <v>2032</v>
      </c>
      <c r="W202" s="134">
        <v>2033</v>
      </c>
      <c r="X202" s="134">
        <v>2034</v>
      </c>
      <c r="Y202" s="134">
        <v>2035</v>
      </c>
      <c r="Z202" s="134">
        <v>2036</v>
      </c>
      <c r="AA202" s="134">
        <v>2037</v>
      </c>
      <c r="AB202" s="134">
        <v>2038</v>
      </c>
      <c r="AC202" s="134">
        <v>2039</v>
      </c>
      <c r="AD202" s="134">
        <v>2040</v>
      </c>
      <c r="AE202" s="134">
        <v>2041</v>
      </c>
      <c r="AF202" s="134">
        <v>2042</v>
      </c>
      <c r="AG202" s="134">
        <v>2043</v>
      </c>
      <c r="AH202" s="134">
        <v>2044</v>
      </c>
      <c r="AI202" s="134">
        <v>2045</v>
      </c>
    </row>
    <row r="203" spans="1:35" customFormat="1" ht="14.25" x14ac:dyDescent="0.45">
      <c r="B203" s="14" t="s">
        <v>49</v>
      </c>
      <c r="C203" s="14" t="s">
        <v>4</v>
      </c>
      <c r="D203" s="15" t="s">
        <v>2852</v>
      </c>
      <c r="E203" s="16" t="s">
        <v>51</v>
      </c>
      <c r="F203" s="14" t="s">
        <v>2853</v>
      </c>
      <c r="G203" s="17"/>
      <c r="H203" s="125" t="str">
        <f>Settings!$B$3&amp;".mit.shpf.coa.ind.1"</f>
        <v>egy.mit.shpf.coa.ind.1</v>
      </c>
      <c r="K203" s="137"/>
      <c r="L203" s="137">
        <f>L$190*Scenarios!$E$30</f>
        <v>0</v>
      </c>
      <c r="M203" s="137">
        <f>M$190*Scenarios!$E$30</f>
        <v>0</v>
      </c>
      <c r="N203" s="137">
        <f>N$190*Scenarios!$E$30</f>
        <v>0</v>
      </c>
      <c r="O203" s="137">
        <f>O$190*Scenarios!$E$30</f>
        <v>0</v>
      </c>
      <c r="P203" s="137">
        <f>P$190*Scenarios!$E$30</f>
        <v>0</v>
      </c>
      <c r="Q203" s="137">
        <f>Q$190*Scenarios!$E$30</f>
        <v>0</v>
      </c>
      <c r="R203" s="137">
        <f>R$190*Scenarios!$E$30</f>
        <v>0</v>
      </c>
      <c r="S203" s="137">
        <f>S$190*Scenarios!$E$30</f>
        <v>0</v>
      </c>
      <c r="T203" s="137">
        <f>T$190*Scenarios!$E$30</f>
        <v>0</v>
      </c>
      <c r="U203" s="137">
        <f>U$190*Scenarios!$E$30</f>
        <v>0</v>
      </c>
      <c r="V203" s="137">
        <f>V$190*Scenarios!$E$30</f>
        <v>0</v>
      </c>
      <c r="W203" s="137">
        <f>W$190*Scenarios!$E$30</f>
        <v>0</v>
      </c>
      <c r="X203" s="137">
        <f>X$190*Scenarios!$E$30</f>
        <v>0</v>
      </c>
      <c r="Y203" s="137">
        <f>Y$190*Scenarios!$E$30</f>
        <v>0</v>
      </c>
      <c r="Z203" s="137">
        <f>Z$190*Scenarios!$E$30</f>
        <v>0</v>
      </c>
      <c r="AA203" s="137">
        <f>AA$190*Scenarios!$E$30</f>
        <v>0</v>
      </c>
      <c r="AB203" s="137">
        <f>AB$190*Scenarios!$E$30</f>
        <v>0</v>
      </c>
      <c r="AC203" s="137">
        <f>AC$190*Scenarios!$E$30</f>
        <v>0</v>
      </c>
      <c r="AD203" s="137">
        <f>AD$190*Scenarios!$E$30</f>
        <v>0</v>
      </c>
      <c r="AE203" s="137">
        <f>AE$190*Scenarios!$E$30</f>
        <v>0</v>
      </c>
      <c r="AF203" s="138"/>
      <c r="AG203" s="138"/>
      <c r="AH203" s="138"/>
      <c r="AI203" s="138"/>
    </row>
    <row r="204" spans="1:35" customFormat="1" ht="14.25" x14ac:dyDescent="0.45">
      <c r="B204" s="14" t="s">
        <v>53</v>
      </c>
      <c r="C204" s="14" t="s">
        <v>4</v>
      </c>
      <c r="D204" s="15" t="s">
        <v>2854</v>
      </c>
      <c r="E204" s="16" t="s">
        <v>51</v>
      </c>
      <c r="F204" s="14" t="s">
        <v>2853</v>
      </c>
      <c r="G204" s="17"/>
      <c r="H204" s="125" t="str">
        <f>Settings!$B$3&amp;".mit.shpf.nga.ind.1"</f>
        <v>egy.mit.shpf.nga.ind.1</v>
      </c>
      <c r="K204" s="137"/>
      <c r="L204" s="137">
        <f>L$190*Scenarios!$E$31</f>
        <v>0</v>
      </c>
      <c r="M204" s="137">
        <f>M$190*Scenarios!$E$31</f>
        <v>0</v>
      </c>
      <c r="N204" s="137">
        <f>N$190*Scenarios!$E$31</f>
        <v>0</v>
      </c>
      <c r="O204" s="137">
        <f>O$190*Scenarios!$E$31</f>
        <v>0</v>
      </c>
      <c r="P204" s="137">
        <f>P$190*Scenarios!$E$31</f>
        <v>0</v>
      </c>
      <c r="Q204" s="137">
        <f>Q$190*Scenarios!$E$31</f>
        <v>0</v>
      </c>
      <c r="R204" s="137">
        <f>R$190*Scenarios!$E$31</f>
        <v>0</v>
      </c>
      <c r="S204" s="137">
        <f>S$190*Scenarios!$E$31</f>
        <v>0</v>
      </c>
      <c r="T204" s="137">
        <f>T$190*Scenarios!$E$31</f>
        <v>0</v>
      </c>
      <c r="U204" s="137">
        <f>U$190*Scenarios!$E$31</f>
        <v>0</v>
      </c>
      <c r="V204" s="137">
        <f>V$190*Scenarios!$E$31</f>
        <v>0</v>
      </c>
      <c r="W204" s="137">
        <f>W$190*Scenarios!$E$31</f>
        <v>0</v>
      </c>
      <c r="X204" s="137">
        <f>X$190*Scenarios!$E$31</f>
        <v>0</v>
      </c>
      <c r="Y204" s="137">
        <f>Y$190*Scenarios!$E$31</f>
        <v>0</v>
      </c>
      <c r="Z204" s="137">
        <f>Z$190*Scenarios!$E$31</f>
        <v>0</v>
      </c>
      <c r="AA204" s="137">
        <f>AA$190*Scenarios!$E$31</f>
        <v>0</v>
      </c>
      <c r="AB204" s="137">
        <f>AB$190*Scenarios!$E$31</f>
        <v>0</v>
      </c>
      <c r="AC204" s="137">
        <f>AC$190*Scenarios!$E$31</f>
        <v>0</v>
      </c>
      <c r="AD204" s="137">
        <f>AD$190*Scenarios!$E$31</f>
        <v>0</v>
      </c>
      <c r="AE204" s="137">
        <f>AE$190*Scenarios!$E$31</f>
        <v>0</v>
      </c>
      <c r="AF204" s="138"/>
      <c r="AG204" s="138"/>
      <c r="AH204" s="138"/>
      <c r="AI204" s="138"/>
    </row>
    <row r="205" spans="1:35" customFormat="1" ht="14.25" x14ac:dyDescent="0.45">
      <c r="B205" s="14" t="s">
        <v>55</v>
      </c>
      <c r="C205" s="14" t="s">
        <v>4</v>
      </c>
      <c r="D205" s="15" t="s">
        <v>2855</v>
      </c>
      <c r="E205" s="16" t="s">
        <v>57</v>
      </c>
      <c r="F205" s="14" t="s">
        <v>2853</v>
      </c>
      <c r="G205" s="17"/>
      <c r="H205" s="125" t="str">
        <f>Settings!$B$3&amp;".mit.shpf.gso.ind.1"</f>
        <v>egy.mit.shpf.gso.ind.1</v>
      </c>
      <c r="K205" s="137"/>
      <c r="L205" s="137">
        <f>L$190*Scenarios!$E$32</f>
        <v>0</v>
      </c>
      <c r="M205" s="137">
        <f>M$190*Scenarios!$E$32</f>
        <v>0</v>
      </c>
      <c r="N205" s="137">
        <f>N$190*Scenarios!$E$32</f>
        <v>0</v>
      </c>
      <c r="O205" s="137">
        <f>O$190*Scenarios!$E$32</f>
        <v>0</v>
      </c>
      <c r="P205" s="137">
        <f>P$190*Scenarios!$E$32</f>
        <v>0</v>
      </c>
      <c r="Q205" s="137">
        <f>Q$190*Scenarios!$E$32</f>
        <v>0</v>
      </c>
      <c r="R205" s="137">
        <f>R$190*Scenarios!$E$32</f>
        <v>0</v>
      </c>
      <c r="S205" s="137">
        <f>S$190*Scenarios!$E$32</f>
        <v>0</v>
      </c>
      <c r="T205" s="137">
        <f>T$190*Scenarios!$E$32</f>
        <v>0</v>
      </c>
      <c r="U205" s="137">
        <f>U$190*Scenarios!$E$32</f>
        <v>0</v>
      </c>
      <c r="V205" s="137">
        <f>V$190*Scenarios!$E$32</f>
        <v>0</v>
      </c>
      <c r="W205" s="137">
        <f>W$190*Scenarios!$E$32</f>
        <v>0</v>
      </c>
      <c r="X205" s="137">
        <f>X$190*Scenarios!$E$32</f>
        <v>0</v>
      </c>
      <c r="Y205" s="137">
        <f>Y$190*Scenarios!$E$32</f>
        <v>0</v>
      </c>
      <c r="Z205" s="137">
        <f>Z$190*Scenarios!$E$32</f>
        <v>0</v>
      </c>
      <c r="AA205" s="137">
        <f>AA$190*Scenarios!$E$32</f>
        <v>0</v>
      </c>
      <c r="AB205" s="137">
        <f>AB$190*Scenarios!$E$32</f>
        <v>0</v>
      </c>
      <c r="AC205" s="137">
        <f>AC$190*Scenarios!$E$32</f>
        <v>0</v>
      </c>
      <c r="AD205" s="137">
        <f>AD$190*Scenarios!$E$32</f>
        <v>0</v>
      </c>
      <c r="AE205" s="137">
        <f>AE$190*Scenarios!$E$32</f>
        <v>0</v>
      </c>
      <c r="AF205" s="138"/>
      <c r="AG205" s="138"/>
      <c r="AH205" s="138"/>
      <c r="AI205" s="138"/>
    </row>
    <row r="206" spans="1:35" customFormat="1" ht="14.25" x14ac:dyDescent="0.45">
      <c r="B206" s="14" t="s">
        <v>58</v>
      </c>
      <c r="C206" s="14" t="s">
        <v>4</v>
      </c>
      <c r="D206" s="15" t="s">
        <v>2856</v>
      </c>
      <c r="E206" s="16" t="s">
        <v>57</v>
      </c>
      <c r="F206" s="14" t="s">
        <v>2853</v>
      </c>
      <c r="G206" s="17"/>
      <c r="H206" s="125" t="str">
        <f>Settings!$B$3&amp;".mit.shpf.die.ind.1"</f>
        <v>egy.mit.shpf.die.ind.1</v>
      </c>
      <c r="K206" s="137"/>
      <c r="L206" s="137">
        <f>L$190*Scenarios!$E$33</f>
        <v>0</v>
      </c>
      <c r="M206" s="137">
        <f>M$190*Scenarios!$E$33</f>
        <v>0</v>
      </c>
      <c r="N206" s="137">
        <f>N$190*Scenarios!$E$33</f>
        <v>0</v>
      </c>
      <c r="O206" s="137">
        <f>O$190*Scenarios!$E$33</f>
        <v>0</v>
      </c>
      <c r="P206" s="137">
        <f>P$190*Scenarios!$E$33</f>
        <v>0</v>
      </c>
      <c r="Q206" s="137">
        <f>Q$190*Scenarios!$E$33</f>
        <v>0</v>
      </c>
      <c r="R206" s="137">
        <f>R$190*Scenarios!$E$33</f>
        <v>0</v>
      </c>
      <c r="S206" s="137">
        <f>S$190*Scenarios!$E$33</f>
        <v>0</v>
      </c>
      <c r="T206" s="137">
        <f>T$190*Scenarios!$E$33</f>
        <v>0</v>
      </c>
      <c r="U206" s="137">
        <f>U$190*Scenarios!$E$33</f>
        <v>0</v>
      </c>
      <c r="V206" s="137">
        <f>V$190*Scenarios!$E$33</f>
        <v>0</v>
      </c>
      <c r="W206" s="137">
        <f>W$190*Scenarios!$E$33</f>
        <v>0</v>
      </c>
      <c r="X206" s="137">
        <f>X$190*Scenarios!$E$33</f>
        <v>0</v>
      </c>
      <c r="Y206" s="137">
        <f>Y$190*Scenarios!$E$33</f>
        <v>0</v>
      </c>
      <c r="Z206" s="137">
        <f>Z$190*Scenarios!$E$33</f>
        <v>0</v>
      </c>
      <c r="AA206" s="137">
        <f>AA$190*Scenarios!$E$33</f>
        <v>0</v>
      </c>
      <c r="AB206" s="137">
        <f>AB$190*Scenarios!$E$33</f>
        <v>0</v>
      </c>
      <c r="AC206" s="137">
        <f>AC$190*Scenarios!$E$33</f>
        <v>0</v>
      </c>
      <c r="AD206" s="137">
        <f>AD$190*Scenarios!$E$33</f>
        <v>0</v>
      </c>
      <c r="AE206" s="137">
        <f>AE$190*Scenarios!$E$33</f>
        <v>0</v>
      </c>
      <c r="AF206" s="138"/>
      <c r="AG206" s="138"/>
      <c r="AH206" s="138"/>
      <c r="AI206" s="138"/>
    </row>
    <row r="207" spans="1:35" customFormat="1" ht="14.25" x14ac:dyDescent="0.45">
      <c r="B207" s="14" t="s">
        <v>60</v>
      </c>
      <c r="C207" s="14" t="s">
        <v>4</v>
      </c>
      <c r="D207" s="15" t="s">
        <v>2857</v>
      </c>
      <c r="E207" s="16" t="s">
        <v>57</v>
      </c>
      <c r="F207" s="14" t="s">
        <v>2853</v>
      </c>
      <c r="G207" s="17"/>
      <c r="H207" s="125" t="str">
        <f>Settings!$B$3&amp;".mit.shpf.lpg.ind.1"</f>
        <v>egy.mit.shpf.lpg.ind.1</v>
      </c>
      <c r="K207" s="137"/>
      <c r="L207" s="137">
        <f>L$190*Scenarios!$E$34</f>
        <v>0</v>
      </c>
      <c r="M207" s="137">
        <f>M$190*Scenarios!$E$34</f>
        <v>0</v>
      </c>
      <c r="N207" s="137">
        <f>N$190*Scenarios!$E$34</f>
        <v>0</v>
      </c>
      <c r="O207" s="137">
        <f>O$190*Scenarios!$E$34</f>
        <v>0</v>
      </c>
      <c r="P207" s="137">
        <f>P$190*Scenarios!$E$34</f>
        <v>0</v>
      </c>
      <c r="Q207" s="137">
        <f>Q$190*Scenarios!$E$34</f>
        <v>0</v>
      </c>
      <c r="R207" s="137">
        <f>R$190*Scenarios!$E$34</f>
        <v>0</v>
      </c>
      <c r="S207" s="137">
        <f>S$190*Scenarios!$E$34</f>
        <v>0</v>
      </c>
      <c r="T207" s="137">
        <f>T$190*Scenarios!$E$34</f>
        <v>0</v>
      </c>
      <c r="U207" s="137">
        <f>U$190*Scenarios!$E$34</f>
        <v>0</v>
      </c>
      <c r="V207" s="137">
        <f>V$190*Scenarios!$E$34</f>
        <v>0</v>
      </c>
      <c r="W207" s="137">
        <f>W$190*Scenarios!$E$34</f>
        <v>0</v>
      </c>
      <c r="X207" s="137">
        <f>X$190*Scenarios!$E$34</f>
        <v>0</v>
      </c>
      <c r="Y207" s="137">
        <f>Y$190*Scenarios!$E$34</f>
        <v>0</v>
      </c>
      <c r="Z207" s="137">
        <f>Z$190*Scenarios!$E$34</f>
        <v>0</v>
      </c>
      <c r="AA207" s="137">
        <f>AA$190*Scenarios!$E$34</f>
        <v>0</v>
      </c>
      <c r="AB207" s="137">
        <f>AB$190*Scenarios!$E$34</f>
        <v>0</v>
      </c>
      <c r="AC207" s="137">
        <f>AC$190*Scenarios!$E$34</f>
        <v>0</v>
      </c>
      <c r="AD207" s="137">
        <f>AD$190*Scenarios!$E$34</f>
        <v>0</v>
      </c>
      <c r="AE207" s="137">
        <f>AE$190*Scenarios!$E$34</f>
        <v>0</v>
      </c>
      <c r="AF207" s="138"/>
      <c r="AG207" s="138"/>
      <c r="AH207" s="138"/>
      <c r="AI207" s="138"/>
    </row>
    <row r="208" spans="1:35" customFormat="1" ht="14.25" x14ac:dyDescent="0.45">
      <c r="B208" s="14" t="s">
        <v>62</v>
      </c>
      <c r="C208" s="14" t="s">
        <v>4</v>
      </c>
      <c r="D208" s="15" t="s">
        <v>2858</v>
      </c>
      <c r="E208" s="16" t="s">
        <v>57</v>
      </c>
      <c r="F208" s="14" t="s">
        <v>2853</v>
      </c>
      <c r="G208" s="17"/>
      <c r="H208" s="125" t="str">
        <f>Settings!$B$3&amp;".mit.shpf.ker.ind.1"</f>
        <v>egy.mit.shpf.ker.ind.1</v>
      </c>
      <c r="K208" s="137"/>
      <c r="L208" s="137">
        <f>L$190*Scenarios!$E$35</f>
        <v>0</v>
      </c>
      <c r="M208" s="137">
        <f>M$190*Scenarios!$E$35</f>
        <v>0</v>
      </c>
      <c r="N208" s="137">
        <f>N$190*Scenarios!$E$35</f>
        <v>0</v>
      </c>
      <c r="O208" s="137">
        <f>O$190*Scenarios!$E$35</f>
        <v>0</v>
      </c>
      <c r="P208" s="137">
        <f>P$190*Scenarios!$E$35</f>
        <v>0</v>
      </c>
      <c r="Q208" s="137">
        <f>Q$190*Scenarios!$E$35</f>
        <v>0</v>
      </c>
      <c r="R208" s="137">
        <f>R$190*Scenarios!$E$35</f>
        <v>0</v>
      </c>
      <c r="S208" s="137">
        <f>S$190*Scenarios!$E$35</f>
        <v>0</v>
      </c>
      <c r="T208" s="137">
        <f>T$190*Scenarios!$E$35</f>
        <v>0</v>
      </c>
      <c r="U208" s="137">
        <f>U$190*Scenarios!$E$35</f>
        <v>0</v>
      </c>
      <c r="V208" s="137">
        <f>V$190*Scenarios!$E$35</f>
        <v>0</v>
      </c>
      <c r="W208" s="137">
        <f>W$190*Scenarios!$E$35</f>
        <v>0</v>
      </c>
      <c r="X208" s="137">
        <f>X$190*Scenarios!$E$35</f>
        <v>0</v>
      </c>
      <c r="Y208" s="137">
        <f>Y$190*Scenarios!$E$35</f>
        <v>0</v>
      </c>
      <c r="Z208" s="137">
        <f>Z$190*Scenarios!$E$35</f>
        <v>0</v>
      </c>
      <c r="AA208" s="137">
        <f>AA$190*Scenarios!$E$35</f>
        <v>0</v>
      </c>
      <c r="AB208" s="137">
        <f>AB$190*Scenarios!$E$35</f>
        <v>0</v>
      </c>
      <c r="AC208" s="137">
        <f>AC$190*Scenarios!$E$35</f>
        <v>0</v>
      </c>
      <c r="AD208" s="137">
        <f>AD$190*Scenarios!$E$35</f>
        <v>0</v>
      </c>
      <c r="AE208" s="137">
        <f>AE$190*Scenarios!$E$35</f>
        <v>0</v>
      </c>
      <c r="AF208" s="138"/>
      <c r="AG208" s="138"/>
      <c r="AH208" s="138"/>
      <c r="AI208" s="138"/>
    </row>
    <row r="209" spans="1:35" customFormat="1" ht="14.25" x14ac:dyDescent="0.45">
      <c r="B209" s="14" t="s">
        <v>64</v>
      </c>
      <c r="C209" s="14" t="s">
        <v>4</v>
      </c>
      <c r="D209" s="15" t="s">
        <v>2859</v>
      </c>
      <c r="E209" s="16" t="s">
        <v>66</v>
      </c>
      <c r="F209" s="14" t="s">
        <v>2853</v>
      </c>
      <c r="G209" s="17"/>
      <c r="H209" s="125" t="str">
        <f>Settings!$B$3&amp;".mit.shpf.oop.ind.1"</f>
        <v>egy.mit.shpf.oop.ind.1</v>
      </c>
      <c r="K209" s="137"/>
      <c r="L209" s="137">
        <f>L$190*Scenarios!$E$36</f>
        <v>0</v>
      </c>
      <c r="M209" s="137">
        <f>M$190*Scenarios!$E$36</f>
        <v>0</v>
      </c>
      <c r="N209" s="137">
        <f>N$190*Scenarios!$E$36</f>
        <v>0</v>
      </c>
      <c r="O209" s="137">
        <f>O$190*Scenarios!$E$36</f>
        <v>0</v>
      </c>
      <c r="P209" s="137">
        <f>P$190*Scenarios!$E$36</f>
        <v>0</v>
      </c>
      <c r="Q209" s="137">
        <f>Q$190*Scenarios!$E$36</f>
        <v>0</v>
      </c>
      <c r="R209" s="137">
        <f>R$190*Scenarios!$E$36</f>
        <v>0</v>
      </c>
      <c r="S209" s="137">
        <f>S$190*Scenarios!$E$36</f>
        <v>0</v>
      </c>
      <c r="T209" s="137">
        <f>T$190*Scenarios!$E$36</f>
        <v>0</v>
      </c>
      <c r="U209" s="137">
        <f>U$190*Scenarios!$E$36</f>
        <v>0</v>
      </c>
      <c r="V209" s="137">
        <f>V$190*Scenarios!$E$36</f>
        <v>0</v>
      </c>
      <c r="W209" s="137">
        <f>W$190*Scenarios!$E$36</f>
        <v>0</v>
      </c>
      <c r="X209" s="137">
        <f>X$190*Scenarios!$E$36</f>
        <v>0</v>
      </c>
      <c r="Y209" s="137">
        <f>Y$190*Scenarios!$E$36</f>
        <v>0</v>
      </c>
      <c r="Z209" s="137">
        <f>Z$190*Scenarios!$E$36</f>
        <v>0</v>
      </c>
      <c r="AA209" s="137">
        <f>AA$190*Scenarios!$E$36</f>
        <v>0</v>
      </c>
      <c r="AB209" s="137">
        <f>AB$190*Scenarios!$E$36</f>
        <v>0</v>
      </c>
      <c r="AC209" s="137">
        <f>AC$190*Scenarios!$E$36</f>
        <v>0</v>
      </c>
      <c r="AD209" s="137">
        <f>AD$190*Scenarios!$E$36</f>
        <v>0</v>
      </c>
      <c r="AE209" s="137">
        <f>AE$190*Scenarios!$E$36</f>
        <v>0</v>
      </c>
      <c r="AF209" s="138"/>
      <c r="AG209" s="138"/>
      <c r="AH209" s="138"/>
      <c r="AI209" s="138"/>
    </row>
    <row r="210" spans="1:35" customFormat="1" ht="14.25" x14ac:dyDescent="0.45">
      <c r="B210" s="14" t="s">
        <v>67</v>
      </c>
      <c r="C210" s="14" t="s">
        <v>4</v>
      </c>
      <c r="D210" s="15" t="s">
        <v>2860</v>
      </c>
      <c r="E210" s="16" t="s">
        <v>51</v>
      </c>
      <c r="F210" s="14" t="s">
        <v>2853</v>
      </c>
      <c r="G210" s="17"/>
      <c r="H210" s="125" t="str">
        <f>Settings!$B$3&amp;".mit.shpf.bio.ind.1"</f>
        <v>egy.mit.shpf.bio.ind.1</v>
      </c>
      <c r="K210" s="137"/>
      <c r="L210" s="137">
        <f>L$190*Scenarios!$E$37</f>
        <v>0</v>
      </c>
      <c r="M210" s="137">
        <f>M$190*Scenarios!$E$37</f>
        <v>0</v>
      </c>
      <c r="N210" s="137">
        <f>N$190*Scenarios!$E$37</f>
        <v>0</v>
      </c>
      <c r="O210" s="137">
        <f>O$190*Scenarios!$E$37</f>
        <v>0</v>
      </c>
      <c r="P210" s="137">
        <f>P$190*Scenarios!$E$37</f>
        <v>0</v>
      </c>
      <c r="Q210" s="137">
        <f>Q$190*Scenarios!$E$37</f>
        <v>0</v>
      </c>
      <c r="R210" s="137">
        <f>R$190*Scenarios!$E$37</f>
        <v>0</v>
      </c>
      <c r="S210" s="137">
        <f>S$190*Scenarios!$E$37</f>
        <v>0</v>
      </c>
      <c r="T210" s="137">
        <f>T$190*Scenarios!$E$37</f>
        <v>0</v>
      </c>
      <c r="U210" s="137">
        <f>U$190*Scenarios!$E$37</f>
        <v>0</v>
      </c>
      <c r="V210" s="137">
        <f>V$190*Scenarios!$E$37</f>
        <v>0</v>
      </c>
      <c r="W210" s="137">
        <f>W$190*Scenarios!$E$37</f>
        <v>0</v>
      </c>
      <c r="X210" s="137">
        <f>X$190*Scenarios!$E$37</f>
        <v>0</v>
      </c>
      <c r="Y210" s="137">
        <f>Y$190*Scenarios!$E$37</f>
        <v>0</v>
      </c>
      <c r="Z210" s="137">
        <f>Z$190*Scenarios!$E$37</f>
        <v>0</v>
      </c>
      <c r="AA210" s="137">
        <f>AA$190*Scenarios!$E$37</f>
        <v>0</v>
      </c>
      <c r="AB210" s="137">
        <f>AB$190*Scenarios!$E$37</f>
        <v>0</v>
      </c>
      <c r="AC210" s="137">
        <f>AC$190*Scenarios!$E$37</f>
        <v>0</v>
      </c>
      <c r="AD210" s="137">
        <f>AD$190*Scenarios!$E$37</f>
        <v>0</v>
      </c>
      <c r="AE210" s="137">
        <f>AE$190*Scenarios!$E$37</f>
        <v>0</v>
      </c>
      <c r="AF210" s="138"/>
      <c r="AG210" s="138"/>
      <c r="AH210" s="138"/>
      <c r="AI210" s="138"/>
    </row>
    <row r="211" spans="1:35" customFormat="1" ht="14.25" x14ac:dyDescent="0.45">
      <c r="B211" s="14" t="s">
        <v>69</v>
      </c>
      <c r="C211" s="14" t="s">
        <v>4</v>
      </c>
      <c r="D211" s="15" t="s">
        <v>2861</v>
      </c>
      <c r="E211" s="16" t="s">
        <v>71</v>
      </c>
      <c r="F211" s="14" t="s">
        <v>2853</v>
      </c>
      <c r="G211" s="17"/>
      <c r="H211" s="125" t="str">
        <f>Settings!$B$3&amp;".mit.shpf.ren.ind.1"</f>
        <v>egy.mit.shpf.ren.ind.1</v>
      </c>
      <c r="K211" s="137"/>
      <c r="L211" s="137">
        <f>L$190*Scenarios!$E$38</f>
        <v>0</v>
      </c>
      <c r="M211" s="137">
        <f>M$190*Scenarios!$E$38</f>
        <v>0</v>
      </c>
      <c r="N211" s="137">
        <f>N$190*Scenarios!$E$38</f>
        <v>0</v>
      </c>
      <c r="O211" s="137">
        <f>O$190*Scenarios!$E$38</f>
        <v>0</v>
      </c>
      <c r="P211" s="137">
        <f>P$190*Scenarios!$E$38</f>
        <v>0</v>
      </c>
      <c r="Q211" s="137">
        <f>Q$190*Scenarios!$E$38</f>
        <v>0</v>
      </c>
      <c r="R211" s="137">
        <f>R$190*Scenarios!$E$38</f>
        <v>0</v>
      </c>
      <c r="S211" s="137">
        <f>S$190*Scenarios!$E$38</f>
        <v>0</v>
      </c>
      <c r="T211" s="137">
        <f>T$190*Scenarios!$E$38</f>
        <v>0</v>
      </c>
      <c r="U211" s="137">
        <f>U$190*Scenarios!$E$38</f>
        <v>0</v>
      </c>
      <c r="V211" s="137">
        <f>V$190*Scenarios!$E$38</f>
        <v>0</v>
      </c>
      <c r="W211" s="137">
        <f>W$190*Scenarios!$E$38</f>
        <v>0</v>
      </c>
      <c r="X211" s="137">
        <f>X$190*Scenarios!$E$38</f>
        <v>0</v>
      </c>
      <c r="Y211" s="137">
        <f>Y$190*Scenarios!$E$38</f>
        <v>0</v>
      </c>
      <c r="Z211" s="137">
        <f>Z$190*Scenarios!$E$38</f>
        <v>0</v>
      </c>
      <c r="AA211" s="137">
        <f>AA$190*Scenarios!$E$38</f>
        <v>0</v>
      </c>
      <c r="AB211" s="137">
        <f>AB$190*Scenarios!$E$38</f>
        <v>0</v>
      </c>
      <c r="AC211" s="137">
        <f>AC$190*Scenarios!$E$38</f>
        <v>0</v>
      </c>
      <c r="AD211" s="137">
        <f>AD$190*Scenarios!$E$38</f>
        <v>0</v>
      </c>
      <c r="AE211" s="137">
        <f>AE$190*Scenarios!$E$38</f>
        <v>0</v>
      </c>
      <c r="AF211" s="138"/>
      <c r="AG211" s="138"/>
      <c r="AH211" s="138"/>
      <c r="AI211" s="138"/>
    </row>
    <row r="212" spans="1:35" x14ac:dyDescent="0.35"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  <c r="AC212" s="132"/>
      <c r="AD212" s="132"/>
      <c r="AE212" s="132"/>
      <c r="AF212" s="132"/>
      <c r="AG212" s="132"/>
      <c r="AH212" s="132"/>
      <c r="AI212" s="132"/>
    </row>
    <row r="213" spans="1:35" x14ac:dyDescent="0.35"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  <c r="AC213" s="132"/>
      <c r="AD213" s="132"/>
      <c r="AE213" s="132"/>
      <c r="AF213" s="132"/>
      <c r="AG213" s="132"/>
      <c r="AH213" s="132"/>
      <c r="AI213" s="132"/>
    </row>
    <row r="214" spans="1:35" x14ac:dyDescent="0.35"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  <c r="AC214" s="132"/>
      <c r="AD214" s="132"/>
      <c r="AE214" s="132"/>
      <c r="AF214" s="132"/>
      <c r="AG214" s="132"/>
      <c r="AH214" s="132"/>
      <c r="AI214" s="132"/>
    </row>
    <row r="215" spans="1:35" customFormat="1" ht="18" customHeight="1" x14ac:dyDescent="0.45">
      <c r="A215" s="8"/>
      <c r="B215" s="9" t="s">
        <v>2862</v>
      </c>
      <c r="C215" s="10"/>
      <c r="D215" s="10"/>
      <c r="E215" s="10"/>
      <c r="F215" s="10"/>
      <c r="G215" s="10"/>
      <c r="H215" s="10"/>
      <c r="I215" s="10"/>
      <c r="J215" s="10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</row>
    <row r="216" spans="1:35" x14ac:dyDescent="0.35"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  <c r="AC216" s="132"/>
      <c r="AD216" s="132"/>
      <c r="AE216" s="132"/>
      <c r="AF216" s="132"/>
      <c r="AG216" s="132"/>
      <c r="AH216" s="132"/>
      <c r="AI216" s="132"/>
    </row>
    <row r="217" spans="1:35" customFormat="1" ht="14.25" x14ac:dyDescent="0.45">
      <c r="A217" s="11"/>
      <c r="B217" s="6"/>
      <c r="C217" s="7" t="s">
        <v>2176</v>
      </c>
      <c r="D217" s="6" t="s">
        <v>1488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34">
        <v>2021</v>
      </c>
      <c r="L217" s="135">
        <v>2022</v>
      </c>
      <c r="M217" s="134">
        <v>2023</v>
      </c>
      <c r="N217" s="134">
        <v>2024</v>
      </c>
      <c r="O217" s="134">
        <v>2025</v>
      </c>
      <c r="P217" s="134">
        <v>2026</v>
      </c>
      <c r="Q217" s="134">
        <v>2027</v>
      </c>
      <c r="R217" s="134">
        <v>2028</v>
      </c>
      <c r="S217" s="134">
        <v>2029</v>
      </c>
      <c r="T217" s="134">
        <v>2030</v>
      </c>
      <c r="U217" s="134">
        <v>2031</v>
      </c>
      <c r="V217" s="134">
        <v>2032</v>
      </c>
      <c r="W217" s="134">
        <v>2033</v>
      </c>
      <c r="X217" s="134">
        <v>2034</v>
      </c>
      <c r="Y217" s="134">
        <v>2035</v>
      </c>
      <c r="Z217" s="134">
        <v>2036</v>
      </c>
      <c r="AA217" s="134">
        <v>2037</v>
      </c>
      <c r="AB217" s="134">
        <v>2038</v>
      </c>
      <c r="AC217" s="134">
        <v>2039</v>
      </c>
      <c r="AD217" s="134">
        <v>2040</v>
      </c>
      <c r="AE217" s="134">
        <v>2041</v>
      </c>
      <c r="AF217" s="134">
        <v>2042</v>
      </c>
      <c r="AG217" s="134">
        <v>2043</v>
      </c>
      <c r="AH217" s="134">
        <v>2044</v>
      </c>
      <c r="AI217" s="134">
        <v>2045</v>
      </c>
    </row>
    <row r="218" spans="1:35" customFormat="1" ht="14.25" x14ac:dyDescent="0.45">
      <c r="B218" s="14" t="s">
        <v>1789</v>
      </c>
      <c r="C218" s="14"/>
      <c r="D218" s="15" t="s">
        <v>2547</v>
      </c>
      <c r="E218" s="16" t="s">
        <v>79</v>
      </c>
      <c r="F218" s="14" t="s">
        <v>1789</v>
      </c>
      <c r="G218" s="125" t="s">
        <v>1792</v>
      </c>
      <c r="H218" s="17"/>
      <c r="I218" t="s">
        <v>2178</v>
      </c>
      <c r="K218" s="136"/>
      <c r="L218" s="137">
        <f>INDEX(Data_Prices!L:L,MATCH($G218,Data_Prices!$A:$A,0))</f>
        <v>0</v>
      </c>
      <c r="M218" s="137">
        <f>INDEX(Data_Prices!M:M,MATCH($G218,Data_Prices!$A:$A,0))</f>
        <v>0</v>
      </c>
      <c r="N218" s="137">
        <f>INDEX(Data_Prices!N:N,MATCH($G218,Data_Prices!$A:$A,0))</f>
        <v>0</v>
      </c>
      <c r="O218" s="137">
        <f>INDEX(Data_Prices!O:O,MATCH($G218,Data_Prices!$A:$A,0))</f>
        <v>0</v>
      </c>
      <c r="P218" s="137">
        <f>INDEX(Data_Prices!P:P,MATCH($G218,Data_Prices!$A:$A,0))</f>
        <v>0</v>
      </c>
      <c r="Q218" s="137">
        <f>INDEX(Data_Prices!Q:Q,MATCH($G218,Data_Prices!$A:$A,0))</f>
        <v>0</v>
      </c>
      <c r="R218" s="137">
        <f>INDEX(Data_Prices!R:R,MATCH($G218,Data_Prices!$A:$A,0))</f>
        <v>0</v>
      </c>
      <c r="S218" s="137">
        <f>INDEX(Data_Prices!S:S,MATCH($G218,Data_Prices!$A:$A,0))</f>
        <v>0</v>
      </c>
      <c r="T218" s="137">
        <f>INDEX(Data_Prices!T:T,MATCH($G218,Data_Prices!$A:$A,0))</f>
        <v>0</v>
      </c>
      <c r="U218" s="137">
        <f>INDEX(Data_Prices!U:U,MATCH($G218,Data_Prices!$A:$A,0))</f>
        <v>0</v>
      </c>
      <c r="V218" s="137">
        <f>INDEX(Data_Prices!V:V,MATCH($G218,Data_Prices!$A:$A,0))</f>
        <v>0</v>
      </c>
      <c r="W218" s="137">
        <f>INDEX(Data_Prices!W:W,MATCH($G218,Data_Prices!$A:$A,0))</f>
        <v>0</v>
      </c>
      <c r="X218" s="137">
        <f>INDEX(Data_Prices!X:X,MATCH($G218,Data_Prices!$A:$A,0))</f>
        <v>0</v>
      </c>
      <c r="Y218" s="137">
        <f>INDEX(Data_Prices!Y:Y,MATCH($G218,Data_Prices!$A:$A,0))</f>
        <v>0</v>
      </c>
      <c r="Z218" s="137">
        <f>INDEX(Data_Prices!Z:Z,MATCH($G218,Data_Prices!$A:$A,0))</f>
        <v>0</v>
      </c>
      <c r="AA218" s="137">
        <f>INDEX(Data_Prices!AA:AA,MATCH($G218,Data_Prices!$A:$A,0))</f>
        <v>0</v>
      </c>
      <c r="AB218" s="137">
        <f>INDEX(Data_Prices!AB:AB,MATCH($G218,Data_Prices!$A:$A,0))</f>
        <v>0</v>
      </c>
      <c r="AC218" s="137">
        <f>INDEX(Data_Prices!AC:AC,MATCH($G218,Data_Prices!$A:$A,0))</f>
        <v>0</v>
      </c>
      <c r="AD218" s="137">
        <f>INDEX(Data_Prices!AD:AD,MATCH($G218,Data_Prices!$A:$A,0))</f>
        <v>0</v>
      </c>
      <c r="AE218" s="137">
        <f>INDEX(Data_Prices!AE:AE,MATCH($G218,Data_Prices!$A:$A,0))</f>
        <v>0</v>
      </c>
      <c r="AF218" s="138"/>
      <c r="AG218" s="138"/>
      <c r="AH218" s="138"/>
      <c r="AI218" s="138"/>
    </row>
    <row r="219" spans="1:35" customFormat="1" ht="14.25" x14ac:dyDescent="0.45">
      <c r="B219" s="14" t="s">
        <v>1397</v>
      </c>
      <c r="C219" s="14"/>
      <c r="D219" s="15" t="s">
        <v>2548</v>
      </c>
      <c r="E219" s="16" t="s">
        <v>1398</v>
      </c>
      <c r="F219" s="14" t="s">
        <v>1397</v>
      </c>
      <c r="G219" s="17"/>
      <c r="H219" s="17"/>
      <c r="I219" t="s">
        <v>2863</v>
      </c>
      <c r="K219" s="136"/>
      <c r="L219" s="137">
        <f>Mitigation_Industry!L$646</f>
        <v>0</v>
      </c>
      <c r="M219" s="137">
        <f>Mitigation_Industry!M$646</f>
        <v>0</v>
      </c>
      <c r="N219" s="137">
        <f>Mitigation_Industry!N$646</f>
        <v>0</v>
      </c>
      <c r="O219" s="137">
        <f>Mitigation_Industry!O$646</f>
        <v>0</v>
      </c>
      <c r="P219" s="137">
        <f>Mitigation_Industry!P$646</f>
        <v>0</v>
      </c>
      <c r="Q219" s="137">
        <f>Mitigation_Industry!Q$646</f>
        <v>12.5</v>
      </c>
      <c r="R219" s="137">
        <f>Mitigation_Industry!R$646</f>
        <v>25</v>
      </c>
      <c r="S219" s="137">
        <f>Mitigation_Industry!S$646</f>
        <v>37.5</v>
      </c>
      <c r="T219" s="137">
        <f>Mitigation_Industry!T$646</f>
        <v>50</v>
      </c>
      <c r="U219" s="137">
        <f>Mitigation_Industry!U$646</f>
        <v>62.5</v>
      </c>
      <c r="V219" s="137">
        <f>Mitigation_Industry!V$646</f>
        <v>75</v>
      </c>
      <c r="W219" s="137">
        <f>Mitigation_Industry!W$646</f>
        <v>87.5</v>
      </c>
      <c r="X219" s="137">
        <f>Mitigation_Industry!X$646</f>
        <v>100</v>
      </c>
      <c r="Y219" s="137">
        <f>Mitigation_Industry!Y$646</f>
        <v>112.5</v>
      </c>
      <c r="Z219" s="137">
        <f>Mitigation_Industry!Z$646</f>
        <v>125</v>
      </c>
      <c r="AA219" s="137">
        <f>Mitigation_Industry!AA$646</f>
        <v>137.5</v>
      </c>
      <c r="AB219" s="137">
        <f>Mitigation_Industry!AB$646</f>
        <v>150</v>
      </c>
      <c r="AC219" s="137">
        <f>Mitigation_Industry!AC$646</f>
        <v>162.5</v>
      </c>
      <c r="AD219" s="137">
        <f>Mitigation_Industry!AD$646</f>
        <v>175</v>
      </c>
      <c r="AE219" s="137">
        <f>Mitigation_Industry!AE$646</f>
        <v>187.5</v>
      </c>
      <c r="AF219" s="138"/>
      <c r="AG219" s="138"/>
      <c r="AH219" s="138"/>
      <c r="AI219" s="138"/>
    </row>
    <row r="220" spans="1:35" customFormat="1" ht="14.25" x14ac:dyDescent="0.45">
      <c r="B220" s="14" t="s">
        <v>1401</v>
      </c>
      <c r="C220" s="14"/>
      <c r="D220" s="15" t="s">
        <v>2550</v>
      </c>
      <c r="E220" s="16" t="s">
        <v>1398</v>
      </c>
      <c r="F220" s="14" t="s">
        <v>1401</v>
      </c>
      <c r="G220" s="17"/>
      <c r="H220" s="17"/>
      <c r="I220" t="s">
        <v>2864</v>
      </c>
      <c r="K220" s="136"/>
      <c r="L220" s="137">
        <f>Mitigation_Industry!L$647</f>
        <v>0</v>
      </c>
      <c r="M220" s="137">
        <f>Mitigation_Industry!M$647</f>
        <v>0</v>
      </c>
      <c r="N220" s="137">
        <f>Mitigation_Industry!N$647</f>
        <v>0</v>
      </c>
      <c r="O220" s="137">
        <f>Mitigation_Industry!O$647</f>
        <v>0</v>
      </c>
      <c r="P220" s="137">
        <f>Mitigation_Industry!P$647</f>
        <v>0</v>
      </c>
      <c r="Q220" s="137">
        <f>Mitigation_Industry!Q$647</f>
        <v>0</v>
      </c>
      <c r="R220" s="137">
        <f>Mitigation_Industry!R$647</f>
        <v>0</v>
      </c>
      <c r="S220" s="137">
        <f>Mitigation_Industry!S$647</f>
        <v>0</v>
      </c>
      <c r="T220" s="137">
        <f>Mitigation_Industry!T$647</f>
        <v>0</v>
      </c>
      <c r="U220" s="137">
        <f>Mitigation_Industry!U$647</f>
        <v>0</v>
      </c>
      <c r="V220" s="137">
        <f>Mitigation_Industry!V$647</f>
        <v>0</v>
      </c>
      <c r="W220" s="137">
        <f>Mitigation_Industry!W$647</f>
        <v>0</v>
      </c>
      <c r="X220" s="137">
        <f>Mitigation_Industry!X$647</f>
        <v>0</v>
      </c>
      <c r="Y220" s="137">
        <f>Mitigation_Industry!Y$647</f>
        <v>0</v>
      </c>
      <c r="Z220" s="137">
        <f>Mitigation_Industry!Z$647</f>
        <v>0</v>
      </c>
      <c r="AA220" s="137">
        <f>Mitigation_Industry!AA$647</f>
        <v>0</v>
      </c>
      <c r="AB220" s="137">
        <f>Mitigation_Industry!AB$647</f>
        <v>0</v>
      </c>
      <c r="AC220" s="137">
        <f>Mitigation_Industry!AC$647</f>
        <v>0</v>
      </c>
      <c r="AD220" s="137">
        <f>Mitigation_Industry!AD$647</f>
        <v>0</v>
      </c>
      <c r="AE220" s="137">
        <f>Mitigation_Industry!AE$647</f>
        <v>0</v>
      </c>
      <c r="AF220" s="138"/>
      <c r="AG220" s="138"/>
      <c r="AH220" s="138"/>
      <c r="AI220" s="138"/>
    </row>
    <row r="221" spans="1:35" customFormat="1" ht="14.25" x14ac:dyDescent="0.45">
      <c r="B221" s="14" t="s">
        <v>1775</v>
      </c>
      <c r="C221" s="14"/>
      <c r="D221" s="15" t="s">
        <v>2552</v>
      </c>
      <c r="E221" s="16" t="s">
        <v>1398</v>
      </c>
      <c r="F221" s="14" t="s">
        <v>1775</v>
      </c>
      <c r="G221" s="17"/>
      <c r="H221" s="17"/>
      <c r="I221" t="s">
        <v>2865</v>
      </c>
      <c r="K221" s="136"/>
      <c r="L221" s="137">
        <f>Mitigation_Industry!L$707</f>
        <v>0</v>
      </c>
      <c r="M221" s="137">
        <f>Mitigation_Industry!M$707</f>
        <v>0</v>
      </c>
      <c r="N221" s="137">
        <f>Mitigation_Industry!N$707</f>
        <v>0</v>
      </c>
      <c r="O221" s="137">
        <f>Mitigation_Industry!O$707</f>
        <v>0</v>
      </c>
      <c r="P221" s="137">
        <f>Mitigation_Industry!P$707</f>
        <v>0</v>
      </c>
      <c r="Q221" s="137">
        <f>Mitigation_Industry!Q$707</f>
        <v>0</v>
      </c>
      <c r="R221" s="137">
        <f>Mitigation_Industry!R$707</f>
        <v>0</v>
      </c>
      <c r="S221" s="137">
        <f>Mitigation_Industry!S$707</f>
        <v>0</v>
      </c>
      <c r="T221" s="137">
        <f>Mitigation_Industry!T$707</f>
        <v>0</v>
      </c>
      <c r="U221" s="137">
        <f>Mitigation_Industry!U$707</f>
        <v>0</v>
      </c>
      <c r="V221" s="137">
        <f>Mitigation_Industry!V$707</f>
        <v>0</v>
      </c>
      <c r="W221" s="137">
        <f>Mitigation_Industry!W$707</f>
        <v>0</v>
      </c>
      <c r="X221" s="137">
        <f>Mitigation_Industry!X$707</f>
        <v>0</v>
      </c>
      <c r="Y221" s="137">
        <f>Mitigation_Industry!Y$707</f>
        <v>0</v>
      </c>
      <c r="Z221" s="137">
        <f>Mitigation_Industry!Z$707</f>
        <v>0</v>
      </c>
      <c r="AA221" s="137">
        <f>Mitigation_Industry!AA$707</f>
        <v>0</v>
      </c>
      <c r="AB221" s="137">
        <f>Mitigation_Industry!AB$707</f>
        <v>0</v>
      </c>
      <c r="AC221" s="137">
        <f>Mitigation_Industry!AC$707</f>
        <v>0</v>
      </c>
      <c r="AD221" s="137">
        <f>Mitigation_Industry!AD$707</f>
        <v>0</v>
      </c>
      <c r="AE221" s="137">
        <f>Mitigation_Industry!AE$707</f>
        <v>0</v>
      </c>
      <c r="AF221" s="138"/>
      <c r="AG221" s="138"/>
      <c r="AH221" s="138"/>
      <c r="AI221" s="138"/>
    </row>
    <row r="222" spans="1:35" x14ac:dyDescent="0.35"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</row>
    <row r="223" spans="1:35" customFormat="1" ht="14.25" x14ac:dyDescent="0.45">
      <c r="A223" s="11"/>
      <c r="B223" s="6"/>
      <c r="C223" s="7" t="s">
        <v>2554</v>
      </c>
      <c r="D223" s="6" t="s">
        <v>1488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34">
        <v>2021</v>
      </c>
      <c r="L223" s="135">
        <v>2022</v>
      </c>
      <c r="M223" s="134">
        <v>2023</v>
      </c>
      <c r="N223" s="134">
        <v>2024</v>
      </c>
      <c r="O223" s="134">
        <v>2025</v>
      </c>
      <c r="P223" s="134">
        <v>2026</v>
      </c>
      <c r="Q223" s="134">
        <v>2027</v>
      </c>
      <c r="R223" s="134">
        <v>2028</v>
      </c>
      <c r="S223" s="134">
        <v>2029</v>
      </c>
      <c r="T223" s="134">
        <v>2030</v>
      </c>
      <c r="U223" s="134">
        <v>2031</v>
      </c>
      <c r="V223" s="134">
        <v>2032</v>
      </c>
      <c r="W223" s="134">
        <v>2033</v>
      </c>
      <c r="X223" s="134">
        <v>2034</v>
      </c>
      <c r="Y223" s="134">
        <v>2035</v>
      </c>
      <c r="Z223" s="134">
        <v>2036</v>
      </c>
      <c r="AA223" s="134">
        <v>2037</v>
      </c>
      <c r="AB223" s="134">
        <v>2038</v>
      </c>
      <c r="AC223" s="134">
        <v>2039</v>
      </c>
      <c r="AD223" s="134">
        <v>2040</v>
      </c>
      <c r="AE223" s="134">
        <v>2041</v>
      </c>
      <c r="AF223" s="134">
        <v>2042</v>
      </c>
      <c r="AG223" s="134">
        <v>2043</v>
      </c>
      <c r="AH223" s="134">
        <v>2044</v>
      </c>
      <c r="AI223" s="134">
        <v>2045</v>
      </c>
    </row>
    <row r="224" spans="1:35" customFormat="1" ht="14.25" x14ac:dyDescent="0.45">
      <c r="B224" s="14" t="s">
        <v>1435</v>
      </c>
      <c r="C224" s="14" t="s">
        <v>43</v>
      </c>
      <c r="D224" s="15" t="s">
        <v>2555</v>
      </c>
      <c r="E224" s="16" t="s">
        <v>1398</v>
      </c>
      <c r="F224" s="14" t="s">
        <v>2554</v>
      </c>
      <c r="G224" s="17"/>
      <c r="H224" s="125" t="str">
        <f>Settings!$B$3&amp;".mit.pf.stl.drg.2"</f>
        <v>egy.mit.pf.stl.drg.2</v>
      </c>
      <c r="I224" t="s">
        <v>2556</v>
      </c>
      <c r="K224" s="136"/>
      <c r="L224" s="137">
        <f>Mitigation_Industry!$F$698*L$219+Mitigation_Industry!$G$698*L$220</f>
        <v>0</v>
      </c>
      <c r="M224" s="137">
        <f>Mitigation_Industry!$F$698*M$219+Mitigation_Industry!$G$698*M$220</f>
        <v>0</v>
      </c>
      <c r="N224" s="137">
        <f>Mitigation_Industry!$F$698*N$219+Mitigation_Industry!$G$698*N$220</f>
        <v>0</v>
      </c>
      <c r="O224" s="137">
        <f>Mitigation_Industry!$F$698*O$219+Mitigation_Industry!$G$698*O$220</f>
        <v>0</v>
      </c>
      <c r="P224" s="137">
        <f>Mitigation_Industry!$F$698*P$219+Mitigation_Industry!$G$698*P$220</f>
        <v>0</v>
      </c>
      <c r="Q224" s="137">
        <f>Mitigation_Industry!$F$698*Q$219+Mitigation_Industry!$G$698*Q$220</f>
        <v>12.5</v>
      </c>
      <c r="R224" s="137">
        <f>Mitigation_Industry!$F$698*R$219+Mitigation_Industry!$G$698*R$220</f>
        <v>25</v>
      </c>
      <c r="S224" s="137">
        <f>Mitigation_Industry!$F$698*S$219+Mitigation_Industry!$G$698*S$220</f>
        <v>37.5</v>
      </c>
      <c r="T224" s="137">
        <f>Mitigation_Industry!$F$698*T$219+Mitigation_Industry!$G$698*T$220</f>
        <v>50</v>
      </c>
      <c r="U224" s="137">
        <f>Mitigation_Industry!$F$698*U$219+Mitigation_Industry!$G$698*U$220</f>
        <v>62.5</v>
      </c>
      <c r="V224" s="137">
        <f>Mitigation_Industry!$F$698*V$219+Mitigation_Industry!$G$698*V$220</f>
        <v>75</v>
      </c>
      <c r="W224" s="137">
        <f>Mitigation_Industry!$F$698*W$219+Mitigation_Industry!$G$698*W$220</f>
        <v>87.5</v>
      </c>
      <c r="X224" s="137">
        <f>Mitigation_Industry!$F$698*X$219+Mitigation_Industry!$G$698*X$220</f>
        <v>100</v>
      </c>
      <c r="Y224" s="137">
        <f>Mitigation_Industry!$F$698*Y$219+Mitigation_Industry!$G$698*Y$220</f>
        <v>112.5</v>
      </c>
      <c r="Z224" s="137">
        <f>Mitigation_Industry!$F$698*Z$219+Mitigation_Industry!$G$698*Z$220</f>
        <v>125</v>
      </c>
      <c r="AA224" s="137">
        <f>Mitigation_Industry!$F$698*AA$219+Mitigation_Industry!$G$698*AA$220</f>
        <v>137.5</v>
      </c>
      <c r="AB224" s="137">
        <f>Mitigation_Industry!$F$698*AB$219+Mitigation_Industry!$G$698*AB$220</f>
        <v>150</v>
      </c>
      <c r="AC224" s="137">
        <f>Mitigation_Industry!$F$698*AC$219+Mitigation_Industry!$G$698*AC$220</f>
        <v>162.5</v>
      </c>
      <c r="AD224" s="137">
        <f>Mitigation_Industry!$F$698*AD$219+Mitigation_Industry!$G$698*AD$220</f>
        <v>175</v>
      </c>
      <c r="AE224" s="137">
        <f>Mitigation_Industry!$F$698*AE$219+Mitigation_Industry!$G$698*AE$220</f>
        <v>187.5</v>
      </c>
      <c r="AF224" s="138"/>
      <c r="AG224" s="138"/>
      <c r="AH224" s="138"/>
      <c r="AI224" s="138"/>
    </row>
    <row r="225" spans="1:35" customFormat="1" ht="14.25" x14ac:dyDescent="0.45">
      <c r="B225" s="14" t="s">
        <v>1438</v>
      </c>
      <c r="C225" s="14" t="s">
        <v>43</v>
      </c>
      <c r="D225" s="15" t="s">
        <v>2557</v>
      </c>
      <c r="E225" s="16" t="s">
        <v>1398</v>
      </c>
      <c r="F225" s="14" t="s">
        <v>2554</v>
      </c>
      <c r="G225" s="17"/>
      <c r="H225" s="125" t="str">
        <f>Settings!$B$3&amp;".mit.pf.stl.scr.2"</f>
        <v>egy.mit.pf.stl.scr.2</v>
      </c>
      <c r="K225" s="136"/>
      <c r="L225" s="137">
        <f>Mitigation_Industry!$F$699*L$219+Mitigation_Industry!$G$699*L$220</f>
        <v>0</v>
      </c>
      <c r="M225" s="137">
        <f>Mitigation_Industry!$F$699*M$219+Mitigation_Industry!$G$699*M$220</f>
        <v>0</v>
      </c>
      <c r="N225" s="137">
        <f>Mitigation_Industry!$F$699*N$219+Mitigation_Industry!$G$699*N$220</f>
        <v>0</v>
      </c>
      <c r="O225" s="137">
        <f>Mitigation_Industry!$F$699*O$219+Mitigation_Industry!$G$699*O$220</f>
        <v>0</v>
      </c>
      <c r="P225" s="137">
        <f>Mitigation_Industry!$F$699*P$219+Mitigation_Industry!$G$699*P$220</f>
        <v>0</v>
      </c>
      <c r="Q225" s="137">
        <f>Mitigation_Industry!$F$699*Q$219+Mitigation_Industry!$G$699*Q$220</f>
        <v>12.5</v>
      </c>
      <c r="R225" s="137">
        <f>Mitigation_Industry!$F$699*R$219+Mitigation_Industry!$G$699*R$220</f>
        <v>25</v>
      </c>
      <c r="S225" s="137">
        <f>Mitigation_Industry!$F$699*S$219+Mitigation_Industry!$G$699*S$220</f>
        <v>37.5</v>
      </c>
      <c r="T225" s="137">
        <f>Mitigation_Industry!$F$699*T$219+Mitigation_Industry!$G$699*T$220</f>
        <v>50</v>
      </c>
      <c r="U225" s="137">
        <f>Mitigation_Industry!$F$699*U$219+Mitigation_Industry!$G$699*U$220</f>
        <v>62.5</v>
      </c>
      <c r="V225" s="137">
        <f>Mitigation_Industry!$F$699*V$219+Mitigation_Industry!$G$699*V$220</f>
        <v>75</v>
      </c>
      <c r="W225" s="137">
        <f>Mitigation_Industry!$F$699*W$219+Mitigation_Industry!$G$699*W$220</f>
        <v>87.5</v>
      </c>
      <c r="X225" s="137">
        <f>Mitigation_Industry!$F$699*X$219+Mitigation_Industry!$G$699*X$220</f>
        <v>100</v>
      </c>
      <c r="Y225" s="137">
        <f>Mitigation_Industry!$F$699*Y$219+Mitigation_Industry!$G$699*Y$220</f>
        <v>112.5</v>
      </c>
      <c r="Z225" s="137">
        <f>Mitigation_Industry!$F$699*Z$219+Mitigation_Industry!$G$699*Z$220</f>
        <v>125</v>
      </c>
      <c r="AA225" s="137">
        <f>Mitigation_Industry!$F$699*AA$219+Mitigation_Industry!$G$699*AA$220</f>
        <v>137.5</v>
      </c>
      <c r="AB225" s="137">
        <f>Mitigation_Industry!$F$699*AB$219+Mitigation_Industry!$G$699*AB$220</f>
        <v>150</v>
      </c>
      <c r="AC225" s="137">
        <f>Mitigation_Industry!$F$699*AC$219+Mitigation_Industry!$G$699*AC$220</f>
        <v>162.5</v>
      </c>
      <c r="AD225" s="137">
        <f>Mitigation_Industry!$F$699*AD$219+Mitigation_Industry!$G$699*AD$220</f>
        <v>175</v>
      </c>
      <c r="AE225" s="137">
        <f>Mitigation_Industry!$F$699*AE$219+Mitigation_Industry!$G$699*AE$220</f>
        <v>187.5</v>
      </c>
      <c r="AF225" s="138"/>
      <c r="AG225" s="138"/>
      <c r="AH225" s="138"/>
      <c r="AI225" s="138"/>
    </row>
    <row r="226" spans="1:35" customFormat="1" ht="14.25" x14ac:dyDescent="0.45">
      <c r="B226" s="14" t="s">
        <v>1441</v>
      </c>
      <c r="C226" s="14" t="s">
        <v>43</v>
      </c>
      <c r="D226" s="15" t="s">
        <v>2558</v>
      </c>
      <c r="E226" s="16" t="s">
        <v>1398</v>
      </c>
      <c r="F226" s="14" t="s">
        <v>2554</v>
      </c>
      <c r="G226" s="17"/>
      <c r="H226" s="125" t="str">
        <f>Settings!$B$3&amp;".mit.pf.stl.bof.2"</f>
        <v>egy.mit.pf.stl.bof.2</v>
      </c>
      <c r="K226" s="136"/>
      <c r="L226" s="137">
        <f>Mitigation_Industry!$F$700*L$219+Mitigation_Industry!$G$700*L$220</f>
        <v>0</v>
      </c>
      <c r="M226" s="137">
        <f>Mitigation_Industry!$F$700*M$219+Mitigation_Industry!$G$700*M$220</f>
        <v>0</v>
      </c>
      <c r="N226" s="137">
        <f>Mitigation_Industry!$F$700*N$219+Mitigation_Industry!$G$700*N$220</f>
        <v>0</v>
      </c>
      <c r="O226" s="137">
        <f>Mitigation_Industry!$F$700*O$219+Mitigation_Industry!$G$700*O$220</f>
        <v>0</v>
      </c>
      <c r="P226" s="137">
        <f>Mitigation_Industry!$F$700*P$219+Mitigation_Industry!$G$700*P$220</f>
        <v>0</v>
      </c>
      <c r="Q226" s="137">
        <f>Mitigation_Industry!$F$700*Q$219+Mitigation_Industry!$G$700*Q$220</f>
        <v>12.5</v>
      </c>
      <c r="R226" s="137">
        <f>Mitigation_Industry!$F$700*R$219+Mitigation_Industry!$G$700*R$220</f>
        <v>25</v>
      </c>
      <c r="S226" s="137">
        <f>Mitigation_Industry!$F$700*S$219+Mitigation_Industry!$G$700*S$220</f>
        <v>37.5</v>
      </c>
      <c r="T226" s="137">
        <f>Mitigation_Industry!$F$700*T$219+Mitigation_Industry!$G$700*T$220</f>
        <v>50</v>
      </c>
      <c r="U226" s="137">
        <f>Mitigation_Industry!$F$700*U$219+Mitigation_Industry!$G$700*U$220</f>
        <v>62.5</v>
      </c>
      <c r="V226" s="137">
        <f>Mitigation_Industry!$F$700*V$219+Mitigation_Industry!$G$700*V$220</f>
        <v>75</v>
      </c>
      <c r="W226" s="137">
        <f>Mitigation_Industry!$F$700*W$219+Mitigation_Industry!$G$700*W$220</f>
        <v>87.5</v>
      </c>
      <c r="X226" s="137">
        <f>Mitigation_Industry!$F$700*X$219+Mitigation_Industry!$G$700*X$220</f>
        <v>100</v>
      </c>
      <c r="Y226" s="137">
        <f>Mitigation_Industry!$F$700*Y$219+Mitigation_Industry!$G$700*Y$220</f>
        <v>112.5</v>
      </c>
      <c r="Z226" s="137">
        <f>Mitigation_Industry!$F$700*Z$219+Mitigation_Industry!$G$700*Z$220</f>
        <v>125</v>
      </c>
      <c r="AA226" s="137">
        <f>Mitigation_Industry!$F$700*AA$219+Mitigation_Industry!$G$700*AA$220</f>
        <v>137.5</v>
      </c>
      <c r="AB226" s="137">
        <f>Mitigation_Industry!$F$700*AB$219+Mitigation_Industry!$G$700*AB$220</f>
        <v>150</v>
      </c>
      <c r="AC226" s="137">
        <f>Mitigation_Industry!$F$700*AC$219+Mitigation_Industry!$G$700*AC$220</f>
        <v>162.5</v>
      </c>
      <c r="AD226" s="137">
        <f>Mitigation_Industry!$F$700*AD$219+Mitigation_Industry!$G$700*AD$220</f>
        <v>175</v>
      </c>
      <c r="AE226" s="137">
        <f>Mitigation_Industry!$F$700*AE$219+Mitigation_Industry!$G$700*AE$220</f>
        <v>187.5</v>
      </c>
      <c r="AF226" s="138"/>
      <c r="AG226" s="138"/>
      <c r="AH226" s="138"/>
      <c r="AI226" s="138"/>
    </row>
    <row r="227" spans="1:35" customFormat="1" ht="14.25" x14ac:dyDescent="0.45">
      <c r="B227" s="14" t="s">
        <v>1444</v>
      </c>
      <c r="C227" s="14" t="s">
        <v>113</v>
      </c>
      <c r="D227" s="15" t="s">
        <v>2559</v>
      </c>
      <c r="E227" s="16" t="s">
        <v>1398</v>
      </c>
      <c r="F227" s="14" t="s">
        <v>2554</v>
      </c>
      <c r="G227" s="17"/>
      <c r="H227" s="125" t="str">
        <f>Settings!$B$3&amp;".mit.pf.cmt.dry.2"</f>
        <v>egy.mit.pf.cmt.dry.2</v>
      </c>
      <c r="K227" s="136"/>
      <c r="L227" s="137">
        <f>Mitigation_Industry!$F$701*L$219+Mitigation_Industry!$G$701*L$220</f>
        <v>0</v>
      </c>
      <c r="M227" s="137">
        <f>Mitigation_Industry!$F$701*M$219+Mitigation_Industry!$G$701*M$220</f>
        <v>0</v>
      </c>
      <c r="N227" s="137">
        <f>Mitigation_Industry!$F$701*N$219+Mitigation_Industry!$G$701*N$220</f>
        <v>0</v>
      </c>
      <c r="O227" s="137">
        <f>Mitigation_Industry!$F$701*O$219+Mitigation_Industry!$G$701*O$220</f>
        <v>0</v>
      </c>
      <c r="P227" s="137">
        <f>Mitigation_Industry!$F$701*P$219+Mitigation_Industry!$G$701*P$220</f>
        <v>0</v>
      </c>
      <c r="Q227" s="137">
        <f>Mitigation_Industry!$F$701*Q$219+Mitigation_Industry!$G$701*Q$220</f>
        <v>12.5</v>
      </c>
      <c r="R227" s="137">
        <f>Mitigation_Industry!$F$701*R$219+Mitigation_Industry!$G$701*R$220</f>
        <v>25</v>
      </c>
      <c r="S227" s="137">
        <f>Mitigation_Industry!$F$701*S$219+Mitigation_Industry!$G$701*S$220</f>
        <v>37.5</v>
      </c>
      <c r="T227" s="137">
        <f>Mitigation_Industry!$F$701*T$219+Mitigation_Industry!$G$701*T$220</f>
        <v>50</v>
      </c>
      <c r="U227" s="137">
        <f>Mitigation_Industry!$F$701*U$219+Mitigation_Industry!$G$701*U$220</f>
        <v>62.5</v>
      </c>
      <c r="V227" s="137">
        <f>Mitigation_Industry!$F$701*V$219+Mitigation_Industry!$G$701*V$220</f>
        <v>75</v>
      </c>
      <c r="W227" s="137">
        <f>Mitigation_Industry!$F$701*W$219+Mitigation_Industry!$G$701*W$220</f>
        <v>87.5</v>
      </c>
      <c r="X227" s="137">
        <f>Mitigation_Industry!$F$701*X$219+Mitigation_Industry!$G$701*X$220</f>
        <v>100</v>
      </c>
      <c r="Y227" s="137">
        <f>Mitigation_Industry!$F$701*Y$219+Mitigation_Industry!$G$701*Y$220</f>
        <v>112.5</v>
      </c>
      <c r="Z227" s="137">
        <f>Mitigation_Industry!$F$701*Z$219+Mitigation_Industry!$G$701*Z$220</f>
        <v>125</v>
      </c>
      <c r="AA227" s="137">
        <f>Mitigation_Industry!$F$701*AA$219+Mitigation_Industry!$G$701*AA$220</f>
        <v>137.5</v>
      </c>
      <c r="AB227" s="137">
        <f>Mitigation_Industry!$F$701*AB$219+Mitigation_Industry!$G$701*AB$220</f>
        <v>150</v>
      </c>
      <c r="AC227" s="137">
        <f>Mitigation_Industry!$F$701*AC$219+Mitigation_Industry!$G$701*AC$220</f>
        <v>162.5</v>
      </c>
      <c r="AD227" s="137">
        <f>Mitigation_Industry!$F$701*AD$219+Mitigation_Industry!$G$701*AD$220</f>
        <v>175</v>
      </c>
      <c r="AE227" s="137">
        <f>Mitigation_Industry!$F$701*AE$219+Mitigation_Industry!$G$701*AE$220</f>
        <v>187.5</v>
      </c>
      <c r="AF227" s="138"/>
      <c r="AG227" s="138"/>
      <c r="AH227" s="138"/>
      <c r="AI227" s="138"/>
    </row>
    <row r="228" spans="1:35" customFormat="1" ht="14.25" x14ac:dyDescent="0.45">
      <c r="B228" s="14" t="s">
        <v>1447</v>
      </c>
      <c r="C228" s="14" t="s">
        <v>117</v>
      </c>
      <c r="D228" s="15" t="s">
        <v>2560</v>
      </c>
      <c r="E228" s="16" t="s">
        <v>1398</v>
      </c>
      <c r="F228" s="14" t="s">
        <v>2554</v>
      </c>
      <c r="G228" s="17"/>
      <c r="H228" s="125" t="str">
        <f>Settings!$B$3&amp;".mit.pf.frt.amc.2"</f>
        <v>egy.mit.pf.frt.amc.2</v>
      </c>
      <c r="K228" s="136"/>
      <c r="L228" s="137">
        <f>Mitigation_Industry!$F$702*L$219+Mitigation_Industry!$G$702*L$220</f>
        <v>0</v>
      </c>
      <c r="M228" s="137">
        <f>Mitigation_Industry!$F$702*M$219+Mitigation_Industry!$G$702*M$220</f>
        <v>0</v>
      </c>
      <c r="N228" s="137">
        <f>Mitigation_Industry!$F$702*N$219+Mitigation_Industry!$G$702*N$220</f>
        <v>0</v>
      </c>
      <c r="O228" s="137">
        <f>Mitigation_Industry!$F$702*O$219+Mitigation_Industry!$G$702*O$220</f>
        <v>0</v>
      </c>
      <c r="P228" s="137">
        <f>Mitigation_Industry!$F$702*P$219+Mitigation_Industry!$G$702*P$220</f>
        <v>0</v>
      </c>
      <c r="Q228" s="137">
        <f>Mitigation_Industry!$F$702*Q$219+Mitigation_Industry!$G$702*Q$220</f>
        <v>12.5</v>
      </c>
      <c r="R228" s="137">
        <f>Mitigation_Industry!$F$702*R$219+Mitigation_Industry!$G$702*R$220</f>
        <v>25</v>
      </c>
      <c r="S228" s="137">
        <f>Mitigation_Industry!$F$702*S$219+Mitigation_Industry!$G$702*S$220</f>
        <v>37.5</v>
      </c>
      <c r="T228" s="137">
        <f>Mitigation_Industry!$F$702*T$219+Mitigation_Industry!$G$702*T$220</f>
        <v>50</v>
      </c>
      <c r="U228" s="137">
        <f>Mitigation_Industry!$F$702*U$219+Mitigation_Industry!$G$702*U$220</f>
        <v>62.5</v>
      </c>
      <c r="V228" s="137">
        <f>Mitigation_Industry!$F$702*V$219+Mitigation_Industry!$G$702*V$220</f>
        <v>75</v>
      </c>
      <c r="W228" s="137">
        <f>Mitigation_Industry!$F$702*W$219+Mitigation_Industry!$G$702*W$220</f>
        <v>87.5</v>
      </c>
      <c r="X228" s="137">
        <f>Mitigation_Industry!$F$702*X$219+Mitigation_Industry!$G$702*X$220</f>
        <v>100</v>
      </c>
      <c r="Y228" s="137">
        <f>Mitigation_Industry!$F$702*Y$219+Mitigation_Industry!$G$702*Y$220</f>
        <v>112.5</v>
      </c>
      <c r="Z228" s="137">
        <f>Mitigation_Industry!$F$702*Z$219+Mitigation_Industry!$G$702*Z$220</f>
        <v>125</v>
      </c>
      <c r="AA228" s="137">
        <f>Mitigation_Industry!$F$702*AA$219+Mitigation_Industry!$G$702*AA$220</f>
        <v>137.5</v>
      </c>
      <c r="AB228" s="137">
        <f>Mitigation_Industry!$F$702*AB$219+Mitigation_Industry!$G$702*AB$220</f>
        <v>150</v>
      </c>
      <c r="AC228" s="137">
        <f>Mitigation_Industry!$F$702*AC$219+Mitigation_Industry!$G$702*AC$220</f>
        <v>162.5</v>
      </c>
      <c r="AD228" s="137">
        <f>Mitigation_Industry!$F$702*AD$219+Mitigation_Industry!$G$702*AD$220</f>
        <v>175</v>
      </c>
      <c r="AE228" s="137">
        <f>Mitigation_Industry!$F$702*AE$219+Mitigation_Industry!$G$702*AE$220</f>
        <v>187.5</v>
      </c>
      <c r="AF228" s="138"/>
      <c r="AG228" s="138"/>
      <c r="AH228" s="138"/>
      <c r="AI228" s="138"/>
    </row>
    <row r="229" spans="1:35" customFormat="1" ht="14.25" x14ac:dyDescent="0.45">
      <c r="B229" s="14" t="s">
        <v>1450</v>
      </c>
      <c r="C229" s="14" t="s">
        <v>117</v>
      </c>
      <c r="D229" s="15" t="s">
        <v>2561</v>
      </c>
      <c r="E229" s="16" t="s">
        <v>1398</v>
      </c>
      <c r="F229" s="14" t="s">
        <v>2554</v>
      </c>
      <c r="G229" s="17"/>
      <c r="H229" s="125" t="str">
        <f>Settings!$B$3&amp;".mit.pf.frt.ure.2"</f>
        <v>egy.mit.pf.frt.ure.2</v>
      </c>
      <c r="K229" s="136"/>
      <c r="L229" s="137">
        <f>Mitigation_Industry!$F$703*L$219+Mitigation_Industry!$G$703*L$220</f>
        <v>0</v>
      </c>
      <c r="M229" s="137">
        <f>Mitigation_Industry!$F$703*M$219+Mitigation_Industry!$G$703*M$220</f>
        <v>0</v>
      </c>
      <c r="N229" s="137">
        <f>Mitigation_Industry!$F$703*N$219+Mitigation_Industry!$G$703*N$220</f>
        <v>0</v>
      </c>
      <c r="O229" s="137">
        <f>Mitigation_Industry!$F$703*O$219+Mitigation_Industry!$G$703*O$220</f>
        <v>0</v>
      </c>
      <c r="P229" s="137">
        <f>Mitigation_Industry!$F$703*P$219+Mitigation_Industry!$G$703*P$220</f>
        <v>0</v>
      </c>
      <c r="Q229" s="137">
        <f>Mitigation_Industry!$F$703*Q$219+Mitigation_Industry!$G$703*Q$220</f>
        <v>12.5</v>
      </c>
      <c r="R229" s="137">
        <f>Mitigation_Industry!$F$703*R$219+Mitigation_Industry!$G$703*R$220</f>
        <v>25</v>
      </c>
      <c r="S229" s="137">
        <f>Mitigation_Industry!$F$703*S$219+Mitigation_Industry!$G$703*S$220</f>
        <v>37.5</v>
      </c>
      <c r="T229" s="137">
        <f>Mitigation_Industry!$F$703*T$219+Mitigation_Industry!$G$703*T$220</f>
        <v>50</v>
      </c>
      <c r="U229" s="137">
        <f>Mitigation_Industry!$F$703*U$219+Mitigation_Industry!$G$703*U$220</f>
        <v>62.5</v>
      </c>
      <c r="V229" s="137">
        <f>Mitigation_Industry!$F$703*V$219+Mitigation_Industry!$G$703*V$220</f>
        <v>75</v>
      </c>
      <c r="W229" s="137">
        <f>Mitigation_Industry!$F$703*W$219+Mitigation_Industry!$G$703*W$220</f>
        <v>87.5</v>
      </c>
      <c r="X229" s="137">
        <f>Mitigation_Industry!$F$703*X$219+Mitigation_Industry!$G$703*X$220</f>
        <v>100</v>
      </c>
      <c r="Y229" s="137">
        <f>Mitigation_Industry!$F$703*Y$219+Mitigation_Industry!$G$703*Y$220</f>
        <v>112.5</v>
      </c>
      <c r="Z229" s="137">
        <f>Mitigation_Industry!$F$703*Z$219+Mitigation_Industry!$G$703*Z$220</f>
        <v>125</v>
      </c>
      <c r="AA229" s="137">
        <f>Mitigation_Industry!$F$703*AA$219+Mitigation_Industry!$G$703*AA$220</f>
        <v>137.5</v>
      </c>
      <c r="AB229" s="137">
        <f>Mitigation_Industry!$F$703*AB$219+Mitigation_Industry!$G$703*AB$220</f>
        <v>150</v>
      </c>
      <c r="AC229" s="137">
        <f>Mitigation_Industry!$F$703*AC$219+Mitigation_Industry!$G$703*AC$220</f>
        <v>162.5</v>
      </c>
      <c r="AD229" s="137">
        <f>Mitigation_Industry!$F$703*AD$219+Mitigation_Industry!$G$703*AD$220</f>
        <v>175</v>
      </c>
      <c r="AE229" s="137">
        <f>Mitigation_Industry!$F$703*AE$219+Mitigation_Industry!$G$703*AE$220</f>
        <v>187.5</v>
      </c>
      <c r="AF229" s="138"/>
      <c r="AG229" s="138"/>
      <c r="AH229" s="138"/>
      <c r="AI229" s="138"/>
    </row>
    <row r="230" spans="1:35" customFormat="1" ht="14.25" x14ac:dyDescent="0.45">
      <c r="B230" s="14" t="s">
        <v>1453</v>
      </c>
      <c r="C230" s="14" t="s">
        <v>117</v>
      </c>
      <c r="D230" s="15" t="s">
        <v>2562</v>
      </c>
      <c r="E230" s="16" t="s">
        <v>1398</v>
      </c>
      <c r="F230" s="14" t="s">
        <v>2554</v>
      </c>
      <c r="G230" s="17"/>
      <c r="H230" s="125" t="str">
        <f>Settings!$B$3&amp;".mit.pf.frt.nit.2"</f>
        <v>egy.mit.pf.frt.nit.2</v>
      </c>
      <c r="K230" s="136"/>
      <c r="L230" s="137">
        <f>Mitigation_Industry!$F$704*L$219+Mitigation_Industry!$G$704*L$220</f>
        <v>0</v>
      </c>
      <c r="M230" s="137">
        <f>Mitigation_Industry!$F$704*M$219+Mitigation_Industry!$G$704*M$220</f>
        <v>0</v>
      </c>
      <c r="N230" s="137">
        <f>Mitigation_Industry!$F$704*N$219+Mitigation_Industry!$G$704*N$220</f>
        <v>0</v>
      </c>
      <c r="O230" s="137">
        <f>Mitigation_Industry!$F$704*O$219+Mitigation_Industry!$G$704*O$220</f>
        <v>0</v>
      </c>
      <c r="P230" s="137">
        <f>Mitigation_Industry!$F$704*P$219+Mitigation_Industry!$G$704*P$220</f>
        <v>0</v>
      </c>
      <c r="Q230" s="137">
        <f>Mitigation_Industry!$F$704*Q$219+Mitigation_Industry!$G$704*Q$220</f>
        <v>12.5</v>
      </c>
      <c r="R230" s="137">
        <f>Mitigation_Industry!$F$704*R$219+Mitigation_Industry!$G$704*R$220</f>
        <v>25</v>
      </c>
      <c r="S230" s="137">
        <f>Mitigation_Industry!$F$704*S$219+Mitigation_Industry!$G$704*S$220</f>
        <v>37.5</v>
      </c>
      <c r="T230" s="137">
        <f>Mitigation_Industry!$F$704*T$219+Mitigation_Industry!$G$704*T$220</f>
        <v>50</v>
      </c>
      <c r="U230" s="137">
        <f>Mitigation_Industry!$F$704*U$219+Mitigation_Industry!$G$704*U$220</f>
        <v>62.5</v>
      </c>
      <c r="V230" s="137">
        <f>Mitigation_Industry!$F$704*V$219+Mitigation_Industry!$G$704*V$220</f>
        <v>75</v>
      </c>
      <c r="W230" s="137">
        <f>Mitigation_Industry!$F$704*W$219+Mitigation_Industry!$G$704*W$220</f>
        <v>87.5</v>
      </c>
      <c r="X230" s="137">
        <f>Mitigation_Industry!$F$704*X$219+Mitigation_Industry!$G$704*X$220</f>
        <v>100</v>
      </c>
      <c r="Y230" s="137">
        <f>Mitigation_Industry!$F$704*Y$219+Mitigation_Industry!$G$704*Y$220</f>
        <v>112.5</v>
      </c>
      <c r="Z230" s="137">
        <f>Mitigation_Industry!$F$704*Z$219+Mitigation_Industry!$G$704*Z$220</f>
        <v>125</v>
      </c>
      <c r="AA230" s="137">
        <f>Mitigation_Industry!$F$704*AA$219+Mitigation_Industry!$G$704*AA$220</f>
        <v>137.5</v>
      </c>
      <c r="AB230" s="137">
        <f>Mitigation_Industry!$F$704*AB$219+Mitigation_Industry!$G$704*AB$220</f>
        <v>150</v>
      </c>
      <c r="AC230" s="137">
        <f>Mitigation_Industry!$F$704*AC$219+Mitigation_Industry!$G$704*AC$220</f>
        <v>162.5</v>
      </c>
      <c r="AD230" s="137">
        <f>Mitigation_Industry!$F$704*AD$219+Mitigation_Industry!$G$704*AD$220</f>
        <v>175</v>
      </c>
      <c r="AE230" s="137">
        <f>Mitigation_Industry!$F$704*AE$219+Mitigation_Industry!$G$704*AE$220</f>
        <v>187.5</v>
      </c>
      <c r="AF230" s="138"/>
      <c r="AG230" s="138"/>
      <c r="AH230" s="138"/>
      <c r="AI230" s="138"/>
    </row>
    <row r="231" spans="1:35" customFormat="1" ht="14.25" x14ac:dyDescent="0.45">
      <c r="B231" s="14" t="s">
        <v>1456</v>
      </c>
      <c r="C231" s="14" t="s">
        <v>115</v>
      </c>
      <c r="D231" s="15" t="s">
        <v>2563</v>
      </c>
      <c r="E231" s="16" t="s">
        <v>1398</v>
      </c>
      <c r="F231" s="14" t="s">
        <v>2554</v>
      </c>
      <c r="G231" s="17"/>
      <c r="H231" s="125" t="str">
        <f>Settings!$B$3&amp;".mit.pf.alu.prp.2"</f>
        <v>egy.mit.pf.alu.prp.2</v>
      </c>
      <c r="K231" s="136"/>
      <c r="L231" s="137">
        <f>Mitigation_Industry!$F$705*L$219+Mitigation_Industry!$G$705*L$220</f>
        <v>0</v>
      </c>
      <c r="M231" s="137">
        <f>Mitigation_Industry!$F$705*M$219+Mitigation_Industry!$G$705*M$220</f>
        <v>0</v>
      </c>
      <c r="N231" s="137">
        <f>Mitigation_Industry!$F$705*N$219+Mitigation_Industry!$G$705*N$220</f>
        <v>0</v>
      </c>
      <c r="O231" s="137">
        <f>Mitigation_Industry!$F$705*O$219+Mitigation_Industry!$G$705*O$220</f>
        <v>0</v>
      </c>
      <c r="P231" s="137">
        <f>Mitigation_Industry!$F$705*P$219+Mitigation_Industry!$G$705*P$220</f>
        <v>0</v>
      </c>
      <c r="Q231" s="137">
        <f>Mitigation_Industry!$F$705*Q$219+Mitigation_Industry!$G$705*Q$220</f>
        <v>12.5</v>
      </c>
      <c r="R231" s="137">
        <f>Mitigation_Industry!$F$705*R$219+Mitigation_Industry!$G$705*R$220</f>
        <v>25</v>
      </c>
      <c r="S231" s="137">
        <f>Mitigation_Industry!$F$705*S$219+Mitigation_Industry!$G$705*S$220</f>
        <v>37.5</v>
      </c>
      <c r="T231" s="137">
        <f>Mitigation_Industry!$F$705*T$219+Mitigation_Industry!$G$705*T$220</f>
        <v>50</v>
      </c>
      <c r="U231" s="137">
        <f>Mitigation_Industry!$F$705*U$219+Mitigation_Industry!$G$705*U$220</f>
        <v>62.5</v>
      </c>
      <c r="V231" s="137">
        <f>Mitigation_Industry!$F$705*V$219+Mitigation_Industry!$G$705*V$220</f>
        <v>75</v>
      </c>
      <c r="W231" s="137">
        <f>Mitigation_Industry!$F$705*W$219+Mitigation_Industry!$G$705*W$220</f>
        <v>87.5</v>
      </c>
      <c r="X231" s="137">
        <f>Mitigation_Industry!$F$705*X$219+Mitigation_Industry!$G$705*X$220</f>
        <v>100</v>
      </c>
      <c r="Y231" s="137">
        <f>Mitigation_Industry!$F$705*Y$219+Mitigation_Industry!$G$705*Y$220</f>
        <v>112.5</v>
      </c>
      <c r="Z231" s="137">
        <f>Mitigation_Industry!$F$705*Z$219+Mitigation_Industry!$G$705*Z$220</f>
        <v>125</v>
      </c>
      <c r="AA231" s="137">
        <f>Mitigation_Industry!$F$705*AA$219+Mitigation_Industry!$G$705*AA$220</f>
        <v>137.5</v>
      </c>
      <c r="AB231" s="137">
        <f>Mitigation_Industry!$F$705*AB$219+Mitigation_Industry!$G$705*AB$220</f>
        <v>150</v>
      </c>
      <c r="AC231" s="137">
        <f>Mitigation_Industry!$F$705*AC$219+Mitigation_Industry!$G$705*AC$220</f>
        <v>162.5</v>
      </c>
      <c r="AD231" s="137">
        <f>Mitigation_Industry!$F$705*AD$219+Mitigation_Industry!$G$705*AD$220</f>
        <v>175</v>
      </c>
      <c r="AE231" s="137">
        <f>Mitigation_Industry!$F$705*AE$219+Mitigation_Industry!$G$705*AE$220</f>
        <v>187.5</v>
      </c>
      <c r="AF231" s="138"/>
      <c r="AG231" s="138"/>
      <c r="AH231" s="138"/>
      <c r="AI231" s="138"/>
    </row>
    <row r="232" spans="1:35" x14ac:dyDescent="0.35"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  <c r="AC232" s="132"/>
      <c r="AD232" s="132"/>
      <c r="AE232" s="132"/>
      <c r="AF232" s="132"/>
      <c r="AG232" s="132"/>
      <c r="AH232" s="132"/>
      <c r="AI232" s="132"/>
    </row>
    <row r="233" spans="1:35" customFormat="1" ht="14.25" x14ac:dyDescent="0.45">
      <c r="A233" s="11"/>
      <c r="B233" s="6"/>
      <c r="C233" s="7" t="s">
        <v>2564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34">
        <v>2021</v>
      </c>
      <c r="L233" s="135">
        <v>2022</v>
      </c>
      <c r="M233" s="134">
        <v>2023</v>
      </c>
      <c r="N233" s="134">
        <v>2024</v>
      </c>
      <c r="O233" s="134">
        <v>2025</v>
      </c>
      <c r="P233" s="134">
        <v>2026</v>
      </c>
      <c r="Q233" s="134">
        <v>2027</v>
      </c>
      <c r="R233" s="134">
        <v>2028</v>
      </c>
      <c r="S233" s="134">
        <v>2029</v>
      </c>
      <c r="T233" s="134">
        <v>2030</v>
      </c>
      <c r="U233" s="134">
        <v>2031</v>
      </c>
      <c r="V233" s="134">
        <v>2032</v>
      </c>
      <c r="W233" s="134">
        <v>2033</v>
      </c>
      <c r="X233" s="134">
        <v>2034</v>
      </c>
      <c r="Y233" s="134">
        <v>2035</v>
      </c>
      <c r="Z233" s="134">
        <v>2036</v>
      </c>
      <c r="AA233" s="134">
        <v>2037</v>
      </c>
      <c r="AB233" s="134">
        <v>2038</v>
      </c>
      <c r="AC233" s="134">
        <v>2039</v>
      </c>
      <c r="AD233" s="134">
        <v>2040</v>
      </c>
      <c r="AE233" s="134">
        <v>2041</v>
      </c>
      <c r="AF233" s="134">
        <v>2042</v>
      </c>
      <c r="AG233" s="134">
        <v>2043</v>
      </c>
      <c r="AH233" s="134">
        <v>2044</v>
      </c>
      <c r="AI233" s="134">
        <v>2045</v>
      </c>
    </row>
    <row r="234" spans="1:35" customFormat="1" ht="14.25" x14ac:dyDescent="0.45">
      <c r="B234" s="14" t="s">
        <v>2565</v>
      </c>
      <c r="C234" s="14" t="s">
        <v>43</v>
      </c>
      <c r="D234" s="15" t="s">
        <v>2566</v>
      </c>
      <c r="E234" s="16" t="s">
        <v>1398</v>
      </c>
      <c r="F234" s="14" t="s">
        <v>2564</v>
      </c>
      <c r="G234" s="17"/>
      <c r="H234" s="125" t="str">
        <f>Settings!$B$3&amp;".mit.pp.stl.drg.np.2"</f>
        <v>egy.mit.pp.stl.drg.np.2</v>
      </c>
      <c r="I234" t="s">
        <v>2567</v>
      </c>
      <c r="K234" s="136"/>
      <c r="L234" s="137">
        <f>Mitigation_Industry!$F$709*L$221+Mitigation_Industry!$G$709*L$220</f>
        <v>0</v>
      </c>
      <c r="M234" s="137">
        <f>Mitigation_Industry!$F$709*M$221+Mitigation_Industry!$G$709*M$220</f>
        <v>0</v>
      </c>
      <c r="N234" s="137">
        <f>Mitigation_Industry!$F$709*N$221+Mitigation_Industry!$G$709*N$220</f>
        <v>0</v>
      </c>
      <c r="O234" s="137">
        <f>Mitigation_Industry!$F$709*O$221+Mitigation_Industry!$G$709*O$220</f>
        <v>0</v>
      </c>
      <c r="P234" s="137">
        <f>Mitigation_Industry!$F$709*P$221+Mitigation_Industry!$G$709*P$220</f>
        <v>0</v>
      </c>
      <c r="Q234" s="137">
        <f>Mitigation_Industry!$F$709*Q$221+Mitigation_Industry!$G$709*Q$220</f>
        <v>0</v>
      </c>
      <c r="R234" s="137">
        <f>Mitigation_Industry!$F$709*R$221+Mitigation_Industry!$G$709*R$220</f>
        <v>0</v>
      </c>
      <c r="S234" s="137">
        <f>Mitigation_Industry!$F$709*S$221+Mitigation_Industry!$G$709*S$220</f>
        <v>0</v>
      </c>
      <c r="T234" s="137">
        <f>Mitigation_Industry!$F$709*T$221+Mitigation_Industry!$G$709*T$220</f>
        <v>0</v>
      </c>
      <c r="U234" s="137">
        <f>Mitigation_Industry!$F$709*U$221+Mitigation_Industry!$G$709*U$220</f>
        <v>0</v>
      </c>
      <c r="V234" s="137">
        <f>Mitigation_Industry!$F$709*V$221+Mitigation_Industry!$G$709*V$220</f>
        <v>0</v>
      </c>
      <c r="W234" s="137">
        <f>Mitigation_Industry!$F$709*W$221+Mitigation_Industry!$G$709*W$220</f>
        <v>0</v>
      </c>
      <c r="X234" s="137">
        <f>Mitigation_Industry!$F$709*X$221+Mitigation_Industry!$G$709*X$220</f>
        <v>0</v>
      </c>
      <c r="Y234" s="137">
        <f>Mitigation_Industry!$F$709*Y$221+Mitigation_Industry!$G$709*Y$220</f>
        <v>0</v>
      </c>
      <c r="Z234" s="137">
        <f>Mitigation_Industry!$F$709*Z$221+Mitigation_Industry!$G$709*Z$220</f>
        <v>0</v>
      </c>
      <c r="AA234" s="137">
        <f>Mitigation_Industry!$F$709*AA$221+Mitigation_Industry!$G$709*AA$220</f>
        <v>0</v>
      </c>
      <c r="AB234" s="137">
        <f>Mitigation_Industry!$F$709*AB$221+Mitigation_Industry!$G$709*AB$220</f>
        <v>0</v>
      </c>
      <c r="AC234" s="137">
        <f>Mitigation_Industry!$F$709*AC$221+Mitigation_Industry!$G$709*AC$220</f>
        <v>0</v>
      </c>
      <c r="AD234" s="137">
        <f>Mitigation_Industry!$F$709*AD$221+Mitigation_Industry!$G$709*AD$220</f>
        <v>0</v>
      </c>
      <c r="AE234" s="137">
        <f>Mitigation_Industry!$F$709*AE$221+Mitigation_Industry!$G$709*AE$220</f>
        <v>0</v>
      </c>
      <c r="AF234" s="138"/>
      <c r="AG234" s="138"/>
      <c r="AH234" s="138"/>
      <c r="AI234" s="138"/>
    </row>
    <row r="235" spans="1:35" customFormat="1" ht="14.25" x14ac:dyDescent="0.45">
      <c r="B235" s="14" t="s">
        <v>2568</v>
      </c>
      <c r="C235" s="14" t="s">
        <v>43</v>
      </c>
      <c r="D235" s="15" t="s">
        <v>2569</v>
      </c>
      <c r="E235" s="16" t="s">
        <v>1398</v>
      </c>
      <c r="F235" s="14" t="s">
        <v>2564</v>
      </c>
      <c r="G235" s="17"/>
      <c r="H235" s="125" t="str">
        <f>Settings!$B$3&amp;".mit.pp.stl.scr.np.2"</f>
        <v>egy.mit.pp.stl.scr.np.2</v>
      </c>
      <c r="K235" s="136"/>
      <c r="L235" s="137">
        <f>Mitigation_Industry!$F$710*L$221+Mitigation_Industry!$G$710*L$220</f>
        <v>0</v>
      </c>
      <c r="M235" s="137">
        <f>Mitigation_Industry!$F$710*M$221+Mitigation_Industry!$G$710*M$220</f>
        <v>0</v>
      </c>
      <c r="N235" s="137">
        <f>Mitigation_Industry!$F$710*N$221+Mitigation_Industry!$G$710*N$220</f>
        <v>0</v>
      </c>
      <c r="O235" s="137">
        <f>Mitigation_Industry!$F$710*O$221+Mitigation_Industry!$G$710*O$220</f>
        <v>0</v>
      </c>
      <c r="P235" s="137">
        <f>Mitigation_Industry!$F$710*P$221+Mitigation_Industry!$G$710*P$220</f>
        <v>0</v>
      </c>
      <c r="Q235" s="137">
        <f>Mitigation_Industry!$F$710*Q$221+Mitigation_Industry!$G$710*Q$220</f>
        <v>0</v>
      </c>
      <c r="R235" s="137">
        <f>Mitigation_Industry!$F$710*R$221+Mitigation_Industry!$G$710*R$220</f>
        <v>0</v>
      </c>
      <c r="S235" s="137">
        <f>Mitigation_Industry!$F$710*S$221+Mitigation_Industry!$G$710*S$220</f>
        <v>0</v>
      </c>
      <c r="T235" s="137">
        <f>Mitigation_Industry!$F$710*T$221+Mitigation_Industry!$G$710*T$220</f>
        <v>0</v>
      </c>
      <c r="U235" s="137">
        <f>Mitigation_Industry!$F$710*U$221+Mitigation_Industry!$G$710*U$220</f>
        <v>0</v>
      </c>
      <c r="V235" s="137">
        <f>Mitigation_Industry!$F$710*V$221+Mitigation_Industry!$G$710*V$220</f>
        <v>0</v>
      </c>
      <c r="W235" s="137">
        <f>Mitigation_Industry!$F$710*W$221+Mitigation_Industry!$G$710*W$220</f>
        <v>0</v>
      </c>
      <c r="X235" s="137">
        <f>Mitigation_Industry!$F$710*X$221+Mitigation_Industry!$G$710*X$220</f>
        <v>0</v>
      </c>
      <c r="Y235" s="137">
        <f>Mitigation_Industry!$F$710*Y$221+Mitigation_Industry!$G$710*Y$220</f>
        <v>0</v>
      </c>
      <c r="Z235" s="137">
        <f>Mitigation_Industry!$F$710*Z$221+Mitigation_Industry!$G$710*Z$220</f>
        <v>0</v>
      </c>
      <c r="AA235" s="137">
        <f>Mitigation_Industry!$F$710*AA$221+Mitigation_Industry!$G$710*AA$220</f>
        <v>0</v>
      </c>
      <c r="AB235" s="137">
        <f>Mitigation_Industry!$F$710*AB$221+Mitigation_Industry!$G$710*AB$220</f>
        <v>0</v>
      </c>
      <c r="AC235" s="137">
        <f>Mitigation_Industry!$F$710*AC$221+Mitigation_Industry!$G$710*AC$220</f>
        <v>0</v>
      </c>
      <c r="AD235" s="137">
        <f>Mitigation_Industry!$F$710*AD$221+Mitigation_Industry!$G$710*AD$220</f>
        <v>0</v>
      </c>
      <c r="AE235" s="137">
        <f>Mitigation_Industry!$F$710*AE$221+Mitigation_Industry!$G$710*AE$220</f>
        <v>0</v>
      </c>
      <c r="AF235" s="138"/>
      <c r="AG235" s="138"/>
      <c r="AH235" s="138"/>
      <c r="AI235" s="138"/>
    </row>
    <row r="236" spans="1:35" customFormat="1" ht="14.25" x14ac:dyDescent="0.45">
      <c r="B236" s="14" t="s">
        <v>2570</v>
      </c>
      <c r="C236" s="14" t="s">
        <v>43</v>
      </c>
      <c r="D236" s="15" t="s">
        <v>2571</v>
      </c>
      <c r="E236" s="16" t="s">
        <v>1398</v>
      </c>
      <c r="F236" s="14" t="s">
        <v>2564</v>
      </c>
      <c r="G236" s="17"/>
      <c r="H236" s="125" t="str">
        <f>Settings!$B$3&amp;".mit.pp.stl.bof.np.2"</f>
        <v>egy.mit.pp.stl.bof.np.2</v>
      </c>
      <c r="K236" s="136"/>
      <c r="L236" s="137">
        <f>Mitigation_Industry!$F$711*L$221+Mitigation_Industry!$G$711*L$220</f>
        <v>0</v>
      </c>
      <c r="M236" s="137">
        <f>Mitigation_Industry!$F$711*M$221+Mitigation_Industry!$G$711*M$220</f>
        <v>0</v>
      </c>
      <c r="N236" s="137">
        <f>Mitigation_Industry!$F$711*N$221+Mitigation_Industry!$G$711*N$220</f>
        <v>0</v>
      </c>
      <c r="O236" s="137">
        <f>Mitigation_Industry!$F$711*O$221+Mitigation_Industry!$G$711*O$220</f>
        <v>0</v>
      </c>
      <c r="P236" s="137">
        <f>Mitigation_Industry!$F$711*P$221+Mitigation_Industry!$G$711*P$220</f>
        <v>0</v>
      </c>
      <c r="Q236" s="137">
        <f>Mitigation_Industry!$F$711*Q$221+Mitigation_Industry!$G$711*Q$220</f>
        <v>0</v>
      </c>
      <c r="R236" s="137">
        <f>Mitigation_Industry!$F$711*R$221+Mitigation_Industry!$G$711*R$220</f>
        <v>0</v>
      </c>
      <c r="S236" s="137">
        <f>Mitigation_Industry!$F$711*S$221+Mitigation_Industry!$G$711*S$220</f>
        <v>0</v>
      </c>
      <c r="T236" s="137">
        <f>Mitigation_Industry!$F$711*T$221+Mitigation_Industry!$G$711*T$220</f>
        <v>0</v>
      </c>
      <c r="U236" s="137">
        <f>Mitigation_Industry!$F$711*U$221+Mitigation_Industry!$G$711*U$220</f>
        <v>0</v>
      </c>
      <c r="V236" s="137">
        <f>Mitigation_Industry!$F$711*V$221+Mitigation_Industry!$G$711*V$220</f>
        <v>0</v>
      </c>
      <c r="W236" s="137">
        <f>Mitigation_Industry!$F$711*W$221+Mitigation_Industry!$G$711*W$220</f>
        <v>0</v>
      </c>
      <c r="X236" s="137">
        <f>Mitigation_Industry!$F$711*X$221+Mitigation_Industry!$G$711*X$220</f>
        <v>0</v>
      </c>
      <c r="Y236" s="137">
        <f>Mitigation_Industry!$F$711*Y$221+Mitigation_Industry!$G$711*Y$220</f>
        <v>0</v>
      </c>
      <c r="Z236" s="137">
        <f>Mitigation_Industry!$F$711*Z$221+Mitigation_Industry!$G$711*Z$220</f>
        <v>0</v>
      </c>
      <c r="AA236" s="137">
        <f>Mitigation_Industry!$F$711*AA$221+Mitigation_Industry!$G$711*AA$220</f>
        <v>0</v>
      </c>
      <c r="AB236" s="137">
        <f>Mitigation_Industry!$F$711*AB$221+Mitigation_Industry!$G$711*AB$220</f>
        <v>0</v>
      </c>
      <c r="AC236" s="137">
        <f>Mitigation_Industry!$F$711*AC$221+Mitigation_Industry!$G$711*AC$220</f>
        <v>0</v>
      </c>
      <c r="AD236" s="137">
        <f>Mitigation_Industry!$F$711*AD$221+Mitigation_Industry!$G$711*AD$220</f>
        <v>0</v>
      </c>
      <c r="AE236" s="137">
        <f>Mitigation_Industry!$F$711*AE$221+Mitigation_Industry!$G$711*AE$220</f>
        <v>0</v>
      </c>
      <c r="AF236" s="138"/>
      <c r="AG236" s="138"/>
      <c r="AH236" s="138"/>
      <c r="AI236" s="138"/>
    </row>
    <row r="237" spans="1:35" customFormat="1" ht="14.25" x14ac:dyDescent="0.45">
      <c r="B237" s="14" t="s">
        <v>2572</v>
      </c>
      <c r="C237" s="14" t="s">
        <v>113</v>
      </c>
      <c r="D237" s="15" t="s">
        <v>2573</v>
      </c>
      <c r="E237" s="16" t="s">
        <v>1398</v>
      </c>
      <c r="F237" s="14" t="s">
        <v>2564</v>
      </c>
      <c r="G237" s="17"/>
      <c r="H237" s="125" t="str">
        <f>Settings!$B$3&amp;".mit.pp.cmt.dry.np.2"</f>
        <v>egy.mit.pp.cmt.dry.np.2</v>
      </c>
      <c r="K237" s="136"/>
      <c r="L237" s="137">
        <f>Mitigation_Industry!$F$712*L$221+Mitigation_Industry!$G$712*L$220</f>
        <v>0</v>
      </c>
      <c r="M237" s="137">
        <f>Mitigation_Industry!$F$712*M$221+Mitigation_Industry!$G$712*M$220</f>
        <v>0</v>
      </c>
      <c r="N237" s="137">
        <f>Mitigation_Industry!$F$712*N$221+Mitigation_Industry!$G$712*N$220</f>
        <v>0</v>
      </c>
      <c r="O237" s="137">
        <f>Mitigation_Industry!$F$712*O$221+Mitigation_Industry!$G$712*O$220</f>
        <v>0</v>
      </c>
      <c r="P237" s="137">
        <f>Mitigation_Industry!$F$712*P$221+Mitigation_Industry!$G$712*P$220</f>
        <v>0</v>
      </c>
      <c r="Q237" s="137">
        <f>Mitigation_Industry!$F$712*Q$221+Mitigation_Industry!$G$712*Q$220</f>
        <v>0</v>
      </c>
      <c r="R237" s="137">
        <f>Mitigation_Industry!$F$712*R$221+Mitigation_Industry!$G$712*R$220</f>
        <v>0</v>
      </c>
      <c r="S237" s="137">
        <f>Mitigation_Industry!$F$712*S$221+Mitigation_Industry!$G$712*S$220</f>
        <v>0</v>
      </c>
      <c r="T237" s="137">
        <f>Mitigation_Industry!$F$712*T$221+Mitigation_Industry!$G$712*T$220</f>
        <v>0</v>
      </c>
      <c r="U237" s="137">
        <f>Mitigation_Industry!$F$712*U$221+Mitigation_Industry!$G$712*U$220</f>
        <v>0</v>
      </c>
      <c r="V237" s="137">
        <f>Mitigation_Industry!$F$712*V$221+Mitigation_Industry!$G$712*V$220</f>
        <v>0</v>
      </c>
      <c r="W237" s="137">
        <f>Mitigation_Industry!$F$712*W$221+Mitigation_Industry!$G$712*W$220</f>
        <v>0</v>
      </c>
      <c r="X237" s="137">
        <f>Mitigation_Industry!$F$712*X$221+Mitigation_Industry!$G$712*X$220</f>
        <v>0</v>
      </c>
      <c r="Y237" s="137">
        <f>Mitigation_Industry!$F$712*Y$221+Mitigation_Industry!$G$712*Y$220</f>
        <v>0</v>
      </c>
      <c r="Z237" s="137">
        <f>Mitigation_Industry!$F$712*Z$221+Mitigation_Industry!$G$712*Z$220</f>
        <v>0</v>
      </c>
      <c r="AA237" s="137">
        <f>Mitigation_Industry!$F$712*AA$221+Mitigation_Industry!$G$712*AA$220</f>
        <v>0</v>
      </c>
      <c r="AB237" s="137">
        <f>Mitigation_Industry!$F$712*AB$221+Mitigation_Industry!$G$712*AB$220</f>
        <v>0</v>
      </c>
      <c r="AC237" s="137">
        <f>Mitigation_Industry!$F$712*AC$221+Mitigation_Industry!$G$712*AC$220</f>
        <v>0</v>
      </c>
      <c r="AD237" s="137">
        <f>Mitigation_Industry!$F$712*AD$221+Mitigation_Industry!$G$712*AD$220</f>
        <v>0</v>
      </c>
      <c r="AE237" s="137">
        <f>Mitigation_Industry!$F$712*AE$221+Mitigation_Industry!$G$712*AE$220</f>
        <v>0</v>
      </c>
      <c r="AF237" s="138"/>
      <c r="AG237" s="138"/>
      <c r="AH237" s="138"/>
      <c r="AI237" s="138"/>
    </row>
    <row r="238" spans="1:35" customFormat="1" ht="14.25" x14ac:dyDescent="0.45">
      <c r="B238" s="14" t="s">
        <v>2574</v>
      </c>
      <c r="C238" s="14" t="s">
        <v>117</v>
      </c>
      <c r="D238" s="15" t="s">
        <v>2575</v>
      </c>
      <c r="E238" s="16" t="s">
        <v>1398</v>
      </c>
      <c r="F238" s="14" t="s">
        <v>2564</v>
      </c>
      <c r="G238" s="17"/>
      <c r="H238" s="125" t="str">
        <f>Settings!$B$3&amp;".mit.pp.frt.amc.np.2"</f>
        <v>egy.mit.pp.frt.amc.np.2</v>
      </c>
      <c r="K238" s="136"/>
      <c r="L238" s="137">
        <f>Mitigation_Industry!$F$713*L$221+Mitigation_Industry!$G$713*L$220</f>
        <v>0</v>
      </c>
      <c r="M238" s="137">
        <f>Mitigation_Industry!$F$713*M$221+Mitigation_Industry!$G$713*M$220</f>
        <v>0</v>
      </c>
      <c r="N238" s="137">
        <f>Mitigation_Industry!$F$713*N$221+Mitigation_Industry!$G$713*N$220</f>
        <v>0</v>
      </c>
      <c r="O238" s="137">
        <f>Mitigation_Industry!$F$713*O$221+Mitigation_Industry!$G$713*O$220</f>
        <v>0</v>
      </c>
      <c r="P238" s="137">
        <f>Mitigation_Industry!$F$713*P$221+Mitigation_Industry!$G$713*P$220</f>
        <v>0</v>
      </c>
      <c r="Q238" s="137">
        <f>Mitigation_Industry!$F$713*Q$221+Mitigation_Industry!$G$713*Q$220</f>
        <v>0</v>
      </c>
      <c r="R238" s="137">
        <f>Mitigation_Industry!$F$713*R$221+Mitigation_Industry!$G$713*R$220</f>
        <v>0</v>
      </c>
      <c r="S238" s="137">
        <f>Mitigation_Industry!$F$713*S$221+Mitigation_Industry!$G$713*S$220</f>
        <v>0</v>
      </c>
      <c r="T238" s="137">
        <f>Mitigation_Industry!$F$713*T$221+Mitigation_Industry!$G$713*T$220</f>
        <v>0</v>
      </c>
      <c r="U238" s="137">
        <f>Mitigation_Industry!$F$713*U$221+Mitigation_Industry!$G$713*U$220</f>
        <v>0</v>
      </c>
      <c r="V238" s="137">
        <f>Mitigation_Industry!$F$713*V$221+Mitigation_Industry!$G$713*V$220</f>
        <v>0</v>
      </c>
      <c r="W238" s="137">
        <f>Mitigation_Industry!$F$713*W$221+Mitigation_Industry!$G$713*W$220</f>
        <v>0</v>
      </c>
      <c r="X238" s="137">
        <f>Mitigation_Industry!$F$713*X$221+Mitigation_Industry!$G$713*X$220</f>
        <v>0</v>
      </c>
      <c r="Y238" s="137">
        <f>Mitigation_Industry!$F$713*Y$221+Mitigation_Industry!$G$713*Y$220</f>
        <v>0</v>
      </c>
      <c r="Z238" s="137">
        <f>Mitigation_Industry!$F$713*Z$221+Mitigation_Industry!$G$713*Z$220</f>
        <v>0</v>
      </c>
      <c r="AA238" s="137">
        <f>Mitigation_Industry!$F$713*AA$221+Mitigation_Industry!$G$713*AA$220</f>
        <v>0</v>
      </c>
      <c r="AB238" s="137">
        <f>Mitigation_Industry!$F$713*AB$221+Mitigation_Industry!$G$713*AB$220</f>
        <v>0</v>
      </c>
      <c r="AC238" s="137">
        <f>Mitigation_Industry!$F$713*AC$221+Mitigation_Industry!$G$713*AC$220</f>
        <v>0</v>
      </c>
      <c r="AD238" s="137">
        <f>Mitigation_Industry!$F$713*AD$221+Mitigation_Industry!$G$713*AD$220</f>
        <v>0</v>
      </c>
      <c r="AE238" s="137">
        <f>Mitigation_Industry!$F$713*AE$221+Mitigation_Industry!$G$713*AE$220</f>
        <v>0</v>
      </c>
      <c r="AF238" s="138"/>
      <c r="AG238" s="138"/>
      <c r="AH238" s="138"/>
      <c r="AI238" s="138"/>
    </row>
    <row r="239" spans="1:35" customFormat="1" ht="14.25" x14ac:dyDescent="0.45">
      <c r="B239" s="14" t="s">
        <v>2576</v>
      </c>
      <c r="C239" s="14" t="s">
        <v>117</v>
      </c>
      <c r="D239" s="15" t="s">
        <v>2577</v>
      </c>
      <c r="E239" s="16" t="s">
        <v>1398</v>
      </c>
      <c r="F239" s="14" t="s">
        <v>2564</v>
      </c>
      <c r="G239" s="17"/>
      <c r="H239" s="125" t="str">
        <f>Settings!$B$3&amp;".mit.pp.frt.ure.np.2"</f>
        <v>egy.mit.pp.frt.ure.np.2</v>
      </c>
      <c r="K239" s="136"/>
      <c r="L239" s="137">
        <f>Mitigation_Industry!$F$714*L$221+Mitigation_Industry!$G$714*L$220</f>
        <v>0</v>
      </c>
      <c r="M239" s="137">
        <f>Mitigation_Industry!$F$714*M$221+Mitigation_Industry!$G$714*M$220</f>
        <v>0</v>
      </c>
      <c r="N239" s="137">
        <f>Mitigation_Industry!$F$714*N$221+Mitigation_Industry!$G$714*N$220</f>
        <v>0</v>
      </c>
      <c r="O239" s="137">
        <f>Mitigation_Industry!$F$714*O$221+Mitigation_Industry!$G$714*O$220</f>
        <v>0</v>
      </c>
      <c r="P239" s="137">
        <f>Mitigation_Industry!$F$714*P$221+Mitigation_Industry!$G$714*P$220</f>
        <v>0</v>
      </c>
      <c r="Q239" s="137">
        <f>Mitigation_Industry!$F$714*Q$221+Mitigation_Industry!$G$714*Q$220</f>
        <v>0</v>
      </c>
      <c r="R239" s="137">
        <f>Mitigation_Industry!$F$714*R$221+Mitigation_Industry!$G$714*R$220</f>
        <v>0</v>
      </c>
      <c r="S239" s="137">
        <f>Mitigation_Industry!$F$714*S$221+Mitigation_Industry!$G$714*S$220</f>
        <v>0</v>
      </c>
      <c r="T239" s="137">
        <f>Mitigation_Industry!$F$714*T$221+Mitigation_Industry!$G$714*T$220</f>
        <v>0</v>
      </c>
      <c r="U239" s="137">
        <f>Mitigation_Industry!$F$714*U$221+Mitigation_Industry!$G$714*U$220</f>
        <v>0</v>
      </c>
      <c r="V239" s="137">
        <f>Mitigation_Industry!$F$714*V$221+Mitigation_Industry!$G$714*V$220</f>
        <v>0</v>
      </c>
      <c r="W239" s="137">
        <f>Mitigation_Industry!$F$714*W$221+Mitigation_Industry!$G$714*W$220</f>
        <v>0</v>
      </c>
      <c r="X239" s="137">
        <f>Mitigation_Industry!$F$714*X$221+Mitigation_Industry!$G$714*X$220</f>
        <v>0</v>
      </c>
      <c r="Y239" s="137">
        <f>Mitigation_Industry!$F$714*Y$221+Mitigation_Industry!$G$714*Y$220</f>
        <v>0</v>
      </c>
      <c r="Z239" s="137">
        <f>Mitigation_Industry!$F$714*Z$221+Mitigation_Industry!$G$714*Z$220</f>
        <v>0</v>
      </c>
      <c r="AA239" s="137">
        <f>Mitigation_Industry!$F$714*AA$221+Mitigation_Industry!$G$714*AA$220</f>
        <v>0</v>
      </c>
      <c r="AB239" s="137">
        <f>Mitigation_Industry!$F$714*AB$221+Mitigation_Industry!$G$714*AB$220</f>
        <v>0</v>
      </c>
      <c r="AC239" s="137">
        <f>Mitigation_Industry!$F$714*AC$221+Mitigation_Industry!$G$714*AC$220</f>
        <v>0</v>
      </c>
      <c r="AD239" s="137">
        <f>Mitigation_Industry!$F$714*AD$221+Mitigation_Industry!$G$714*AD$220</f>
        <v>0</v>
      </c>
      <c r="AE239" s="137">
        <f>Mitigation_Industry!$F$714*AE$221+Mitigation_Industry!$G$714*AE$220</f>
        <v>0</v>
      </c>
      <c r="AF239" s="138"/>
      <c r="AG239" s="138"/>
      <c r="AH239" s="138"/>
      <c r="AI239" s="138"/>
    </row>
    <row r="240" spans="1:35" customFormat="1" ht="14.25" x14ac:dyDescent="0.45">
      <c r="B240" s="14" t="s">
        <v>2578</v>
      </c>
      <c r="C240" s="14" t="s">
        <v>117</v>
      </c>
      <c r="D240" s="15" t="s">
        <v>2579</v>
      </c>
      <c r="E240" s="16" t="s">
        <v>1398</v>
      </c>
      <c r="F240" s="14" t="s">
        <v>2564</v>
      </c>
      <c r="G240" s="17"/>
      <c r="H240" s="125" t="str">
        <f>Settings!$B$3&amp;".mit.pp.frt.nit.np.2"</f>
        <v>egy.mit.pp.frt.nit.np.2</v>
      </c>
      <c r="K240" s="136"/>
      <c r="L240" s="137">
        <f>Mitigation_Industry!$F$715*L$221+Mitigation_Industry!$G$715*L$220</f>
        <v>0</v>
      </c>
      <c r="M240" s="137">
        <f>Mitigation_Industry!$F$715*M$221+Mitigation_Industry!$G$715*M$220</f>
        <v>0</v>
      </c>
      <c r="N240" s="137">
        <f>Mitigation_Industry!$F$715*N$221+Mitigation_Industry!$G$715*N$220</f>
        <v>0</v>
      </c>
      <c r="O240" s="137">
        <f>Mitigation_Industry!$F$715*O$221+Mitigation_Industry!$G$715*O$220</f>
        <v>0</v>
      </c>
      <c r="P240" s="137">
        <f>Mitigation_Industry!$F$715*P$221+Mitigation_Industry!$G$715*P$220</f>
        <v>0</v>
      </c>
      <c r="Q240" s="137">
        <f>Mitigation_Industry!$F$715*Q$221+Mitigation_Industry!$G$715*Q$220</f>
        <v>0</v>
      </c>
      <c r="R240" s="137">
        <f>Mitigation_Industry!$F$715*R$221+Mitigation_Industry!$G$715*R$220</f>
        <v>0</v>
      </c>
      <c r="S240" s="137">
        <f>Mitigation_Industry!$F$715*S$221+Mitigation_Industry!$G$715*S$220</f>
        <v>0</v>
      </c>
      <c r="T240" s="137">
        <f>Mitigation_Industry!$F$715*T$221+Mitigation_Industry!$G$715*T$220</f>
        <v>0</v>
      </c>
      <c r="U240" s="137">
        <f>Mitigation_Industry!$F$715*U$221+Mitigation_Industry!$G$715*U$220</f>
        <v>0</v>
      </c>
      <c r="V240" s="137">
        <f>Mitigation_Industry!$F$715*V$221+Mitigation_Industry!$G$715*V$220</f>
        <v>0</v>
      </c>
      <c r="W240" s="137">
        <f>Mitigation_Industry!$F$715*W$221+Mitigation_Industry!$G$715*W$220</f>
        <v>0</v>
      </c>
      <c r="X240" s="137">
        <f>Mitigation_Industry!$F$715*X$221+Mitigation_Industry!$G$715*X$220</f>
        <v>0</v>
      </c>
      <c r="Y240" s="137">
        <f>Mitigation_Industry!$F$715*Y$221+Mitigation_Industry!$G$715*Y$220</f>
        <v>0</v>
      </c>
      <c r="Z240" s="137">
        <f>Mitigation_Industry!$F$715*Z$221+Mitigation_Industry!$G$715*Z$220</f>
        <v>0</v>
      </c>
      <c r="AA240" s="137">
        <f>Mitigation_Industry!$F$715*AA$221+Mitigation_Industry!$G$715*AA$220</f>
        <v>0</v>
      </c>
      <c r="AB240" s="137">
        <f>Mitigation_Industry!$F$715*AB$221+Mitigation_Industry!$G$715*AB$220</f>
        <v>0</v>
      </c>
      <c r="AC240" s="137">
        <f>Mitigation_Industry!$F$715*AC$221+Mitigation_Industry!$G$715*AC$220</f>
        <v>0</v>
      </c>
      <c r="AD240" s="137">
        <f>Mitigation_Industry!$F$715*AD$221+Mitigation_Industry!$G$715*AD$220</f>
        <v>0</v>
      </c>
      <c r="AE240" s="137">
        <f>Mitigation_Industry!$F$715*AE$221+Mitigation_Industry!$G$715*AE$220</f>
        <v>0</v>
      </c>
      <c r="AF240" s="138"/>
      <c r="AG240" s="138"/>
      <c r="AH240" s="138"/>
      <c r="AI240" s="138"/>
    </row>
    <row r="241" spans="1:35" customFormat="1" ht="14.25" x14ac:dyDescent="0.45">
      <c r="B241" s="14" t="s">
        <v>2580</v>
      </c>
      <c r="C241" s="14" t="s">
        <v>115</v>
      </c>
      <c r="D241" s="15" t="s">
        <v>2581</v>
      </c>
      <c r="E241" s="16" t="s">
        <v>1398</v>
      </c>
      <c r="F241" s="14" t="s">
        <v>2564</v>
      </c>
      <c r="G241" s="17"/>
      <c r="H241" s="125" t="str">
        <f>Settings!$B$3&amp;".mit.pp.alu.prp.np.2"</f>
        <v>egy.mit.pp.alu.prp.np.2</v>
      </c>
      <c r="K241" s="136"/>
      <c r="L241" s="137">
        <f>Mitigation_Industry!$F$716*L$221+Mitigation_Industry!$G$716*L$220</f>
        <v>0</v>
      </c>
      <c r="M241" s="137">
        <f>Mitigation_Industry!$F$716*M$221+Mitigation_Industry!$G$716*M$220</f>
        <v>0</v>
      </c>
      <c r="N241" s="137">
        <f>Mitigation_Industry!$F$716*N$221+Mitigation_Industry!$G$716*N$220</f>
        <v>0</v>
      </c>
      <c r="O241" s="137">
        <f>Mitigation_Industry!$F$716*O$221+Mitigation_Industry!$G$716*O$220</f>
        <v>0</v>
      </c>
      <c r="P241" s="137">
        <f>Mitigation_Industry!$F$716*P$221+Mitigation_Industry!$G$716*P$220</f>
        <v>0</v>
      </c>
      <c r="Q241" s="137">
        <f>Mitigation_Industry!$F$716*Q$221+Mitigation_Industry!$G$716*Q$220</f>
        <v>0</v>
      </c>
      <c r="R241" s="137">
        <f>Mitigation_Industry!$F$716*R$221+Mitigation_Industry!$G$716*R$220</f>
        <v>0</v>
      </c>
      <c r="S241" s="137">
        <f>Mitigation_Industry!$F$716*S$221+Mitigation_Industry!$G$716*S$220</f>
        <v>0</v>
      </c>
      <c r="T241" s="137">
        <f>Mitigation_Industry!$F$716*T$221+Mitigation_Industry!$G$716*T$220</f>
        <v>0</v>
      </c>
      <c r="U241" s="137">
        <f>Mitigation_Industry!$F$716*U$221+Mitigation_Industry!$G$716*U$220</f>
        <v>0</v>
      </c>
      <c r="V241" s="137">
        <f>Mitigation_Industry!$F$716*V$221+Mitigation_Industry!$G$716*V$220</f>
        <v>0</v>
      </c>
      <c r="W241" s="137">
        <f>Mitigation_Industry!$F$716*W$221+Mitigation_Industry!$G$716*W$220</f>
        <v>0</v>
      </c>
      <c r="X241" s="137">
        <f>Mitigation_Industry!$F$716*X$221+Mitigation_Industry!$G$716*X$220</f>
        <v>0</v>
      </c>
      <c r="Y241" s="137">
        <f>Mitigation_Industry!$F$716*Y$221+Mitigation_Industry!$G$716*Y$220</f>
        <v>0</v>
      </c>
      <c r="Z241" s="137">
        <f>Mitigation_Industry!$F$716*Z$221+Mitigation_Industry!$G$716*Z$220</f>
        <v>0</v>
      </c>
      <c r="AA241" s="137">
        <f>Mitigation_Industry!$F$716*AA$221+Mitigation_Industry!$G$716*AA$220</f>
        <v>0</v>
      </c>
      <c r="AB241" s="137">
        <f>Mitigation_Industry!$F$716*AB$221+Mitigation_Industry!$G$716*AB$220</f>
        <v>0</v>
      </c>
      <c r="AC241" s="137">
        <f>Mitigation_Industry!$F$716*AC$221+Mitigation_Industry!$G$716*AC$220</f>
        <v>0</v>
      </c>
      <c r="AD241" s="137">
        <f>Mitigation_Industry!$F$716*AD$221+Mitigation_Industry!$G$716*AD$220</f>
        <v>0</v>
      </c>
      <c r="AE241" s="137">
        <f>Mitigation_Industry!$F$716*AE$221+Mitigation_Industry!$G$716*AE$220</f>
        <v>0</v>
      </c>
      <c r="AF241" s="138"/>
      <c r="AG241" s="138"/>
      <c r="AH241" s="138"/>
      <c r="AI241" s="138"/>
    </row>
    <row r="242" spans="1:35" customFormat="1" ht="14.25" x14ac:dyDescent="0.45">
      <c r="B242" s="14" t="s">
        <v>2582</v>
      </c>
      <c r="C242" s="14" t="s">
        <v>43</v>
      </c>
      <c r="D242" s="15" t="s">
        <v>2583</v>
      </c>
      <c r="E242" s="16" t="s">
        <v>1398</v>
      </c>
      <c r="F242" s="14" t="s">
        <v>2564</v>
      </c>
      <c r="G242" s="17"/>
      <c r="H242" s="125" t="str">
        <f>Settings!$B$3&amp;".mit.pp.stl.drg.no.2"</f>
        <v>egy.mit.pp.stl.drg.no.2</v>
      </c>
      <c r="K242" s="136"/>
      <c r="L242" s="137">
        <f>Mitigation_Industry!$F$709*L$221+Mitigation_Industry!$G$709*L$220</f>
        <v>0</v>
      </c>
      <c r="M242" s="137">
        <f>Mitigation_Industry!$F$709*M$221+Mitigation_Industry!$G$709*M$220</f>
        <v>0</v>
      </c>
      <c r="N242" s="137">
        <f>Mitigation_Industry!$F$709*N$221+Mitigation_Industry!$G$709*N$220</f>
        <v>0</v>
      </c>
      <c r="O242" s="137">
        <f>Mitigation_Industry!$F$709*O$221+Mitigation_Industry!$G$709*O$220</f>
        <v>0</v>
      </c>
      <c r="P242" s="137">
        <f>Mitigation_Industry!$F$709*P$221+Mitigation_Industry!$G$709*P$220</f>
        <v>0</v>
      </c>
      <c r="Q242" s="137">
        <f>Mitigation_Industry!$F$709*Q$221+Mitigation_Industry!$G$709*Q$220</f>
        <v>0</v>
      </c>
      <c r="R242" s="137">
        <f>Mitigation_Industry!$F$709*R$221+Mitigation_Industry!$G$709*R$220</f>
        <v>0</v>
      </c>
      <c r="S242" s="137">
        <f>Mitigation_Industry!$F$709*S$221+Mitigation_Industry!$G$709*S$220</f>
        <v>0</v>
      </c>
      <c r="T242" s="137">
        <f>Mitigation_Industry!$F$709*T$221+Mitigation_Industry!$G$709*T$220</f>
        <v>0</v>
      </c>
      <c r="U242" s="137">
        <f>Mitigation_Industry!$F$709*U$221+Mitigation_Industry!$G$709*U$220</f>
        <v>0</v>
      </c>
      <c r="V242" s="137">
        <f>Mitigation_Industry!$F$709*V$221+Mitigation_Industry!$G$709*V$220</f>
        <v>0</v>
      </c>
      <c r="W242" s="137">
        <f>Mitigation_Industry!$F$709*W$221+Mitigation_Industry!$G$709*W$220</f>
        <v>0</v>
      </c>
      <c r="X242" s="137">
        <f>Mitigation_Industry!$F$709*X$221+Mitigation_Industry!$G$709*X$220</f>
        <v>0</v>
      </c>
      <c r="Y242" s="137">
        <f>Mitigation_Industry!$F$709*Y$221+Mitigation_Industry!$G$709*Y$220</f>
        <v>0</v>
      </c>
      <c r="Z242" s="137">
        <f>Mitigation_Industry!$F$709*Z$221+Mitigation_Industry!$G$709*Z$220</f>
        <v>0</v>
      </c>
      <c r="AA242" s="137">
        <f>Mitigation_Industry!$F$709*AA$221+Mitigation_Industry!$G$709*AA$220</f>
        <v>0</v>
      </c>
      <c r="AB242" s="137">
        <f>Mitigation_Industry!$F$709*AB$221+Mitigation_Industry!$G$709*AB$220</f>
        <v>0</v>
      </c>
      <c r="AC242" s="137">
        <f>Mitigation_Industry!$F$709*AC$221+Mitigation_Industry!$G$709*AC$220</f>
        <v>0</v>
      </c>
      <c r="AD242" s="137">
        <f>Mitigation_Industry!$F$709*AD$221+Mitigation_Industry!$G$709*AD$220</f>
        <v>0</v>
      </c>
      <c r="AE242" s="137">
        <f>Mitigation_Industry!$F$709*AE$221+Mitigation_Industry!$G$709*AE$220</f>
        <v>0</v>
      </c>
      <c r="AF242" s="138"/>
      <c r="AG242" s="138"/>
      <c r="AH242" s="138"/>
      <c r="AI242" s="138"/>
    </row>
    <row r="243" spans="1:35" customFormat="1" ht="14.25" x14ac:dyDescent="0.45">
      <c r="B243" s="14" t="s">
        <v>2584</v>
      </c>
      <c r="C243" s="14" t="s">
        <v>43</v>
      </c>
      <c r="D243" s="15" t="s">
        <v>2585</v>
      </c>
      <c r="E243" s="16" t="s">
        <v>1398</v>
      </c>
      <c r="F243" s="14" t="s">
        <v>2564</v>
      </c>
      <c r="G243" s="17"/>
      <c r="H243" s="125" t="str">
        <f>Settings!$B$3&amp;".mit.pp.stl.scr.no.2"</f>
        <v>egy.mit.pp.stl.scr.no.2</v>
      </c>
      <c r="K243" s="136"/>
      <c r="L243" s="137">
        <f>Mitigation_Industry!$F$710*L$221+Mitigation_Industry!$G$710*L$220</f>
        <v>0</v>
      </c>
      <c r="M243" s="137">
        <f>Mitigation_Industry!$F$710*M$221+Mitigation_Industry!$G$710*M$220</f>
        <v>0</v>
      </c>
      <c r="N243" s="137">
        <f>Mitigation_Industry!$F$710*N$221+Mitigation_Industry!$G$710*N$220</f>
        <v>0</v>
      </c>
      <c r="O243" s="137">
        <f>Mitigation_Industry!$F$710*O$221+Mitigation_Industry!$G$710*O$220</f>
        <v>0</v>
      </c>
      <c r="P243" s="137">
        <f>Mitigation_Industry!$F$710*P$221+Mitigation_Industry!$G$710*P$220</f>
        <v>0</v>
      </c>
      <c r="Q243" s="137">
        <f>Mitigation_Industry!$F$710*Q$221+Mitigation_Industry!$G$710*Q$220</f>
        <v>0</v>
      </c>
      <c r="R243" s="137">
        <f>Mitigation_Industry!$F$710*R$221+Mitigation_Industry!$G$710*R$220</f>
        <v>0</v>
      </c>
      <c r="S243" s="137">
        <f>Mitigation_Industry!$F$710*S$221+Mitigation_Industry!$G$710*S$220</f>
        <v>0</v>
      </c>
      <c r="T243" s="137">
        <f>Mitigation_Industry!$F$710*T$221+Mitigation_Industry!$G$710*T$220</f>
        <v>0</v>
      </c>
      <c r="U243" s="137">
        <f>Mitigation_Industry!$F$710*U$221+Mitigation_Industry!$G$710*U$220</f>
        <v>0</v>
      </c>
      <c r="V243" s="137">
        <f>Mitigation_Industry!$F$710*V$221+Mitigation_Industry!$G$710*V$220</f>
        <v>0</v>
      </c>
      <c r="W243" s="137">
        <f>Mitigation_Industry!$F$710*W$221+Mitigation_Industry!$G$710*W$220</f>
        <v>0</v>
      </c>
      <c r="X243" s="137">
        <f>Mitigation_Industry!$F$710*X$221+Mitigation_Industry!$G$710*X$220</f>
        <v>0</v>
      </c>
      <c r="Y243" s="137">
        <f>Mitigation_Industry!$F$710*Y$221+Mitigation_Industry!$G$710*Y$220</f>
        <v>0</v>
      </c>
      <c r="Z243" s="137">
        <f>Mitigation_Industry!$F$710*Z$221+Mitigation_Industry!$G$710*Z$220</f>
        <v>0</v>
      </c>
      <c r="AA243" s="137">
        <f>Mitigation_Industry!$F$710*AA$221+Mitigation_Industry!$G$710*AA$220</f>
        <v>0</v>
      </c>
      <c r="AB243" s="137">
        <f>Mitigation_Industry!$F$710*AB$221+Mitigation_Industry!$G$710*AB$220</f>
        <v>0</v>
      </c>
      <c r="AC243" s="137">
        <f>Mitigation_Industry!$F$710*AC$221+Mitigation_Industry!$G$710*AC$220</f>
        <v>0</v>
      </c>
      <c r="AD243" s="137">
        <f>Mitigation_Industry!$F$710*AD$221+Mitigation_Industry!$G$710*AD$220</f>
        <v>0</v>
      </c>
      <c r="AE243" s="137">
        <f>Mitigation_Industry!$F$710*AE$221+Mitigation_Industry!$G$710*AE$220</f>
        <v>0</v>
      </c>
      <c r="AF243" s="138"/>
      <c r="AG243" s="138"/>
      <c r="AH243" s="138"/>
      <c r="AI243" s="138"/>
    </row>
    <row r="244" spans="1:35" customFormat="1" ht="14.25" x14ac:dyDescent="0.45">
      <c r="B244" s="14" t="s">
        <v>2586</v>
      </c>
      <c r="C244" s="14" t="s">
        <v>43</v>
      </c>
      <c r="D244" s="15" t="s">
        <v>2587</v>
      </c>
      <c r="E244" s="16" t="s">
        <v>1398</v>
      </c>
      <c r="F244" s="14" t="s">
        <v>2564</v>
      </c>
      <c r="G244" s="17"/>
      <c r="H244" s="125" t="str">
        <f>Settings!$B$3&amp;".mit.pp.stl.bof.no.2"</f>
        <v>egy.mit.pp.stl.bof.no.2</v>
      </c>
      <c r="K244" s="136"/>
      <c r="L244" s="137">
        <f>Mitigation_Industry!$F$711*L$221+Mitigation_Industry!$G$711*L$220</f>
        <v>0</v>
      </c>
      <c r="M244" s="137">
        <f>Mitigation_Industry!$F$711*M$221+Mitigation_Industry!$G$711*M$220</f>
        <v>0</v>
      </c>
      <c r="N244" s="137">
        <f>Mitigation_Industry!$F$711*N$221+Mitigation_Industry!$G$711*N$220</f>
        <v>0</v>
      </c>
      <c r="O244" s="137">
        <f>Mitigation_Industry!$F$711*O$221+Mitigation_Industry!$G$711*O$220</f>
        <v>0</v>
      </c>
      <c r="P244" s="137">
        <f>Mitigation_Industry!$F$711*P$221+Mitigation_Industry!$G$711*P$220</f>
        <v>0</v>
      </c>
      <c r="Q244" s="137">
        <f>Mitigation_Industry!$F$711*Q$221+Mitigation_Industry!$G$711*Q$220</f>
        <v>0</v>
      </c>
      <c r="R244" s="137">
        <f>Mitigation_Industry!$F$711*R$221+Mitigation_Industry!$G$711*R$220</f>
        <v>0</v>
      </c>
      <c r="S244" s="137">
        <f>Mitigation_Industry!$F$711*S$221+Mitigation_Industry!$G$711*S$220</f>
        <v>0</v>
      </c>
      <c r="T244" s="137">
        <f>Mitigation_Industry!$F$711*T$221+Mitigation_Industry!$G$711*T$220</f>
        <v>0</v>
      </c>
      <c r="U244" s="137">
        <f>Mitigation_Industry!$F$711*U$221+Mitigation_Industry!$G$711*U$220</f>
        <v>0</v>
      </c>
      <c r="V244" s="137">
        <f>Mitigation_Industry!$F$711*V$221+Mitigation_Industry!$G$711*V$220</f>
        <v>0</v>
      </c>
      <c r="W244" s="137">
        <f>Mitigation_Industry!$F$711*W$221+Mitigation_Industry!$G$711*W$220</f>
        <v>0</v>
      </c>
      <c r="X244" s="137">
        <f>Mitigation_Industry!$F$711*X$221+Mitigation_Industry!$G$711*X$220</f>
        <v>0</v>
      </c>
      <c r="Y244" s="137">
        <f>Mitigation_Industry!$F$711*Y$221+Mitigation_Industry!$G$711*Y$220</f>
        <v>0</v>
      </c>
      <c r="Z244" s="137">
        <f>Mitigation_Industry!$F$711*Z$221+Mitigation_Industry!$G$711*Z$220</f>
        <v>0</v>
      </c>
      <c r="AA244" s="137">
        <f>Mitigation_Industry!$F$711*AA$221+Mitigation_Industry!$G$711*AA$220</f>
        <v>0</v>
      </c>
      <c r="AB244" s="137">
        <f>Mitigation_Industry!$F$711*AB$221+Mitigation_Industry!$G$711*AB$220</f>
        <v>0</v>
      </c>
      <c r="AC244" s="137">
        <f>Mitigation_Industry!$F$711*AC$221+Mitigation_Industry!$G$711*AC$220</f>
        <v>0</v>
      </c>
      <c r="AD244" s="137">
        <f>Mitigation_Industry!$F$711*AD$221+Mitigation_Industry!$G$711*AD$220</f>
        <v>0</v>
      </c>
      <c r="AE244" s="137">
        <f>Mitigation_Industry!$F$711*AE$221+Mitigation_Industry!$G$711*AE$220</f>
        <v>0</v>
      </c>
      <c r="AF244" s="138"/>
      <c r="AG244" s="138"/>
      <c r="AH244" s="138"/>
      <c r="AI244" s="138"/>
    </row>
    <row r="245" spans="1:35" customFormat="1" ht="14.25" x14ac:dyDescent="0.45">
      <c r="B245" s="14" t="s">
        <v>2588</v>
      </c>
      <c r="C245" s="14" t="s">
        <v>113</v>
      </c>
      <c r="D245" s="15" t="s">
        <v>2589</v>
      </c>
      <c r="E245" s="16" t="s">
        <v>1398</v>
      </c>
      <c r="F245" s="14" t="s">
        <v>2564</v>
      </c>
      <c r="G245" s="17"/>
      <c r="H245" s="125" t="str">
        <f>Settings!$B$3&amp;".mit.pp.cmt.dry.no.2"</f>
        <v>egy.mit.pp.cmt.dry.no.2</v>
      </c>
      <c r="K245" s="136"/>
      <c r="L245" s="137">
        <f>Mitigation_Industry!$F$712*L$221+Mitigation_Industry!$G$712*L$220</f>
        <v>0</v>
      </c>
      <c r="M245" s="137">
        <f>Mitigation_Industry!$F$712*M$221+Mitigation_Industry!$G$712*M$220</f>
        <v>0</v>
      </c>
      <c r="N245" s="137">
        <f>Mitigation_Industry!$F$712*N$221+Mitigation_Industry!$G$712*N$220</f>
        <v>0</v>
      </c>
      <c r="O245" s="137">
        <f>Mitigation_Industry!$F$712*O$221+Mitigation_Industry!$G$712*O$220</f>
        <v>0</v>
      </c>
      <c r="P245" s="137">
        <f>Mitigation_Industry!$F$712*P$221+Mitigation_Industry!$G$712*P$220</f>
        <v>0</v>
      </c>
      <c r="Q245" s="137">
        <f>Mitigation_Industry!$F$712*Q$221+Mitigation_Industry!$G$712*Q$220</f>
        <v>0</v>
      </c>
      <c r="R245" s="137">
        <f>Mitigation_Industry!$F$712*R$221+Mitigation_Industry!$G$712*R$220</f>
        <v>0</v>
      </c>
      <c r="S245" s="137">
        <f>Mitigation_Industry!$F$712*S$221+Mitigation_Industry!$G$712*S$220</f>
        <v>0</v>
      </c>
      <c r="T245" s="137">
        <f>Mitigation_Industry!$F$712*T$221+Mitigation_Industry!$G$712*T$220</f>
        <v>0</v>
      </c>
      <c r="U245" s="137">
        <f>Mitigation_Industry!$F$712*U$221+Mitigation_Industry!$G$712*U$220</f>
        <v>0</v>
      </c>
      <c r="V245" s="137">
        <f>Mitigation_Industry!$F$712*V$221+Mitigation_Industry!$G$712*V$220</f>
        <v>0</v>
      </c>
      <c r="W245" s="137">
        <f>Mitigation_Industry!$F$712*W$221+Mitigation_Industry!$G$712*W$220</f>
        <v>0</v>
      </c>
      <c r="X245" s="137">
        <f>Mitigation_Industry!$F$712*X$221+Mitigation_Industry!$G$712*X$220</f>
        <v>0</v>
      </c>
      <c r="Y245" s="137">
        <f>Mitigation_Industry!$F$712*Y$221+Mitigation_Industry!$G$712*Y$220</f>
        <v>0</v>
      </c>
      <c r="Z245" s="137">
        <f>Mitigation_Industry!$F$712*Z$221+Mitigation_Industry!$G$712*Z$220</f>
        <v>0</v>
      </c>
      <c r="AA245" s="137">
        <f>Mitigation_Industry!$F$712*AA$221+Mitigation_Industry!$G$712*AA$220</f>
        <v>0</v>
      </c>
      <c r="AB245" s="137">
        <f>Mitigation_Industry!$F$712*AB$221+Mitigation_Industry!$G$712*AB$220</f>
        <v>0</v>
      </c>
      <c r="AC245" s="137">
        <f>Mitigation_Industry!$F$712*AC$221+Mitigation_Industry!$G$712*AC$220</f>
        <v>0</v>
      </c>
      <c r="AD245" s="137">
        <f>Mitigation_Industry!$F$712*AD$221+Mitigation_Industry!$G$712*AD$220</f>
        <v>0</v>
      </c>
      <c r="AE245" s="137">
        <f>Mitigation_Industry!$F$712*AE$221+Mitigation_Industry!$G$712*AE$220</f>
        <v>0</v>
      </c>
      <c r="AF245" s="138"/>
      <c r="AG245" s="138"/>
      <c r="AH245" s="138"/>
      <c r="AI245" s="138"/>
    </row>
    <row r="246" spans="1:35" customFormat="1" ht="14.25" x14ac:dyDescent="0.45">
      <c r="B246" s="14" t="s">
        <v>2590</v>
      </c>
      <c r="C246" s="14" t="s">
        <v>117</v>
      </c>
      <c r="D246" s="15" t="s">
        <v>2591</v>
      </c>
      <c r="E246" s="16" t="s">
        <v>1398</v>
      </c>
      <c r="F246" s="14" t="s">
        <v>2564</v>
      </c>
      <c r="G246" s="17"/>
      <c r="H246" s="125" t="str">
        <f>Settings!$B$3&amp;".mit.pp.frt.amc.no.2"</f>
        <v>egy.mit.pp.frt.amc.no.2</v>
      </c>
      <c r="K246" s="136"/>
      <c r="L246" s="137">
        <f>Mitigation_Industry!$F$713*L$221+Mitigation_Industry!$G$713*L$220</f>
        <v>0</v>
      </c>
      <c r="M246" s="137">
        <f>Mitigation_Industry!$F$713*M$221+Mitigation_Industry!$G$713*M$220</f>
        <v>0</v>
      </c>
      <c r="N246" s="137">
        <f>Mitigation_Industry!$F$713*N$221+Mitigation_Industry!$G$713*N$220</f>
        <v>0</v>
      </c>
      <c r="O246" s="137">
        <f>Mitigation_Industry!$F$713*O$221+Mitigation_Industry!$G$713*O$220</f>
        <v>0</v>
      </c>
      <c r="P246" s="137">
        <f>Mitigation_Industry!$F$713*P$221+Mitigation_Industry!$G$713*P$220</f>
        <v>0</v>
      </c>
      <c r="Q246" s="137">
        <f>Mitigation_Industry!$F$713*Q$221+Mitigation_Industry!$G$713*Q$220</f>
        <v>0</v>
      </c>
      <c r="R246" s="137">
        <f>Mitigation_Industry!$F$713*R$221+Mitigation_Industry!$G$713*R$220</f>
        <v>0</v>
      </c>
      <c r="S246" s="137">
        <f>Mitigation_Industry!$F$713*S$221+Mitigation_Industry!$G$713*S$220</f>
        <v>0</v>
      </c>
      <c r="T246" s="137">
        <f>Mitigation_Industry!$F$713*T$221+Mitigation_Industry!$G$713*T$220</f>
        <v>0</v>
      </c>
      <c r="U246" s="137">
        <f>Mitigation_Industry!$F$713*U$221+Mitigation_Industry!$G$713*U$220</f>
        <v>0</v>
      </c>
      <c r="V246" s="137">
        <f>Mitigation_Industry!$F$713*V$221+Mitigation_Industry!$G$713*V$220</f>
        <v>0</v>
      </c>
      <c r="W246" s="137">
        <f>Mitigation_Industry!$F$713*W$221+Mitigation_Industry!$G$713*W$220</f>
        <v>0</v>
      </c>
      <c r="X246" s="137">
        <f>Mitigation_Industry!$F$713*X$221+Mitigation_Industry!$G$713*X$220</f>
        <v>0</v>
      </c>
      <c r="Y246" s="137">
        <f>Mitigation_Industry!$F$713*Y$221+Mitigation_Industry!$G$713*Y$220</f>
        <v>0</v>
      </c>
      <c r="Z246" s="137">
        <f>Mitigation_Industry!$F$713*Z$221+Mitigation_Industry!$G$713*Z$220</f>
        <v>0</v>
      </c>
      <c r="AA246" s="137">
        <f>Mitigation_Industry!$F$713*AA$221+Mitigation_Industry!$G$713*AA$220</f>
        <v>0</v>
      </c>
      <c r="AB246" s="137">
        <f>Mitigation_Industry!$F$713*AB$221+Mitigation_Industry!$G$713*AB$220</f>
        <v>0</v>
      </c>
      <c r="AC246" s="137">
        <f>Mitigation_Industry!$F$713*AC$221+Mitigation_Industry!$G$713*AC$220</f>
        <v>0</v>
      </c>
      <c r="AD246" s="137">
        <f>Mitigation_Industry!$F$713*AD$221+Mitigation_Industry!$G$713*AD$220</f>
        <v>0</v>
      </c>
      <c r="AE246" s="137">
        <f>Mitigation_Industry!$F$713*AE$221+Mitigation_Industry!$G$713*AE$220</f>
        <v>0</v>
      </c>
      <c r="AF246" s="138"/>
      <c r="AG246" s="138"/>
      <c r="AH246" s="138"/>
      <c r="AI246" s="138"/>
    </row>
    <row r="247" spans="1:35" customFormat="1" ht="14.25" x14ac:dyDescent="0.45">
      <c r="B247" s="14" t="s">
        <v>2592</v>
      </c>
      <c r="C247" s="14" t="s">
        <v>117</v>
      </c>
      <c r="D247" s="15" t="s">
        <v>2593</v>
      </c>
      <c r="E247" s="16" t="s">
        <v>1398</v>
      </c>
      <c r="F247" s="14" t="s">
        <v>2564</v>
      </c>
      <c r="G247" s="17"/>
      <c r="H247" s="125" t="str">
        <f>Settings!$B$3&amp;".mit.pp.frt.ure.no.2"</f>
        <v>egy.mit.pp.frt.ure.no.2</v>
      </c>
      <c r="K247" s="136"/>
      <c r="L247" s="137">
        <f>Mitigation_Industry!$F$714*L$221+Mitigation_Industry!$G$714*L$220</f>
        <v>0</v>
      </c>
      <c r="M247" s="137">
        <f>Mitigation_Industry!$F$714*M$221+Mitigation_Industry!$G$714*M$220</f>
        <v>0</v>
      </c>
      <c r="N247" s="137">
        <f>Mitigation_Industry!$F$714*N$221+Mitigation_Industry!$G$714*N$220</f>
        <v>0</v>
      </c>
      <c r="O247" s="137">
        <f>Mitigation_Industry!$F$714*O$221+Mitigation_Industry!$G$714*O$220</f>
        <v>0</v>
      </c>
      <c r="P247" s="137">
        <f>Mitigation_Industry!$F$714*P$221+Mitigation_Industry!$G$714*P$220</f>
        <v>0</v>
      </c>
      <c r="Q247" s="137">
        <f>Mitigation_Industry!$F$714*Q$221+Mitigation_Industry!$G$714*Q$220</f>
        <v>0</v>
      </c>
      <c r="R247" s="137">
        <f>Mitigation_Industry!$F$714*R$221+Mitigation_Industry!$G$714*R$220</f>
        <v>0</v>
      </c>
      <c r="S247" s="137">
        <f>Mitigation_Industry!$F$714*S$221+Mitigation_Industry!$G$714*S$220</f>
        <v>0</v>
      </c>
      <c r="T247" s="137">
        <f>Mitigation_Industry!$F$714*T$221+Mitigation_Industry!$G$714*T$220</f>
        <v>0</v>
      </c>
      <c r="U247" s="137">
        <f>Mitigation_Industry!$F$714*U$221+Mitigation_Industry!$G$714*U$220</f>
        <v>0</v>
      </c>
      <c r="V247" s="137">
        <f>Mitigation_Industry!$F$714*V$221+Mitigation_Industry!$G$714*V$220</f>
        <v>0</v>
      </c>
      <c r="W247" s="137">
        <f>Mitigation_Industry!$F$714*W$221+Mitigation_Industry!$G$714*W$220</f>
        <v>0</v>
      </c>
      <c r="X247" s="137">
        <f>Mitigation_Industry!$F$714*X$221+Mitigation_Industry!$G$714*X$220</f>
        <v>0</v>
      </c>
      <c r="Y247" s="137">
        <f>Mitigation_Industry!$F$714*Y$221+Mitigation_Industry!$G$714*Y$220</f>
        <v>0</v>
      </c>
      <c r="Z247" s="137">
        <f>Mitigation_Industry!$F$714*Z$221+Mitigation_Industry!$G$714*Z$220</f>
        <v>0</v>
      </c>
      <c r="AA247" s="137">
        <f>Mitigation_Industry!$F$714*AA$221+Mitigation_Industry!$G$714*AA$220</f>
        <v>0</v>
      </c>
      <c r="AB247" s="137">
        <f>Mitigation_Industry!$F$714*AB$221+Mitigation_Industry!$G$714*AB$220</f>
        <v>0</v>
      </c>
      <c r="AC247" s="137">
        <f>Mitigation_Industry!$F$714*AC$221+Mitigation_Industry!$G$714*AC$220</f>
        <v>0</v>
      </c>
      <c r="AD247" s="137">
        <f>Mitigation_Industry!$F$714*AD$221+Mitigation_Industry!$G$714*AD$220</f>
        <v>0</v>
      </c>
      <c r="AE247" s="137">
        <f>Mitigation_Industry!$F$714*AE$221+Mitigation_Industry!$G$714*AE$220</f>
        <v>0</v>
      </c>
      <c r="AF247" s="138"/>
      <c r="AG247" s="138"/>
      <c r="AH247" s="138"/>
      <c r="AI247" s="138"/>
    </row>
    <row r="248" spans="1:35" customFormat="1" ht="14.25" x14ac:dyDescent="0.45">
      <c r="B248" s="14" t="s">
        <v>2594</v>
      </c>
      <c r="C248" s="14" t="s">
        <v>117</v>
      </c>
      <c r="D248" s="15" t="s">
        <v>2595</v>
      </c>
      <c r="E248" s="16" t="s">
        <v>1398</v>
      </c>
      <c r="F248" s="14" t="s">
        <v>2564</v>
      </c>
      <c r="G248" s="17"/>
      <c r="H248" s="125" t="str">
        <f>Settings!$B$3&amp;".mit.pp.frt.nit.no.2"</f>
        <v>egy.mit.pp.frt.nit.no.2</v>
      </c>
      <c r="K248" s="136"/>
      <c r="L248" s="137">
        <f>Mitigation_Industry!$F$715*L$221+Mitigation_Industry!$G$715*L$220</f>
        <v>0</v>
      </c>
      <c r="M248" s="137">
        <f>Mitigation_Industry!$F$715*M$221+Mitigation_Industry!$G$715*M$220</f>
        <v>0</v>
      </c>
      <c r="N248" s="137">
        <f>Mitigation_Industry!$F$715*N$221+Mitigation_Industry!$G$715*N$220</f>
        <v>0</v>
      </c>
      <c r="O248" s="137">
        <f>Mitigation_Industry!$F$715*O$221+Mitigation_Industry!$G$715*O$220</f>
        <v>0</v>
      </c>
      <c r="P248" s="137">
        <f>Mitigation_Industry!$F$715*P$221+Mitigation_Industry!$G$715*P$220</f>
        <v>0</v>
      </c>
      <c r="Q248" s="137">
        <f>Mitigation_Industry!$F$715*Q$221+Mitigation_Industry!$G$715*Q$220</f>
        <v>0</v>
      </c>
      <c r="R248" s="137">
        <f>Mitigation_Industry!$F$715*R$221+Mitigation_Industry!$G$715*R$220</f>
        <v>0</v>
      </c>
      <c r="S248" s="137">
        <f>Mitigation_Industry!$F$715*S$221+Mitigation_Industry!$G$715*S$220</f>
        <v>0</v>
      </c>
      <c r="T248" s="137">
        <f>Mitigation_Industry!$F$715*T$221+Mitigation_Industry!$G$715*T$220</f>
        <v>0</v>
      </c>
      <c r="U248" s="137">
        <f>Mitigation_Industry!$F$715*U$221+Mitigation_Industry!$G$715*U$220</f>
        <v>0</v>
      </c>
      <c r="V248" s="137">
        <f>Mitigation_Industry!$F$715*V$221+Mitigation_Industry!$G$715*V$220</f>
        <v>0</v>
      </c>
      <c r="W248" s="137">
        <f>Mitigation_Industry!$F$715*W$221+Mitigation_Industry!$G$715*W$220</f>
        <v>0</v>
      </c>
      <c r="X248" s="137">
        <f>Mitigation_Industry!$F$715*X$221+Mitigation_Industry!$G$715*X$220</f>
        <v>0</v>
      </c>
      <c r="Y248" s="137">
        <f>Mitigation_Industry!$F$715*Y$221+Mitigation_Industry!$G$715*Y$220</f>
        <v>0</v>
      </c>
      <c r="Z248" s="137">
        <f>Mitigation_Industry!$F$715*Z$221+Mitigation_Industry!$G$715*Z$220</f>
        <v>0</v>
      </c>
      <c r="AA248" s="137">
        <f>Mitigation_Industry!$F$715*AA$221+Mitigation_Industry!$G$715*AA$220</f>
        <v>0</v>
      </c>
      <c r="AB248" s="137">
        <f>Mitigation_Industry!$F$715*AB$221+Mitigation_Industry!$G$715*AB$220</f>
        <v>0</v>
      </c>
      <c r="AC248" s="137">
        <f>Mitigation_Industry!$F$715*AC$221+Mitigation_Industry!$G$715*AC$220</f>
        <v>0</v>
      </c>
      <c r="AD248" s="137">
        <f>Mitigation_Industry!$F$715*AD$221+Mitigation_Industry!$G$715*AD$220</f>
        <v>0</v>
      </c>
      <c r="AE248" s="137">
        <f>Mitigation_Industry!$F$715*AE$221+Mitigation_Industry!$G$715*AE$220</f>
        <v>0</v>
      </c>
      <c r="AF248" s="138"/>
      <c r="AG248" s="138"/>
      <c r="AH248" s="138"/>
      <c r="AI248" s="138"/>
    </row>
    <row r="249" spans="1:35" customFormat="1" ht="14.25" x14ac:dyDescent="0.45">
      <c r="B249" s="14" t="s">
        <v>2596</v>
      </c>
      <c r="C249" s="14" t="s">
        <v>115</v>
      </c>
      <c r="D249" s="15" t="s">
        <v>2597</v>
      </c>
      <c r="E249" s="16" t="s">
        <v>1398</v>
      </c>
      <c r="F249" s="14" t="s">
        <v>2564</v>
      </c>
      <c r="G249" s="17"/>
      <c r="H249" s="125" t="str">
        <f>Settings!$B$3&amp;".mit.pp.alu.prp.no.2"</f>
        <v>egy.mit.pp.alu.prp.no.2</v>
      </c>
      <c r="K249" s="136"/>
      <c r="L249" s="137">
        <f>Mitigation_Industry!$F$716*L$221+Mitigation_Industry!$G$716*L$220</f>
        <v>0</v>
      </c>
      <c r="M249" s="137">
        <f>Mitigation_Industry!$F$716*M$221+Mitigation_Industry!$G$716*M$220</f>
        <v>0</v>
      </c>
      <c r="N249" s="137">
        <f>Mitigation_Industry!$F$716*N$221+Mitigation_Industry!$G$716*N$220</f>
        <v>0</v>
      </c>
      <c r="O249" s="137">
        <f>Mitigation_Industry!$F$716*O$221+Mitigation_Industry!$G$716*O$220</f>
        <v>0</v>
      </c>
      <c r="P249" s="137">
        <f>Mitigation_Industry!$F$716*P$221+Mitigation_Industry!$G$716*P$220</f>
        <v>0</v>
      </c>
      <c r="Q249" s="137">
        <f>Mitigation_Industry!$F$716*Q$221+Mitigation_Industry!$G$716*Q$220</f>
        <v>0</v>
      </c>
      <c r="R249" s="137">
        <f>Mitigation_Industry!$F$716*R$221+Mitigation_Industry!$G$716*R$220</f>
        <v>0</v>
      </c>
      <c r="S249" s="137">
        <f>Mitigation_Industry!$F$716*S$221+Mitigation_Industry!$G$716*S$220</f>
        <v>0</v>
      </c>
      <c r="T249" s="137">
        <f>Mitigation_Industry!$F$716*T$221+Mitigation_Industry!$G$716*T$220</f>
        <v>0</v>
      </c>
      <c r="U249" s="137">
        <f>Mitigation_Industry!$F$716*U$221+Mitigation_Industry!$G$716*U$220</f>
        <v>0</v>
      </c>
      <c r="V249" s="137">
        <f>Mitigation_Industry!$F$716*V$221+Mitigation_Industry!$G$716*V$220</f>
        <v>0</v>
      </c>
      <c r="W249" s="137">
        <f>Mitigation_Industry!$F$716*W$221+Mitigation_Industry!$G$716*W$220</f>
        <v>0</v>
      </c>
      <c r="X249" s="137">
        <f>Mitigation_Industry!$F$716*X$221+Mitigation_Industry!$G$716*X$220</f>
        <v>0</v>
      </c>
      <c r="Y249" s="137">
        <f>Mitigation_Industry!$F$716*Y$221+Mitigation_Industry!$G$716*Y$220</f>
        <v>0</v>
      </c>
      <c r="Z249" s="137">
        <f>Mitigation_Industry!$F$716*Z$221+Mitigation_Industry!$G$716*Z$220</f>
        <v>0</v>
      </c>
      <c r="AA249" s="137">
        <f>Mitigation_Industry!$F$716*AA$221+Mitigation_Industry!$G$716*AA$220</f>
        <v>0</v>
      </c>
      <c r="AB249" s="137">
        <f>Mitigation_Industry!$F$716*AB$221+Mitigation_Industry!$G$716*AB$220</f>
        <v>0</v>
      </c>
      <c r="AC249" s="137">
        <f>Mitigation_Industry!$F$716*AC$221+Mitigation_Industry!$G$716*AC$220</f>
        <v>0</v>
      </c>
      <c r="AD249" s="137">
        <f>Mitigation_Industry!$F$716*AD$221+Mitigation_Industry!$G$716*AD$220</f>
        <v>0</v>
      </c>
      <c r="AE249" s="137">
        <f>Mitigation_Industry!$F$716*AE$221+Mitigation_Industry!$G$716*AE$220</f>
        <v>0</v>
      </c>
      <c r="AF249" s="138"/>
      <c r="AG249" s="138"/>
      <c r="AH249" s="138"/>
      <c r="AI249" s="138"/>
    </row>
    <row r="250" spans="1:35" x14ac:dyDescent="0.35"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  <c r="AC250" s="132"/>
      <c r="AD250" s="132"/>
      <c r="AE250" s="132"/>
      <c r="AF250" s="132"/>
      <c r="AG250" s="132"/>
      <c r="AH250" s="132"/>
      <c r="AI250" s="132"/>
    </row>
    <row r="251" spans="1:35" customFormat="1" ht="14.25" x14ac:dyDescent="0.45">
      <c r="A251" s="11"/>
      <c r="B251" s="6"/>
      <c r="C251" s="7" t="s">
        <v>2598</v>
      </c>
      <c r="D251" s="6" t="s">
        <v>1488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34">
        <v>2021</v>
      </c>
      <c r="L251" s="135">
        <v>2022</v>
      </c>
      <c r="M251" s="134">
        <v>2023</v>
      </c>
      <c r="N251" s="134">
        <v>2024</v>
      </c>
      <c r="O251" s="134">
        <v>2025</v>
      </c>
      <c r="P251" s="134">
        <v>2026</v>
      </c>
      <c r="Q251" s="134">
        <v>2027</v>
      </c>
      <c r="R251" s="134">
        <v>2028</v>
      </c>
      <c r="S251" s="134">
        <v>2029</v>
      </c>
      <c r="T251" s="134">
        <v>2030</v>
      </c>
      <c r="U251" s="134">
        <v>2031</v>
      </c>
      <c r="V251" s="134">
        <v>2032</v>
      </c>
      <c r="W251" s="134">
        <v>2033</v>
      </c>
      <c r="X251" s="134">
        <v>2034</v>
      </c>
      <c r="Y251" s="134">
        <v>2035</v>
      </c>
      <c r="Z251" s="134">
        <v>2036</v>
      </c>
      <c r="AA251" s="134">
        <v>2037</v>
      </c>
      <c r="AB251" s="134">
        <v>2038</v>
      </c>
      <c r="AC251" s="134">
        <v>2039</v>
      </c>
      <c r="AD251" s="134">
        <v>2040</v>
      </c>
      <c r="AE251" s="134">
        <v>2041</v>
      </c>
      <c r="AF251" s="134">
        <v>2042</v>
      </c>
      <c r="AG251" s="134">
        <v>2043</v>
      </c>
      <c r="AH251" s="134">
        <v>2044</v>
      </c>
      <c r="AI251" s="134">
        <v>2045</v>
      </c>
    </row>
    <row r="252" spans="1:35" customFormat="1" ht="14.25" x14ac:dyDescent="0.45">
      <c r="B252" s="14" t="s">
        <v>1435</v>
      </c>
      <c r="C252" s="14" t="s">
        <v>43</v>
      </c>
      <c r="D252" s="15" t="s">
        <v>2599</v>
      </c>
      <c r="E252" s="16" t="s">
        <v>2068</v>
      </c>
      <c r="F252" s="14" t="s">
        <v>2598</v>
      </c>
      <c r="G252" s="17"/>
      <c r="H252" s="125" t="str">
        <f>Settings!$B$3&amp;".mit.wf.stl.drg.2"</f>
        <v>egy.mit.wf.stl.drg.2</v>
      </c>
      <c r="I252" t="s">
        <v>2600</v>
      </c>
      <c r="K252" s="136"/>
      <c r="L252" s="137">
        <f>Mitigation_Industry!L$729</f>
        <v>2.6717650641872548</v>
      </c>
      <c r="M252" s="137">
        <f>Mitigation_Industry!M$729</f>
        <v>2.789322727011494</v>
      </c>
      <c r="N252" s="137">
        <f>Mitigation_Industry!N$729</f>
        <v>2.9120529269999995</v>
      </c>
      <c r="O252" s="137">
        <f>Mitigation_Industry!O$729</f>
        <v>3.0401832557880004</v>
      </c>
      <c r="P252" s="137">
        <f>Mitigation_Industry!P$729</f>
        <v>3.173951319042672</v>
      </c>
      <c r="Q252" s="137">
        <f>Mitigation_Industry!Q$729</f>
        <v>3.3136051770805501</v>
      </c>
      <c r="R252" s="137">
        <f>Mitigation_Industry!R$729</f>
        <v>3.4594038048720939</v>
      </c>
      <c r="S252" s="137">
        <f>Mitigation_Industry!S$729</f>
        <v>3.6116175722864661</v>
      </c>
      <c r="T252" s="137">
        <f>Mitigation_Industry!T$729</f>
        <v>3.7705287454670713</v>
      </c>
      <c r="U252" s="137">
        <f>Mitigation_Industry!U$729</f>
        <v>3.9364320102676222</v>
      </c>
      <c r="V252" s="137">
        <f>Mitigation_Industry!V$729</f>
        <v>4.1096350187193975</v>
      </c>
      <c r="W252" s="137">
        <f>Mitigation_Industry!W$729</f>
        <v>4.2904589595430505</v>
      </c>
      <c r="X252" s="137">
        <f>Mitigation_Industry!X$729</f>
        <v>4.4792391537629452</v>
      </c>
      <c r="Y252" s="137">
        <f>Mitigation_Industry!Y$729</f>
        <v>4.6763256765285162</v>
      </c>
      <c r="Z252" s="137">
        <f>Mitigation_Industry!Z$729</f>
        <v>4.8820840062957691</v>
      </c>
      <c r="AA252" s="137">
        <f>Mitigation_Industry!AA$729</f>
        <v>5.096895702572783</v>
      </c>
      <c r="AB252" s="137">
        <f>Mitigation_Industry!AB$729</f>
        <v>5.3211591134859875</v>
      </c>
      <c r="AC252" s="137">
        <f>Mitigation_Industry!AC$729</f>
        <v>5.5552901144793703</v>
      </c>
      <c r="AD252" s="137">
        <f>Mitigation_Industry!AD$729</f>
        <v>5.7997228795164624</v>
      </c>
      <c r="AE252" s="137">
        <f>Mitigation_Industry!AE$729</f>
        <v>6.0549106862151856</v>
      </c>
      <c r="AF252" s="138"/>
      <c r="AG252" s="138"/>
      <c r="AH252" s="138"/>
      <c r="AI252" s="138"/>
    </row>
    <row r="253" spans="1:35" customFormat="1" ht="14.25" x14ac:dyDescent="0.45">
      <c r="B253" s="14" t="s">
        <v>1438</v>
      </c>
      <c r="C253" s="14" t="s">
        <v>43</v>
      </c>
      <c r="D253" s="15" t="s">
        <v>2601</v>
      </c>
      <c r="E253" s="16" t="s">
        <v>2068</v>
      </c>
      <c r="F253" s="14" t="s">
        <v>2598</v>
      </c>
      <c r="G253" s="17"/>
      <c r="H253" s="125" t="str">
        <f>Settings!$B$3&amp;".mit.wf.stl.scr.2"</f>
        <v>egy.mit.wf.stl.scr.2</v>
      </c>
      <c r="K253" s="136"/>
      <c r="L253" s="137">
        <f>Mitigation_Industry!L$730</f>
        <v>0.19764830228563882</v>
      </c>
      <c r="M253" s="137">
        <f>Mitigation_Industry!M$730</f>
        <v>0.20634482758620692</v>
      </c>
      <c r="N253" s="137">
        <f>Mitigation_Industry!N$730</f>
        <v>0.215424</v>
      </c>
      <c r="O253" s="137">
        <f>Mitigation_Industry!O$730</f>
        <v>0.22490265600000001</v>
      </c>
      <c r="P253" s="137">
        <f>Mitigation_Industry!P$730</f>
        <v>0.23479837286400002</v>
      </c>
      <c r="Q253" s="137">
        <f>Mitigation_Industry!Q$730</f>
        <v>0.24512950127001604</v>
      </c>
      <c r="R253" s="137">
        <f>Mitigation_Industry!R$730</f>
        <v>0.25591519932589668</v>
      </c>
      <c r="S253" s="137">
        <f>Mitigation_Industry!S$730</f>
        <v>0.26717546809623621</v>
      </c>
      <c r="T253" s="137">
        <f>Mitigation_Industry!T$730</f>
        <v>0.27893118869247063</v>
      </c>
      <c r="U253" s="137">
        <f>Mitigation_Industry!U$730</f>
        <v>0.29120416099493934</v>
      </c>
      <c r="V253" s="137">
        <f>Mitigation_Industry!V$730</f>
        <v>0.30401714407871661</v>
      </c>
      <c r="W253" s="137">
        <f>Mitigation_Industry!W$730</f>
        <v>0.31739389841818022</v>
      </c>
      <c r="X253" s="137">
        <f>Mitigation_Industry!X$730</f>
        <v>0.33135922994858014</v>
      </c>
      <c r="Y253" s="137">
        <f>Mitigation_Industry!Y$730</f>
        <v>0.34593903606631771</v>
      </c>
      <c r="Z253" s="137">
        <f>Mitigation_Industry!Z$730</f>
        <v>0.36116035365323562</v>
      </c>
      <c r="AA253" s="137">
        <f>Mitigation_Industry!AA$730</f>
        <v>0.37705140921397801</v>
      </c>
      <c r="AB253" s="137">
        <f>Mitigation_Industry!AB$730</f>
        <v>0.39364167121939314</v>
      </c>
      <c r="AC253" s="137">
        <f>Mitigation_Industry!AC$730</f>
        <v>0.41096190475304639</v>
      </c>
      <c r="AD253" s="137">
        <f>Mitigation_Industry!AD$730</f>
        <v>0.42904422856218044</v>
      </c>
      <c r="AE253" s="137">
        <f>Mitigation_Industry!AE$730</f>
        <v>0.44792217461891631</v>
      </c>
      <c r="AF253" s="138"/>
      <c r="AG253" s="138"/>
      <c r="AH253" s="138"/>
      <c r="AI253" s="138"/>
    </row>
    <row r="254" spans="1:35" customFormat="1" ht="14.25" x14ac:dyDescent="0.45">
      <c r="B254" s="14" t="s">
        <v>1441</v>
      </c>
      <c r="C254" s="14" t="s">
        <v>43</v>
      </c>
      <c r="D254" s="15" t="s">
        <v>2602</v>
      </c>
      <c r="E254" s="16" t="s">
        <v>2068</v>
      </c>
      <c r="F254" s="14" t="s">
        <v>2598</v>
      </c>
      <c r="G254" s="17"/>
      <c r="H254" s="125" t="str">
        <f>Settings!$B$3&amp;".mit.wf.stl.bof.2"</f>
        <v>egy.mit.wf.stl.bof.2</v>
      </c>
      <c r="K254" s="136"/>
      <c r="L254" s="137">
        <f>Mitigation_Industry!L$731</f>
        <v>0</v>
      </c>
      <c r="M254" s="137">
        <f>Mitigation_Industry!M$731</f>
        <v>0</v>
      </c>
      <c r="N254" s="137">
        <f>Mitigation_Industry!N$731</f>
        <v>0</v>
      </c>
      <c r="O254" s="137">
        <f>Mitigation_Industry!O$731</f>
        <v>0</v>
      </c>
      <c r="P254" s="137">
        <f>Mitigation_Industry!P$731</f>
        <v>0</v>
      </c>
      <c r="Q254" s="137">
        <f>Mitigation_Industry!Q$731</f>
        <v>0</v>
      </c>
      <c r="R254" s="137">
        <f>Mitigation_Industry!R$731</f>
        <v>0</v>
      </c>
      <c r="S254" s="137">
        <f>Mitigation_Industry!S$731</f>
        <v>0</v>
      </c>
      <c r="T254" s="137">
        <f>Mitigation_Industry!T$731</f>
        <v>0</v>
      </c>
      <c r="U254" s="137">
        <f>Mitigation_Industry!U$731</f>
        <v>0</v>
      </c>
      <c r="V254" s="137">
        <f>Mitigation_Industry!V$731</f>
        <v>0</v>
      </c>
      <c r="W254" s="137">
        <f>Mitigation_Industry!W$731</f>
        <v>0</v>
      </c>
      <c r="X254" s="137">
        <f>Mitigation_Industry!X$731</f>
        <v>0</v>
      </c>
      <c r="Y254" s="137">
        <f>Mitigation_Industry!Y$731</f>
        <v>0</v>
      </c>
      <c r="Z254" s="137">
        <f>Mitigation_Industry!Z$731</f>
        <v>0</v>
      </c>
      <c r="AA254" s="137">
        <f>Mitigation_Industry!AA$731</f>
        <v>0</v>
      </c>
      <c r="AB254" s="137">
        <f>Mitigation_Industry!AB$731</f>
        <v>0</v>
      </c>
      <c r="AC254" s="137">
        <f>Mitigation_Industry!AC$731</f>
        <v>0</v>
      </c>
      <c r="AD254" s="137">
        <f>Mitigation_Industry!AD$731</f>
        <v>0</v>
      </c>
      <c r="AE254" s="137">
        <f>Mitigation_Industry!AE$731</f>
        <v>0</v>
      </c>
      <c r="AF254" s="138"/>
      <c r="AG254" s="138"/>
      <c r="AH254" s="138"/>
      <c r="AI254" s="138"/>
    </row>
    <row r="255" spans="1:35" customFormat="1" ht="14.25" x14ac:dyDescent="0.45">
      <c r="B255" s="14" t="s">
        <v>1444</v>
      </c>
      <c r="C255" s="14" t="s">
        <v>113</v>
      </c>
      <c r="D255" s="15" t="s">
        <v>2603</v>
      </c>
      <c r="E255" s="16" t="s">
        <v>2068</v>
      </c>
      <c r="F255" s="14" t="s">
        <v>2598</v>
      </c>
      <c r="G255" s="17"/>
      <c r="H255" s="125" t="str">
        <f>Settings!$B$3&amp;".mit.wf.cmt.dry.2"</f>
        <v>egy.mit.wf.cmt.dry.2</v>
      </c>
      <c r="K255" s="136"/>
      <c r="L255" s="137">
        <f>Mitigation_Industry!L$732</f>
        <v>14.692706044200628</v>
      </c>
      <c r="M255" s="137">
        <f>Mitigation_Industry!M$732</f>
        <v>15.177565343659246</v>
      </c>
      <c r="N255" s="137">
        <f>Mitigation_Industry!N$732</f>
        <v>15.678424999999999</v>
      </c>
      <c r="O255" s="137">
        <f>Mitigation_Industry!O$732</f>
        <v>16.195813024999996</v>
      </c>
      <c r="P255" s="137">
        <f>Mitigation_Industry!P$732</f>
        <v>16.730274854824994</v>
      </c>
      <c r="Q255" s="137">
        <f>Mitigation_Industry!Q$732</f>
        <v>17.282373925034218</v>
      </c>
      <c r="R255" s="137">
        <f>Mitigation_Industry!R$732</f>
        <v>17.852692264560343</v>
      </c>
      <c r="S255" s="137">
        <f>Mitigation_Industry!S$732</f>
        <v>18.441831109290838</v>
      </c>
      <c r="T255" s="137">
        <f>Mitigation_Industry!T$732</f>
        <v>19.050411535897432</v>
      </c>
      <c r="U255" s="137">
        <f>Mitigation_Industry!U$732</f>
        <v>19.679075116582045</v>
      </c>
      <c r="V255" s="137">
        <f>Mitigation_Industry!V$732</f>
        <v>20.328484595429249</v>
      </c>
      <c r="W255" s="137">
        <f>Mitigation_Industry!W$732</f>
        <v>20.999324587078412</v>
      </c>
      <c r="X255" s="137">
        <f>Mitigation_Industry!X$732</f>
        <v>21.692302298451992</v>
      </c>
      <c r="Y255" s="137">
        <f>Mitigation_Industry!Y$732</f>
        <v>22.40814827430091</v>
      </c>
      <c r="Z255" s="137">
        <f>Mitigation_Industry!Z$732</f>
        <v>23.147617167352838</v>
      </c>
      <c r="AA255" s="137">
        <f>Mitigation_Industry!AA$732</f>
        <v>23.911488533875481</v>
      </c>
      <c r="AB255" s="137">
        <f>Mitigation_Industry!AB$732</f>
        <v>24.700567655493362</v>
      </c>
      <c r="AC255" s="137">
        <f>Mitigation_Industry!AC$732</f>
        <v>25.515686388124642</v>
      </c>
      <c r="AD255" s="137">
        <f>Mitigation_Industry!AD$732</f>
        <v>26.357704038932756</v>
      </c>
      <c r="AE255" s="137">
        <f>Mitigation_Industry!AE$732</f>
        <v>27.227508272217527</v>
      </c>
      <c r="AF255" s="138"/>
      <c r="AG255" s="138"/>
      <c r="AH255" s="138"/>
      <c r="AI255" s="138"/>
    </row>
    <row r="256" spans="1:35" customFormat="1" ht="14.25" x14ac:dyDescent="0.45">
      <c r="B256" s="14" t="s">
        <v>1447</v>
      </c>
      <c r="C256" s="14" t="s">
        <v>117</v>
      </c>
      <c r="D256" s="15" t="s">
        <v>2604</v>
      </c>
      <c r="E256" s="16" t="s">
        <v>2068</v>
      </c>
      <c r="F256" s="14" t="s">
        <v>2598</v>
      </c>
      <c r="G256" s="17"/>
      <c r="H256" s="125" t="str">
        <f>Settings!$B$3&amp;".mit.wf.frt.amc.2"</f>
        <v>egy.mit.wf.frt.amc.2</v>
      </c>
      <c r="K256" s="136"/>
      <c r="L256" s="137">
        <f>Mitigation_Industry!L$733</f>
        <v>3.3747527008551588</v>
      </c>
      <c r="M256" s="137">
        <f>Mitigation_Industry!M$733</f>
        <v>3.4489972602739725</v>
      </c>
      <c r="N256" s="137">
        <f>Mitigation_Industry!N$733</f>
        <v>3.5248751999999999</v>
      </c>
      <c r="O256" s="137">
        <f>Mitigation_Industry!O$733</f>
        <v>3.6024224544000001</v>
      </c>
      <c r="P256" s="137">
        <f>Mitigation_Industry!P$733</f>
        <v>3.6816757483967999</v>
      </c>
      <c r="Q256" s="137">
        <f>Mitigation_Industry!Q$733</f>
        <v>3.7626726148615299</v>
      </c>
      <c r="R256" s="137">
        <f>Mitigation_Industry!R$733</f>
        <v>3.8454514123884831</v>
      </c>
      <c r="S256" s="137">
        <f>Mitigation_Industry!S$733</f>
        <v>3.9300513434610296</v>
      </c>
      <c r="T256" s="137">
        <f>Mitigation_Industry!T$733</f>
        <v>4.0165124730171726</v>
      </c>
      <c r="U256" s="137">
        <f>Mitigation_Industry!U$733</f>
        <v>4.1048757474235504</v>
      </c>
      <c r="V256" s="137">
        <f>Mitigation_Industry!V$733</f>
        <v>4.1951830138668695</v>
      </c>
      <c r="W256" s="137">
        <f>Mitigation_Industry!W$733</f>
        <v>4.2874770401719395</v>
      </c>
      <c r="X256" s="137">
        <f>Mitigation_Industry!X$733</f>
        <v>4.3818015350557227</v>
      </c>
      <c r="Y256" s="137">
        <f>Mitigation_Industry!Y$733</f>
        <v>4.4782011688269483</v>
      </c>
      <c r="Z256" s="137">
        <f>Mitigation_Industry!Z$733</f>
        <v>4.5767215945411417</v>
      </c>
      <c r="AA256" s="137">
        <f>Mitigation_Industry!AA$733</f>
        <v>4.6774094696210469</v>
      </c>
      <c r="AB256" s="137">
        <f>Mitigation_Industry!AB$733</f>
        <v>4.7803124779527089</v>
      </c>
      <c r="AC256" s="137">
        <f>Mitigation_Industry!AC$733</f>
        <v>4.8854793524676694</v>
      </c>
      <c r="AD256" s="137">
        <f>Mitigation_Industry!AD$733</f>
        <v>4.9929598982219581</v>
      </c>
      <c r="AE256" s="137">
        <f>Mitigation_Industry!AE$733</f>
        <v>5.1028050159828409</v>
      </c>
      <c r="AF256" s="138"/>
      <c r="AG256" s="138"/>
      <c r="AH256" s="138"/>
      <c r="AI256" s="138"/>
    </row>
    <row r="257" spans="1:35" customFormat="1" ht="14.25" x14ac:dyDescent="0.45">
      <c r="B257" s="14" t="s">
        <v>1450</v>
      </c>
      <c r="C257" s="14" t="s">
        <v>117</v>
      </c>
      <c r="D257" s="15" t="s">
        <v>2605</v>
      </c>
      <c r="E257" s="16" t="s">
        <v>2068</v>
      </c>
      <c r="F257" s="14" t="s">
        <v>2598</v>
      </c>
      <c r="G257" s="17"/>
      <c r="H257" s="125" t="str">
        <f>Settings!$B$3&amp;".mit.wf.frt.ure.2"</f>
        <v>egy.mit.wf.frt.ure.2</v>
      </c>
      <c r="K257" s="136"/>
      <c r="L257" s="137">
        <f>Mitigation_Industry!L$734</f>
        <v>0.30078009811543305</v>
      </c>
      <c r="M257" s="137">
        <f>Mitigation_Industry!M$734</f>
        <v>0.30739726027397257</v>
      </c>
      <c r="N257" s="137">
        <f>Mitigation_Industry!N$734</f>
        <v>0.31415999999999999</v>
      </c>
      <c r="O257" s="137">
        <f>Mitigation_Industry!O$734</f>
        <v>0.32107151999999994</v>
      </c>
      <c r="P257" s="137">
        <f>Mitigation_Industry!P$734</f>
        <v>0.32813509343999991</v>
      </c>
      <c r="Q257" s="137">
        <f>Mitigation_Industry!Q$734</f>
        <v>0.33535406549567992</v>
      </c>
      <c r="R257" s="137">
        <f>Mitigation_Industry!R$734</f>
        <v>0.34273185493658498</v>
      </c>
      <c r="S257" s="137">
        <f>Mitigation_Industry!S$734</f>
        <v>0.35027195574518982</v>
      </c>
      <c r="T257" s="137">
        <f>Mitigation_Industry!T$734</f>
        <v>0.3579779387715839</v>
      </c>
      <c r="U257" s="137">
        <f>Mitigation_Industry!U$734</f>
        <v>0.36585345342455883</v>
      </c>
      <c r="V257" s="137">
        <f>Mitigation_Industry!V$734</f>
        <v>0.37390222939989914</v>
      </c>
      <c r="W257" s="137">
        <f>Mitigation_Industry!W$734</f>
        <v>0.38212807844669694</v>
      </c>
      <c r="X257" s="137">
        <f>Mitigation_Industry!X$734</f>
        <v>0.39053489617252429</v>
      </c>
      <c r="Y257" s="137">
        <f>Mitigation_Industry!Y$734</f>
        <v>0.39912666388831985</v>
      </c>
      <c r="Z257" s="137">
        <f>Mitigation_Industry!Z$734</f>
        <v>0.4079074504938629</v>
      </c>
      <c r="AA257" s="137">
        <f>Mitigation_Industry!AA$734</f>
        <v>0.41688141440472787</v>
      </c>
      <c r="AB257" s="137">
        <f>Mitigation_Industry!AB$734</f>
        <v>0.42605280552163183</v>
      </c>
      <c r="AC257" s="137">
        <f>Mitigation_Industry!AC$734</f>
        <v>0.43542596724310778</v>
      </c>
      <c r="AD257" s="137">
        <f>Mitigation_Industry!AD$734</f>
        <v>0.44500533852245616</v>
      </c>
      <c r="AE257" s="137">
        <f>Mitigation_Industry!AE$734</f>
        <v>0.45479545596995019</v>
      </c>
      <c r="AF257" s="138"/>
      <c r="AG257" s="138"/>
      <c r="AH257" s="138"/>
      <c r="AI257" s="138"/>
    </row>
    <row r="258" spans="1:35" customFormat="1" ht="14.25" x14ac:dyDescent="0.45">
      <c r="B258" s="14" t="s">
        <v>1453</v>
      </c>
      <c r="C258" s="14" t="s">
        <v>117</v>
      </c>
      <c r="D258" s="15" t="s">
        <v>2606</v>
      </c>
      <c r="E258" s="16" t="s">
        <v>2068</v>
      </c>
      <c r="F258" s="14" t="s">
        <v>2598</v>
      </c>
      <c r="G258" s="17"/>
      <c r="H258" s="125" t="str">
        <f>Settings!$B$3&amp;".mit.wf.frt.nit.2"</f>
        <v>egy.mit.wf.frt.nit.2</v>
      </c>
      <c r="K258" s="136"/>
      <c r="L258" s="137">
        <f>Mitigation_Industry!L$735</f>
        <v>6.4452878167592806E-2</v>
      </c>
      <c r="M258" s="137">
        <f>Mitigation_Industry!M$735</f>
        <v>6.5870841487279841E-2</v>
      </c>
      <c r="N258" s="137">
        <f>Mitigation_Industry!N$735</f>
        <v>6.7319999999999991E-2</v>
      </c>
      <c r="O258" s="137">
        <f>Mitigation_Industry!O$735</f>
        <v>6.8801039999999994E-2</v>
      </c>
      <c r="P258" s="137">
        <f>Mitigation_Industry!P$735</f>
        <v>7.031466287999999E-2</v>
      </c>
      <c r="Q258" s="137">
        <f>Mitigation_Industry!Q$735</f>
        <v>7.1861585463359995E-2</v>
      </c>
      <c r="R258" s="137">
        <f>Mitigation_Industry!R$735</f>
        <v>7.3442540343553922E-2</v>
      </c>
      <c r="S258" s="137">
        <f>Mitigation_Industry!S$735</f>
        <v>7.5058276231112109E-2</v>
      </c>
      <c r="T258" s="137">
        <f>Mitigation_Industry!T$735</f>
        <v>7.6709558308196563E-2</v>
      </c>
      <c r="U258" s="137">
        <f>Mitigation_Industry!U$735</f>
        <v>7.8397168590976896E-2</v>
      </c>
      <c r="V258" s="137">
        <f>Mitigation_Industry!V$735</f>
        <v>8.012190629997841E-2</v>
      </c>
      <c r="W258" s="137">
        <f>Mitigation_Industry!W$735</f>
        <v>8.1884588238577902E-2</v>
      </c>
      <c r="X258" s="137">
        <f>Mitigation_Industry!X$735</f>
        <v>8.3686049179826624E-2</v>
      </c>
      <c r="Y258" s="137">
        <f>Mitigation_Industry!Y$735</f>
        <v>8.5527142261782832E-2</v>
      </c>
      <c r="Z258" s="137">
        <f>Mitigation_Industry!Z$735</f>
        <v>8.7408739391542062E-2</v>
      </c>
      <c r="AA258" s="137">
        <f>Mitigation_Industry!AA$735</f>
        <v>8.9331731658155972E-2</v>
      </c>
      <c r="AB258" s="137">
        <f>Mitigation_Industry!AB$735</f>
        <v>9.1297029754635384E-2</v>
      </c>
      <c r="AC258" s="137">
        <f>Mitigation_Industry!AC$735</f>
        <v>9.3305564409237374E-2</v>
      </c>
      <c r="AD258" s="137">
        <f>Mitigation_Industry!AD$735</f>
        <v>9.5358286826240604E-2</v>
      </c>
      <c r="AE258" s="137">
        <f>Mitigation_Industry!AE$735</f>
        <v>9.74561691364179E-2</v>
      </c>
      <c r="AF258" s="138"/>
      <c r="AG258" s="138"/>
      <c r="AH258" s="138"/>
      <c r="AI258" s="138"/>
    </row>
    <row r="259" spans="1:35" customFormat="1" ht="14.25" x14ac:dyDescent="0.45">
      <c r="B259" s="14" t="s">
        <v>1456</v>
      </c>
      <c r="C259" s="14" t="s">
        <v>115</v>
      </c>
      <c r="D259" s="15" t="s">
        <v>2607</v>
      </c>
      <c r="E259" s="16" t="s">
        <v>2068</v>
      </c>
      <c r="F259" s="14" t="s">
        <v>2598</v>
      </c>
      <c r="G259" s="17"/>
      <c r="H259" s="125" t="str">
        <f>Settings!$B$3&amp;".mit.wf.alu.prp.2"</f>
        <v>egy.mit.wf.alu.prp.2</v>
      </c>
      <c r="K259" s="136"/>
      <c r="L259" s="137">
        <f>Mitigation_Industry!L$736</f>
        <v>3.3266099144224071E-2</v>
      </c>
      <c r="M259" s="137">
        <f>Mitigation_Industry!M$736</f>
        <v>3.5095734597156404E-2</v>
      </c>
      <c r="N259" s="137">
        <f>Mitigation_Industry!N$736</f>
        <v>3.7026000000000003E-2</v>
      </c>
      <c r="O259" s="137">
        <f>Mitigation_Industry!O$736</f>
        <v>3.9062430000000002E-2</v>
      </c>
      <c r="P259" s="137">
        <f>Mitigation_Industry!P$736</f>
        <v>4.1210863649999999E-2</v>
      </c>
      <c r="Q259" s="137">
        <f>Mitigation_Industry!Q$736</f>
        <v>4.3477461150749991E-2</v>
      </c>
      <c r="R259" s="137">
        <f>Mitigation_Industry!R$736</f>
        <v>4.5868721514041248E-2</v>
      </c>
      <c r="S259" s="137">
        <f>Mitigation_Industry!S$736</f>
        <v>4.8391501197313509E-2</v>
      </c>
      <c r="T259" s="137">
        <f>Mitigation_Industry!T$736</f>
        <v>5.105303376316575E-2</v>
      </c>
      <c r="U259" s="137">
        <f>Mitigation_Industry!U$736</f>
        <v>5.3860950620139861E-2</v>
      </c>
      <c r="V259" s="137">
        <f>Mitigation_Industry!V$736</f>
        <v>5.6823302904247558E-2</v>
      </c>
      <c r="W259" s="137">
        <f>Mitigation_Industry!W$736</f>
        <v>5.9948584563981173E-2</v>
      </c>
      <c r="X259" s="137">
        <f>Mitigation_Industry!X$736</f>
        <v>6.3245756715000129E-2</v>
      </c>
      <c r="Y259" s="137">
        <f>Mitigation_Industry!Y$736</f>
        <v>6.6724273334325138E-2</v>
      </c>
      <c r="Z259" s="137">
        <f>Mitigation_Industry!Z$736</f>
        <v>7.039410836771301E-2</v>
      </c>
      <c r="AA259" s="137">
        <f>Mitigation_Industry!AA$736</f>
        <v>7.426578432793722E-2</v>
      </c>
      <c r="AB259" s="137">
        <f>Mitigation_Industry!AB$736</f>
        <v>7.8350402465973787E-2</v>
      </c>
      <c r="AC259" s="137">
        <f>Mitigation_Industry!AC$736</f>
        <v>8.2659674601602312E-2</v>
      </c>
      <c r="AD259" s="137">
        <f>Mitigation_Industry!AD$736</f>
        <v>8.7205956704690446E-2</v>
      </c>
      <c r="AE259" s="137">
        <f>Mitigation_Industry!AE$736</f>
        <v>9.2002284323448424E-2</v>
      </c>
      <c r="AF259" s="138"/>
      <c r="AG259" s="138"/>
      <c r="AH259" s="138"/>
      <c r="AI259" s="138"/>
    </row>
    <row r="260" spans="1:35" x14ac:dyDescent="0.35"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32"/>
      <c r="AH260" s="132"/>
      <c r="AI260" s="132"/>
    </row>
    <row r="261" spans="1:35" customFormat="1" ht="14.25" x14ac:dyDescent="0.45">
      <c r="A261" s="11"/>
      <c r="B261" s="6"/>
      <c r="C261" s="7" t="s">
        <v>2608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34">
        <v>2021</v>
      </c>
      <c r="L261" s="135">
        <v>2022</v>
      </c>
      <c r="M261" s="134">
        <v>2023</v>
      </c>
      <c r="N261" s="134">
        <v>2024</v>
      </c>
      <c r="O261" s="134">
        <v>2025</v>
      </c>
      <c r="P261" s="134">
        <v>2026</v>
      </c>
      <c r="Q261" s="134">
        <v>2027</v>
      </c>
      <c r="R261" s="134">
        <v>2028</v>
      </c>
      <c r="S261" s="134">
        <v>2029</v>
      </c>
      <c r="T261" s="134">
        <v>2030</v>
      </c>
      <c r="U261" s="134">
        <v>2031</v>
      </c>
      <c r="V261" s="134">
        <v>2032</v>
      </c>
      <c r="W261" s="134">
        <v>2033</v>
      </c>
      <c r="X261" s="134">
        <v>2034</v>
      </c>
      <c r="Y261" s="134">
        <v>2035</v>
      </c>
      <c r="Z261" s="134">
        <v>2036</v>
      </c>
      <c r="AA261" s="134">
        <v>2037</v>
      </c>
      <c r="AB261" s="134">
        <v>2038</v>
      </c>
      <c r="AC261" s="134">
        <v>2039</v>
      </c>
      <c r="AD261" s="134">
        <v>2040</v>
      </c>
      <c r="AE261" s="134">
        <v>2041</v>
      </c>
      <c r="AF261" s="134">
        <v>2042</v>
      </c>
      <c r="AG261" s="134">
        <v>2043</v>
      </c>
      <c r="AH261" s="134">
        <v>2044</v>
      </c>
      <c r="AI261" s="134">
        <v>2045</v>
      </c>
    </row>
    <row r="262" spans="1:35" customFormat="1" ht="14.25" x14ac:dyDescent="0.45">
      <c r="B262" s="14" t="s">
        <v>1435</v>
      </c>
      <c r="C262" s="14" t="s">
        <v>43</v>
      </c>
      <c r="D262" s="15" t="s">
        <v>2609</v>
      </c>
      <c r="E262" s="16" t="s">
        <v>2610</v>
      </c>
      <c r="F262" s="14" t="s">
        <v>2608</v>
      </c>
      <c r="G262" s="17"/>
      <c r="H262" s="125" t="str">
        <f>Settings!$B$3&amp;".mit.bf.stl.drg.2"</f>
        <v>egy.mit.bf.stl.drg.2</v>
      </c>
      <c r="I262" t="s">
        <v>2611</v>
      </c>
      <c r="K262" s="136"/>
      <c r="L262" s="139">
        <f>Mitigation_Industry!$E$751</f>
        <v>1.0536051565782599E-3</v>
      </c>
      <c r="M262" s="139">
        <f>Mitigation_Industry!$E$751</f>
        <v>1.0536051565782599E-3</v>
      </c>
      <c r="N262" s="139">
        <f>Mitigation_Industry!$E$751</f>
        <v>1.0536051565782599E-3</v>
      </c>
      <c r="O262" s="139">
        <f>Mitigation_Industry!$E$751</f>
        <v>1.0536051565782599E-3</v>
      </c>
      <c r="P262" s="139">
        <f>Mitigation_Industry!$E$751</f>
        <v>1.0536051565782599E-3</v>
      </c>
      <c r="Q262" s="139">
        <f>Mitigation_Industry!$E$751</f>
        <v>1.0536051565782599E-3</v>
      </c>
      <c r="R262" s="139">
        <f>Mitigation_Industry!$E$751</f>
        <v>1.0536051565782599E-3</v>
      </c>
      <c r="S262" s="139">
        <f>Mitigation_Industry!$E$751</f>
        <v>1.0536051565782599E-3</v>
      </c>
      <c r="T262" s="139">
        <f>Mitigation_Industry!$E$751</f>
        <v>1.0536051565782599E-3</v>
      </c>
      <c r="U262" s="139">
        <f>Mitigation_Industry!$E$751</f>
        <v>1.0536051565782599E-3</v>
      </c>
      <c r="V262" s="139">
        <f>Mitigation_Industry!$E$751</f>
        <v>1.0536051565782599E-3</v>
      </c>
      <c r="W262" s="139">
        <f>Mitigation_Industry!$E$751</f>
        <v>1.0536051565782599E-3</v>
      </c>
      <c r="X262" s="139">
        <f>Mitigation_Industry!$E$751</f>
        <v>1.0536051565782599E-3</v>
      </c>
      <c r="Y262" s="139">
        <f>Mitigation_Industry!$E$751</f>
        <v>1.0536051565782599E-3</v>
      </c>
      <c r="Z262" s="139">
        <f>Mitigation_Industry!$E$751</f>
        <v>1.0536051565782599E-3</v>
      </c>
      <c r="AA262" s="139">
        <f>Mitigation_Industry!$E$751</f>
        <v>1.0536051565782599E-3</v>
      </c>
      <c r="AB262" s="139">
        <f>Mitigation_Industry!$E$751</f>
        <v>1.0536051565782599E-3</v>
      </c>
      <c r="AC262" s="139">
        <f>Mitigation_Industry!$E$751</f>
        <v>1.0536051565782599E-3</v>
      </c>
      <c r="AD262" s="139">
        <f>Mitigation_Industry!$E$751</f>
        <v>1.0536051565782599E-3</v>
      </c>
      <c r="AE262" s="139">
        <f>Mitigation_Industry!$E$751</f>
        <v>1.0536051565782599E-3</v>
      </c>
      <c r="AF262" s="138"/>
      <c r="AG262" s="138"/>
      <c r="AH262" s="138"/>
      <c r="AI262" s="138"/>
    </row>
    <row r="263" spans="1:35" customFormat="1" ht="14.25" x14ac:dyDescent="0.45">
      <c r="B263" s="14" t="s">
        <v>1438</v>
      </c>
      <c r="C263" s="14" t="s">
        <v>43</v>
      </c>
      <c r="D263" s="15" t="s">
        <v>2612</v>
      </c>
      <c r="E263" s="16" t="s">
        <v>2610</v>
      </c>
      <c r="F263" s="14" t="s">
        <v>2608</v>
      </c>
      <c r="G263" s="17"/>
      <c r="H263" s="125" t="str">
        <f>Settings!$B$3&amp;".mit.bf.stl.scr.2"</f>
        <v>egy.mit.bf.stl.scr.2</v>
      </c>
      <c r="K263" s="136"/>
      <c r="L263" s="139">
        <f>Mitigation_Industry!$E$752</f>
        <v>2.0202707317519501E-4</v>
      </c>
      <c r="M263" s="139">
        <f>Mitigation_Industry!$E$752</f>
        <v>2.0202707317519501E-4</v>
      </c>
      <c r="N263" s="139">
        <f>Mitigation_Industry!$E$752</f>
        <v>2.0202707317519501E-4</v>
      </c>
      <c r="O263" s="139">
        <f>Mitigation_Industry!$E$752</f>
        <v>2.0202707317519501E-4</v>
      </c>
      <c r="P263" s="139">
        <f>Mitigation_Industry!$E$752</f>
        <v>2.0202707317519501E-4</v>
      </c>
      <c r="Q263" s="139">
        <f>Mitigation_Industry!$E$752</f>
        <v>2.0202707317519501E-4</v>
      </c>
      <c r="R263" s="139">
        <f>Mitigation_Industry!$E$752</f>
        <v>2.0202707317519501E-4</v>
      </c>
      <c r="S263" s="139">
        <f>Mitigation_Industry!$E$752</f>
        <v>2.0202707317519501E-4</v>
      </c>
      <c r="T263" s="139">
        <f>Mitigation_Industry!$E$752</f>
        <v>2.0202707317519501E-4</v>
      </c>
      <c r="U263" s="139">
        <f>Mitigation_Industry!$E$752</f>
        <v>2.0202707317519501E-4</v>
      </c>
      <c r="V263" s="139">
        <f>Mitigation_Industry!$E$752</f>
        <v>2.0202707317519501E-4</v>
      </c>
      <c r="W263" s="139">
        <f>Mitigation_Industry!$E$752</f>
        <v>2.0202707317519501E-4</v>
      </c>
      <c r="X263" s="139">
        <f>Mitigation_Industry!$E$752</f>
        <v>2.0202707317519501E-4</v>
      </c>
      <c r="Y263" s="139">
        <f>Mitigation_Industry!$E$752</f>
        <v>2.0202707317519501E-4</v>
      </c>
      <c r="Z263" s="139">
        <f>Mitigation_Industry!$E$752</f>
        <v>2.0202707317519501E-4</v>
      </c>
      <c r="AA263" s="139">
        <f>Mitigation_Industry!$E$752</f>
        <v>2.0202707317519501E-4</v>
      </c>
      <c r="AB263" s="139">
        <f>Mitigation_Industry!$E$752</f>
        <v>2.0202707317519501E-4</v>
      </c>
      <c r="AC263" s="139">
        <f>Mitigation_Industry!$E$752</f>
        <v>2.0202707317519501E-4</v>
      </c>
      <c r="AD263" s="139">
        <f>Mitigation_Industry!$E$752</f>
        <v>2.0202707317519501E-4</v>
      </c>
      <c r="AE263" s="139">
        <f>Mitigation_Industry!$E$752</f>
        <v>2.0202707317519501E-4</v>
      </c>
      <c r="AF263" s="138"/>
      <c r="AG263" s="138"/>
      <c r="AH263" s="138"/>
      <c r="AI263" s="138"/>
    </row>
    <row r="264" spans="1:35" customFormat="1" ht="14.25" x14ac:dyDescent="0.45">
      <c r="B264" s="14" t="s">
        <v>1441</v>
      </c>
      <c r="C264" s="14" t="s">
        <v>43</v>
      </c>
      <c r="D264" s="15" t="s">
        <v>2613</v>
      </c>
      <c r="E264" s="16" t="s">
        <v>2610</v>
      </c>
      <c r="F264" s="14" t="s">
        <v>2608</v>
      </c>
      <c r="G264" s="17"/>
      <c r="H264" s="125" t="str">
        <f>Settings!$B$3&amp;".mit.bf.stl.bof.2"</f>
        <v>egy.mit.bf.stl.bof.2</v>
      </c>
      <c r="K264" s="136"/>
      <c r="L264" s="139">
        <f>Mitigation_Industry!$E$753</f>
        <v>5.1293294387550598E-4</v>
      </c>
      <c r="M264" s="139">
        <f>Mitigation_Industry!$E$753</f>
        <v>5.1293294387550598E-4</v>
      </c>
      <c r="N264" s="139">
        <f>Mitigation_Industry!$E$753</f>
        <v>5.1293294387550598E-4</v>
      </c>
      <c r="O264" s="139">
        <f>Mitigation_Industry!$E$753</f>
        <v>5.1293294387550598E-4</v>
      </c>
      <c r="P264" s="139">
        <f>Mitigation_Industry!$E$753</f>
        <v>5.1293294387550598E-4</v>
      </c>
      <c r="Q264" s="139">
        <f>Mitigation_Industry!$E$753</f>
        <v>5.1293294387550598E-4</v>
      </c>
      <c r="R264" s="139">
        <f>Mitigation_Industry!$E$753</f>
        <v>5.1293294387550598E-4</v>
      </c>
      <c r="S264" s="139">
        <f>Mitigation_Industry!$E$753</f>
        <v>5.1293294387550598E-4</v>
      </c>
      <c r="T264" s="139">
        <f>Mitigation_Industry!$E$753</f>
        <v>5.1293294387550598E-4</v>
      </c>
      <c r="U264" s="139">
        <f>Mitigation_Industry!$E$753</f>
        <v>5.1293294387550598E-4</v>
      </c>
      <c r="V264" s="139">
        <f>Mitigation_Industry!$E$753</f>
        <v>5.1293294387550598E-4</v>
      </c>
      <c r="W264" s="139">
        <f>Mitigation_Industry!$E$753</f>
        <v>5.1293294387550598E-4</v>
      </c>
      <c r="X264" s="139">
        <f>Mitigation_Industry!$E$753</f>
        <v>5.1293294387550598E-4</v>
      </c>
      <c r="Y264" s="139">
        <f>Mitigation_Industry!$E$753</f>
        <v>5.1293294387550598E-4</v>
      </c>
      <c r="Z264" s="139">
        <f>Mitigation_Industry!$E$753</f>
        <v>5.1293294387550598E-4</v>
      </c>
      <c r="AA264" s="139">
        <f>Mitigation_Industry!$E$753</f>
        <v>5.1293294387550598E-4</v>
      </c>
      <c r="AB264" s="139">
        <f>Mitigation_Industry!$E$753</f>
        <v>5.1293294387550598E-4</v>
      </c>
      <c r="AC264" s="139">
        <f>Mitigation_Industry!$E$753</f>
        <v>5.1293294387550598E-4</v>
      </c>
      <c r="AD264" s="139">
        <f>Mitigation_Industry!$E$753</f>
        <v>5.1293294387550598E-4</v>
      </c>
      <c r="AE264" s="139">
        <f>Mitigation_Industry!$E$753</f>
        <v>5.1293294387550598E-4</v>
      </c>
      <c r="AF264" s="138"/>
      <c r="AG264" s="138"/>
      <c r="AH264" s="138"/>
      <c r="AI264" s="138"/>
    </row>
    <row r="265" spans="1:35" customFormat="1" ht="14.25" x14ac:dyDescent="0.45">
      <c r="B265" s="14" t="s">
        <v>1444</v>
      </c>
      <c r="C265" s="14" t="s">
        <v>113</v>
      </c>
      <c r="D265" s="15" t="s">
        <v>2614</v>
      </c>
      <c r="E265" s="16" t="s">
        <v>2610</v>
      </c>
      <c r="F265" s="14" t="s">
        <v>2608</v>
      </c>
      <c r="G265" s="17"/>
      <c r="H265" s="125" t="str">
        <f>Settings!$B$3&amp;".mit.bf.cmt.dry.2"</f>
        <v>egy.mit.bf.cmt.dry.2</v>
      </c>
      <c r="K265" s="136"/>
      <c r="L265" s="139">
        <f>Mitigation_Industry!$E$754</f>
        <v>8.3381608939051E-4</v>
      </c>
      <c r="M265" s="139">
        <f>Mitigation_Industry!$E$754</f>
        <v>8.3381608939051E-4</v>
      </c>
      <c r="N265" s="139">
        <f>Mitigation_Industry!$E$754</f>
        <v>8.3381608939051E-4</v>
      </c>
      <c r="O265" s="139">
        <f>Mitigation_Industry!$E$754</f>
        <v>8.3381608939051E-4</v>
      </c>
      <c r="P265" s="139">
        <f>Mitigation_Industry!$E$754</f>
        <v>8.3381608939051E-4</v>
      </c>
      <c r="Q265" s="139">
        <f>Mitigation_Industry!$E$754</f>
        <v>8.3381608939051E-4</v>
      </c>
      <c r="R265" s="139">
        <f>Mitigation_Industry!$E$754</f>
        <v>8.3381608939051E-4</v>
      </c>
      <c r="S265" s="139">
        <f>Mitigation_Industry!$E$754</f>
        <v>8.3381608939051E-4</v>
      </c>
      <c r="T265" s="139">
        <f>Mitigation_Industry!$E$754</f>
        <v>8.3381608939051E-4</v>
      </c>
      <c r="U265" s="139">
        <f>Mitigation_Industry!$E$754</f>
        <v>8.3381608939051E-4</v>
      </c>
      <c r="V265" s="139">
        <f>Mitigation_Industry!$E$754</f>
        <v>8.3381608939051E-4</v>
      </c>
      <c r="W265" s="139">
        <f>Mitigation_Industry!$E$754</f>
        <v>8.3381608939051E-4</v>
      </c>
      <c r="X265" s="139">
        <f>Mitigation_Industry!$E$754</f>
        <v>8.3381608939051E-4</v>
      </c>
      <c r="Y265" s="139">
        <f>Mitigation_Industry!$E$754</f>
        <v>8.3381608939051E-4</v>
      </c>
      <c r="Z265" s="139">
        <f>Mitigation_Industry!$E$754</f>
        <v>8.3381608939051E-4</v>
      </c>
      <c r="AA265" s="139">
        <f>Mitigation_Industry!$E$754</f>
        <v>8.3381608939051E-4</v>
      </c>
      <c r="AB265" s="139">
        <f>Mitigation_Industry!$E$754</f>
        <v>8.3381608939051E-4</v>
      </c>
      <c r="AC265" s="139">
        <f>Mitigation_Industry!$E$754</f>
        <v>8.3381608939051E-4</v>
      </c>
      <c r="AD265" s="139">
        <f>Mitigation_Industry!$E$754</f>
        <v>8.3381608939051E-4</v>
      </c>
      <c r="AE265" s="139">
        <f>Mitigation_Industry!$E$754</f>
        <v>8.3381608939051E-4</v>
      </c>
      <c r="AF265" s="138"/>
      <c r="AG265" s="138"/>
      <c r="AH265" s="138"/>
      <c r="AI265" s="138"/>
    </row>
    <row r="266" spans="1:35" customFormat="1" ht="14.25" x14ac:dyDescent="0.45">
      <c r="B266" s="14" t="s">
        <v>1447</v>
      </c>
      <c r="C266" s="14" t="s">
        <v>117</v>
      </c>
      <c r="D266" s="15" t="s">
        <v>2615</v>
      </c>
      <c r="E266" s="16" t="s">
        <v>2610</v>
      </c>
      <c r="F266" s="14" t="s">
        <v>2608</v>
      </c>
      <c r="G266" s="17"/>
      <c r="H266" s="125" t="str">
        <f>Settings!$B$3&amp;".mit.bf.frt.amc.2"</f>
        <v>egy.mit.bf.frt.amc.2</v>
      </c>
      <c r="K266" s="136"/>
      <c r="L266" s="139">
        <f>Mitigation_Industry!$E$755</f>
        <v>1.98450938723838E-3</v>
      </c>
      <c r="M266" s="139">
        <f>Mitigation_Industry!$E$755</f>
        <v>1.98450938723838E-3</v>
      </c>
      <c r="N266" s="139">
        <f>Mitigation_Industry!$E$755</f>
        <v>1.98450938723838E-3</v>
      </c>
      <c r="O266" s="139">
        <f>Mitigation_Industry!$E$755</f>
        <v>1.98450938723838E-3</v>
      </c>
      <c r="P266" s="139">
        <f>Mitigation_Industry!$E$755</f>
        <v>1.98450938723838E-3</v>
      </c>
      <c r="Q266" s="139">
        <f>Mitigation_Industry!$E$755</f>
        <v>1.98450938723838E-3</v>
      </c>
      <c r="R266" s="139">
        <f>Mitigation_Industry!$E$755</f>
        <v>1.98450938723838E-3</v>
      </c>
      <c r="S266" s="139">
        <f>Mitigation_Industry!$E$755</f>
        <v>1.98450938723838E-3</v>
      </c>
      <c r="T266" s="139">
        <f>Mitigation_Industry!$E$755</f>
        <v>1.98450938723838E-3</v>
      </c>
      <c r="U266" s="139">
        <f>Mitigation_Industry!$E$755</f>
        <v>1.98450938723838E-3</v>
      </c>
      <c r="V266" s="139">
        <f>Mitigation_Industry!$E$755</f>
        <v>1.98450938723838E-3</v>
      </c>
      <c r="W266" s="139">
        <f>Mitigation_Industry!$E$755</f>
        <v>1.98450938723838E-3</v>
      </c>
      <c r="X266" s="139">
        <f>Mitigation_Industry!$E$755</f>
        <v>1.98450938723838E-3</v>
      </c>
      <c r="Y266" s="139">
        <f>Mitigation_Industry!$E$755</f>
        <v>1.98450938723838E-3</v>
      </c>
      <c r="Z266" s="139">
        <f>Mitigation_Industry!$E$755</f>
        <v>1.98450938723838E-3</v>
      </c>
      <c r="AA266" s="139">
        <f>Mitigation_Industry!$E$755</f>
        <v>1.98450938723838E-3</v>
      </c>
      <c r="AB266" s="139">
        <f>Mitigation_Industry!$E$755</f>
        <v>1.98450938723838E-3</v>
      </c>
      <c r="AC266" s="139">
        <f>Mitigation_Industry!$E$755</f>
        <v>1.98450938723838E-3</v>
      </c>
      <c r="AD266" s="139">
        <f>Mitigation_Industry!$E$755</f>
        <v>1.98450938723838E-3</v>
      </c>
      <c r="AE266" s="139">
        <f>Mitigation_Industry!$E$755</f>
        <v>1.98450938723838E-3</v>
      </c>
      <c r="AF266" s="138"/>
      <c r="AG266" s="138"/>
      <c r="AH266" s="138"/>
      <c r="AI266" s="138"/>
    </row>
    <row r="267" spans="1:35" customFormat="1" ht="14.25" x14ac:dyDescent="0.45">
      <c r="B267" s="14" t="s">
        <v>1450</v>
      </c>
      <c r="C267" s="14" t="s">
        <v>117</v>
      </c>
      <c r="D267" s="15" t="s">
        <v>2616</v>
      </c>
      <c r="E267" s="16" t="s">
        <v>2610</v>
      </c>
      <c r="F267" s="14" t="s">
        <v>2608</v>
      </c>
      <c r="G267" s="17"/>
      <c r="H267" s="125" t="str">
        <f>Settings!$B$3&amp;".mit.bf.frt.ure.2"</f>
        <v>egy.mit.bf.frt.ure.2</v>
      </c>
      <c r="K267" s="136"/>
      <c r="L267" s="139">
        <f>Mitigation_Industry!$E$756</f>
        <v>0</v>
      </c>
      <c r="M267" s="139">
        <f>Mitigation_Industry!$E$756</f>
        <v>0</v>
      </c>
      <c r="N267" s="139">
        <f>Mitigation_Industry!$E$756</f>
        <v>0</v>
      </c>
      <c r="O267" s="139">
        <f>Mitigation_Industry!$E$756</f>
        <v>0</v>
      </c>
      <c r="P267" s="139">
        <f>Mitigation_Industry!$E$756</f>
        <v>0</v>
      </c>
      <c r="Q267" s="139">
        <f>Mitigation_Industry!$E$756</f>
        <v>0</v>
      </c>
      <c r="R267" s="139">
        <f>Mitigation_Industry!$E$756</f>
        <v>0</v>
      </c>
      <c r="S267" s="139">
        <f>Mitigation_Industry!$E$756</f>
        <v>0</v>
      </c>
      <c r="T267" s="139">
        <f>Mitigation_Industry!$E$756</f>
        <v>0</v>
      </c>
      <c r="U267" s="139">
        <f>Mitigation_Industry!$E$756</f>
        <v>0</v>
      </c>
      <c r="V267" s="139">
        <f>Mitigation_Industry!$E$756</f>
        <v>0</v>
      </c>
      <c r="W267" s="139">
        <f>Mitigation_Industry!$E$756</f>
        <v>0</v>
      </c>
      <c r="X267" s="139">
        <f>Mitigation_Industry!$E$756</f>
        <v>0</v>
      </c>
      <c r="Y267" s="139">
        <f>Mitigation_Industry!$E$756</f>
        <v>0</v>
      </c>
      <c r="Z267" s="139">
        <f>Mitigation_Industry!$E$756</f>
        <v>0</v>
      </c>
      <c r="AA267" s="139">
        <f>Mitigation_Industry!$E$756</f>
        <v>0</v>
      </c>
      <c r="AB267" s="139">
        <f>Mitigation_Industry!$E$756</f>
        <v>0</v>
      </c>
      <c r="AC267" s="139">
        <f>Mitigation_Industry!$E$756</f>
        <v>0</v>
      </c>
      <c r="AD267" s="139">
        <f>Mitigation_Industry!$E$756</f>
        <v>0</v>
      </c>
      <c r="AE267" s="139">
        <f>Mitigation_Industry!$E$756</f>
        <v>0</v>
      </c>
      <c r="AF267" s="138"/>
      <c r="AG267" s="138"/>
      <c r="AH267" s="138"/>
      <c r="AI267" s="138"/>
    </row>
    <row r="268" spans="1:35" customFormat="1" ht="14.25" x14ac:dyDescent="0.45">
      <c r="B268" s="14" t="s">
        <v>1453</v>
      </c>
      <c r="C268" s="14" t="s">
        <v>117</v>
      </c>
      <c r="D268" s="15" t="s">
        <v>2617</v>
      </c>
      <c r="E268" s="16" t="s">
        <v>2610</v>
      </c>
      <c r="F268" s="14" t="s">
        <v>2608</v>
      </c>
      <c r="G268" s="17"/>
      <c r="H268" s="125" t="str">
        <f>Settings!$B$3&amp;".mit.bf.frt.nit.2"</f>
        <v>egy.mit.bf.frt.nit.2</v>
      </c>
      <c r="K268" s="136"/>
      <c r="L268" s="139">
        <f>Mitigation_Industry!$E$757</f>
        <v>1.04982212449868E-2</v>
      </c>
      <c r="M268" s="139">
        <f>Mitigation_Industry!$E$757</f>
        <v>1.04982212449868E-2</v>
      </c>
      <c r="N268" s="139">
        <f>Mitigation_Industry!$E$757</f>
        <v>1.04982212449868E-2</v>
      </c>
      <c r="O268" s="139">
        <f>Mitigation_Industry!$E$757</f>
        <v>1.04982212449868E-2</v>
      </c>
      <c r="P268" s="139">
        <f>Mitigation_Industry!$E$757</f>
        <v>1.04982212449868E-2</v>
      </c>
      <c r="Q268" s="139">
        <f>Mitigation_Industry!$E$757</f>
        <v>1.04982212449868E-2</v>
      </c>
      <c r="R268" s="139">
        <f>Mitigation_Industry!$E$757</f>
        <v>1.04982212449868E-2</v>
      </c>
      <c r="S268" s="139">
        <f>Mitigation_Industry!$E$757</f>
        <v>1.04982212449868E-2</v>
      </c>
      <c r="T268" s="139">
        <f>Mitigation_Industry!$E$757</f>
        <v>1.04982212449868E-2</v>
      </c>
      <c r="U268" s="139">
        <f>Mitigation_Industry!$E$757</f>
        <v>1.04982212449868E-2</v>
      </c>
      <c r="V268" s="139">
        <f>Mitigation_Industry!$E$757</f>
        <v>1.04982212449868E-2</v>
      </c>
      <c r="W268" s="139">
        <f>Mitigation_Industry!$E$757</f>
        <v>1.04982212449868E-2</v>
      </c>
      <c r="X268" s="139">
        <f>Mitigation_Industry!$E$757</f>
        <v>1.04982212449868E-2</v>
      </c>
      <c r="Y268" s="139">
        <f>Mitigation_Industry!$E$757</f>
        <v>1.04982212449868E-2</v>
      </c>
      <c r="Z268" s="139">
        <f>Mitigation_Industry!$E$757</f>
        <v>1.04982212449868E-2</v>
      </c>
      <c r="AA268" s="139">
        <f>Mitigation_Industry!$E$757</f>
        <v>1.04982212449868E-2</v>
      </c>
      <c r="AB268" s="139">
        <f>Mitigation_Industry!$E$757</f>
        <v>1.04982212449868E-2</v>
      </c>
      <c r="AC268" s="139">
        <f>Mitigation_Industry!$E$757</f>
        <v>1.04982212449868E-2</v>
      </c>
      <c r="AD268" s="139">
        <f>Mitigation_Industry!$E$757</f>
        <v>1.04982212449868E-2</v>
      </c>
      <c r="AE268" s="139">
        <f>Mitigation_Industry!$E$757</f>
        <v>1.04982212449868E-2</v>
      </c>
      <c r="AF268" s="138"/>
      <c r="AG268" s="138"/>
      <c r="AH268" s="138"/>
      <c r="AI268" s="138"/>
    </row>
    <row r="269" spans="1:35" customFormat="1" ht="14.25" x14ac:dyDescent="0.45">
      <c r="B269" s="14" t="s">
        <v>1456</v>
      </c>
      <c r="C269" s="14" t="s">
        <v>115</v>
      </c>
      <c r="D269" s="15" t="s">
        <v>2618</v>
      </c>
      <c r="E269" s="16" t="s">
        <v>2610</v>
      </c>
      <c r="F269" s="14" t="s">
        <v>2608</v>
      </c>
      <c r="G269" s="17"/>
      <c r="H269" s="125" t="str">
        <f>Settings!$B$3&amp;".mit.bf.alu.prp.2"</f>
        <v>egy.mit.bf.alu.prp.2</v>
      </c>
      <c r="K269" s="136"/>
      <c r="L269" s="139">
        <f>Mitigation_Industry!$E$758</f>
        <v>8.3381608939051E-4</v>
      </c>
      <c r="M269" s="139">
        <f>Mitigation_Industry!$E$758</f>
        <v>8.3381608939051E-4</v>
      </c>
      <c r="N269" s="139">
        <f>Mitigation_Industry!$E$758</f>
        <v>8.3381608939051E-4</v>
      </c>
      <c r="O269" s="139">
        <f>Mitigation_Industry!$E$758</f>
        <v>8.3381608939051E-4</v>
      </c>
      <c r="P269" s="139">
        <f>Mitigation_Industry!$E$758</f>
        <v>8.3381608939051E-4</v>
      </c>
      <c r="Q269" s="139">
        <f>Mitigation_Industry!$E$758</f>
        <v>8.3381608939051E-4</v>
      </c>
      <c r="R269" s="139">
        <f>Mitigation_Industry!$E$758</f>
        <v>8.3381608939051E-4</v>
      </c>
      <c r="S269" s="139">
        <f>Mitigation_Industry!$E$758</f>
        <v>8.3381608939051E-4</v>
      </c>
      <c r="T269" s="139">
        <f>Mitigation_Industry!$E$758</f>
        <v>8.3381608939051E-4</v>
      </c>
      <c r="U269" s="139">
        <f>Mitigation_Industry!$E$758</f>
        <v>8.3381608939051E-4</v>
      </c>
      <c r="V269" s="139">
        <f>Mitigation_Industry!$E$758</f>
        <v>8.3381608939051E-4</v>
      </c>
      <c r="W269" s="139">
        <f>Mitigation_Industry!$E$758</f>
        <v>8.3381608939051E-4</v>
      </c>
      <c r="X269" s="139">
        <f>Mitigation_Industry!$E$758</f>
        <v>8.3381608939051E-4</v>
      </c>
      <c r="Y269" s="139">
        <f>Mitigation_Industry!$E$758</f>
        <v>8.3381608939051E-4</v>
      </c>
      <c r="Z269" s="139">
        <f>Mitigation_Industry!$E$758</f>
        <v>8.3381608939051E-4</v>
      </c>
      <c r="AA269" s="139">
        <f>Mitigation_Industry!$E$758</f>
        <v>8.3381608939051E-4</v>
      </c>
      <c r="AB269" s="139">
        <f>Mitigation_Industry!$E$758</f>
        <v>8.3381608939051E-4</v>
      </c>
      <c r="AC269" s="139">
        <f>Mitigation_Industry!$E$758</f>
        <v>8.3381608939051E-4</v>
      </c>
      <c r="AD269" s="139">
        <f>Mitigation_Industry!$E$758</f>
        <v>8.3381608939051E-4</v>
      </c>
      <c r="AE269" s="139">
        <f>Mitigation_Industry!$E$758</f>
        <v>8.3381608939051E-4</v>
      </c>
      <c r="AF269" s="138"/>
      <c r="AG269" s="138"/>
      <c r="AH269" s="138"/>
      <c r="AI269" s="138"/>
    </row>
    <row r="270" spans="1:35" x14ac:dyDescent="0.35"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  <c r="AC270" s="132"/>
      <c r="AD270" s="132"/>
      <c r="AE270" s="132"/>
      <c r="AF270" s="132"/>
      <c r="AG270" s="132"/>
      <c r="AH270" s="132"/>
      <c r="AI270" s="132"/>
    </row>
    <row r="271" spans="1:35" customFormat="1" ht="14.25" x14ac:dyDescent="0.45">
      <c r="A271" s="11"/>
      <c r="B271" s="6"/>
      <c r="C271" s="7" t="s">
        <v>2619</v>
      </c>
      <c r="D271" s="6" t="s">
        <v>1488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34">
        <v>2021</v>
      </c>
      <c r="L271" s="135">
        <v>2022</v>
      </c>
      <c r="M271" s="134">
        <v>2023</v>
      </c>
      <c r="N271" s="134">
        <v>2024</v>
      </c>
      <c r="O271" s="134">
        <v>2025</v>
      </c>
      <c r="P271" s="134">
        <v>2026</v>
      </c>
      <c r="Q271" s="134">
        <v>2027</v>
      </c>
      <c r="R271" s="134">
        <v>2028</v>
      </c>
      <c r="S271" s="134">
        <v>2029</v>
      </c>
      <c r="T271" s="134">
        <v>2030</v>
      </c>
      <c r="U271" s="134">
        <v>2031</v>
      </c>
      <c r="V271" s="134">
        <v>2032</v>
      </c>
      <c r="W271" s="134">
        <v>2033</v>
      </c>
      <c r="X271" s="134">
        <v>2034</v>
      </c>
      <c r="Y271" s="134">
        <v>2035</v>
      </c>
      <c r="Z271" s="134">
        <v>2036</v>
      </c>
      <c r="AA271" s="134">
        <v>2037</v>
      </c>
      <c r="AB271" s="134">
        <v>2038</v>
      </c>
      <c r="AC271" s="134">
        <v>2039</v>
      </c>
      <c r="AD271" s="134">
        <v>2040</v>
      </c>
      <c r="AE271" s="134">
        <v>2041</v>
      </c>
      <c r="AF271" s="134">
        <v>2042</v>
      </c>
      <c r="AG271" s="134">
        <v>2043</v>
      </c>
      <c r="AH271" s="134">
        <v>2044</v>
      </c>
      <c r="AI271" s="134">
        <v>2045</v>
      </c>
    </row>
    <row r="272" spans="1:35" customFormat="1" ht="14.25" x14ac:dyDescent="0.45">
      <c r="B272" s="14" t="s">
        <v>2565</v>
      </c>
      <c r="C272" s="14" t="s">
        <v>43</v>
      </c>
      <c r="D272" s="15" t="s">
        <v>2620</v>
      </c>
      <c r="E272" s="16" t="s">
        <v>2610</v>
      </c>
      <c r="F272" s="14" t="s">
        <v>2619</v>
      </c>
      <c r="G272" s="17"/>
      <c r="H272" s="125" t="str">
        <f>Settings!$B$3&amp;".mit.bp.stl.drg.np.2"</f>
        <v>egy.mit.bp.stl.drg.np.2</v>
      </c>
      <c r="I272" t="s">
        <v>2621</v>
      </c>
      <c r="K272" s="136"/>
      <c r="L272" s="139">
        <f>Mitigation_Industry!$E$762</f>
        <v>3.4469507031574592E-3</v>
      </c>
      <c r="M272" s="139">
        <f>Mitigation_Industry!$E$762</f>
        <v>3.4469507031574592E-3</v>
      </c>
      <c r="N272" s="139">
        <f>Mitigation_Industry!$E$762</f>
        <v>3.4469507031574592E-3</v>
      </c>
      <c r="O272" s="139">
        <f>Mitigation_Industry!$E$762</f>
        <v>3.4469507031574592E-3</v>
      </c>
      <c r="P272" s="139">
        <f>Mitigation_Industry!$E$762</f>
        <v>3.4469507031574592E-3</v>
      </c>
      <c r="Q272" s="139">
        <f>Mitigation_Industry!$E$762</f>
        <v>3.4469507031574592E-3</v>
      </c>
      <c r="R272" s="139">
        <f>Mitigation_Industry!$E$762</f>
        <v>3.4469507031574592E-3</v>
      </c>
      <c r="S272" s="139">
        <f>Mitigation_Industry!$E$762</f>
        <v>3.4469507031574592E-3</v>
      </c>
      <c r="T272" s="139">
        <f>Mitigation_Industry!$E$762</f>
        <v>3.4469507031574592E-3</v>
      </c>
      <c r="U272" s="139">
        <f>Mitigation_Industry!$E$762</f>
        <v>3.4469507031574592E-3</v>
      </c>
      <c r="V272" s="139">
        <f>Mitigation_Industry!$E$762</f>
        <v>3.4469507031574592E-3</v>
      </c>
      <c r="W272" s="139">
        <f>Mitigation_Industry!$E$762</f>
        <v>3.4469507031574592E-3</v>
      </c>
      <c r="X272" s="139">
        <f>Mitigation_Industry!$E$762</f>
        <v>3.4469507031574592E-3</v>
      </c>
      <c r="Y272" s="139">
        <f>Mitigation_Industry!$E$762</f>
        <v>3.4469507031574592E-3</v>
      </c>
      <c r="Z272" s="139">
        <f>Mitigation_Industry!$E$762</f>
        <v>3.4469507031574592E-3</v>
      </c>
      <c r="AA272" s="139">
        <f>Mitigation_Industry!$E$762</f>
        <v>3.4469507031574592E-3</v>
      </c>
      <c r="AB272" s="139">
        <f>Mitigation_Industry!$E$762</f>
        <v>3.4469507031574592E-3</v>
      </c>
      <c r="AC272" s="139">
        <f>Mitigation_Industry!$E$762</f>
        <v>3.4469507031574592E-3</v>
      </c>
      <c r="AD272" s="139">
        <f>Mitigation_Industry!$E$762</f>
        <v>3.4469507031574592E-3</v>
      </c>
      <c r="AE272" s="139">
        <f>Mitigation_Industry!$E$762</f>
        <v>3.4469507031574592E-3</v>
      </c>
      <c r="AF272" s="138"/>
      <c r="AG272" s="138"/>
      <c r="AH272" s="138"/>
      <c r="AI272" s="138"/>
    </row>
    <row r="273" spans="2:35" customFormat="1" ht="14.25" x14ac:dyDescent="0.45">
      <c r="B273" s="14" t="s">
        <v>2568</v>
      </c>
      <c r="C273" s="14" t="s">
        <v>43</v>
      </c>
      <c r="D273" s="15" t="s">
        <v>2622</v>
      </c>
      <c r="E273" s="16" t="s">
        <v>2610</v>
      </c>
      <c r="F273" s="14" t="s">
        <v>2619</v>
      </c>
      <c r="G273" s="17"/>
      <c r="H273" s="125" t="str">
        <f>Settings!$B$3&amp;".mit.bp.stl.scr.np.2"</f>
        <v>egy.mit.bp.stl.scr.np.2</v>
      </c>
      <c r="K273" s="136"/>
      <c r="L273" s="139">
        <f>Mitigation_Industry!$E$763</f>
        <v>1.6366491404021942E-3</v>
      </c>
      <c r="M273" s="139">
        <f>Mitigation_Industry!$E$763</f>
        <v>1.6366491404021942E-3</v>
      </c>
      <c r="N273" s="139">
        <f>Mitigation_Industry!$E$763</f>
        <v>1.6366491404021942E-3</v>
      </c>
      <c r="O273" s="139">
        <f>Mitigation_Industry!$E$763</f>
        <v>1.6366491404021942E-3</v>
      </c>
      <c r="P273" s="139">
        <f>Mitigation_Industry!$E$763</f>
        <v>1.6366491404021942E-3</v>
      </c>
      <c r="Q273" s="139">
        <f>Mitigation_Industry!$E$763</f>
        <v>1.6366491404021942E-3</v>
      </c>
      <c r="R273" s="139">
        <f>Mitigation_Industry!$E$763</f>
        <v>1.6366491404021942E-3</v>
      </c>
      <c r="S273" s="139">
        <f>Mitigation_Industry!$E$763</f>
        <v>1.6366491404021942E-3</v>
      </c>
      <c r="T273" s="139">
        <f>Mitigation_Industry!$E$763</f>
        <v>1.6366491404021942E-3</v>
      </c>
      <c r="U273" s="139">
        <f>Mitigation_Industry!$E$763</f>
        <v>1.6366491404021942E-3</v>
      </c>
      <c r="V273" s="139">
        <f>Mitigation_Industry!$E$763</f>
        <v>1.6366491404021942E-3</v>
      </c>
      <c r="W273" s="139">
        <f>Mitigation_Industry!$E$763</f>
        <v>1.6366491404021942E-3</v>
      </c>
      <c r="X273" s="139">
        <f>Mitigation_Industry!$E$763</f>
        <v>1.6366491404021942E-3</v>
      </c>
      <c r="Y273" s="139">
        <f>Mitigation_Industry!$E$763</f>
        <v>1.6366491404021942E-3</v>
      </c>
      <c r="Z273" s="139">
        <f>Mitigation_Industry!$E$763</f>
        <v>1.6366491404021942E-3</v>
      </c>
      <c r="AA273" s="139">
        <f>Mitigation_Industry!$E$763</f>
        <v>1.6366491404021942E-3</v>
      </c>
      <c r="AB273" s="139">
        <f>Mitigation_Industry!$E$763</f>
        <v>1.6366491404021942E-3</v>
      </c>
      <c r="AC273" s="139">
        <f>Mitigation_Industry!$E$763</f>
        <v>1.6366491404021942E-3</v>
      </c>
      <c r="AD273" s="139">
        <f>Mitigation_Industry!$E$763</f>
        <v>1.6366491404021942E-3</v>
      </c>
      <c r="AE273" s="139">
        <f>Mitigation_Industry!$E$763</f>
        <v>1.6366491404021942E-3</v>
      </c>
      <c r="AF273" s="138"/>
      <c r="AG273" s="138"/>
      <c r="AH273" s="138"/>
      <c r="AI273" s="138"/>
    </row>
    <row r="274" spans="2:35" customFormat="1" ht="14.25" x14ac:dyDescent="0.45">
      <c r="B274" s="14" t="s">
        <v>2570</v>
      </c>
      <c r="C274" s="14" t="s">
        <v>43</v>
      </c>
      <c r="D274" s="15" t="s">
        <v>2623</v>
      </c>
      <c r="E274" s="16" t="s">
        <v>2610</v>
      </c>
      <c r="F274" s="14" t="s">
        <v>2619</v>
      </c>
      <c r="G274" s="17"/>
      <c r="H274" s="125" t="str">
        <f>Settings!$B$3&amp;".mit.bp.stl.bof.np.2"</f>
        <v>egy.mit.bp.stl.bof.np.2</v>
      </c>
      <c r="K274" s="136"/>
      <c r="L274" s="139">
        <f>Mitigation_Industry!$E$764</f>
        <v>2.6960722989211347E-3</v>
      </c>
      <c r="M274" s="139">
        <f>Mitigation_Industry!$E$764</f>
        <v>2.6960722989211347E-3</v>
      </c>
      <c r="N274" s="139">
        <f>Mitigation_Industry!$E$764</f>
        <v>2.6960722989211347E-3</v>
      </c>
      <c r="O274" s="139">
        <f>Mitigation_Industry!$E$764</f>
        <v>2.6960722989211347E-3</v>
      </c>
      <c r="P274" s="139">
        <f>Mitigation_Industry!$E$764</f>
        <v>2.6960722989211347E-3</v>
      </c>
      <c r="Q274" s="139">
        <f>Mitigation_Industry!$E$764</f>
        <v>2.6960722989211347E-3</v>
      </c>
      <c r="R274" s="139">
        <f>Mitigation_Industry!$E$764</f>
        <v>2.6960722989211347E-3</v>
      </c>
      <c r="S274" s="139">
        <f>Mitigation_Industry!$E$764</f>
        <v>2.6960722989211347E-3</v>
      </c>
      <c r="T274" s="139">
        <f>Mitigation_Industry!$E$764</f>
        <v>2.6960722989211347E-3</v>
      </c>
      <c r="U274" s="139">
        <f>Mitigation_Industry!$E$764</f>
        <v>2.6960722989211347E-3</v>
      </c>
      <c r="V274" s="139">
        <f>Mitigation_Industry!$E$764</f>
        <v>2.6960722989211347E-3</v>
      </c>
      <c r="W274" s="139">
        <f>Mitigation_Industry!$E$764</f>
        <v>2.6960722989211347E-3</v>
      </c>
      <c r="X274" s="139">
        <f>Mitigation_Industry!$E$764</f>
        <v>2.6960722989211347E-3</v>
      </c>
      <c r="Y274" s="139">
        <f>Mitigation_Industry!$E$764</f>
        <v>2.6960722989211347E-3</v>
      </c>
      <c r="Z274" s="139">
        <f>Mitigation_Industry!$E$764</f>
        <v>2.6960722989211347E-3</v>
      </c>
      <c r="AA274" s="139">
        <f>Mitigation_Industry!$E$764</f>
        <v>2.6960722989211347E-3</v>
      </c>
      <c r="AB274" s="139">
        <f>Mitigation_Industry!$E$764</f>
        <v>2.6960722989211347E-3</v>
      </c>
      <c r="AC274" s="139">
        <f>Mitigation_Industry!$E$764</f>
        <v>2.6960722989211347E-3</v>
      </c>
      <c r="AD274" s="139">
        <f>Mitigation_Industry!$E$764</f>
        <v>2.6960722989211347E-3</v>
      </c>
      <c r="AE274" s="139">
        <f>Mitigation_Industry!$E$764</f>
        <v>2.6960722989211347E-3</v>
      </c>
      <c r="AF274" s="138"/>
      <c r="AG274" s="138"/>
      <c r="AH274" s="138"/>
      <c r="AI274" s="138"/>
    </row>
    <row r="275" spans="2:35" customFormat="1" ht="14.25" x14ac:dyDescent="0.45">
      <c r="B275" s="14" t="s">
        <v>2572</v>
      </c>
      <c r="C275" s="14" t="s">
        <v>113</v>
      </c>
      <c r="D275" s="15" t="s">
        <v>2624</v>
      </c>
      <c r="E275" s="16" t="s">
        <v>2610</v>
      </c>
      <c r="F275" s="14" t="s">
        <v>2619</v>
      </c>
      <c r="G275" s="17"/>
      <c r="H275" s="125" t="str">
        <f>Settings!$B$3&amp;".mit.bp.cmt.dry.np.2"</f>
        <v>egy.mit.bp.cmt.dry.np.2</v>
      </c>
      <c r="K275" s="136"/>
      <c r="L275" s="139">
        <f>Mitigation_Industry!$E$765</f>
        <v>3.3464675036139224E-3</v>
      </c>
      <c r="M275" s="139">
        <f>Mitigation_Industry!$E$765</f>
        <v>3.3464675036139224E-3</v>
      </c>
      <c r="N275" s="139">
        <f>Mitigation_Industry!$E$765</f>
        <v>3.3464675036139224E-3</v>
      </c>
      <c r="O275" s="139">
        <f>Mitigation_Industry!$E$765</f>
        <v>3.3464675036139224E-3</v>
      </c>
      <c r="P275" s="139">
        <f>Mitigation_Industry!$E$765</f>
        <v>3.3464675036139224E-3</v>
      </c>
      <c r="Q275" s="139">
        <f>Mitigation_Industry!$E$765</f>
        <v>3.3464675036139224E-3</v>
      </c>
      <c r="R275" s="139">
        <f>Mitigation_Industry!$E$765</f>
        <v>3.3464675036139224E-3</v>
      </c>
      <c r="S275" s="139">
        <f>Mitigation_Industry!$E$765</f>
        <v>3.3464675036139224E-3</v>
      </c>
      <c r="T275" s="139">
        <f>Mitigation_Industry!$E$765</f>
        <v>3.3464675036139224E-3</v>
      </c>
      <c r="U275" s="139">
        <f>Mitigation_Industry!$E$765</f>
        <v>3.3464675036139224E-3</v>
      </c>
      <c r="V275" s="139">
        <f>Mitigation_Industry!$E$765</f>
        <v>3.3464675036139224E-3</v>
      </c>
      <c r="W275" s="139">
        <f>Mitigation_Industry!$E$765</f>
        <v>3.3464675036139224E-3</v>
      </c>
      <c r="X275" s="139">
        <f>Mitigation_Industry!$E$765</f>
        <v>3.3464675036139224E-3</v>
      </c>
      <c r="Y275" s="139">
        <f>Mitigation_Industry!$E$765</f>
        <v>3.3464675036139224E-3</v>
      </c>
      <c r="Z275" s="139">
        <f>Mitigation_Industry!$E$765</f>
        <v>3.3464675036139224E-3</v>
      </c>
      <c r="AA275" s="139">
        <f>Mitigation_Industry!$E$765</f>
        <v>3.3464675036139224E-3</v>
      </c>
      <c r="AB275" s="139">
        <f>Mitigation_Industry!$E$765</f>
        <v>3.3464675036139224E-3</v>
      </c>
      <c r="AC275" s="139">
        <f>Mitigation_Industry!$E$765</f>
        <v>3.3464675036139224E-3</v>
      </c>
      <c r="AD275" s="139">
        <f>Mitigation_Industry!$E$765</f>
        <v>3.3464675036139224E-3</v>
      </c>
      <c r="AE275" s="139">
        <f>Mitigation_Industry!$E$765</f>
        <v>3.3464675036139224E-3</v>
      </c>
      <c r="AF275" s="138"/>
      <c r="AG275" s="138"/>
      <c r="AH275" s="138"/>
      <c r="AI275" s="138"/>
    </row>
    <row r="276" spans="2:35" customFormat="1" ht="14.25" x14ac:dyDescent="0.45">
      <c r="B276" s="14" t="s">
        <v>2574</v>
      </c>
      <c r="C276" s="14" t="s">
        <v>117</v>
      </c>
      <c r="D276" s="15" t="s">
        <v>2625</v>
      </c>
      <c r="E276" s="16" t="s">
        <v>2610</v>
      </c>
      <c r="F276" s="14" t="s">
        <v>2619</v>
      </c>
      <c r="G276" s="17"/>
      <c r="H276" s="125" t="str">
        <f>Settings!$B$3&amp;".mit.bp.frt.amc.np.2"</f>
        <v>egy.mit.bp.frt.amc.np.2</v>
      </c>
      <c r="K276" s="136"/>
      <c r="L276" s="139">
        <f>Mitigation_Industry!$E$766</f>
        <v>0</v>
      </c>
      <c r="M276" s="139">
        <f>Mitigation_Industry!$E$766</f>
        <v>0</v>
      </c>
      <c r="N276" s="139">
        <f>Mitigation_Industry!$E$766</f>
        <v>0</v>
      </c>
      <c r="O276" s="139">
        <f>Mitigation_Industry!$E$766</f>
        <v>0</v>
      </c>
      <c r="P276" s="139">
        <f>Mitigation_Industry!$E$766</f>
        <v>0</v>
      </c>
      <c r="Q276" s="139">
        <f>Mitigation_Industry!$E$766</f>
        <v>0</v>
      </c>
      <c r="R276" s="139">
        <f>Mitigation_Industry!$E$766</f>
        <v>0</v>
      </c>
      <c r="S276" s="139">
        <f>Mitigation_Industry!$E$766</f>
        <v>0</v>
      </c>
      <c r="T276" s="139">
        <f>Mitigation_Industry!$E$766</f>
        <v>0</v>
      </c>
      <c r="U276" s="139">
        <f>Mitigation_Industry!$E$766</f>
        <v>0</v>
      </c>
      <c r="V276" s="139">
        <f>Mitigation_Industry!$E$766</f>
        <v>0</v>
      </c>
      <c r="W276" s="139">
        <f>Mitigation_Industry!$E$766</f>
        <v>0</v>
      </c>
      <c r="X276" s="139">
        <f>Mitigation_Industry!$E$766</f>
        <v>0</v>
      </c>
      <c r="Y276" s="139">
        <f>Mitigation_Industry!$E$766</f>
        <v>0</v>
      </c>
      <c r="Z276" s="139">
        <f>Mitigation_Industry!$E$766</f>
        <v>0</v>
      </c>
      <c r="AA276" s="139">
        <f>Mitigation_Industry!$E$766</f>
        <v>0</v>
      </c>
      <c r="AB276" s="139">
        <f>Mitigation_Industry!$E$766</f>
        <v>0</v>
      </c>
      <c r="AC276" s="139">
        <f>Mitigation_Industry!$E$766</f>
        <v>0</v>
      </c>
      <c r="AD276" s="139">
        <f>Mitigation_Industry!$E$766</f>
        <v>0</v>
      </c>
      <c r="AE276" s="139">
        <f>Mitigation_Industry!$E$766</f>
        <v>0</v>
      </c>
      <c r="AF276" s="138"/>
      <c r="AG276" s="138"/>
      <c r="AH276" s="138"/>
      <c r="AI276" s="138"/>
    </row>
    <row r="277" spans="2:35" customFormat="1" ht="14.25" x14ac:dyDescent="0.45">
      <c r="B277" s="14" t="s">
        <v>2576</v>
      </c>
      <c r="C277" s="14" t="s">
        <v>117</v>
      </c>
      <c r="D277" s="15" t="s">
        <v>2626</v>
      </c>
      <c r="E277" s="16" t="s">
        <v>2610</v>
      </c>
      <c r="F277" s="14" t="s">
        <v>2619</v>
      </c>
      <c r="G277" s="17"/>
      <c r="H277" s="125" t="str">
        <f>Settings!$B$3&amp;".mit.bp.frt.ure.np.2"</f>
        <v>egy.mit.bp.frt.ure.np.2</v>
      </c>
      <c r="K277" s="136"/>
      <c r="L277" s="139">
        <f>Mitigation_Industry!$E$767</f>
        <v>0</v>
      </c>
      <c r="M277" s="139">
        <f>Mitigation_Industry!$E$767</f>
        <v>0</v>
      </c>
      <c r="N277" s="139">
        <f>Mitigation_Industry!$E$767</f>
        <v>0</v>
      </c>
      <c r="O277" s="139">
        <f>Mitigation_Industry!$E$767</f>
        <v>0</v>
      </c>
      <c r="P277" s="139">
        <f>Mitigation_Industry!$E$767</f>
        <v>0</v>
      </c>
      <c r="Q277" s="139">
        <f>Mitigation_Industry!$E$767</f>
        <v>0</v>
      </c>
      <c r="R277" s="139">
        <f>Mitigation_Industry!$E$767</f>
        <v>0</v>
      </c>
      <c r="S277" s="139">
        <f>Mitigation_Industry!$E$767</f>
        <v>0</v>
      </c>
      <c r="T277" s="139">
        <f>Mitigation_Industry!$E$767</f>
        <v>0</v>
      </c>
      <c r="U277" s="139">
        <f>Mitigation_Industry!$E$767</f>
        <v>0</v>
      </c>
      <c r="V277" s="139">
        <f>Mitigation_Industry!$E$767</f>
        <v>0</v>
      </c>
      <c r="W277" s="139">
        <f>Mitigation_Industry!$E$767</f>
        <v>0</v>
      </c>
      <c r="X277" s="139">
        <f>Mitigation_Industry!$E$767</f>
        <v>0</v>
      </c>
      <c r="Y277" s="139">
        <f>Mitigation_Industry!$E$767</f>
        <v>0</v>
      </c>
      <c r="Z277" s="139">
        <f>Mitigation_Industry!$E$767</f>
        <v>0</v>
      </c>
      <c r="AA277" s="139">
        <f>Mitigation_Industry!$E$767</f>
        <v>0</v>
      </c>
      <c r="AB277" s="139">
        <f>Mitigation_Industry!$E$767</f>
        <v>0</v>
      </c>
      <c r="AC277" s="139">
        <f>Mitigation_Industry!$E$767</f>
        <v>0</v>
      </c>
      <c r="AD277" s="139">
        <f>Mitigation_Industry!$E$767</f>
        <v>0</v>
      </c>
      <c r="AE277" s="139">
        <f>Mitigation_Industry!$E$767</f>
        <v>0</v>
      </c>
      <c r="AF277" s="138"/>
      <c r="AG277" s="138"/>
      <c r="AH277" s="138"/>
      <c r="AI277" s="138"/>
    </row>
    <row r="278" spans="2:35" customFormat="1" ht="14.25" x14ac:dyDescent="0.45">
      <c r="B278" s="14" t="s">
        <v>2578</v>
      </c>
      <c r="C278" s="14" t="s">
        <v>117</v>
      </c>
      <c r="D278" s="15" t="s">
        <v>2627</v>
      </c>
      <c r="E278" s="16" t="s">
        <v>2610</v>
      </c>
      <c r="F278" s="14" t="s">
        <v>2619</v>
      </c>
      <c r="G278" s="17"/>
      <c r="H278" s="125" t="str">
        <f>Settings!$B$3&amp;".mit.bp.frt.nit.np.2"</f>
        <v>egy.mit.bp.frt.nit.np.2</v>
      </c>
      <c r="K278" s="136"/>
      <c r="L278" s="139">
        <f>Mitigation_Industry!$E$768</f>
        <v>0</v>
      </c>
      <c r="M278" s="139">
        <f>Mitigation_Industry!$E$768</f>
        <v>0</v>
      </c>
      <c r="N278" s="139">
        <f>Mitigation_Industry!$E$768</f>
        <v>0</v>
      </c>
      <c r="O278" s="139">
        <f>Mitigation_Industry!$E$768</f>
        <v>0</v>
      </c>
      <c r="P278" s="139">
        <f>Mitigation_Industry!$E$768</f>
        <v>0</v>
      </c>
      <c r="Q278" s="139">
        <f>Mitigation_Industry!$E$768</f>
        <v>0</v>
      </c>
      <c r="R278" s="139">
        <f>Mitigation_Industry!$E$768</f>
        <v>0</v>
      </c>
      <c r="S278" s="139">
        <f>Mitigation_Industry!$E$768</f>
        <v>0</v>
      </c>
      <c r="T278" s="139">
        <f>Mitigation_Industry!$E$768</f>
        <v>0</v>
      </c>
      <c r="U278" s="139">
        <f>Mitigation_Industry!$E$768</f>
        <v>0</v>
      </c>
      <c r="V278" s="139">
        <f>Mitigation_Industry!$E$768</f>
        <v>0</v>
      </c>
      <c r="W278" s="139">
        <f>Mitigation_Industry!$E$768</f>
        <v>0</v>
      </c>
      <c r="X278" s="139">
        <f>Mitigation_Industry!$E$768</f>
        <v>0</v>
      </c>
      <c r="Y278" s="139">
        <f>Mitigation_Industry!$E$768</f>
        <v>0</v>
      </c>
      <c r="Z278" s="139">
        <f>Mitigation_Industry!$E$768</f>
        <v>0</v>
      </c>
      <c r="AA278" s="139">
        <f>Mitigation_Industry!$E$768</f>
        <v>0</v>
      </c>
      <c r="AB278" s="139">
        <f>Mitigation_Industry!$E$768</f>
        <v>0</v>
      </c>
      <c r="AC278" s="139">
        <f>Mitigation_Industry!$E$768</f>
        <v>0</v>
      </c>
      <c r="AD278" s="139">
        <f>Mitigation_Industry!$E$768</f>
        <v>0</v>
      </c>
      <c r="AE278" s="139">
        <f>Mitigation_Industry!$E$768</f>
        <v>0</v>
      </c>
      <c r="AF278" s="138"/>
      <c r="AG278" s="138"/>
      <c r="AH278" s="138"/>
      <c r="AI278" s="138"/>
    </row>
    <row r="279" spans="2:35" customFormat="1" ht="14.25" x14ac:dyDescent="0.45">
      <c r="B279" s="14" t="s">
        <v>2580</v>
      </c>
      <c r="C279" s="14" t="s">
        <v>115</v>
      </c>
      <c r="D279" s="15" t="s">
        <v>2628</v>
      </c>
      <c r="E279" s="16" t="s">
        <v>2610</v>
      </c>
      <c r="F279" s="14" t="s">
        <v>2619</v>
      </c>
      <c r="G279" s="17"/>
      <c r="H279" s="125" t="str">
        <f>Settings!$B$3&amp;".mit.bp.alu.prp.np.2"</f>
        <v>egy.mit.bp.alu.prp.np.2</v>
      </c>
      <c r="K279" s="136"/>
      <c r="L279" s="139">
        <f>Mitigation_Industry!$E$769</f>
        <v>1.9988245320635362E-3</v>
      </c>
      <c r="M279" s="139">
        <f>Mitigation_Industry!$E$769</f>
        <v>1.9988245320635362E-3</v>
      </c>
      <c r="N279" s="139">
        <f>Mitigation_Industry!$E$769</f>
        <v>1.9988245320635362E-3</v>
      </c>
      <c r="O279" s="139">
        <f>Mitigation_Industry!$E$769</f>
        <v>1.9988245320635362E-3</v>
      </c>
      <c r="P279" s="139">
        <f>Mitigation_Industry!$E$769</f>
        <v>1.9988245320635362E-3</v>
      </c>
      <c r="Q279" s="139">
        <f>Mitigation_Industry!$E$769</f>
        <v>1.9988245320635362E-3</v>
      </c>
      <c r="R279" s="139">
        <f>Mitigation_Industry!$E$769</f>
        <v>1.9988245320635362E-3</v>
      </c>
      <c r="S279" s="139">
        <f>Mitigation_Industry!$E$769</f>
        <v>1.9988245320635362E-3</v>
      </c>
      <c r="T279" s="139">
        <f>Mitigation_Industry!$E$769</f>
        <v>1.9988245320635362E-3</v>
      </c>
      <c r="U279" s="139">
        <f>Mitigation_Industry!$E$769</f>
        <v>1.9988245320635362E-3</v>
      </c>
      <c r="V279" s="139">
        <f>Mitigation_Industry!$E$769</f>
        <v>1.9988245320635362E-3</v>
      </c>
      <c r="W279" s="139">
        <f>Mitigation_Industry!$E$769</f>
        <v>1.9988245320635362E-3</v>
      </c>
      <c r="X279" s="139">
        <f>Mitigation_Industry!$E$769</f>
        <v>1.9988245320635362E-3</v>
      </c>
      <c r="Y279" s="139">
        <f>Mitigation_Industry!$E$769</f>
        <v>1.9988245320635362E-3</v>
      </c>
      <c r="Z279" s="139">
        <f>Mitigation_Industry!$E$769</f>
        <v>1.9988245320635362E-3</v>
      </c>
      <c r="AA279" s="139">
        <f>Mitigation_Industry!$E$769</f>
        <v>1.9988245320635362E-3</v>
      </c>
      <c r="AB279" s="139">
        <f>Mitigation_Industry!$E$769</f>
        <v>1.9988245320635362E-3</v>
      </c>
      <c r="AC279" s="139">
        <f>Mitigation_Industry!$E$769</f>
        <v>1.9988245320635362E-3</v>
      </c>
      <c r="AD279" s="139">
        <f>Mitigation_Industry!$E$769</f>
        <v>1.9988245320635362E-3</v>
      </c>
      <c r="AE279" s="139">
        <f>Mitigation_Industry!$E$769</f>
        <v>1.9988245320635362E-3</v>
      </c>
      <c r="AF279" s="138"/>
      <c r="AG279" s="138"/>
      <c r="AH279" s="138"/>
      <c r="AI279" s="138"/>
    </row>
    <row r="280" spans="2:35" customFormat="1" ht="14.25" x14ac:dyDescent="0.45">
      <c r="B280" s="14" t="s">
        <v>2582</v>
      </c>
      <c r="C280" s="14" t="s">
        <v>43</v>
      </c>
      <c r="D280" s="15" t="s">
        <v>2629</v>
      </c>
      <c r="E280" s="16" t="s">
        <v>2610</v>
      </c>
      <c r="F280" s="14" t="s">
        <v>2619</v>
      </c>
      <c r="G280" s="17"/>
      <c r="H280" s="125" t="str">
        <f>Settings!$B$3&amp;".mit.bp.stl.drg.no.2"</f>
        <v>egy.mit.bp.stl.drg.no.2</v>
      </c>
      <c r="K280" s="136"/>
      <c r="L280" s="139">
        <f>Mitigation_Industry!$G$762</f>
        <v>0</v>
      </c>
      <c r="M280" s="139">
        <f>Mitigation_Industry!$G$762</f>
        <v>0</v>
      </c>
      <c r="N280" s="139">
        <f>Mitigation_Industry!$G$762</f>
        <v>0</v>
      </c>
      <c r="O280" s="139">
        <f>Mitigation_Industry!$G$762</f>
        <v>0</v>
      </c>
      <c r="P280" s="139">
        <f>Mitigation_Industry!$G$762</f>
        <v>0</v>
      </c>
      <c r="Q280" s="139">
        <f>Mitigation_Industry!$G$762</f>
        <v>0</v>
      </c>
      <c r="R280" s="139">
        <f>Mitigation_Industry!$G$762</f>
        <v>0</v>
      </c>
      <c r="S280" s="139">
        <f>Mitigation_Industry!$G$762</f>
        <v>0</v>
      </c>
      <c r="T280" s="139">
        <f>Mitigation_Industry!$G$762</f>
        <v>0</v>
      </c>
      <c r="U280" s="139">
        <f>Mitigation_Industry!$G$762</f>
        <v>0</v>
      </c>
      <c r="V280" s="139">
        <f>Mitigation_Industry!$G$762</f>
        <v>0</v>
      </c>
      <c r="W280" s="139">
        <f>Mitigation_Industry!$G$762</f>
        <v>0</v>
      </c>
      <c r="X280" s="139">
        <f>Mitigation_Industry!$G$762</f>
        <v>0</v>
      </c>
      <c r="Y280" s="139">
        <f>Mitigation_Industry!$G$762</f>
        <v>0</v>
      </c>
      <c r="Z280" s="139">
        <f>Mitigation_Industry!$G$762</f>
        <v>0</v>
      </c>
      <c r="AA280" s="139">
        <f>Mitigation_Industry!$G$762</f>
        <v>0</v>
      </c>
      <c r="AB280" s="139">
        <f>Mitigation_Industry!$G$762</f>
        <v>0</v>
      </c>
      <c r="AC280" s="139">
        <f>Mitigation_Industry!$G$762</f>
        <v>0</v>
      </c>
      <c r="AD280" s="139">
        <f>Mitigation_Industry!$G$762</f>
        <v>0</v>
      </c>
      <c r="AE280" s="139">
        <f>Mitigation_Industry!$G$762</f>
        <v>0</v>
      </c>
      <c r="AF280" s="138"/>
      <c r="AG280" s="138"/>
      <c r="AH280" s="138"/>
      <c r="AI280" s="138"/>
    </row>
    <row r="281" spans="2:35" customFormat="1" ht="14.25" x14ac:dyDescent="0.45">
      <c r="B281" s="14" t="s">
        <v>2584</v>
      </c>
      <c r="C281" s="14" t="s">
        <v>43</v>
      </c>
      <c r="D281" s="15" t="s">
        <v>2630</v>
      </c>
      <c r="E281" s="16" t="s">
        <v>2610</v>
      </c>
      <c r="F281" s="14" t="s">
        <v>2619</v>
      </c>
      <c r="G281" s="17"/>
      <c r="H281" s="125" t="str">
        <f>Settings!$B$3&amp;".mit.bp.stl.scr.no.2"</f>
        <v>egy.mit.bp.stl.scr.no.2</v>
      </c>
      <c r="K281" s="136"/>
      <c r="L281" s="139">
        <f>Mitigation_Industry!$G$763</f>
        <v>0</v>
      </c>
      <c r="M281" s="139">
        <f>Mitigation_Industry!$G$763</f>
        <v>0</v>
      </c>
      <c r="N281" s="139">
        <f>Mitigation_Industry!$G$763</f>
        <v>0</v>
      </c>
      <c r="O281" s="139">
        <f>Mitigation_Industry!$G$763</f>
        <v>0</v>
      </c>
      <c r="P281" s="139">
        <f>Mitigation_Industry!$G$763</f>
        <v>0</v>
      </c>
      <c r="Q281" s="139">
        <f>Mitigation_Industry!$G$763</f>
        <v>0</v>
      </c>
      <c r="R281" s="139">
        <f>Mitigation_Industry!$G$763</f>
        <v>0</v>
      </c>
      <c r="S281" s="139">
        <f>Mitigation_Industry!$G$763</f>
        <v>0</v>
      </c>
      <c r="T281" s="139">
        <f>Mitigation_Industry!$G$763</f>
        <v>0</v>
      </c>
      <c r="U281" s="139">
        <f>Mitigation_Industry!$G$763</f>
        <v>0</v>
      </c>
      <c r="V281" s="139">
        <f>Mitigation_Industry!$G$763</f>
        <v>0</v>
      </c>
      <c r="W281" s="139">
        <f>Mitigation_Industry!$G$763</f>
        <v>0</v>
      </c>
      <c r="X281" s="139">
        <f>Mitigation_Industry!$G$763</f>
        <v>0</v>
      </c>
      <c r="Y281" s="139">
        <f>Mitigation_Industry!$G$763</f>
        <v>0</v>
      </c>
      <c r="Z281" s="139">
        <f>Mitigation_Industry!$G$763</f>
        <v>0</v>
      </c>
      <c r="AA281" s="139">
        <f>Mitigation_Industry!$G$763</f>
        <v>0</v>
      </c>
      <c r="AB281" s="139">
        <f>Mitigation_Industry!$G$763</f>
        <v>0</v>
      </c>
      <c r="AC281" s="139">
        <f>Mitigation_Industry!$G$763</f>
        <v>0</v>
      </c>
      <c r="AD281" s="139">
        <f>Mitigation_Industry!$G$763</f>
        <v>0</v>
      </c>
      <c r="AE281" s="139">
        <f>Mitigation_Industry!$G$763</f>
        <v>0</v>
      </c>
      <c r="AF281" s="138"/>
      <c r="AG281" s="138"/>
      <c r="AH281" s="138"/>
      <c r="AI281" s="138"/>
    </row>
    <row r="282" spans="2:35" customFormat="1" ht="14.25" x14ac:dyDescent="0.45">
      <c r="B282" s="14" t="s">
        <v>2586</v>
      </c>
      <c r="C282" s="14" t="s">
        <v>43</v>
      </c>
      <c r="D282" s="15" t="s">
        <v>2631</v>
      </c>
      <c r="E282" s="16" t="s">
        <v>2610</v>
      </c>
      <c r="F282" s="14" t="s">
        <v>2619</v>
      </c>
      <c r="G282" s="17"/>
      <c r="H282" s="125" t="str">
        <f>Settings!$B$3&amp;".mit.bp.stl.bof.no.2"</f>
        <v>egy.mit.bp.stl.bof.no.2</v>
      </c>
      <c r="K282" s="136"/>
      <c r="L282" s="139">
        <f>Mitigation_Industry!$G$764</f>
        <v>0</v>
      </c>
      <c r="M282" s="139">
        <f>Mitigation_Industry!$G$764</f>
        <v>0</v>
      </c>
      <c r="N282" s="139">
        <f>Mitigation_Industry!$G$764</f>
        <v>0</v>
      </c>
      <c r="O282" s="139">
        <f>Mitigation_Industry!$G$764</f>
        <v>0</v>
      </c>
      <c r="P282" s="139">
        <f>Mitigation_Industry!$G$764</f>
        <v>0</v>
      </c>
      <c r="Q282" s="139">
        <f>Mitigation_Industry!$G$764</f>
        <v>0</v>
      </c>
      <c r="R282" s="139">
        <f>Mitigation_Industry!$G$764</f>
        <v>0</v>
      </c>
      <c r="S282" s="139">
        <f>Mitigation_Industry!$G$764</f>
        <v>0</v>
      </c>
      <c r="T282" s="139">
        <f>Mitigation_Industry!$G$764</f>
        <v>0</v>
      </c>
      <c r="U282" s="139">
        <f>Mitigation_Industry!$G$764</f>
        <v>0</v>
      </c>
      <c r="V282" s="139">
        <f>Mitigation_Industry!$G$764</f>
        <v>0</v>
      </c>
      <c r="W282" s="139">
        <f>Mitigation_Industry!$G$764</f>
        <v>0</v>
      </c>
      <c r="X282" s="139">
        <f>Mitigation_Industry!$G$764</f>
        <v>0</v>
      </c>
      <c r="Y282" s="139">
        <f>Mitigation_Industry!$G$764</f>
        <v>0</v>
      </c>
      <c r="Z282" s="139">
        <f>Mitigation_Industry!$G$764</f>
        <v>0</v>
      </c>
      <c r="AA282" s="139">
        <f>Mitigation_Industry!$G$764</f>
        <v>0</v>
      </c>
      <c r="AB282" s="139">
        <f>Mitigation_Industry!$G$764</f>
        <v>0</v>
      </c>
      <c r="AC282" s="139">
        <f>Mitigation_Industry!$G$764</f>
        <v>0</v>
      </c>
      <c r="AD282" s="139">
        <f>Mitigation_Industry!$G$764</f>
        <v>0</v>
      </c>
      <c r="AE282" s="139">
        <f>Mitigation_Industry!$G$764</f>
        <v>0</v>
      </c>
      <c r="AF282" s="138"/>
      <c r="AG282" s="138"/>
      <c r="AH282" s="138"/>
      <c r="AI282" s="138"/>
    </row>
    <row r="283" spans="2:35" customFormat="1" ht="14.25" x14ac:dyDescent="0.45">
      <c r="B283" s="14" t="s">
        <v>2588</v>
      </c>
      <c r="C283" s="14" t="s">
        <v>113</v>
      </c>
      <c r="D283" s="15" t="s">
        <v>2632</v>
      </c>
      <c r="E283" s="16" t="s">
        <v>2610</v>
      </c>
      <c r="F283" s="14" t="s">
        <v>2619</v>
      </c>
      <c r="G283" s="17"/>
      <c r="H283" s="125" t="str">
        <f>Settings!$B$3&amp;".mit.bp.cmt.dry.no.2"</f>
        <v>egy.mit.bp.cmt.dry.no.2</v>
      </c>
      <c r="K283" s="136"/>
      <c r="L283" s="139">
        <f>Mitigation_Industry!$G$765</f>
        <v>0</v>
      </c>
      <c r="M283" s="139">
        <f>Mitigation_Industry!$G$765</f>
        <v>0</v>
      </c>
      <c r="N283" s="139">
        <f>Mitigation_Industry!$G$765</f>
        <v>0</v>
      </c>
      <c r="O283" s="139">
        <f>Mitigation_Industry!$G$765</f>
        <v>0</v>
      </c>
      <c r="P283" s="139">
        <f>Mitigation_Industry!$G$765</f>
        <v>0</v>
      </c>
      <c r="Q283" s="139">
        <f>Mitigation_Industry!$G$765</f>
        <v>0</v>
      </c>
      <c r="R283" s="139">
        <f>Mitigation_Industry!$G$765</f>
        <v>0</v>
      </c>
      <c r="S283" s="139">
        <f>Mitigation_Industry!$G$765</f>
        <v>0</v>
      </c>
      <c r="T283" s="139">
        <f>Mitigation_Industry!$G$765</f>
        <v>0</v>
      </c>
      <c r="U283" s="139">
        <f>Mitigation_Industry!$G$765</f>
        <v>0</v>
      </c>
      <c r="V283" s="139">
        <f>Mitigation_Industry!$G$765</f>
        <v>0</v>
      </c>
      <c r="W283" s="139">
        <f>Mitigation_Industry!$G$765</f>
        <v>0</v>
      </c>
      <c r="X283" s="139">
        <f>Mitigation_Industry!$G$765</f>
        <v>0</v>
      </c>
      <c r="Y283" s="139">
        <f>Mitigation_Industry!$G$765</f>
        <v>0</v>
      </c>
      <c r="Z283" s="139">
        <f>Mitigation_Industry!$G$765</f>
        <v>0</v>
      </c>
      <c r="AA283" s="139">
        <f>Mitigation_Industry!$G$765</f>
        <v>0</v>
      </c>
      <c r="AB283" s="139">
        <f>Mitigation_Industry!$G$765</f>
        <v>0</v>
      </c>
      <c r="AC283" s="139">
        <f>Mitigation_Industry!$G$765</f>
        <v>0</v>
      </c>
      <c r="AD283" s="139">
        <f>Mitigation_Industry!$G$765</f>
        <v>0</v>
      </c>
      <c r="AE283" s="139">
        <f>Mitigation_Industry!$G$765</f>
        <v>0</v>
      </c>
      <c r="AF283" s="138"/>
      <c r="AG283" s="138"/>
      <c r="AH283" s="138"/>
      <c r="AI283" s="138"/>
    </row>
    <row r="284" spans="2:35" customFormat="1" ht="14.25" x14ac:dyDescent="0.45">
      <c r="B284" s="14" t="s">
        <v>2590</v>
      </c>
      <c r="C284" s="14" t="s">
        <v>117</v>
      </c>
      <c r="D284" s="15" t="s">
        <v>2633</v>
      </c>
      <c r="E284" s="16" t="s">
        <v>2610</v>
      </c>
      <c r="F284" s="14" t="s">
        <v>2619</v>
      </c>
      <c r="G284" s="17"/>
      <c r="H284" s="125" t="str">
        <f>Settings!$B$3&amp;".mit.bp.frt.amc.no.2"</f>
        <v>egy.mit.bp.frt.amc.no.2</v>
      </c>
      <c r="K284" s="136"/>
      <c r="L284" s="139">
        <f>Mitigation_Industry!$G$766</f>
        <v>0</v>
      </c>
      <c r="M284" s="139">
        <f>Mitigation_Industry!$G$766</f>
        <v>0</v>
      </c>
      <c r="N284" s="139">
        <f>Mitigation_Industry!$G$766</f>
        <v>0</v>
      </c>
      <c r="O284" s="139">
        <f>Mitigation_Industry!$G$766</f>
        <v>0</v>
      </c>
      <c r="P284" s="139">
        <f>Mitigation_Industry!$G$766</f>
        <v>0</v>
      </c>
      <c r="Q284" s="139">
        <f>Mitigation_Industry!$G$766</f>
        <v>0</v>
      </c>
      <c r="R284" s="139">
        <f>Mitigation_Industry!$G$766</f>
        <v>0</v>
      </c>
      <c r="S284" s="139">
        <f>Mitigation_Industry!$G$766</f>
        <v>0</v>
      </c>
      <c r="T284" s="139">
        <f>Mitigation_Industry!$G$766</f>
        <v>0</v>
      </c>
      <c r="U284" s="139">
        <f>Mitigation_Industry!$G$766</f>
        <v>0</v>
      </c>
      <c r="V284" s="139">
        <f>Mitigation_Industry!$G$766</f>
        <v>0</v>
      </c>
      <c r="W284" s="139">
        <f>Mitigation_Industry!$G$766</f>
        <v>0</v>
      </c>
      <c r="X284" s="139">
        <f>Mitigation_Industry!$G$766</f>
        <v>0</v>
      </c>
      <c r="Y284" s="139">
        <f>Mitigation_Industry!$G$766</f>
        <v>0</v>
      </c>
      <c r="Z284" s="139">
        <f>Mitigation_Industry!$G$766</f>
        <v>0</v>
      </c>
      <c r="AA284" s="139">
        <f>Mitigation_Industry!$G$766</f>
        <v>0</v>
      </c>
      <c r="AB284" s="139">
        <f>Mitigation_Industry!$G$766</f>
        <v>0</v>
      </c>
      <c r="AC284" s="139">
        <f>Mitigation_Industry!$G$766</f>
        <v>0</v>
      </c>
      <c r="AD284" s="139">
        <f>Mitigation_Industry!$G$766</f>
        <v>0</v>
      </c>
      <c r="AE284" s="139">
        <f>Mitigation_Industry!$G$766</f>
        <v>0</v>
      </c>
      <c r="AF284" s="138"/>
      <c r="AG284" s="138"/>
      <c r="AH284" s="138"/>
      <c r="AI284" s="138"/>
    </row>
    <row r="285" spans="2:35" customFormat="1" ht="14.25" x14ac:dyDescent="0.45">
      <c r="B285" s="14" t="s">
        <v>2592</v>
      </c>
      <c r="C285" s="14" t="s">
        <v>117</v>
      </c>
      <c r="D285" s="15" t="s">
        <v>2634</v>
      </c>
      <c r="E285" s="16" t="s">
        <v>2610</v>
      </c>
      <c r="F285" s="14" t="s">
        <v>2619</v>
      </c>
      <c r="G285" s="17"/>
      <c r="H285" s="125" t="str">
        <f>Settings!$B$3&amp;".mit.bp.frt.ure.no.2"</f>
        <v>egy.mit.bp.frt.ure.no.2</v>
      </c>
      <c r="K285" s="136"/>
      <c r="L285" s="139">
        <f>Mitigation_Industry!$G$767</f>
        <v>0</v>
      </c>
      <c r="M285" s="139">
        <f>Mitigation_Industry!$G$767</f>
        <v>0</v>
      </c>
      <c r="N285" s="139">
        <f>Mitigation_Industry!$G$767</f>
        <v>0</v>
      </c>
      <c r="O285" s="139">
        <f>Mitigation_Industry!$G$767</f>
        <v>0</v>
      </c>
      <c r="P285" s="139">
        <f>Mitigation_Industry!$G$767</f>
        <v>0</v>
      </c>
      <c r="Q285" s="139">
        <f>Mitigation_Industry!$G$767</f>
        <v>0</v>
      </c>
      <c r="R285" s="139">
        <f>Mitigation_Industry!$G$767</f>
        <v>0</v>
      </c>
      <c r="S285" s="139">
        <f>Mitigation_Industry!$G$767</f>
        <v>0</v>
      </c>
      <c r="T285" s="139">
        <f>Mitigation_Industry!$G$767</f>
        <v>0</v>
      </c>
      <c r="U285" s="139">
        <f>Mitigation_Industry!$G$767</f>
        <v>0</v>
      </c>
      <c r="V285" s="139">
        <f>Mitigation_Industry!$G$767</f>
        <v>0</v>
      </c>
      <c r="W285" s="139">
        <f>Mitigation_Industry!$G$767</f>
        <v>0</v>
      </c>
      <c r="X285" s="139">
        <f>Mitigation_Industry!$G$767</f>
        <v>0</v>
      </c>
      <c r="Y285" s="139">
        <f>Mitigation_Industry!$G$767</f>
        <v>0</v>
      </c>
      <c r="Z285" s="139">
        <f>Mitigation_Industry!$G$767</f>
        <v>0</v>
      </c>
      <c r="AA285" s="139">
        <f>Mitigation_Industry!$G$767</f>
        <v>0</v>
      </c>
      <c r="AB285" s="139">
        <f>Mitigation_Industry!$G$767</f>
        <v>0</v>
      </c>
      <c r="AC285" s="139">
        <f>Mitigation_Industry!$G$767</f>
        <v>0</v>
      </c>
      <c r="AD285" s="139">
        <f>Mitigation_Industry!$G$767</f>
        <v>0</v>
      </c>
      <c r="AE285" s="139">
        <f>Mitigation_Industry!$G$767</f>
        <v>0</v>
      </c>
      <c r="AF285" s="138"/>
      <c r="AG285" s="138"/>
      <c r="AH285" s="138"/>
      <c r="AI285" s="138"/>
    </row>
    <row r="286" spans="2:35" customFormat="1" ht="14.25" x14ac:dyDescent="0.45">
      <c r="B286" s="14" t="s">
        <v>2594</v>
      </c>
      <c r="C286" s="14" t="s">
        <v>117</v>
      </c>
      <c r="D286" s="15" t="s">
        <v>2635</v>
      </c>
      <c r="E286" s="16" t="s">
        <v>2610</v>
      </c>
      <c r="F286" s="14" t="s">
        <v>2619</v>
      </c>
      <c r="G286" s="17"/>
      <c r="H286" s="125" t="str">
        <f>Settings!$B$3&amp;".mit.bp.frt.nit.no.2"</f>
        <v>egy.mit.bp.frt.nit.no.2</v>
      </c>
      <c r="K286" s="136"/>
      <c r="L286" s="139">
        <f>Mitigation_Industry!$G$768</f>
        <v>7.8858436436826454E-3</v>
      </c>
      <c r="M286" s="139">
        <f>Mitigation_Industry!$G$768</f>
        <v>7.8858436436826454E-3</v>
      </c>
      <c r="N286" s="139">
        <f>Mitigation_Industry!$G$768</f>
        <v>7.8858436436826454E-3</v>
      </c>
      <c r="O286" s="139">
        <f>Mitigation_Industry!$G$768</f>
        <v>7.8858436436826454E-3</v>
      </c>
      <c r="P286" s="139">
        <f>Mitigation_Industry!$G$768</f>
        <v>7.8858436436826454E-3</v>
      </c>
      <c r="Q286" s="139">
        <f>Mitigation_Industry!$G$768</f>
        <v>7.8858436436826454E-3</v>
      </c>
      <c r="R286" s="139">
        <f>Mitigation_Industry!$G$768</f>
        <v>7.8858436436826454E-3</v>
      </c>
      <c r="S286" s="139">
        <f>Mitigation_Industry!$G$768</f>
        <v>7.8858436436826454E-3</v>
      </c>
      <c r="T286" s="139">
        <f>Mitigation_Industry!$G$768</f>
        <v>7.8858436436826454E-3</v>
      </c>
      <c r="U286" s="139">
        <f>Mitigation_Industry!$G$768</f>
        <v>7.8858436436826454E-3</v>
      </c>
      <c r="V286" s="139">
        <f>Mitigation_Industry!$G$768</f>
        <v>7.8858436436826454E-3</v>
      </c>
      <c r="W286" s="139">
        <f>Mitigation_Industry!$G$768</f>
        <v>7.8858436436826454E-3</v>
      </c>
      <c r="X286" s="139">
        <f>Mitigation_Industry!$G$768</f>
        <v>7.8858436436826454E-3</v>
      </c>
      <c r="Y286" s="139">
        <f>Mitigation_Industry!$G$768</f>
        <v>7.8858436436826454E-3</v>
      </c>
      <c r="Z286" s="139">
        <f>Mitigation_Industry!$G$768</f>
        <v>7.8858436436826454E-3</v>
      </c>
      <c r="AA286" s="139">
        <f>Mitigation_Industry!$G$768</f>
        <v>7.8858436436826454E-3</v>
      </c>
      <c r="AB286" s="139">
        <f>Mitigation_Industry!$G$768</f>
        <v>7.8858436436826454E-3</v>
      </c>
      <c r="AC286" s="139">
        <f>Mitigation_Industry!$G$768</f>
        <v>7.8858436436826454E-3</v>
      </c>
      <c r="AD286" s="139">
        <f>Mitigation_Industry!$G$768</f>
        <v>7.8858436436826454E-3</v>
      </c>
      <c r="AE286" s="139">
        <f>Mitigation_Industry!$G$768</f>
        <v>7.8858436436826454E-3</v>
      </c>
      <c r="AF286" s="138"/>
      <c r="AG286" s="138"/>
      <c r="AH286" s="138"/>
      <c r="AI286" s="138"/>
    </row>
    <row r="287" spans="2:35" customFormat="1" ht="14.25" x14ac:dyDescent="0.45">
      <c r="B287" s="14" t="s">
        <v>2596</v>
      </c>
      <c r="C287" s="14" t="s">
        <v>115</v>
      </c>
      <c r="D287" s="15" t="s">
        <v>2636</v>
      </c>
      <c r="E287" s="16" t="s">
        <v>2610</v>
      </c>
      <c r="F287" s="14" t="s">
        <v>2619</v>
      </c>
      <c r="G287" s="17"/>
      <c r="H287" s="125" t="str">
        <f>Settings!$B$3&amp;".mit.bp.alu.prp.no.2"</f>
        <v>egy.mit.bp.alu.prp.no.2</v>
      </c>
      <c r="K287" s="136"/>
      <c r="L287" s="139">
        <f>Mitigation_Industry!$G$769</f>
        <v>1.9988245320635362E-3</v>
      </c>
      <c r="M287" s="139">
        <f>Mitigation_Industry!$G$769</f>
        <v>1.9988245320635362E-3</v>
      </c>
      <c r="N287" s="139">
        <f>Mitigation_Industry!$G$769</f>
        <v>1.9988245320635362E-3</v>
      </c>
      <c r="O287" s="139">
        <f>Mitigation_Industry!$G$769</f>
        <v>1.9988245320635362E-3</v>
      </c>
      <c r="P287" s="139">
        <f>Mitigation_Industry!$G$769</f>
        <v>1.9988245320635362E-3</v>
      </c>
      <c r="Q287" s="139">
        <f>Mitigation_Industry!$G$769</f>
        <v>1.9988245320635362E-3</v>
      </c>
      <c r="R287" s="139">
        <f>Mitigation_Industry!$G$769</f>
        <v>1.9988245320635362E-3</v>
      </c>
      <c r="S287" s="139">
        <f>Mitigation_Industry!$G$769</f>
        <v>1.9988245320635362E-3</v>
      </c>
      <c r="T287" s="139">
        <f>Mitigation_Industry!$G$769</f>
        <v>1.9988245320635362E-3</v>
      </c>
      <c r="U287" s="139">
        <f>Mitigation_Industry!$G$769</f>
        <v>1.9988245320635362E-3</v>
      </c>
      <c r="V287" s="139">
        <f>Mitigation_Industry!$G$769</f>
        <v>1.9988245320635362E-3</v>
      </c>
      <c r="W287" s="139">
        <f>Mitigation_Industry!$G$769</f>
        <v>1.9988245320635362E-3</v>
      </c>
      <c r="X287" s="139">
        <f>Mitigation_Industry!$G$769</f>
        <v>1.9988245320635362E-3</v>
      </c>
      <c r="Y287" s="139">
        <f>Mitigation_Industry!$G$769</f>
        <v>1.9988245320635362E-3</v>
      </c>
      <c r="Z287" s="139">
        <f>Mitigation_Industry!$G$769</f>
        <v>1.9988245320635362E-3</v>
      </c>
      <c r="AA287" s="139">
        <f>Mitigation_Industry!$G$769</f>
        <v>1.9988245320635362E-3</v>
      </c>
      <c r="AB287" s="139">
        <f>Mitigation_Industry!$G$769</f>
        <v>1.9988245320635362E-3</v>
      </c>
      <c r="AC287" s="139">
        <f>Mitigation_Industry!$G$769</f>
        <v>1.9988245320635362E-3</v>
      </c>
      <c r="AD287" s="139">
        <f>Mitigation_Industry!$G$769</f>
        <v>1.9988245320635362E-3</v>
      </c>
      <c r="AE287" s="139">
        <f>Mitigation_Industry!$G$769</f>
        <v>1.9988245320635362E-3</v>
      </c>
      <c r="AF287" s="138"/>
      <c r="AG287" s="138"/>
      <c r="AH287" s="138"/>
      <c r="AI287" s="138"/>
    </row>
    <row r="288" spans="2:35" x14ac:dyDescent="0.35"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  <c r="AC288" s="132"/>
      <c r="AD288" s="132"/>
      <c r="AE288" s="132"/>
      <c r="AF288" s="132"/>
      <c r="AG288" s="132"/>
      <c r="AH288" s="132"/>
      <c r="AI288" s="132"/>
    </row>
    <row r="289" spans="1:35" customFormat="1" ht="14.25" x14ac:dyDescent="0.45">
      <c r="A289" s="11"/>
      <c r="B289" s="6"/>
      <c r="C289" s="7" t="s">
        <v>2637</v>
      </c>
      <c r="D289" s="6" t="s">
        <v>1488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34">
        <v>2021</v>
      </c>
      <c r="L289" s="135">
        <v>2022</v>
      </c>
      <c r="M289" s="134">
        <v>2023</v>
      </c>
      <c r="N289" s="134">
        <v>2024</v>
      </c>
      <c r="O289" s="134">
        <v>2025</v>
      </c>
      <c r="P289" s="134">
        <v>2026</v>
      </c>
      <c r="Q289" s="134">
        <v>2027</v>
      </c>
      <c r="R289" s="134">
        <v>2028</v>
      </c>
      <c r="S289" s="134">
        <v>2029</v>
      </c>
      <c r="T289" s="134">
        <v>2030</v>
      </c>
      <c r="U289" s="134">
        <v>2031</v>
      </c>
      <c r="V289" s="134">
        <v>2032</v>
      </c>
      <c r="W289" s="134">
        <v>2033</v>
      </c>
      <c r="X289" s="134">
        <v>2034</v>
      </c>
      <c r="Y289" s="134">
        <v>2035</v>
      </c>
      <c r="Z289" s="134">
        <v>2036</v>
      </c>
      <c r="AA289" s="134">
        <v>2037</v>
      </c>
      <c r="AB289" s="134">
        <v>2038</v>
      </c>
      <c r="AC289" s="134">
        <v>2039</v>
      </c>
      <c r="AD289" s="134">
        <v>2040</v>
      </c>
      <c r="AE289" s="134">
        <v>2041</v>
      </c>
      <c r="AF289" s="134">
        <v>2042</v>
      </c>
      <c r="AG289" s="134">
        <v>2043</v>
      </c>
      <c r="AH289" s="134">
        <v>2044</v>
      </c>
      <c r="AI289" s="134">
        <v>2045</v>
      </c>
    </row>
    <row r="290" spans="1:35" customFormat="1" ht="14.25" x14ac:dyDescent="0.45">
      <c r="B290" s="14" t="s">
        <v>2565</v>
      </c>
      <c r="C290" s="14" t="s">
        <v>43</v>
      </c>
      <c r="D290" s="15" t="s">
        <v>2638</v>
      </c>
      <c r="E290" s="16" t="s">
        <v>2068</v>
      </c>
      <c r="F290" s="14" t="s">
        <v>2637</v>
      </c>
      <c r="G290" s="17"/>
      <c r="H290" s="125" t="str">
        <f>Settings!$B$3&amp;".mit.wm.stl.drg.np.2"</f>
        <v>egy.mit.wm.stl.drg.np.2</v>
      </c>
      <c r="I290" t="s">
        <v>2639</v>
      </c>
      <c r="K290" s="136"/>
      <c r="L290" s="137">
        <f>Mitigation_Industry!L$675*Mitigation_Industry!$J$672*MAX(Mitigation_Industry!$J$663,0)*Mitigation_Industry!$F$762/1000</f>
        <v>0.17734546065090059</v>
      </c>
      <c r="M290" s="137">
        <f>Mitigation_Industry!M$675*Mitigation_Industry!$J$672*MAX(Mitigation_Industry!$J$663,0)*Mitigation_Industry!$F$762/1000</f>
        <v>0.18514866091954021</v>
      </c>
      <c r="N290" s="137">
        <f>Mitigation_Industry!N$675*Mitigation_Industry!$J$672*MAX(Mitigation_Industry!$J$663,0)*Mitigation_Industry!$F$762/1000</f>
        <v>0.193295202</v>
      </c>
      <c r="O290" s="137">
        <f>Mitigation_Industry!O$675*Mitigation_Industry!$J$672*MAX(Mitigation_Industry!$J$663,0)*Mitigation_Industry!$F$762/1000</f>
        <v>0.20180019088800003</v>
      </c>
      <c r="P290" s="137">
        <f>Mitigation_Industry!P$675*Mitigation_Industry!$J$672*MAX(Mitigation_Industry!$J$663,0)*Mitigation_Industry!$F$762/1000</f>
        <v>0.21067939928707202</v>
      </c>
      <c r="Q290" s="137">
        <f>Mitigation_Industry!Q$675*Mitigation_Industry!$J$672*MAX(Mitigation_Industry!$J$663,0)*Mitigation_Industry!$F$762/1000</f>
        <v>0.21994929285570322</v>
      </c>
      <c r="R290" s="137">
        <f>Mitigation_Industry!R$675*Mitigation_Industry!$J$672*MAX(Mitigation_Industry!$J$663,0)*Mitigation_Industry!$F$762/1000</f>
        <v>0.22962706174135414</v>
      </c>
      <c r="S290" s="137">
        <f>Mitigation_Industry!S$675*Mitigation_Industry!$J$672*MAX(Mitigation_Industry!$J$663,0)*Mitigation_Industry!$F$762/1000</f>
        <v>0.2397306524579737</v>
      </c>
      <c r="T290" s="137">
        <f>Mitigation_Industry!T$675*Mitigation_Industry!$J$672*MAX(Mitigation_Industry!$J$663,0)*Mitigation_Industry!$F$762/1000</f>
        <v>0.25027880116612461</v>
      </c>
      <c r="U290" s="137">
        <f>Mitigation_Industry!U$675*Mitigation_Industry!$J$672*MAX(Mitigation_Industry!$J$663,0)*Mitigation_Industry!$F$762/1000</f>
        <v>0.2612910684174341</v>
      </c>
      <c r="V290" s="137">
        <f>Mitigation_Industry!V$675*Mitigation_Industry!$J$672*MAX(Mitigation_Industry!$J$663,0)*Mitigation_Industry!$F$762/1000</f>
        <v>0.27278787542780114</v>
      </c>
      <c r="W290" s="137">
        <f>Mitigation_Industry!W$675*Mitigation_Industry!$J$672*MAX(Mitigation_Industry!$J$663,0)*Mitigation_Industry!$F$762/1000</f>
        <v>0.28479054194662445</v>
      </c>
      <c r="X290" s="137">
        <f>Mitigation_Industry!X$675*Mitigation_Industry!$J$672*MAX(Mitigation_Industry!$J$663,0)*Mitigation_Industry!$F$762/1000</f>
        <v>0.29732132579227588</v>
      </c>
      <c r="Y290" s="137">
        <f>Mitigation_Industry!Y$675*Mitigation_Industry!$J$672*MAX(Mitigation_Industry!$J$663,0)*Mitigation_Industry!$F$762/1000</f>
        <v>0.3104034641271361</v>
      </c>
      <c r="Z290" s="137">
        <f>Mitigation_Industry!Z$675*Mitigation_Industry!$J$672*MAX(Mitigation_Industry!$J$663,0)*Mitigation_Industry!$F$762/1000</f>
        <v>0.32406121654872999</v>
      </c>
      <c r="AA290" s="137">
        <f>Mitigation_Industry!AA$675*Mitigation_Industry!$J$672*MAX(Mitigation_Industry!$J$663,0)*Mitigation_Industry!$F$762/1000</f>
        <v>0.33831991007687412</v>
      </c>
      <c r="AB290" s="137">
        <f>Mitigation_Industry!AB$675*Mitigation_Industry!$J$672*MAX(Mitigation_Industry!$J$663,0)*Mitigation_Industry!$F$762/1000</f>
        <v>0.35320598612025667</v>
      </c>
      <c r="AC290" s="137">
        <f>Mitigation_Industry!AC$675*Mitigation_Industry!$J$672*MAX(Mitigation_Industry!$J$663,0)*Mitigation_Industry!$F$762/1000</f>
        <v>0.36874704950954795</v>
      </c>
      <c r="AD290" s="137">
        <f>Mitigation_Industry!AD$675*Mitigation_Industry!$J$672*MAX(Mitigation_Industry!$J$663,0)*Mitigation_Industry!$F$762/1000</f>
        <v>0.38497191968796801</v>
      </c>
      <c r="AE290" s="137">
        <f>Mitigation_Industry!AE$675*Mitigation_Industry!$J$672*MAX(Mitigation_Industry!$J$663,0)*Mitigation_Industry!$F$762/1000</f>
        <v>0.40191068415423858</v>
      </c>
      <c r="AF290" s="138"/>
      <c r="AG290" s="138"/>
      <c r="AH290" s="138"/>
      <c r="AI290" s="138"/>
    </row>
    <row r="291" spans="1:35" customFormat="1" ht="14.25" x14ac:dyDescent="0.45">
      <c r="B291" s="14" t="s">
        <v>2568</v>
      </c>
      <c r="C291" s="14" t="s">
        <v>43</v>
      </c>
      <c r="D291" s="15" t="s">
        <v>2640</v>
      </c>
      <c r="E291" s="16" t="s">
        <v>2068</v>
      </c>
      <c r="F291" s="14" t="s">
        <v>2637</v>
      </c>
      <c r="G291" s="17"/>
      <c r="H291" s="125" t="str">
        <f>Settings!$B$3&amp;".mit.wm.stl.scr.np.2"</f>
        <v>egy.mit.wm.stl.scr.np.2</v>
      </c>
      <c r="K291" s="136"/>
      <c r="L291" s="137">
        <f>Mitigation_Industry!L$676*Mitigation_Industry!$J$672*MAX(Mitigation_Industry!$J$664,0)*Mitigation_Industry!$F$763/1000</f>
        <v>0.19368983132954593</v>
      </c>
      <c r="M291" s="137">
        <f>Mitigation_Industry!M$676*Mitigation_Industry!$J$672*MAX(Mitigation_Industry!$J$664,0)*Mitigation_Industry!$F$763/1000</f>
        <v>0.20221218390804596</v>
      </c>
      <c r="N291" s="137">
        <f>Mitigation_Industry!N$676*Mitigation_Industry!$J$672*MAX(Mitigation_Industry!$J$664,0)*Mitigation_Industry!$F$763/1000</f>
        <v>0.21110951999999997</v>
      </c>
      <c r="O291" s="137">
        <f>Mitigation_Industry!O$676*Mitigation_Industry!$J$672*MAX(Mitigation_Industry!$J$664,0)*Mitigation_Industry!$F$763/1000</f>
        <v>0.22039833887999999</v>
      </c>
      <c r="P291" s="137">
        <f>Mitigation_Industry!P$676*Mitigation_Industry!$J$672*MAX(Mitigation_Industry!$J$664,0)*Mitigation_Industry!$F$763/1000</f>
        <v>0.23009586579071997</v>
      </c>
      <c r="Q291" s="137">
        <f>Mitigation_Industry!Q$676*Mitigation_Industry!$J$672*MAX(Mitigation_Industry!$J$664,0)*Mitigation_Industry!$F$763/1000</f>
        <v>0.24022008388551169</v>
      </c>
      <c r="R291" s="137">
        <f>Mitigation_Industry!R$676*Mitigation_Industry!$J$672*MAX(Mitigation_Industry!$J$664,0)*Mitigation_Industry!$F$763/1000</f>
        <v>0.25078976757647414</v>
      </c>
      <c r="S291" s="137">
        <f>Mitigation_Industry!S$676*Mitigation_Industry!$J$672*MAX(Mitigation_Industry!$J$664,0)*Mitigation_Industry!$F$763/1000</f>
        <v>0.26182451734983908</v>
      </c>
      <c r="T291" s="137">
        <f>Mitigation_Industry!T$676*Mitigation_Industry!$J$672*MAX(Mitigation_Industry!$J$664,0)*Mitigation_Industry!$F$763/1000</f>
        <v>0.27334479611323198</v>
      </c>
      <c r="U291" s="137">
        <f>Mitigation_Industry!U$676*Mitigation_Industry!$J$672*MAX(Mitigation_Industry!$J$664,0)*Mitigation_Industry!$F$763/1000</f>
        <v>0.28537196714221424</v>
      </c>
      <c r="V291" s="137">
        <f>Mitigation_Industry!V$676*Mitigation_Industry!$J$672*MAX(Mitigation_Industry!$J$664,0)*Mitigation_Industry!$F$763/1000</f>
        <v>0.29792833369647159</v>
      </c>
      <c r="W291" s="137">
        <f>Mitigation_Industry!W$676*Mitigation_Industry!$J$672*MAX(Mitigation_Industry!$J$664,0)*Mitigation_Industry!$F$763/1000</f>
        <v>0.31103718037911643</v>
      </c>
      <c r="X291" s="137">
        <f>Mitigation_Industry!X$676*Mitigation_Industry!$J$672*MAX(Mitigation_Industry!$J$664,0)*Mitigation_Industry!$F$763/1000</f>
        <v>0.32472281631579752</v>
      </c>
      <c r="Y291" s="137">
        <f>Mitigation_Industry!Y$676*Mitigation_Industry!$J$672*MAX(Mitigation_Industry!$J$664,0)*Mitigation_Industry!$F$763/1000</f>
        <v>0.33901062023369266</v>
      </c>
      <c r="Z291" s="137">
        <f>Mitigation_Industry!Z$676*Mitigation_Industry!$J$672*MAX(Mitigation_Industry!$J$664,0)*Mitigation_Industry!$F$763/1000</f>
        <v>0.35392708752397511</v>
      </c>
      <c r="AA291" s="137">
        <f>Mitigation_Industry!AA$676*Mitigation_Industry!$J$672*MAX(Mitigation_Industry!$J$664,0)*Mitigation_Industry!$F$763/1000</f>
        <v>0.36949987937502998</v>
      </c>
      <c r="AB291" s="137">
        <f>Mitigation_Industry!AB$676*Mitigation_Industry!$J$672*MAX(Mitigation_Industry!$J$664,0)*Mitigation_Industry!$F$763/1000</f>
        <v>0.38575787406753137</v>
      </c>
      <c r="AC291" s="137">
        <f>Mitigation_Industry!AC$676*Mitigation_Industry!$J$672*MAX(Mitigation_Industry!$J$664,0)*Mitigation_Industry!$F$763/1000</f>
        <v>0.40273122052650273</v>
      </c>
      <c r="AD291" s="137">
        <f>Mitigation_Industry!AD$676*Mitigation_Industry!$J$672*MAX(Mitigation_Industry!$J$664,0)*Mitigation_Industry!$F$763/1000</f>
        <v>0.42045139422966882</v>
      </c>
      <c r="AE291" s="137">
        <f>Mitigation_Industry!AE$676*Mitigation_Industry!$J$672*MAX(Mitigation_Industry!$J$664,0)*Mitigation_Industry!$F$763/1000</f>
        <v>0.43895125557577425</v>
      </c>
      <c r="AF291" s="138"/>
      <c r="AG291" s="138"/>
      <c r="AH291" s="138"/>
      <c r="AI291" s="138"/>
    </row>
    <row r="292" spans="1:35" customFormat="1" ht="14.25" x14ac:dyDescent="0.45">
      <c r="B292" s="14" t="s">
        <v>2570</v>
      </c>
      <c r="C292" s="14" t="s">
        <v>43</v>
      </c>
      <c r="D292" s="15" t="s">
        <v>2641</v>
      </c>
      <c r="E292" s="16" t="s">
        <v>2068</v>
      </c>
      <c r="F292" s="14" t="s">
        <v>2637</v>
      </c>
      <c r="G292" s="17"/>
      <c r="H292" s="125" t="str">
        <f>Settings!$B$3&amp;".mit.wm.stl.bof.np.2"</f>
        <v>egy.mit.wm.stl.bof.np.2</v>
      </c>
      <c r="K292" s="136"/>
      <c r="L292" s="137">
        <f>Mitigation_Industry!L$677*Mitigation_Industry!$J$672*MAX(Mitigation_Industry!$J$665,0)*Mitigation_Industry!$F$764/1000</f>
        <v>0</v>
      </c>
      <c r="M292" s="137">
        <f>Mitigation_Industry!M$677*Mitigation_Industry!$J$672*MAX(Mitigation_Industry!$J$665,0)*Mitigation_Industry!$F$764/1000</f>
        <v>0</v>
      </c>
      <c r="N292" s="137">
        <f>Mitigation_Industry!N$677*Mitigation_Industry!$J$672*MAX(Mitigation_Industry!$J$665,0)*Mitigation_Industry!$F$764/1000</f>
        <v>0</v>
      </c>
      <c r="O292" s="137">
        <f>Mitigation_Industry!O$677*Mitigation_Industry!$J$672*MAX(Mitigation_Industry!$J$665,0)*Mitigation_Industry!$F$764/1000</f>
        <v>0</v>
      </c>
      <c r="P292" s="137">
        <f>Mitigation_Industry!P$677*Mitigation_Industry!$J$672*MAX(Mitigation_Industry!$J$665,0)*Mitigation_Industry!$F$764/1000</f>
        <v>0</v>
      </c>
      <c r="Q292" s="137">
        <f>Mitigation_Industry!Q$677*Mitigation_Industry!$J$672*MAX(Mitigation_Industry!$J$665,0)*Mitigation_Industry!$F$764/1000</f>
        <v>0</v>
      </c>
      <c r="R292" s="137">
        <f>Mitigation_Industry!R$677*Mitigation_Industry!$J$672*MAX(Mitigation_Industry!$J$665,0)*Mitigation_Industry!$F$764/1000</f>
        <v>0</v>
      </c>
      <c r="S292" s="137">
        <f>Mitigation_Industry!S$677*Mitigation_Industry!$J$672*MAX(Mitigation_Industry!$J$665,0)*Mitigation_Industry!$F$764/1000</f>
        <v>0</v>
      </c>
      <c r="T292" s="137">
        <f>Mitigation_Industry!T$677*Mitigation_Industry!$J$672*MAX(Mitigation_Industry!$J$665,0)*Mitigation_Industry!$F$764/1000</f>
        <v>0</v>
      </c>
      <c r="U292" s="137">
        <f>Mitigation_Industry!U$677*Mitigation_Industry!$J$672*MAX(Mitigation_Industry!$J$665,0)*Mitigation_Industry!$F$764/1000</f>
        <v>0</v>
      </c>
      <c r="V292" s="137">
        <f>Mitigation_Industry!V$677*Mitigation_Industry!$J$672*MAX(Mitigation_Industry!$J$665,0)*Mitigation_Industry!$F$764/1000</f>
        <v>0</v>
      </c>
      <c r="W292" s="137">
        <f>Mitigation_Industry!W$677*Mitigation_Industry!$J$672*MAX(Mitigation_Industry!$J$665,0)*Mitigation_Industry!$F$764/1000</f>
        <v>0</v>
      </c>
      <c r="X292" s="137">
        <f>Mitigation_Industry!X$677*Mitigation_Industry!$J$672*MAX(Mitigation_Industry!$J$665,0)*Mitigation_Industry!$F$764/1000</f>
        <v>0</v>
      </c>
      <c r="Y292" s="137">
        <f>Mitigation_Industry!Y$677*Mitigation_Industry!$J$672*MAX(Mitigation_Industry!$J$665,0)*Mitigation_Industry!$F$764/1000</f>
        <v>0</v>
      </c>
      <c r="Z292" s="137">
        <f>Mitigation_Industry!Z$677*Mitigation_Industry!$J$672*MAX(Mitigation_Industry!$J$665,0)*Mitigation_Industry!$F$764/1000</f>
        <v>0</v>
      </c>
      <c r="AA292" s="137">
        <f>Mitigation_Industry!AA$677*Mitigation_Industry!$J$672*MAX(Mitigation_Industry!$J$665,0)*Mitigation_Industry!$F$764/1000</f>
        <v>0</v>
      </c>
      <c r="AB292" s="137">
        <f>Mitigation_Industry!AB$677*Mitigation_Industry!$J$672*MAX(Mitigation_Industry!$J$665,0)*Mitigation_Industry!$F$764/1000</f>
        <v>0</v>
      </c>
      <c r="AC292" s="137">
        <f>Mitigation_Industry!AC$677*Mitigation_Industry!$J$672*MAX(Mitigation_Industry!$J$665,0)*Mitigation_Industry!$F$764/1000</f>
        <v>0</v>
      </c>
      <c r="AD292" s="137">
        <f>Mitigation_Industry!AD$677*Mitigation_Industry!$J$672*MAX(Mitigation_Industry!$J$665,0)*Mitigation_Industry!$F$764/1000</f>
        <v>0</v>
      </c>
      <c r="AE292" s="137">
        <f>Mitigation_Industry!AE$677*Mitigation_Industry!$J$672*MAX(Mitigation_Industry!$J$665,0)*Mitigation_Industry!$F$764/1000</f>
        <v>0</v>
      </c>
      <c r="AF292" s="138"/>
      <c r="AG292" s="138"/>
      <c r="AH292" s="138"/>
      <c r="AI292" s="138"/>
    </row>
    <row r="293" spans="1:35" customFormat="1" ht="14.25" x14ac:dyDescent="0.45">
      <c r="B293" s="14" t="s">
        <v>2572</v>
      </c>
      <c r="C293" s="14" t="s">
        <v>113</v>
      </c>
      <c r="D293" s="15" t="s">
        <v>2642</v>
      </c>
      <c r="E293" s="16" t="s">
        <v>2068</v>
      </c>
      <c r="F293" s="14" t="s">
        <v>2637</v>
      </c>
      <c r="G293" s="17"/>
      <c r="H293" s="125" t="str">
        <f>Settings!$B$3&amp;".mit.wm.cmt.dry.np.2"</f>
        <v>egy.mit.wm.cmt.dry.np.2</v>
      </c>
      <c r="K293" s="136"/>
      <c r="L293" s="137">
        <f>Mitigation_Industry!L$678*Mitigation_Industry!$J$672*MAX(Mitigation_Industry!$J$666,0)*Mitigation_Industry!$F$765/1000</f>
        <v>25.163138219961041</v>
      </c>
      <c r="M293" s="137">
        <f>Mitigation_Industry!M$678*Mitigation_Industry!$J$672*MAX(Mitigation_Industry!$J$666,0)*Mitigation_Industry!$F$765/1000</f>
        <v>25.993521781219755</v>
      </c>
      <c r="N293" s="137">
        <f>Mitigation_Industry!N$678*Mitigation_Industry!$J$672*MAX(Mitigation_Industry!$J$666,0)*Mitigation_Industry!$F$765/1000</f>
        <v>26.851308</v>
      </c>
      <c r="O293" s="137">
        <f>Mitigation_Industry!O$678*Mitigation_Industry!$J$672*MAX(Mitigation_Industry!$J$666,0)*Mitigation_Industry!$F$765/1000</f>
        <v>27.737401163999998</v>
      </c>
      <c r="P293" s="137">
        <f>Mitigation_Industry!P$678*Mitigation_Industry!$J$672*MAX(Mitigation_Industry!$J$666,0)*Mitigation_Industry!$F$765/1000</f>
        <v>28.652735402411995</v>
      </c>
      <c r="Q293" s="137">
        <f>Mitigation_Industry!Q$678*Mitigation_Industry!$J$672*MAX(Mitigation_Industry!$J$666,0)*Mitigation_Industry!$F$765/1000</f>
        <v>29.598275670691589</v>
      </c>
      <c r="R293" s="137">
        <f>Mitigation_Industry!R$678*Mitigation_Industry!$J$672*MAX(Mitigation_Industry!$J$666,0)*Mitigation_Industry!$F$765/1000</f>
        <v>30.575018767824407</v>
      </c>
      <c r="S293" s="137">
        <f>Mitigation_Industry!S$678*Mitigation_Industry!$J$672*MAX(Mitigation_Industry!$J$666,0)*Mitigation_Industry!$F$765/1000</f>
        <v>31.583994387162612</v>
      </c>
      <c r="T293" s="137">
        <f>Mitigation_Industry!T$678*Mitigation_Industry!$J$672*MAX(Mitigation_Industry!$J$666,0)*Mitigation_Industry!$F$765/1000</f>
        <v>32.626266201938975</v>
      </c>
      <c r="U293" s="137">
        <f>Mitigation_Industry!U$678*Mitigation_Industry!$J$672*MAX(Mitigation_Industry!$J$666,0)*Mitigation_Industry!$F$765/1000</f>
        <v>33.70293298660296</v>
      </c>
      <c r="V293" s="137">
        <f>Mitigation_Industry!V$678*Mitigation_Industry!$J$672*MAX(Mitigation_Industry!$J$666,0)*Mitigation_Industry!$F$765/1000</f>
        <v>34.815129775160841</v>
      </c>
      <c r="W293" s="137">
        <f>Mitigation_Industry!W$678*Mitigation_Industry!$J$672*MAX(Mitigation_Industry!$J$666,0)*Mitigation_Industry!$F$765/1000</f>
        <v>35.964029057741151</v>
      </c>
      <c r="X293" s="137">
        <f>Mitigation_Industry!X$678*Mitigation_Industry!$J$672*MAX(Mitigation_Industry!$J$666,0)*Mitigation_Industry!$F$765/1000</f>
        <v>37.150842016646592</v>
      </c>
      <c r="Y293" s="137">
        <f>Mitigation_Industry!Y$678*Mitigation_Industry!$J$672*MAX(Mitigation_Industry!$J$666,0)*Mitigation_Industry!$F$765/1000</f>
        <v>38.376819803195943</v>
      </c>
      <c r="Z293" s="137">
        <f>Mitigation_Industry!Z$678*Mitigation_Industry!$J$672*MAX(Mitigation_Industry!$J$666,0)*Mitigation_Industry!$F$765/1000</f>
        <v>39.643254856701404</v>
      </c>
      <c r="AA293" s="137">
        <f>Mitigation_Industry!AA$678*Mitigation_Industry!$J$672*MAX(Mitigation_Industry!$J$666,0)*Mitigation_Industry!$F$765/1000</f>
        <v>40.951482266972548</v>
      </c>
      <c r="AB293" s="137">
        <f>Mitigation_Industry!AB$678*Mitigation_Industry!$J$672*MAX(Mitigation_Industry!$J$666,0)*Mitigation_Industry!$F$765/1000</f>
        <v>42.302881181782631</v>
      </c>
      <c r="AC293" s="137">
        <f>Mitigation_Industry!AC$678*Mitigation_Industry!$J$672*MAX(Mitigation_Industry!$J$666,0)*Mitigation_Industry!$F$765/1000</f>
        <v>43.698876260781446</v>
      </c>
      <c r="AD293" s="137">
        <f>Mitigation_Industry!AD$678*Mitigation_Industry!$J$672*MAX(Mitigation_Industry!$J$666,0)*Mitigation_Industry!$F$765/1000</f>
        <v>45.140939177387231</v>
      </c>
      <c r="AE293" s="137">
        <f>Mitigation_Industry!AE$678*Mitigation_Industry!$J$672*MAX(Mitigation_Industry!$J$666,0)*Mitigation_Industry!$F$765/1000</f>
        <v>46.630590170241007</v>
      </c>
      <c r="AF293" s="138"/>
      <c r="AG293" s="138"/>
      <c r="AH293" s="138"/>
      <c r="AI293" s="138"/>
    </row>
    <row r="294" spans="1:35" customFormat="1" ht="14.25" x14ac:dyDescent="0.45">
      <c r="B294" s="14" t="s">
        <v>2574</v>
      </c>
      <c r="C294" s="14" t="s">
        <v>117</v>
      </c>
      <c r="D294" s="15" t="s">
        <v>2643</v>
      </c>
      <c r="E294" s="16" t="s">
        <v>2068</v>
      </c>
      <c r="F294" s="14" t="s">
        <v>2637</v>
      </c>
      <c r="G294" s="17"/>
      <c r="H294" s="125" t="str">
        <f>Settings!$B$3&amp;".mit.wm.frt.amc.np.2"</f>
        <v>egy.mit.wm.frt.amc.np.2</v>
      </c>
      <c r="K294" s="136"/>
      <c r="L294" s="137">
        <f>Mitigation_Industry!L$679*Mitigation_Industry!$J$672*MAX(Mitigation_Industry!$J$667,0)*Mitigation_Industry!$F$766/1000</f>
        <v>0</v>
      </c>
      <c r="M294" s="137">
        <f>Mitigation_Industry!M$679*Mitigation_Industry!$J$672*MAX(Mitigation_Industry!$J$667,0)*Mitigation_Industry!$F$766/1000</f>
        <v>0</v>
      </c>
      <c r="N294" s="137">
        <f>Mitigation_Industry!N$679*Mitigation_Industry!$J$672*MAX(Mitigation_Industry!$J$667,0)*Mitigation_Industry!$F$766/1000</f>
        <v>0</v>
      </c>
      <c r="O294" s="137">
        <f>Mitigation_Industry!O$679*Mitigation_Industry!$J$672*MAX(Mitigation_Industry!$J$667,0)*Mitigation_Industry!$F$766/1000</f>
        <v>0</v>
      </c>
      <c r="P294" s="137">
        <f>Mitigation_Industry!P$679*Mitigation_Industry!$J$672*MAX(Mitigation_Industry!$J$667,0)*Mitigation_Industry!$F$766/1000</f>
        <v>0</v>
      </c>
      <c r="Q294" s="137">
        <f>Mitigation_Industry!Q$679*Mitigation_Industry!$J$672*MAX(Mitigation_Industry!$J$667,0)*Mitigation_Industry!$F$766/1000</f>
        <v>0</v>
      </c>
      <c r="R294" s="137">
        <f>Mitigation_Industry!R$679*Mitigation_Industry!$J$672*MAX(Mitigation_Industry!$J$667,0)*Mitigation_Industry!$F$766/1000</f>
        <v>0</v>
      </c>
      <c r="S294" s="137">
        <f>Mitigation_Industry!S$679*Mitigation_Industry!$J$672*MAX(Mitigation_Industry!$J$667,0)*Mitigation_Industry!$F$766/1000</f>
        <v>0</v>
      </c>
      <c r="T294" s="137">
        <f>Mitigation_Industry!T$679*Mitigation_Industry!$J$672*MAX(Mitigation_Industry!$J$667,0)*Mitigation_Industry!$F$766/1000</f>
        <v>0</v>
      </c>
      <c r="U294" s="137">
        <f>Mitigation_Industry!U$679*Mitigation_Industry!$J$672*MAX(Mitigation_Industry!$J$667,0)*Mitigation_Industry!$F$766/1000</f>
        <v>0</v>
      </c>
      <c r="V294" s="137">
        <f>Mitigation_Industry!V$679*Mitigation_Industry!$J$672*MAX(Mitigation_Industry!$J$667,0)*Mitigation_Industry!$F$766/1000</f>
        <v>0</v>
      </c>
      <c r="W294" s="137">
        <f>Mitigation_Industry!W$679*Mitigation_Industry!$J$672*MAX(Mitigation_Industry!$J$667,0)*Mitigation_Industry!$F$766/1000</f>
        <v>0</v>
      </c>
      <c r="X294" s="137">
        <f>Mitigation_Industry!X$679*Mitigation_Industry!$J$672*MAX(Mitigation_Industry!$J$667,0)*Mitigation_Industry!$F$766/1000</f>
        <v>0</v>
      </c>
      <c r="Y294" s="137">
        <f>Mitigation_Industry!Y$679*Mitigation_Industry!$J$672*MAX(Mitigation_Industry!$J$667,0)*Mitigation_Industry!$F$766/1000</f>
        <v>0</v>
      </c>
      <c r="Z294" s="137">
        <f>Mitigation_Industry!Z$679*Mitigation_Industry!$J$672*MAX(Mitigation_Industry!$J$667,0)*Mitigation_Industry!$F$766/1000</f>
        <v>0</v>
      </c>
      <c r="AA294" s="137">
        <f>Mitigation_Industry!AA$679*Mitigation_Industry!$J$672*MAX(Mitigation_Industry!$J$667,0)*Mitigation_Industry!$F$766/1000</f>
        <v>0</v>
      </c>
      <c r="AB294" s="137">
        <f>Mitigation_Industry!AB$679*Mitigation_Industry!$J$672*MAX(Mitigation_Industry!$J$667,0)*Mitigation_Industry!$F$766/1000</f>
        <v>0</v>
      </c>
      <c r="AC294" s="137">
        <f>Mitigation_Industry!AC$679*Mitigation_Industry!$J$672*MAX(Mitigation_Industry!$J$667,0)*Mitigation_Industry!$F$766/1000</f>
        <v>0</v>
      </c>
      <c r="AD294" s="137">
        <f>Mitigation_Industry!AD$679*Mitigation_Industry!$J$672*MAX(Mitigation_Industry!$J$667,0)*Mitigation_Industry!$F$766/1000</f>
        <v>0</v>
      </c>
      <c r="AE294" s="137">
        <f>Mitigation_Industry!AE$679*Mitigation_Industry!$J$672*MAX(Mitigation_Industry!$J$667,0)*Mitigation_Industry!$F$766/1000</f>
        <v>0</v>
      </c>
      <c r="AF294" s="138"/>
      <c r="AG294" s="138"/>
      <c r="AH294" s="138"/>
      <c r="AI294" s="138"/>
    </row>
    <row r="295" spans="1:35" customFormat="1" ht="14.25" x14ac:dyDescent="0.45">
      <c r="B295" s="14" t="s">
        <v>2576</v>
      </c>
      <c r="C295" s="14" t="s">
        <v>117</v>
      </c>
      <c r="D295" s="15" t="s">
        <v>2644</v>
      </c>
      <c r="E295" s="16" t="s">
        <v>2068</v>
      </c>
      <c r="F295" s="14" t="s">
        <v>2637</v>
      </c>
      <c r="G295" s="17"/>
      <c r="H295" s="125" t="str">
        <f>Settings!$B$3&amp;".mit.wm.frt.ure.np.2"</f>
        <v>egy.mit.wm.frt.ure.np.2</v>
      </c>
      <c r="K295" s="136"/>
      <c r="L295" s="137">
        <f>Mitigation_Industry!L$680*Mitigation_Industry!$J$672*MAX(Mitigation_Industry!$J$668,0)*Mitigation_Industry!$F$767/1000</f>
        <v>0</v>
      </c>
      <c r="M295" s="137">
        <f>Mitigation_Industry!M$680*Mitigation_Industry!$J$672*MAX(Mitigation_Industry!$J$668,0)*Mitigation_Industry!$F$767/1000</f>
        <v>0</v>
      </c>
      <c r="N295" s="137">
        <f>Mitigation_Industry!N$680*Mitigation_Industry!$J$672*MAX(Mitigation_Industry!$J$668,0)*Mitigation_Industry!$F$767/1000</f>
        <v>0</v>
      </c>
      <c r="O295" s="137">
        <f>Mitigation_Industry!O$680*Mitigation_Industry!$J$672*MAX(Mitigation_Industry!$J$668,0)*Mitigation_Industry!$F$767/1000</f>
        <v>0</v>
      </c>
      <c r="P295" s="137">
        <f>Mitigation_Industry!P$680*Mitigation_Industry!$J$672*MAX(Mitigation_Industry!$J$668,0)*Mitigation_Industry!$F$767/1000</f>
        <v>0</v>
      </c>
      <c r="Q295" s="137">
        <f>Mitigation_Industry!Q$680*Mitigation_Industry!$J$672*MAX(Mitigation_Industry!$J$668,0)*Mitigation_Industry!$F$767/1000</f>
        <v>0</v>
      </c>
      <c r="R295" s="137">
        <f>Mitigation_Industry!R$680*Mitigation_Industry!$J$672*MAX(Mitigation_Industry!$J$668,0)*Mitigation_Industry!$F$767/1000</f>
        <v>0</v>
      </c>
      <c r="S295" s="137">
        <f>Mitigation_Industry!S$680*Mitigation_Industry!$J$672*MAX(Mitigation_Industry!$J$668,0)*Mitigation_Industry!$F$767/1000</f>
        <v>0</v>
      </c>
      <c r="T295" s="137">
        <f>Mitigation_Industry!T$680*Mitigation_Industry!$J$672*MAX(Mitigation_Industry!$J$668,0)*Mitigation_Industry!$F$767/1000</f>
        <v>0</v>
      </c>
      <c r="U295" s="137">
        <f>Mitigation_Industry!U$680*Mitigation_Industry!$J$672*MAX(Mitigation_Industry!$J$668,0)*Mitigation_Industry!$F$767/1000</f>
        <v>0</v>
      </c>
      <c r="V295" s="137">
        <f>Mitigation_Industry!V$680*Mitigation_Industry!$J$672*MAX(Mitigation_Industry!$J$668,0)*Mitigation_Industry!$F$767/1000</f>
        <v>0</v>
      </c>
      <c r="W295" s="137">
        <f>Mitigation_Industry!W$680*Mitigation_Industry!$J$672*MAX(Mitigation_Industry!$J$668,0)*Mitigation_Industry!$F$767/1000</f>
        <v>0</v>
      </c>
      <c r="X295" s="137">
        <f>Mitigation_Industry!X$680*Mitigation_Industry!$J$672*MAX(Mitigation_Industry!$J$668,0)*Mitigation_Industry!$F$767/1000</f>
        <v>0</v>
      </c>
      <c r="Y295" s="137">
        <f>Mitigation_Industry!Y$680*Mitigation_Industry!$J$672*MAX(Mitigation_Industry!$J$668,0)*Mitigation_Industry!$F$767/1000</f>
        <v>0</v>
      </c>
      <c r="Z295" s="137">
        <f>Mitigation_Industry!Z$680*Mitigation_Industry!$J$672*MAX(Mitigation_Industry!$J$668,0)*Mitigation_Industry!$F$767/1000</f>
        <v>0</v>
      </c>
      <c r="AA295" s="137">
        <f>Mitigation_Industry!AA$680*Mitigation_Industry!$J$672*MAX(Mitigation_Industry!$J$668,0)*Mitigation_Industry!$F$767/1000</f>
        <v>0</v>
      </c>
      <c r="AB295" s="137">
        <f>Mitigation_Industry!AB$680*Mitigation_Industry!$J$672*MAX(Mitigation_Industry!$J$668,0)*Mitigation_Industry!$F$767/1000</f>
        <v>0</v>
      </c>
      <c r="AC295" s="137">
        <f>Mitigation_Industry!AC$680*Mitigation_Industry!$J$672*MAX(Mitigation_Industry!$J$668,0)*Mitigation_Industry!$F$767/1000</f>
        <v>0</v>
      </c>
      <c r="AD295" s="137">
        <f>Mitigation_Industry!AD$680*Mitigation_Industry!$J$672*MAX(Mitigation_Industry!$J$668,0)*Mitigation_Industry!$F$767/1000</f>
        <v>0</v>
      </c>
      <c r="AE295" s="137">
        <f>Mitigation_Industry!AE$680*Mitigation_Industry!$J$672*MAX(Mitigation_Industry!$J$668,0)*Mitigation_Industry!$F$767/1000</f>
        <v>0</v>
      </c>
      <c r="AF295" s="138"/>
      <c r="AG295" s="138"/>
      <c r="AH295" s="138"/>
      <c r="AI295" s="138"/>
    </row>
    <row r="296" spans="1:35" customFormat="1" ht="14.25" x14ac:dyDescent="0.45">
      <c r="B296" s="14" t="s">
        <v>2578</v>
      </c>
      <c r="C296" s="14" t="s">
        <v>117</v>
      </c>
      <c r="D296" s="15" t="s">
        <v>2645</v>
      </c>
      <c r="E296" s="16" t="s">
        <v>2068</v>
      </c>
      <c r="F296" s="14" t="s">
        <v>2637</v>
      </c>
      <c r="G296" s="17"/>
      <c r="H296" s="125" t="str">
        <f>Settings!$B$3&amp;".mit.wm.frt.nit.np.2"</f>
        <v>egy.mit.wm.frt.nit.np.2</v>
      </c>
      <c r="K296" s="136"/>
      <c r="L296" s="137">
        <f>Mitigation_Industry!L$681*Mitigation_Industry!$J$672*MAX(Mitigation_Industry!$J$669,0)*Mitigation_Industry!$F$768/1000</f>
        <v>0</v>
      </c>
      <c r="M296" s="137">
        <f>Mitigation_Industry!M$681*Mitigation_Industry!$J$672*MAX(Mitigation_Industry!$J$669,0)*Mitigation_Industry!$F$768/1000</f>
        <v>0</v>
      </c>
      <c r="N296" s="137">
        <f>Mitigation_Industry!N$681*Mitigation_Industry!$J$672*MAX(Mitigation_Industry!$J$669,0)*Mitigation_Industry!$F$768/1000</f>
        <v>0</v>
      </c>
      <c r="O296" s="137">
        <f>Mitigation_Industry!O$681*Mitigation_Industry!$J$672*MAX(Mitigation_Industry!$J$669,0)*Mitigation_Industry!$F$768/1000</f>
        <v>0</v>
      </c>
      <c r="P296" s="137">
        <f>Mitigation_Industry!P$681*Mitigation_Industry!$J$672*MAX(Mitigation_Industry!$J$669,0)*Mitigation_Industry!$F$768/1000</f>
        <v>0</v>
      </c>
      <c r="Q296" s="137">
        <f>Mitigation_Industry!Q$681*Mitigation_Industry!$J$672*MAX(Mitigation_Industry!$J$669,0)*Mitigation_Industry!$F$768/1000</f>
        <v>0</v>
      </c>
      <c r="R296" s="137">
        <f>Mitigation_Industry!R$681*Mitigation_Industry!$J$672*MAX(Mitigation_Industry!$J$669,0)*Mitigation_Industry!$F$768/1000</f>
        <v>0</v>
      </c>
      <c r="S296" s="137">
        <f>Mitigation_Industry!S$681*Mitigation_Industry!$J$672*MAX(Mitigation_Industry!$J$669,0)*Mitigation_Industry!$F$768/1000</f>
        <v>0</v>
      </c>
      <c r="T296" s="137">
        <f>Mitigation_Industry!T$681*Mitigation_Industry!$J$672*MAX(Mitigation_Industry!$J$669,0)*Mitigation_Industry!$F$768/1000</f>
        <v>0</v>
      </c>
      <c r="U296" s="137">
        <f>Mitigation_Industry!U$681*Mitigation_Industry!$J$672*MAX(Mitigation_Industry!$J$669,0)*Mitigation_Industry!$F$768/1000</f>
        <v>0</v>
      </c>
      <c r="V296" s="137">
        <f>Mitigation_Industry!V$681*Mitigation_Industry!$J$672*MAX(Mitigation_Industry!$J$669,0)*Mitigation_Industry!$F$768/1000</f>
        <v>0</v>
      </c>
      <c r="W296" s="137">
        <f>Mitigation_Industry!W$681*Mitigation_Industry!$J$672*MAX(Mitigation_Industry!$J$669,0)*Mitigation_Industry!$F$768/1000</f>
        <v>0</v>
      </c>
      <c r="X296" s="137">
        <f>Mitigation_Industry!X$681*Mitigation_Industry!$J$672*MAX(Mitigation_Industry!$J$669,0)*Mitigation_Industry!$F$768/1000</f>
        <v>0</v>
      </c>
      <c r="Y296" s="137">
        <f>Mitigation_Industry!Y$681*Mitigation_Industry!$J$672*MAX(Mitigation_Industry!$J$669,0)*Mitigation_Industry!$F$768/1000</f>
        <v>0</v>
      </c>
      <c r="Z296" s="137">
        <f>Mitigation_Industry!Z$681*Mitigation_Industry!$J$672*MAX(Mitigation_Industry!$J$669,0)*Mitigation_Industry!$F$768/1000</f>
        <v>0</v>
      </c>
      <c r="AA296" s="137">
        <f>Mitigation_Industry!AA$681*Mitigation_Industry!$J$672*MAX(Mitigation_Industry!$J$669,0)*Mitigation_Industry!$F$768/1000</f>
        <v>0</v>
      </c>
      <c r="AB296" s="137">
        <f>Mitigation_Industry!AB$681*Mitigation_Industry!$J$672*MAX(Mitigation_Industry!$J$669,0)*Mitigation_Industry!$F$768/1000</f>
        <v>0</v>
      </c>
      <c r="AC296" s="137">
        <f>Mitigation_Industry!AC$681*Mitigation_Industry!$J$672*MAX(Mitigation_Industry!$J$669,0)*Mitigation_Industry!$F$768/1000</f>
        <v>0</v>
      </c>
      <c r="AD296" s="137">
        <f>Mitigation_Industry!AD$681*Mitigation_Industry!$J$672*MAX(Mitigation_Industry!$J$669,0)*Mitigation_Industry!$F$768/1000</f>
        <v>0</v>
      </c>
      <c r="AE296" s="137">
        <f>Mitigation_Industry!AE$681*Mitigation_Industry!$J$672*MAX(Mitigation_Industry!$J$669,0)*Mitigation_Industry!$F$768/1000</f>
        <v>0</v>
      </c>
      <c r="AF296" s="138"/>
      <c r="AG296" s="138"/>
      <c r="AH296" s="138"/>
      <c r="AI296" s="138"/>
    </row>
    <row r="297" spans="1:35" customFormat="1" ht="14.25" x14ac:dyDescent="0.45">
      <c r="B297" s="14" t="s">
        <v>2580</v>
      </c>
      <c r="C297" s="14" t="s">
        <v>115</v>
      </c>
      <c r="D297" s="15" t="s">
        <v>2646</v>
      </c>
      <c r="E297" s="16" t="s">
        <v>2068</v>
      </c>
      <c r="F297" s="14" t="s">
        <v>2637</v>
      </c>
      <c r="G297" s="17"/>
      <c r="H297" s="125" t="str">
        <f>Settings!$B$3&amp;".mit.wm.alu.prp.np.2"</f>
        <v>egy.mit.wm.alu.prp.np.2</v>
      </c>
      <c r="K297" s="136"/>
      <c r="L297" s="137">
        <f>Mitigation_Industry!L$682*Mitigation_Industry!$J$672*MAX(Mitigation_Industry!$J$670,0)*Mitigation_Industry!$F$769/1000</f>
        <v>0.43758937310482698</v>
      </c>
      <c r="M297" s="137">
        <f>Mitigation_Industry!M$682*Mitigation_Industry!$J$672*MAX(Mitigation_Industry!$J$670,0)*Mitigation_Industry!$F$769/1000</f>
        <v>0.4616567886255924</v>
      </c>
      <c r="N297" s="137">
        <f>Mitigation_Industry!N$682*Mitigation_Industry!$J$672*MAX(Mitigation_Industry!$J$670,0)*Mitigation_Industry!$F$769/1000</f>
        <v>0.48704791199999997</v>
      </c>
      <c r="O297" s="137">
        <f>Mitigation_Industry!O$682*Mitigation_Industry!$J$672*MAX(Mitigation_Industry!$J$670,0)*Mitigation_Industry!$F$769/1000</f>
        <v>0.51383554716000002</v>
      </c>
      <c r="P297" s="137">
        <f>Mitigation_Industry!P$682*Mitigation_Industry!$J$672*MAX(Mitigation_Industry!$J$670,0)*Mitigation_Industry!$F$769/1000</f>
        <v>0.54209650225379991</v>
      </c>
      <c r="Q297" s="137">
        <f>Mitigation_Industry!Q$682*Mitigation_Industry!$J$672*MAX(Mitigation_Industry!$J$670,0)*Mitigation_Industry!$F$769/1000</f>
        <v>0.5719118098777588</v>
      </c>
      <c r="R297" s="137">
        <f>Mitigation_Industry!R$682*Mitigation_Industry!$J$672*MAX(Mitigation_Industry!$J$670,0)*Mitigation_Industry!$F$769/1000</f>
        <v>0.6033669594210358</v>
      </c>
      <c r="S297" s="137">
        <f>Mitigation_Industry!S$682*Mitigation_Industry!$J$672*MAX(Mitigation_Industry!$J$670,0)*Mitigation_Industry!$F$769/1000</f>
        <v>0.63655214218919254</v>
      </c>
      <c r="T297" s="137">
        <f>Mitigation_Industry!T$682*Mitigation_Industry!$J$672*MAX(Mitigation_Industry!$J$670,0)*Mitigation_Industry!$F$769/1000</f>
        <v>0.6715625100095981</v>
      </c>
      <c r="U297" s="137">
        <f>Mitigation_Industry!U$682*Mitigation_Industry!$J$672*MAX(Mitigation_Industry!$J$670,0)*Mitigation_Industry!$F$769/1000</f>
        <v>0.70849844806012596</v>
      </c>
      <c r="V297" s="137">
        <f>Mitigation_Industry!V$682*Mitigation_Industry!$J$672*MAX(Mitigation_Industry!$J$670,0)*Mitigation_Industry!$F$769/1000</f>
        <v>0.74746586270343296</v>
      </c>
      <c r="W297" s="137">
        <f>Mitigation_Industry!W$682*Mitigation_Industry!$J$672*MAX(Mitigation_Industry!$J$670,0)*Mitigation_Industry!$F$769/1000</f>
        <v>0.78857648515212175</v>
      </c>
      <c r="X297" s="137">
        <f>Mitigation_Industry!X$682*Mitigation_Industry!$J$672*MAX(Mitigation_Industry!$J$670,0)*Mitigation_Industry!$F$769/1000</f>
        <v>0.83194819183548852</v>
      </c>
      <c r="Y297" s="137">
        <f>Mitigation_Industry!Y$682*Mitigation_Industry!$J$672*MAX(Mitigation_Industry!$J$670,0)*Mitigation_Industry!$F$769/1000</f>
        <v>0.87770534238644027</v>
      </c>
      <c r="Z297" s="137">
        <f>Mitigation_Industry!Z$682*Mitigation_Industry!$J$672*MAX(Mitigation_Industry!$J$670,0)*Mitigation_Industry!$F$769/1000</f>
        <v>0.92597913621769457</v>
      </c>
      <c r="AA297" s="137">
        <f>Mitigation_Industry!AA$682*Mitigation_Industry!$J$672*MAX(Mitigation_Industry!$J$670,0)*Mitigation_Industry!$F$769/1000</f>
        <v>0.97690798870966755</v>
      </c>
      <c r="AB297" s="137">
        <f>Mitigation_Industry!AB$682*Mitigation_Industry!$J$672*MAX(Mitigation_Industry!$J$670,0)*Mitigation_Industry!$F$769/1000</f>
        <v>1.0306379280886993</v>
      </c>
      <c r="AC297" s="137">
        <f>Mitigation_Industry!AC$682*Mitigation_Industry!$J$672*MAX(Mitigation_Industry!$J$670,0)*Mitigation_Industry!$F$769/1000</f>
        <v>1.0873230141335775</v>
      </c>
      <c r="AD297" s="137">
        <f>Mitigation_Industry!AD$682*Mitigation_Industry!$J$672*MAX(Mitigation_Industry!$J$670,0)*Mitigation_Industry!$F$769/1000</f>
        <v>1.1471257799109245</v>
      </c>
      <c r="AE297" s="137">
        <f>Mitigation_Industry!AE$682*Mitigation_Industry!$J$672*MAX(Mitigation_Industry!$J$670,0)*Mitigation_Industry!$F$769/1000</f>
        <v>1.2102176978060251</v>
      </c>
      <c r="AF297" s="138"/>
      <c r="AG297" s="138"/>
      <c r="AH297" s="138"/>
      <c r="AI297" s="138"/>
    </row>
    <row r="298" spans="1:35" customFormat="1" ht="14.25" x14ac:dyDescent="0.45">
      <c r="B298" s="14" t="s">
        <v>2582</v>
      </c>
      <c r="C298" s="14" t="s">
        <v>43</v>
      </c>
      <c r="D298" s="15" t="s">
        <v>2647</v>
      </c>
      <c r="E298" s="16" t="s">
        <v>2068</v>
      </c>
      <c r="F298" s="14" t="s">
        <v>2637</v>
      </c>
      <c r="G298" s="17"/>
      <c r="H298" s="125" t="str">
        <f>Settings!$B$3&amp;".mit.wm.stl.drg.no.2"</f>
        <v>egy.mit.wm.stl.drg.no.2</v>
      </c>
      <c r="K298" s="136"/>
      <c r="L298" s="137">
        <f>Mitigation_Industry!L$675*Mitigation_Industry!$K$672*MAX(Mitigation_Industry!$K$663,0)*Mitigation_Industry!$H$762/1000</f>
        <v>0</v>
      </c>
      <c r="M298" s="137">
        <f>Mitigation_Industry!M$675*Mitigation_Industry!$K$672*MAX(Mitigation_Industry!$K$663,0)*Mitigation_Industry!$H$762/1000</f>
        <v>0</v>
      </c>
      <c r="N298" s="137">
        <f>Mitigation_Industry!N$675*Mitigation_Industry!$K$672*MAX(Mitigation_Industry!$K$663,0)*Mitigation_Industry!$H$762/1000</f>
        <v>0</v>
      </c>
      <c r="O298" s="137">
        <f>Mitigation_Industry!O$675*Mitigation_Industry!$K$672*MAX(Mitigation_Industry!$K$663,0)*Mitigation_Industry!$H$762/1000</f>
        <v>0</v>
      </c>
      <c r="P298" s="137">
        <f>Mitigation_Industry!P$675*Mitigation_Industry!$K$672*MAX(Mitigation_Industry!$K$663,0)*Mitigation_Industry!$H$762/1000</f>
        <v>0</v>
      </c>
      <c r="Q298" s="137">
        <f>Mitigation_Industry!Q$675*Mitigation_Industry!$K$672*MAX(Mitigation_Industry!$K$663,0)*Mitigation_Industry!$H$762/1000</f>
        <v>0</v>
      </c>
      <c r="R298" s="137">
        <f>Mitigation_Industry!R$675*Mitigation_Industry!$K$672*MAX(Mitigation_Industry!$K$663,0)*Mitigation_Industry!$H$762/1000</f>
        <v>0</v>
      </c>
      <c r="S298" s="137">
        <f>Mitigation_Industry!S$675*Mitigation_Industry!$K$672*MAX(Mitigation_Industry!$K$663,0)*Mitigation_Industry!$H$762/1000</f>
        <v>0</v>
      </c>
      <c r="T298" s="137">
        <f>Mitigation_Industry!T$675*Mitigation_Industry!$K$672*MAX(Mitigation_Industry!$K$663,0)*Mitigation_Industry!$H$762/1000</f>
        <v>0</v>
      </c>
      <c r="U298" s="137">
        <f>Mitigation_Industry!U$675*Mitigation_Industry!$K$672*MAX(Mitigation_Industry!$K$663,0)*Mitigation_Industry!$H$762/1000</f>
        <v>0</v>
      </c>
      <c r="V298" s="137">
        <f>Mitigation_Industry!V$675*Mitigation_Industry!$K$672*MAX(Mitigation_Industry!$K$663,0)*Mitigation_Industry!$H$762/1000</f>
        <v>0</v>
      </c>
      <c r="W298" s="137">
        <f>Mitigation_Industry!W$675*Mitigation_Industry!$K$672*MAX(Mitigation_Industry!$K$663,0)*Mitigation_Industry!$H$762/1000</f>
        <v>0</v>
      </c>
      <c r="X298" s="137">
        <f>Mitigation_Industry!X$675*Mitigation_Industry!$K$672*MAX(Mitigation_Industry!$K$663,0)*Mitigation_Industry!$H$762/1000</f>
        <v>0</v>
      </c>
      <c r="Y298" s="137">
        <f>Mitigation_Industry!Y$675*Mitigation_Industry!$K$672*MAX(Mitigation_Industry!$K$663,0)*Mitigation_Industry!$H$762/1000</f>
        <v>0</v>
      </c>
      <c r="Z298" s="137">
        <f>Mitigation_Industry!Z$675*Mitigation_Industry!$K$672*MAX(Mitigation_Industry!$K$663,0)*Mitigation_Industry!$H$762/1000</f>
        <v>0</v>
      </c>
      <c r="AA298" s="137">
        <f>Mitigation_Industry!AA$675*Mitigation_Industry!$K$672*MAX(Mitigation_Industry!$K$663,0)*Mitigation_Industry!$H$762/1000</f>
        <v>0</v>
      </c>
      <c r="AB298" s="137">
        <f>Mitigation_Industry!AB$675*Mitigation_Industry!$K$672*MAX(Mitigation_Industry!$K$663,0)*Mitigation_Industry!$H$762/1000</f>
        <v>0</v>
      </c>
      <c r="AC298" s="137">
        <f>Mitigation_Industry!AC$675*Mitigation_Industry!$K$672*MAX(Mitigation_Industry!$K$663,0)*Mitigation_Industry!$H$762/1000</f>
        <v>0</v>
      </c>
      <c r="AD298" s="137">
        <f>Mitigation_Industry!AD$675*Mitigation_Industry!$K$672*MAX(Mitigation_Industry!$K$663,0)*Mitigation_Industry!$H$762/1000</f>
        <v>0</v>
      </c>
      <c r="AE298" s="137">
        <f>Mitigation_Industry!AE$675*Mitigation_Industry!$K$672*MAX(Mitigation_Industry!$K$663,0)*Mitigation_Industry!$H$762/1000</f>
        <v>0</v>
      </c>
      <c r="AF298" s="138"/>
      <c r="AG298" s="138"/>
      <c r="AH298" s="138"/>
      <c r="AI298" s="138"/>
    </row>
    <row r="299" spans="1:35" customFormat="1" ht="14.25" x14ac:dyDescent="0.45">
      <c r="B299" s="14" t="s">
        <v>2584</v>
      </c>
      <c r="C299" s="14" t="s">
        <v>43</v>
      </c>
      <c r="D299" s="15" t="s">
        <v>2648</v>
      </c>
      <c r="E299" s="16" t="s">
        <v>2068</v>
      </c>
      <c r="F299" s="14" t="s">
        <v>2637</v>
      </c>
      <c r="G299" s="17"/>
      <c r="H299" s="125" t="str">
        <f>Settings!$B$3&amp;".mit.wm.stl.scr.no.2"</f>
        <v>egy.mit.wm.stl.scr.no.2</v>
      </c>
      <c r="K299" s="136"/>
      <c r="L299" s="137">
        <f>Mitigation_Industry!L$676*Mitigation_Industry!$K$672*MAX(Mitigation_Industry!$K$664,0)*Mitigation_Industry!$H$763/1000</f>
        <v>0</v>
      </c>
      <c r="M299" s="137">
        <f>Mitigation_Industry!M$676*Mitigation_Industry!$K$672*MAX(Mitigation_Industry!$K$664,0)*Mitigation_Industry!$H$763/1000</f>
        <v>0</v>
      </c>
      <c r="N299" s="137">
        <f>Mitigation_Industry!N$676*Mitigation_Industry!$K$672*MAX(Mitigation_Industry!$K$664,0)*Mitigation_Industry!$H$763/1000</f>
        <v>0</v>
      </c>
      <c r="O299" s="137">
        <f>Mitigation_Industry!O$676*Mitigation_Industry!$K$672*MAX(Mitigation_Industry!$K$664,0)*Mitigation_Industry!$H$763/1000</f>
        <v>0</v>
      </c>
      <c r="P299" s="137">
        <f>Mitigation_Industry!P$676*Mitigation_Industry!$K$672*MAX(Mitigation_Industry!$K$664,0)*Mitigation_Industry!$H$763/1000</f>
        <v>0</v>
      </c>
      <c r="Q299" s="137">
        <f>Mitigation_Industry!Q$676*Mitigation_Industry!$K$672*MAX(Mitigation_Industry!$K$664,0)*Mitigation_Industry!$H$763/1000</f>
        <v>0</v>
      </c>
      <c r="R299" s="137">
        <f>Mitigation_Industry!R$676*Mitigation_Industry!$K$672*MAX(Mitigation_Industry!$K$664,0)*Mitigation_Industry!$H$763/1000</f>
        <v>0</v>
      </c>
      <c r="S299" s="137">
        <f>Mitigation_Industry!S$676*Mitigation_Industry!$K$672*MAX(Mitigation_Industry!$K$664,0)*Mitigation_Industry!$H$763/1000</f>
        <v>0</v>
      </c>
      <c r="T299" s="137">
        <f>Mitigation_Industry!T$676*Mitigation_Industry!$K$672*MAX(Mitigation_Industry!$K$664,0)*Mitigation_Industry!$H$763/1000</f>
        <v>0</v>
      </c>
      <c r="U299" s="137">
        <f>Mitigation_Industry!U$676*Mitigation_Industry!$K$672*MAX(Mitigation_Industry!$K$664,0)*Mitigation_Industry!$H$763/1000</f>
        <v>0</v>
      </c>
      <c r="V299" s="137">
        <f>Mitigation_Industry!V$676*Mitigation_Industry!$K$672*MAX(Mitigation_Industry!$K$664,0)*Mitigation_Industry!$H$763/1000</f>
        <v>0</v>
      </c>
      <c r="W299" s="137">
        <f>Mitigation_Industry!W$676*Mitigation_Industry!$K$672*MAX(Mitigation_Industry!$K$664,0)*Mitigation_Industry!$H$763/1000</f>
        <v>0</v>
      </c>
      <c r="X299" s="137">
        <f>Mitigation_Industry!X$676*Mitigation_Industry!$K$672*MAX(Mitigation_Industry!$K$664,0)*Mitigation_Industry!$H$763/1000</f>
        <v>0</v>
      </c>
      <c r="Y299" s="137">
        <f>Mitigation_Industry!Y$676*Mitigation_Industry!$K$672*MAX(Mitigation_Industry!$K$664,0)*Mitigation_Industry!$H$763/1000</f>
        <v>0</v>
      </c>
      <c r="Z299" s="137">
        <f>Mitigation_Industry!Z$676*Mitigation_Industry!$K$672*MAX(Mitigation_Industry!$K$664,0)*Mitigation_Industry!$H$763/1000</f>
        <v>0</v>
      </c>
      <c r="AA299" s="137">
        <f>Mitigation_Industry!AA$676*Mitigation_Industry!$K$672*MAX(Mitigation_Industry!$K$664,0)*Mitigation_Industry!$H$763/1000</f>
        <v>0</v>
      </c>
      <c r="AB299" s="137">
        <f>Mitigation_Industry!AB$676*Mitigation_Industry!$K$672*MAX(Mitigation_Industry!$K$664,0)*Mitigation_Industry!$H$763/1000</f>
        <v>0</v>
      </c>
      <c r="AC299" s="137">
        <f>Mitigation_Industry!AC$676*Mitigation_Industry!$K$672*MAX(Mitigation_Industry!$K$664,0)*Mitigation_Industry!$H$763/1000</f>
        <v>0</v>
      </c>
      <c r="AD299" s="137">
        <f>Mitigation_Industry!AD$676*Mitigation_Industry!$K$672*MAX(Mitigation_Industry!$K$664,0)*Mitigation_Industry!$H$763/1000</f>
        <v>0</v>
      </c>
      <c r="AE299" s="137">
        <f>Mitigation_Industry!AE$676*Mitigation_Industry!$K$672*MAX(Mitigation_Industry!$K$664,0)*Mitigation_Industry!$H$763/1000</f>
        <v>0</v>
      </c>
      <c r="AF299" s="138"/>
      <c r="AG299" s="138"/>
      <c r="AH299" s="138"/>
      <c r="AI299" s="138"/>
    </row>
    <row r="300" spans="1:35" customFormat="1" ht="14.25" x14ac:dyDescent="0.45">
      <c r="B300" s="14" t="s">
        <v>2586</v>
      </c>
      <c r="C300" s="14" t="s">
        <v>43</v>
      </c>
      <c r="D300" s="15" t="s">
        <v>2649</v>
      </c>
      <c r="E300" s="16" t="s">
        <v>2068</v>
      </c>
      <c r="F300" s="14" t="s">
        <v>2637</v>
      </c>
      <c r="G300" s="17"/>
      <c r="H300" s="125" t="str">
        <f>Settings!$B$3&amp;".mit.wm.stl.bof.no.2"</f>
        <v>egy.mit.wm.stl.bof.no.2</v>
      </c>
      <c r="K300" s="136"/>
      <c r="L300" s="137">
        <f>Mitigation_Industry!L$677*Mitigation_Industry!$K$672*MAX(Mitigation_Industry!$K$665,0)*Mitigation_Industry!$H$764/1000</f>
        <v>0</v>
      </c>
      <c r="M300" s="137">
        <f>Mitigation_Industry!M$677*Mitigation_Industry!$K$672*MAX(Mitigation_Industry!$K$665,0)*Mitigation_Industry!$H$764/1000</f>
        <v>0</v>
      </c>
      <c r="N300" s="137">
        <f>Mitigation_Industry!N$677*Mitigation_Industry!$K$672*MAX(Mitigation_Industry!$K$665,0)*Mitigation_Industry!$H$764/1000</f>
        <v>0</v>
      </c>
      <c r="O300" s="137">
        <f>Mitigation_Industry!O$677*Mitigation_Industry!$K$672*MAX(Mitigation_Industry!$K$665,0)*Mitigation_Industry!$H$764/1000</f>
        <v>0</v>
      </c>
      <c r="P300" s="137">
        <f>Mitigation_Industry!P$677*Mitigation_Industry!$K$672*MAX(Mitigation_Industry!$K$665,0)*Mitigation_Industry!$H$764/1000</f>
        <v>0</v>
      </c>
      <c r="Q300" s="137">
        <f>Mitigation_Industry!Q$677*Mitigation_Industry!$K$672*MAX(Mitigation_Industry!$K$665,0)*Mitigation_Industry!$H$764/1000</f>
        <v>0</v>
      </c>
      <c r="R300" s="137">
        <f>Mitigation_Industry!R$677*Mitigation_Industry!$K$672*MAX(Mitigation_Industry!$K$665,0)*Mitigation_Industry!$H$764/1000</f>
        <v>0</v>
      </c>
      <c r="S300" s="137">
        <f>Mitigation_Industry!S$677*Mitigation_Industry!$K$672*MAX(Mitigation_Industry!$K$665,0)*Mitigation_Industry!$H$764/1000</f>
        <v>0</v>
      </c>
      <c r="T300" s="137">
        <f>Mitigation_Industry!T$677*Mitigation_Industry!$K$672*MAX(Mitigation_Industry!$K$665,0)*Mitigation_Industry!$H$764/1000</f>
        <v>0</v>
      </c>
      <c r="U300" s="137">
        <f>Mitigation_Industry!U$677*Mitigation_Industry!$K$672*MAX(Mitigation_Industry!$K$665,0)*Mitigation_Industry!$H$764/1000</f>
        <v>0</v>
      </c>
      <c r="V300" s="137">
        <f>Mitigation_Industry!V$677*Mitigation_Industry!$K$672*MAX(Mitigation_Industry!$K$665,0)*Mitigation_Industry!$H$764/1000</f>
        <v>0</v>
      </c>
      <c r="W300" s="137">
        <f>Mitigation_Industry!W$677*Mitigation_Industry!$K$672*MAX(Mitigation_Industry!$K$665,0)*Mitigation_Industry!$H$764/1000</f>
        <v>0</v>
      </c>
      <c r="X300" s="137">
        <f>Mitigation_Industry!X$677*Mitigation_Industry!$K$672*MAX(Mitigation_Industry!$K$665,0)*Mitigation_Industry!$H$764/1000</f>
        <v>0</v>
      </c>
      <c r="Y300" s="137">
        <f>Mitigation_Industry!Y$677*Mitigation_Industry!$K$672*MAX(Mitigation_Industry!$K$665,0)*Mitigation_Industry!$H$764/1000</f>
        <v>0</v>
      </c>
      <c r="Z300" s="137">
        <f>Mitigation_Industry!Z$677*Mitigation_Industry!$K$672*MAX(Mitigation_Industry!$K$665,0)*Mitigation_Industry!$H$764/1000</f>
        <v>0</v>
      </c>
      <c r="AA300" s="137">
        <f>Mitigation_Industry!AA$677*Mitigation_Industry!$K$672*MAX(Mitigation_Industry!$K$665,0)*Mitigation_Industry!$H$764/1000</f>
        <v>0</v>
      </c>
      <c r="AB300" s="137">
        <f>Mitigation_Industry!AB$677*Mitigation_Industry!$K$672*MAX(Mitigation_Industry!$K$665,0)*Mitigation_Industry!$H$764/1000</f>
        <v>0</v>
      </c>
      <c r="AC300" s="137">
        <f>Mitigation_Industry!AC$677*Mitigation_Industry!$K$672*MAX(Mitigation_Industry!$K$665,0)*Mitigation_Industry!$H$764/1000</f>
        <v>0</v>
      </c>
      <c r="AD300" s="137">
        <f>Mitigation_Industry!AD$677*Mitigation_Industry!$K$672*MAX(Mitigation_Industry!$K$665,0)*Mitigation_Industry!$H$764/1000</f>
        <v>0</v>
      </c>
      <c r="AE300" s="137">
        <f>Mitigation_Industry!AE$677*Mitigation_Industry!$K$672*MAX(Mitigation_Industry!$K$665,0)*Mitigation_Industry!$H$764/1000</f>
        <v>0</v>
      </c>
      <c r="AF300" s="138"/>
      <c r="AG300" s="138"/>
      <c r="AH300" s="138"/>
      <c r="AI300" s="138"/>
    </row>
    <row r="301" spans="1:35" customFormat="1" ht="14.25" x14ac:dyDescent="0.45">
      <c r="B301" s="14" t="s">
        <v>2588</v>
      </c>
      <c r="C301" s="14" t="s">
        <v>113</v>
      </c>
      <c r="D301" s="15" t="s">
        <v>2650</v>
      </c>
      <c r="E301" s="16" t="s">
        <v>2068</v>
      </c>
      <c r="F301" s="14" t="s">
        <v>2637</v>
      </c>
      <c r="G301" s="17"/>
      <c r="H301" s="125" t="str">
        <f>Settings!$B$3&amp;".mit.wm.cmt.dry.no.2"</f>
        <v>egy.mit.wm.cmt.dry.no.2</v>
      </c>
      <c r="K301" s="136"/>
      <c r="L301" s="137">
        <f>Mitigation_Industry!L$678*Mitigation_Industry!$K$672*MAX(Mitigation_Industry!$K$666,0)*Mitigation_Industry!$H$765/1000</f>
        <v>0</v>
      </c>
      <c r="M301" s="137">
        <f>Mitigation_Industry!M$678*Mitigation_Industry!$K$672*MAX(Mitigation_Industry!$K$666,0)*Mitigation_Industry!$H$765/1000</f>
        <v>0</v>
      </c>
      <c r="N301" s="137">
        <f>Mitigation_Industry!N$678*Mitigation_Industry!$K$672*MAX(Mitigation_Industry!$K$666,0)*Mitigation_Industry!$H$765/1000</f>
        <v>0</v>
      </c>
      <c r="O301" s="137">
        <f>Mitigation_Industry!O$678*Mitigation_Industry!$K$672*MAX(Mitigation_Industry!$K$666,0)*Mitigation_Industry!$H$765/1000</f>
        <v>0</v>
      </c>
      <c r="P301" s="137">
        <f>Mitigation_Industry!P$678*Mitigation_Industry!$K$672*MAX(Mitigation_Industry!$K$666,0)*Mitigation_Industry!$H$765/1000</f>
        <v>0</v>
      </c>
      <c r="Q301" s="137">
        <f>Mitigation_Industry!Q$678*Mitigation_Industry!$K$672*MAX(Mitigation_Industry!$K$666,0)*Mitigation_Industry!$H$765/1000</f>
        <v>0</v>
      </c>
      <c r="R301" s="137">
        <f>Mitigation_Industry!R$678*Mitigation_Industry!$K$672*MAX(Mitigation_Industry!$K$666,0)*Mitigation_Industry!$H$765/1000</f>
        <v>0</v>
      </c>
      <c r="S301" s="137">
        <f>Mitigation_Industry!S$678*Mitigation_Industry!$K$672*MAX(Mitigation_Industry!$K$666,0)*Mitigation_Industry!$H$765/1000</f>
        <v>0</v>
      </c>
      <c r="T301" s="137">
        <f>Mitigation_Industry!T$678*Mitigation_Industry!$K$672*MAX(Mitigation_Industry!$K$666,0)*Mitigation_Industry!$H$765/1000</f>
        <v>0</v>
      </c>
      <c r="U301" s="137">
        <f>Mitigation_Industry!U$678*Mitigation_Industry!$K$672*MAX(Mitigation_Industry!$K$666,0)*Mitigation_Industry!$H$765/1000</f>
        <v>0</v>
      </c>
      <c r="V301" s="137">
        <f>Mitigation_Industry!V$678*Mitigation_Industry!$K$672*MAX(Mitigation_Industry!$K$666,0)*Mitigation_Industry!$H$765/1000</f>
        <v>0</v>
      </c>
      <c r="W301" s="137">
        <f>Mitigation_Industry!W$678*Mitigation_Industry!$K$672*MAX(Mitigation_Industry!$K$666,0)*Mitigation_Industry!$H$765/1000</f>
        <v>0</v>
      </c>
      <c r="X301" s="137">
        <f>Mitigation_Industry!X$678*Mitigation_Industry!$K$672*MAX(Mitigation_Industry!$K$666,0)*Mitigation_Industry!$H$765/1000</f>
        <v>0</v>
      </c>
      <c r="Y301" s="137">
        <f>Mitigation_Industry!Y$678*Mitigation_Industry!$K$672*MAX(Mitigation_Industry!$K$666,0)*Mitigation_Industry!$H$765/1000</f>
        <v>0</v>
      </c>
      <c r="Z301" s="137">
        <f>Mitigation_Industry!Z$678*Mitigation_Industry!$K$672*MAX(Mitigation_Industry!$K$666,0)*Mitigation_Industry!$H$765/1000</f>
        <v>0</v>
      </c>
      <c r="AA301" s="137">
        <f>Mitigation_Industry!AA$678*Mitigation_Industry!$K$672*MAX(Mitigation_Industry!$K$666,0)*Mitigation_Industry!$H$765/1000</f>
        <v>0</v>
      </c>
      <c r="AB301" s="137">
        <f>Mitigation_Industry!AB$678*Mitigation_Industry!$K$672*MAX(Mitigation_Industry!$K$666,0)*Mitigation_Industry!$H$765/1000</f>
        <v>0</v>
      </c>
      <c r="AC301" s="137">
        <f>Mitigation_Industry!AC$678*Mitigation_Industry!$K$672*MAX(Mitigation_Industry!$K$666,0)*Mitigation_Industry!$H$765/1000</f>
        <v>0</v>
      </c>
      <c r="AD301" s="137">
        <f>Mitigation_Industry!AD$678*Mitigation_Industry!$K$672*MAX(Mitigation_Industry!$K$666,0)*Mitigation_Industry!$H$765/1000</f>
        <v>0</v>
      </c>
      <c r="AE301" s="137">
        <f>Mitigation_Industry!AE$678*Mitigation_Industry!$K$672*MAX(Mitigation_Industry!$K$666,0)*Mitigation_Industry!$H$765/1000</f>
        <v>0</v>
      </c>
      <c r="AF301" s="138"/>
      <c r="AG301" s="138"/>
      <c r="AH301" s="138"/>
      <c r="AI301" s="138"/>
    </row>
    <row r="302" spans="1:35" customFormat="1" ht="14.25" x14ac:dyDescent="0.45">
      <c r="B302" s="14" t="s">
        <v>2590</v>
      </c>
      <c r="C302" s="14" t="s">
        <v>117</v>
      </c>
      <c r="D302" s="15" t="s">
        <v>2651</v>
      </c>
      <c r="E302" s="16" t="s">
        <v>2068</v>
      </c>
      <c r="F302" s="14" t="s">
        <v>2637</v>
      </c>
      <c r="G302" s="17"/>
      <c r="H302" s="125" t="str">
        <f>Settings!$B$3&amp;".mit.wm.frt.amc.no.2"</f>
        <v>egy.mit.wm.frt.amc.no.2</v>
      </c>
      <c r="K302" s="136"/>
      <c r="L302" s="137">
        <f>Mitigation_Industry!L$679*Mitigation_Industry!$K$672*MAX(Mitigation_Industry!$K$667,0)*Mitigation_Industry!$H$766/1000</f>
        <v>0</v>
      </c>
      <c r="M302" s="137">
        <f>Mitigation_Industry!M$679*Mitigation_Industry!$K$672*MAX(Mitigation_Industry!$K$667,0)*Mitigation_Industry!$H$766/1000</f>
        <v>0</v>
      </c>
      <c r="N302" s="137">
        <f>Mitigation_Industry!N$679*Mitigation_Industry!$K$672*MAX(Mitigation_Industry!$K$667,0)*Mitigation_Industry!$H$766/1000</f>
        <v>0</v>
      </c>
      <c r="O302" s="137">
        <f>Mitigation_Industry!O$679*Mitigation_Industry!$K$672*MAX(Mitigation_Industry!$K$667,0)*Mitigation_Industry!$H$766/1000</f>
        <v>0</v>
      </c>
      <c r="P302" s="137">
        <f>Mitigation_Industry!P$679*Mitigation_Industry!$K$672*MAX(Mitigation_Industry!$K$667,0)*Mitigation_Industry!$H$766/1000</f>
        <v>0</v>
      </c>
      <c r="Q302" s="137">
        <f>Mitigation_Industry!Q$679*Mitigation_Industry!$K$672*MAX(Mitigation_Industry!$K$667,0)*Mitigation_Industry!$H$766/1000</f>
        <v>0</v>
      </c>
      <c r="R302" s="137">
        <f>Mitigation_Industry!R$679*Mitigation_Industry!$K$672*MAX(Mitigation_Industry!$K$667,0)*Mitigation_Industry!$H$766/1000</f>
        <v>0</v>
      </c>
      <c r="S302" s="137">
        <f>Mitigation_Industry!S$679*Mitigation_Industry!$K$672*MAX(Mitigation_Industry!$K$667,0)*Mitigation_Industry!$H$766/1000</f>
        <v>0</v>
      </c>
      <c r="T302" s="137">
        <f>Mitigation_Industry!T$679*Mitigation_Industry!$K$672*MAX(Mitigation_Industry!$K$667,0)*Mitigation_Industry!$H$766/1000</f>
        <v>0</v>
      </c>
      <c r="U302" s="137">
        <f>Mitigation_Industry!U$679*Mitigation_Industry!$K$672*MAX(Mitigation_Industry!$K$667,0)*Mitigation_Industry!$H$766/1000</f>
        <v>0</v>
      </c>
      <c r="V302" s="137">
        <f>Mitigation_Industry!V$679*Mitigation_Industry!$K$672*MAX(Mitigation_Industry!$K$667,0)*Mitigation_Industry!$H$766/1000</f>
        <v>0</v>
      </c>
      <c r="W302" s="137">
        <f>Mitigation_Industry!W$679*Mitigation_Industry!$K$672*MAX(Mitigation_Industry!$K$667,0)*Mitigation_Industry!$H$766/1000</f>
        <v>0</v>
      </c>
      <c r="X302" s="137">
        <f>Mitigation_Industry!X$679*Mitigation_Industry!$K$672*MAX(Mitigation_Industry!$K$667,0)*Mitigation_Industry!$H$766/1000</f>
        <v>0</v>
      </c>
      <c r="Y302" s="137">
        <f>Mitigation_Industry!Y$679*Mitigation_Industry!$K$672*MAX(Mitigation_Industry!$K$667,0)*Mitigation_Industry!$H$766/1000</f>
        <v>0</v>
      </c>
      <c r="Z302" s="137">
        <f>Mitigation_Industry!Z$679*Mitigation_Industry!$K$672*MAX(Mitigation_Industry!$K$667,0)*Mitigation_Industry!$H$766/1000</f>
        <v>0</v>
      </c>
      <c r="AA302" s="137">
        <f>Mitigation_Industry!AA$679*Mitigation_Industry!$K$672*MAX(Mitigation_Industry!$K$667,0)*Mitigation_Industry!$H$766/1000</f>
        <v>0</v>
      </c>
      <c r="AB302" s="137">
        <f>Mitigation_Industry!AB$679*Mitigation_Industry!$K$672*MAX(Mitigation_Industry!$K$667,0)*Mitigation_Industry!$H$766/1000</f>
        <v>0</v>
      </c>
      <c r="AC302" s="137">
        <f>Mitigation_Industry!AC$679*Mitigation_Industry!$K$672*MAX(Mitigation_Industry!$K$667,0)*Mitigation_Industry!$H$766/1000</f>
        <v>0</v>
      </c>
      <c r="AD302" s="137">
        <f>Mitigation_Industry!AD$679*Mitigation_Industry!$K$672*MAX(Mitigation_Industry!$K$667,0)*Mitigation_Industry!$H$766/1000</f>
        <v>0</v>
      </c>
      <c r="AE302" s="137">
        <f>Mitigation_Industry!AE$679*Mitigation_Industry!$K$672*MAX(Mitigation_Industry!$K$667,0)*Mitigation_Industry!$H$766/1000</f>
        <v>0</v>
      </c>
      <c r="AF302" s="138"/>
      <c r="AG302" s="138"/>
      <c r="AH302" s="138"/>
      <c r="AI302" s="138"/>
    </row>
    <row r="303" spans="1:35" customFormat="1" ht="14.25" x14ac:dyDescent="0.45">
      <c r="B303" s="14" t="s">
        <v>2592</v>
      </c>
      <c r="C303" s="14" t="s">
        <v>117</v>
      </c>
      <c r="D303" s="15" t="s">
        <v>2652</v>
      </c>
      <c r="E303" s="16" t="s">
        <v>2068</v>
      </c>
      <c r="F303" s="14" t="s">
        <v>2637</v>
      </c>
      <c r="G303" s="17"/>
      <c r="H303" s="125" t="str">
        <f>Settings!$B$3&amp;".mit.wm.frt.ure.no.2"</f>
        <v>egy.mit.wm.frt.ure.no.2</v>
      </c>
      <c r="K303" s="136"/>
      <c r="L303" s="137">
        <f>Mitigation_Industry!L$680*Mitigation_Industry!$K$672*MAX(Mitigation_Industry!$K$668,0)*Mitigation_Industry!$H$767/1000</f>
        <v>0</v>
      </c>
      <c r="M303" s="137">
        <f>Mitigation_Industry!M$680*Mitigation_Industry!$K$672*MAX(Mitigation_Industry!$K$668,0)*Mitigation_Industry!$H$767/1000</f>
        <v>0</v>
      </c>
      <c r="N303" s="137">
        <f>Mitigation_Industry!N$680*Mitigation_Industry!$K$672*MAX(Mitigation_Industry!$K$668,0)*Mitigation_Industry!$H$767/1000</f>
        <v>0</v>
      </c>
      <c r="O303" s="137">
        <f>Mitigation_Industry!O$680*Mitigation_Industry!$K$672*MAX(Mitigation_Industry!$K$668,0)*Mitigation_Industry!$H$767/1000</f>
        <v>0</v>
      </c>
      <c r="P303" s="137">
        <f>Mitigation_Industry!P$680*Mitigation_Industry!$K$672*MAX(Mitigation_Industry!$K$668,0)*Mitigation_Industry!$H$767/1000</f>
        <v>0</v>
      </c>
      <c r="Q303" s="137">
        <f>Mitigation_Industry!Q$680*Mitigation_Industry!$K$672*MAX(Mitigation_Industry!$K$668,0)*Mitigation_Industry!$H$767/1000</f>
        <v>0</v>
      </c>
      <c r="R303" s="137">
        <f>Mitigation_Industry!R$680*Mitigation_Industry!$K$672*MAX(Mitigation_Industry!$K$668,0)*Mitigation_Industry!$H$767/1000</f>
        <v>0</v>
      </c>
      <c r="S303" s="137">
        <f>Mitigation_Industry!S$680*Mitigation_Industry!$K$672*MAX(Mitigation_Industry!$K$668,0)*Mitigation_Industry!$H$767/1000</f>
        <v>0</v>
      </c>
      <c r="T303" s="137">
        <f>Mitigation_Industry!T$680*Mitigation_Industry!$K$672*MAX(Mitigation_Industry!$K$668,0)*Mitigation_Industry!$H$767/1000</f>
        <v>0</v>
      </c>
      <c r="U303" s="137">
        <f>Mitigation_Industry!U$680*Mitigation_Industry!$K$672*MAX(Mitigation_Industry!$K$668,0)*Mitigation_Industry!$H$767/1000</f>
        <v>0</v>
      </c>
      <c r="V303" s="137">
        <f>Mitigation_Industry!V$680*Mitigation_Industry!$K$672*MAX(Mitigation_Industry!$K$668,0)*Mitigation_Industry!$H$767/1000</f>
        <v>0</v>
      </c>
      <c r="W303" s="137">
        <f>Mitigation_Industry!W$680*Mitigation_Industry!$K$672*MAX(Mitigation_Industry!$K$668,0)*Mitigation_Industry!$H$767/1000</f>
        <v>0</v>
      </c>
      <c r="X303" s="137">
        <f>Mitigation_Industry!X$680*Mitigation_Industry!$K$672*MAX(Mitigation_Industry!$K$668,0)*Mitigation_Industry!$H$767/1000</f>
        <v>0</v>
      </c>
      <c r="Y303" s="137">
        <f>Mitigation_Industry!Y$680*Mitigation_Industry!$K$672*MAX(Mitigation_Industry!$K$668,0)*Mitigation_Industry!$H$767/1000</f>
        <v>0</v>
      </c>
      <c r="Z303" s="137">
        <f>Mitigation_Industry!Z$680*Mitigation_Industry!$K$672*MAX(Mitigation_Industry!$K$668,0)*Mitigation_Industry!$H$767/1000</f>
        <v>0</v>
      </c>
      <c r="AA303" s="137">
        <f>Mitigation_Industry!AA$680*Mitigation_Industry!$K$672*MAX(Mitigation_Industry!$K$668,0)*Mitigation_Industry!$H$767/1000</f>
        <v>0</v>
      </c>
      <c r="AB303" s="137">
        <f>Mitigation_Industry!AB$680*Mitigation_Industry!$K$672*MAX(Mitigation_Industry!$K$668,0)*Mitigation_Industry!$H$767/1000</f>
        <v>0</v>
      </c>
      <c r="AC303" s="137">
        <f>Mitigation_Industry!AC$680*Mitigation_Industry!$K$672*MAX(Mitigation_Industry!$K$668,0)*Mitigation_Industry!$H$767/1000</f>
        <v>0</v>
      </c>
      <c r="AD303" s="137">
        <f>Mitigation_Industry!AD$680*Mitigation_Industry!$K$672*MAX(Mitigation_Industry!$K$668,0)*Mitigation_Industry!$H$767/1000</f>
        <v>0</v>
      </c>
      <c r="AE303" s="137">
        <f>Mitigation_Industry!AE$680*Mitigation_Industry!$K$672*MAX(Mitigation_Industry!$K$668,0)*Mitigation_Industry!$H$767/1000</f>
        <v>0</v>
      </c>
      <c r="AF303" s="138"/>
      <c r="AG303" s="138"/>
      <c r="AH303" s="138"/>
      <c r="AI303" s="138"/>
    </row>
    <row r="304" spans="1:35" customFormat="1" ht="14.25" x14ac:dyDescent="0.45">
      <c r="B304" s="14" t="s">
        <v>2594</v>
      </c>
      <c r="C304" s="14" t="s">
        <v>117</v>
      </c>
      <c r="D304" s="15" t="s">
        <v>2653</v>
      </c>
      <c r="E304" s="16" t="s">
        <v>2068</v>
      </c>
      <c r="F304" s="14" t="s">
        <v>2637</v>
      </c>
      <c r="G304" s="17"/>
      <c r="H304" s="125" t="str">
        <f>Settings!$B$3&amp;".mit.wm.frt.nit.no.2"</f>
        <v>egy.mit.wm.frt.nit.no.2</v>
      </c>
      <c r="K304" s="136"/>
      <c r="L304" s="137">
        <f>Mitigation_Industry!L$681*Mitigation_Industry!$K$672*MAX(Mitigation_Industry!$K$669,0)*Mitigation_Industry!$H$768/1000</f>
        <v>0.57123661061347031</v>
      </c>
      <c r="M304" s="137">
        <f>Mitigation_Industry!M$681*Mitigation_Industry!$K$672*MAX(Mitigation_Industry!$K$669,0)*Mitigation_Industry!$H$768/1000</f>
        <v>0.58380381604696674</v>
      </c>
      <c r="N304" s="137">
        <f>Mitigation_Industry!N$681*Mitigation_Industry!$K$672*MAX(Mitigation_Industry!$K$669,0)*Mitigation_Industry!$H$768/1000</f>
        <v>0.5966475</v>
      </c>
      <c r="O304" s="137">
        <f>Mitigation_Industry!O$681*Mitigation_Industry!$K$672*MAX(Mitigation_Industry!$K$669,0)*Mitigation_Industry!$H$768/1000</f>
        <v>0.60977374500000003</v>
      </c>
      <c r="P304" s="137">
        <f>Mitigation_Industry!P$681*Mitigation_Industry!$K$672*MAX(Mitigation_Industry!$K$669,0)*Mitigation_Industry!$H$768/1000</f>
        <v>0.62318876738999995</v>
      </c>
      <c r="Q304" s="137">
        <f>Mitigation_Industry!Q$681*Mitigation_Industry!$K$672*MAX(Mitigation_Industry!$K$669,0)*Mitigation_Industry!$H$768/1000</f>
        <v>0.6368989202725801</v>
      </c>
      <c r="R304" s="137">
        <f>Mitigation_Industry!R$681*Mitigation_Industry!$K$672*MAX(Mitigation_Industry!$K$669,0)*Mitigation_Industry!$H$768/1000</f>
        <v>0.65091069651857669</v>
      </c>
      <c r="S304" s="137">
        <f>Mitigation_Industry!S$681*Mitigation_Industry!$K$672*MAX(Mitigation_Industry!$K$669,0)*Mitigation_Industry!$H$768/1000</f>
        <v>0.66523073184198556</v>
      </c>
      <c r="T304" s="137">
        <f>Mitigation_Industry!T$681*Mitigation_Industry!$K$672*MAX(Mitigation_Industry!$K$669,0)*Mitigation_Industry!$H$768/1000</f>
        <v>0.67986580794250906</v>
      </c>
      <c r="U304" s="137">
        <f>Mitigation_Industry!U$681*Mitigation_Industry!$K$672*MAX(Mitigation_Industry!$K$669,0)*Mitigation_Industry!$H$768/1000</f>
        <v>0.69482285571724434</v>
      </c>
      <c r="V304" s="137">
        <f>Mitigation_Industry!V$681*Mitigation_Industry!$K$672*MAX(Mitigation_Industry!$K$669,0)*Mitigation_Industry!$H$768/1000</f>
        <v>0.7101089585430238</v>
      </c>
      <c r="W304" s="137">
        <f>Mitigation_Industry!W$681*Mitigation_Industry!$K$672*MAX(Mitigation_Industry!$K$669,0)*Mitigation_Industry!$H$768/1000</f>
        <v>0.72573135563097024</v>
      </c>
      <c r="X304" s="137">
        <f>Mitigation_Industry!X$681*Mitigation_Industry!$K$672*MAX(Mitigation_Industry!$K$669,0)*Mitigation_Industry!$H$768/1000</f>
        <v>0.74169744545485172</v>
      </c>
      <c r="Y304" s="137">
        <f>Mitigation_Industry!Y$681*Mitigation_Industry!$K$672*MAX(Mitigation_Industry!$K$669,0)*Mitigation_Industry!$H$768/1000</f>
        <v>0.75801478925485843</v>
      </c>
      <c r="Z304" s="137">
        <f>Mitigation_Industry!Z$681*Mitigation_Industry!$K$672*MAX(Mitigation_Industry!$K$669,0)*Mitigation_Industry!$H$768/1000</f>
        <v>0.7746911146184654</v>
      </c>
      <c r="AA304" s="137">
        <f>Mitigation_Industry!AA$681*Mitigation_Industry!$K$672*MAX(Mitigation_Industry!$K$669,0)*Mitigation_Industry!$H$768/1000</f>
        <v>0.79173431914007153</v>
      </c>
      <c r="AB304" s="137">
        <f>Mitigation_Industry!AB$681*Mitigation_Industry!$K$672*MAX(Mitigation_Industry!$K$669,0)*Mitigation_Industry!$H$768/1000</f>
        <v>0.8091524741611531</v>
      </c>
      <c r="AC304" s="137">
        <f>Mitigation_Industry!AC$681*Mitigation_Industry!$K$672*MAX(Mitigation_Industry!$K$669,0)*Mitigation_Industry!$H$768/1000</f>
        <v>0.8269538285926985</v>
      </c>
      <c r="AD304" s="137">
        <f>Mitigation_Industry!AD$681*Mitigation_Industry!$K$672*MAX(Mitigation_Industry!$K$669,0)*Mitigation_Industry!$H$768/1000</f>
        <v>0.84514681282173787</v>
      </c>
      <c r="AE304" s="137">
        <f>Mitigation_Industry!AE$681*Mitigation_Industry!$K$672*MAX(Mitigation_Industry!$K$669,0)*Mitigation_Industry!$H$768/1000</f>
        <v>0.8637400427038161</v>
      </c>
      <c r="AF304" s="138"/>
      <c r="AG304" s="138"/>
      <c r="AH304" s="138"/>
      <c r="AI304" s="138"/>
    </row>
    <row r="305" spans="1:35" customFormat="1" ht="14.25" x14ac:dyDescent="0.45">
      <c r="B305" s="14" t="s">
        <v>2596</v>
      </c>
      <c r="C305" s="14" t="s">
        <v>115</v>
      </c>
      <c r="D305" s="15" t="s">
        <v>2654</v>
      </c>
      <c r="E305" s="16" t="s">
        <v>2068</v>
      </c>
      <c r="F305" s="14" t="s">
        <v>2637</v>
      </c>
      <c r="G305" s="17"/>
      <c r="H305" s="125" t="str">
        <f>Settings!$B$3&amp;".mit.wm.alu.prp.no.2"</f>
        <v>egy.mit.wm.alu.prp.no.2</v>
      </c>
      <c r="K305" s="136"/>
      <c r="L305" s="137">
        <f>Mitigation_Industry!L$682*Mitigation_Industry!$K$672*MAX(Mitigation_Industry!$K$670,0)*Mitigation_Industry!$H$769/1000</f>
        <v>0.20862065092877519</v>
      </c>
      <c r="M305" s="137">
        <f>Mitigation_Industry!M$682*Mitigation_Industry!$K$672*MAX(Mitigation_Industry!$K$670,0)*Mitigation_Industry!$H$769/1000</f>
        <v>0.22009478672985783</v>
      </c>
      <c r="N305" s="137">
        <f>Mitigation_Industry!N$682*Mitigation_Industry!$K$672*MAX(Mitigation_Industry!$K$670,0)*Mitigation_Industry!$H$769/1000</f>
        <v>0.23220000000000002</v>
      </c>
      <c r="O305" s="137">
        <f>Mitigation_Industry!O$682*Mitigation_Industry!$K$672*MAX(Mitigation_Industry!$K$670,0)*Mitigation_Industry!$H$769/1000</f>
        <v>0.24497099999999999</v>
      </c>
      <c r="P305" s="137">
        <f>Mitigation_Industry!P$682*Mitigation_Industry!$K$672*MAX(Mitigation_Industry!$K$670,0)*Mitigation_Industry!$H$769/1000</f>
        <v>0.25844440499999999</v>
      </c>
      <c r="Q305" s="137">
        <f>Mitigation_Industry!Q$682*Mitigation_Industry!$K$672*MAX(Mitigation_Industry!$K$670,0)*Mitigation_Industry!$H$769/1000</f>
        <v>0.27265884727499995</v>
      </c>
      <c r="R305" s="137">
        <f>Mitigation_Industry!R$682*Mitigation_Industry!$K$672*MAX(Mitigation_Industry!$K$670,0)*Mitigation_Industry!$H$769/1000</f>
        <v>0.28765508387512501</v>
      </c>
      <c r="S305" s="137">
        <f>Mitigation_Industry!S$682*Mitigation_Industry!$K$672*MAX(Mitigation_Industry!$K$670,0)*Mitigation_Industry!$H$769/1000</f>
        <v>0.30347611348825682</v>
      </c>
      <c r="T305" s="137">
        <f>Mitigation_Industry!T$682*Mitigation_Industry!$K$672*MAX(Mitigation_Industry!$K$670,0)*Mitigation_Industry!$H$769/1000</f>
        <v>0.32016729973011093</v>
      </c>
      <c r="U305" s="137">
        <f>Mitigation_Industry!U$682*Mitigation_Industry!$K$672*MAX(Mitigation_Industry!$K$670,0)*Mitigation_Industry!$H$769/1000</f>
        <v>0.33777650121526698</v>
      </c>
      <c r="V305" s="137">
        <f>Mitigation_Industry!V$682*Mitigation_Industry!$K$672*MAX(Mitigation_Industry!$K$670,0)*Mitigation_Industry!$H$769/1000</f>
        <v>0.35635420878210672</v>
      </c>
      <c r="W305" s="137">
        <f>Mitigation_Industry!W$682*Mitigation_Industry!$K$672*MAX(Mitigation_Industry!$K$670,0)*Mitigation_Industry!$H$769/1000</f>
        <v>0.37595369026512254</v>
      </c>
      <c r="X305" s="137">
        <f>Mitigation_Industry!X$682*Mitigation_Industry!$K$672*MAX(Mitigation_Industry!$K$670,0)*Mitigation_Industry!$H$769/1000</f>
        <v>0.39663114322970433</v>
      </c>
      <c r="Y305" s="137">
        <f>Mitigation_Industry!Y$682*Mitigation_Industry!$K$672*MAX(Mitigation_Industry!$K$670,0)*Mitigation_Industry!$H$769/1000</f>
        <v>0.41844585610733798</v>
      </c>
      <c r="Z305" s="137">
        <f>Mitigation_Industry!Z$682*Mitigation_Industry!$K$672*MAX(Mitigation_Industry!$K$670,0)*Mitigation_Industry!$H$769/1000</f>
        <v>0.44146037819324158</v>
      </c>
      <c r="AA305" s="137">
        <f>Mitigation_Industry!AA$682*Mitigation_Industry!$K$672*MAX(Mitigation_Industry!$K$670,0)*Mitigation_Industry!$H$769/1000</f>
        <v>0.46574069899386977</v>
      </c>
      <c r="AB305" s="137">
        <f>Mitigation_Industry!AB$682*Mitigation_Industry!$K$672*MAX(Mitigation_Industry!$K$670,0)*Mitigation_Industry!$H$769/1000</f>
        <v>0.49135643743853269</v>
      </c>
      <c r="AC305" s="137">
        <f>Mitigation_Industry!AC$682*Mitigation_Industry!$K$672*MAX(Mitigation_Industry!$K$670,0)*Mitigation_Industry!$H$769/1000</f>
        <v>0.51838104149765185</v>
      </c>
      <c r="AD305" s="137">
        <f>Mitigation_Industry!AD$682*Mitigation_Industry!$K$672*MAX(Mitigation_Industry!$K$670,0)*Mitigation_Industry!$H$769/1000</f>
        <v>0.5468919987800227</v>
      </c>
      <c r="AE305" s="137">
        <f>Mitigation_Industry!AE$682*Mitigation_Industry!$K$672*MAX(Mitigation_Industry!$K$670,0)*Mitigation_Industry!$H$769/1000</f>
        <v>0.57697105871292398</v>
      </c>
      <c r="AF305" s="138"/>
      <c r="AG305" s="138"/>
      <c r="AH305" s="138"/>
      <c r="AI305" s="138"/>
    </row>
    <row r="306" spans="1:35" x14ac:dyDescent="0.35"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2"/>
      <c r="AG306" s="132"/>
      <c r="AH306" s="132"/>
      <c r="AI306" s="132"/>
    </row>
    <row r="307" spans="1:35" customFormat="1" ht="14.25" x14ac:dyDescent="0.45">
      <c r="A307" s="11"/>
      <c r="B307" s="6"/>
      <c r="C307" s="7" t="s">
        <v>2655</v>
      </c>
      <c r="D307" s="6" t="s">
        <v>1488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34">
        <v>2021</v>
      </c>
      <c r="L307" s="135">
        <v>2022</v>
      </c>
      <c r="M307" s="134">
        <v>2023</v>
      </c>
      <c r="N307" s="134">
        <v>2024</v>
      </c>
      <c r="O307" s="134">
        <v>2025</v>
      </c>
      <c r="P307" s="134">
        <v>2026</v>
      </c>
      <c r="Q307" s="134">
        <v>2027</v>
      </c>
      <c r="R307" s="134">
        <v>2028</v>
      </c>
      <c r="S307" s="134">
        <v>2029</v>
      </c>
      <c r="T307" s="134">
        <v>2030</v>
      </c>
      <c r="U307" s="134">
        <v>2031</v>
      </c>
      <c r="V307" s="134">
        <v>2032</v>
      </c>
      <c r="W307" s="134">
        <v>2033</v>
      </c>
      <c r="X307" s="134">
        <v>2034</v>
      </c>
      <c r="Y307" s="134">
        <v>2035</v>
      </c>
      <c r="Z307" s="134">
        <v>2036</v>
      </c>
      <c r="AA307" s="134">
        <v>2037</v>
      </c>
      <c r="AB307" s="134">
        <v>2038</v>
      </c>
      <c r="AC307" s="134">
        <v>2039</v>
      </c>
      <c r="AD307" s="134">
        <v>2040</v>
      </c>
      <c r="AE307" s="134">
        <v>2041</v>
      </c>
      <c r="AF307" s="134">
        <v>2042</v>
      </c>
      <c r="AG307" s="134">
        <v>2043</v>
      </c>
      <c r="AH307" s="134">
        <v>2044</v>
      </c>
      <c r="AI307" s="134">
        <v>2045</v>
      </c>
    </row>
    <row r="308" spans="1:35" customFormat="1" ht="14.25" x14ac:dyDescent="0.45">
      <c r="B308" s="14" t="s">
        <v>2565</v>
      </c>
      <c r="C308" s="14" t="s">
        <v>43</v>
      </c>
      <c r="D308" s="15" t="s">
        <v>2656</v>
      </c>
      <c r="E308" s="16" t="s">
        <v>2068</v>
      </c>
      <c r="F308" s="14" t="s">
        <v>2655</v>
      </c>
      <c r="G308" s="17"/>
      <c r="H308" s="125" t="str">
        <f>Settings!$B$3&amp;".mit.wp.stl.drg.np.2"</f>
        <v>egy.mit.wp.stl.drg.np.2</v>
      </c>
      <c r="I308" t="s">
        <v>2657</v>
      </c>
      <c r="K308" s="136"/>
      <c r="L308" s="137">
        <f t="shared" ref="L308:AE308" si="91">L$290*EXP(-L$272*L$234)</f>
        <v>0.17734546065090059</v>
      </c>
      <c r="M308" s="137">
        <f t="shared" si="91"/>
        <v>0.18514866091954021</v>
      </c>
      <c r="N308" s="137">
        <f t="shared" si="91"/>
        <v>0.193295202</v>
      </c>
      <c r="O308" s="137">
        <f t="shared" si="91"/>
        <v>0.20180019088800003</v>
      </c>
      <c r="P308" s="137">
        <f t="shared" si="91"/>
        <v>0.21067939928707202</v>
      </c>
      <c r="Q308" s="137">
        <f t="shared" si="91"/>
        <v>0.21994929285570322</v>
      </c>
      <c r="R308" s="137">
        <f t="shared" si="91"/>
        <v>0.22962706174135414</v>
      </c>
      <c r="S308" s="137">
        <f t="shared" si="91"/>
        <v>0.2397306524579737</v>
      </c>
      <c r="T308" s="137">
        <f t="shared" si="91"/>
        <v>0.25027880116612461</v>
      </c>
      <c r="U308" s="137">
        <f t="shared" si="91"/>
        <v>0.2612910684174341</v>
      </c>
      <c r="V308" s="137">
        <f t="shared" si="91"/>
        <v>0.27278787542780114</v>
      </c>
      <c r="W308" s="137">
        <f t="shared" si="91"/>
        <v>0.28479054194662445</v>
      </c>
      <c r="X308" s="137">
        <f t="shared" si="91"/>
        <v>0.29732132579227588</v>
      </c>
      <c r="Y308" s="137">
        <f t="shared" si="91"/>
        <v>0.3104034641271361</v>
      </c>
      <c r="Z308" s="137">
        <f t="shared" si="91"/>
        <v>0.32406121654872999</v>
      </c>
      <c r="AA308" s="137">
        <f t="shared" si="91"/>
        <v>0.33831991007687412</v>
      </c>
      <c r="AB308" s="137">
        <f t="shared" si="91"/>
        <v>0.35320598612025667</v>
      </c>
      <c r="AC308" s="137">
        <f t="shared" si="91"/>
        <v>0.36874704950954795</v>
      </c>
      <c r="AD308" s="137">
        <f t="shared" si="91"/>
        <v>0.38497191968796801</v>
      </c>
      <c r="AE308" s="137">
        <f t="shared" si="91"/>
        <v>0.40191068415423858</v>
      </c>
      <c r="AF308" s="138"/>
      <c r="AG308" s="138"/>
      <c r="AH308" s="138"/>
      <c r="AI308" s="138"/>
    </row>
    <row r="309" spans="1:35" customFormat="1" ht="14.25" x14ac:dyDescent="0.45">
      <c r="B309" s="14" t="s">
        <v>2568</v>
      </c>
      <c r="C309" s="14" t="s">
        <v>43</v>
      </c>
      <c r="D309" s="15" t="s">
        <v>2658</v>
      </c>
      <c r="E309" s="16" t="s">
        <v>2068</v>
      </c>
      <c r="F309" s="14" t="s">
        <v>2655</v>
      </c>
      <c r="G309" s="17"/>
      <c r="H309" s="125" t="str">
        <f>Settings!$B$3&amp;".mit.wp.stl.scr.np.2"</f>
        <v>egy.mit.wp.stl.scr.np.2</v>
      </c>
      <c r="K309" s="136"/>
      <c r="L309" s="137">
        <f t="shared" ref="L309:AE309" si="92">L$291*EXP(-L$273*L$235)</f>
        <v>0.19368983132954593</v>
      </c>
      <c r="M309" s="137">
        <f t="shared" si="92"/>
        <v>0.20221218390804596</v>
      </c>
      <c r="N309" s="137">
        <f t="shared" si="92"/>
        <v>0.21110951999999997</v>
      </c>
      <c r="O309" s="137">
        <f t="shared" si="92"/>
        <v>0.22039833887999999</v>
      </c>
      <c r="P309" s="137">
        <f t="shared" si="92"/>
        <v>0.23009586579071997</v>
      </c>
      <c r="Q309" s="137">
        <f t="shared" si="92"/>
        <v>0.24022008388551169</v>
      </c>
      <c r="R309" s="137">
        <f t="shared" si="92"/>
        <v>0.25078976757647414</v>
      </c>
      <c r="S309" s="137">
        <f t="shared" si="92"/>
        <v>0.26182451734983908</v>
      </c>
      <c r="T309" s="137">
        <f t="shared" si="92"/>
        <v>0.27334479611323198</v>
      </c>
      <c r="U309" s="137">
        <f t="shared" si="92"/>
        <v>0.28537196714221424</v>
      </c>
      <c r="V309" s="137">
        <f t="shared" si="92"/>
        <v>0.29792833369647159</v>
      </c>
      <c r="W309" s="137">
        <f t="shared" si="92"/>
        <v>0.31103718037911643</v>
      </c>
      <c r="X309" s="137">
        <f t="shared" si="92"/>
        <v>0.32472281631579752</v>
      </c>
      <c r="Y309" s="137">
        <f t="shared" si="92"/>
        <v>0.33901062023369266</v>
      </c>
      <c r="Z309" s="137">
        <f t="shared" si="92"/>
        <v>0.35392708752397511</v>
      </c>
      <c r="AA309" s="137">
        <f t="shared" si="92"/>
        <v>0.36949987937502998</v>
      </c>
      <c r="AB309" s="137">
        <f t="shared" si="92"/>
        <v>0.38575787406753137</v>
      </c>
      <c r="AC309" s="137">
        <f t="shared" si="92"/>
        <v>0.40273122052650273</v>
      </c>
      <c r="AD309" s="137">
        <f t="shared" si="92"/>
        <v>0.42045139422966882</v>
      </c>
      <c r="AE309" s="137">
        <f t="shared" si="92"/>
        <v>0.43895125557577425</v>
      </c>
      <c r="AF309" s="138"/>
      <c r="AG309" s="138"/>
      <c r="AH309" s="138"/>
      <c r="AI309" s="138"/>
    </row>
    <row r="310" spans="1:35" customFormat="1" ht="14.25" x14ac:dyDescent="0.45">
      <c r="B310" s="14" t="s">
        <v>2570</v>
      </c>
      <c r="C310" s="14" t="s">
        <v>43</v>
      </c>
      <c r="D310" s="15" t="s">
        <v>2659</v>
      </c>
      <c r="E310" s="16" t="s">
        <v>2068</v>
      </c>
      <c r="F310" s="14" t="s">
        <v>2655</v>
      </c>
      <c r="G310" s="17"/>
      <c r="H310" s="125" t="str">
        <f>Settings!$B$3&amp;".mit.wp.stl.bof.np.2"</f>
        <v>egy.mit.wp.stl.bof.np.2</v>
      </c>
      <c r="K310" s="136"/>
      <c r="L310" s="137">
        <f t="shared" ref="L310:AE310" si="93">L$292*EXP(-L$274*L$236)</f>
        <v>0</v>
      </c>
      <c r="M310" s="137">
        <f t="shared" si="93"/>
        <v>0</v>
      </c>
      <c r="N310" s="137">
        <f t="shared" si="93"/>
        <v>0</v>
      </c>
      <c r="O310" s="137">
        <f t="shared" si="93"/>
        <v>0</v>
      </c>
      <c r="P310" s="137">
        <f t="shared" si="93"/>
        <v>0</v>
      </c>
      <c r="Q310" s="137">
        <f t="shared" si="93"/>
        <v>0</v>
      </c>
      <c r="R310" s="137">
        <f t="shared" si="93"/>
        <v>0</v>
      </c>
      <c r="S310" s="137">
        <f t="shared" si="93"/>
        <v>0</v>
      </c>
      <c r="T310" s="137">
        <f t="shared" si="93"/>
        <v>0</v>
      </c>
      <c r="U310" s="137">
        <f t="shared" si="93"/>
        <v>0</v>
      </c>
      <c r="V310" s="137">
        <f t="shared" si="93"/>
        <v>0</v>
      </c>
      <c r="W310" s="137">
        <f t="shared" si="93"/>
        <v>0</v>
      </c>
      <c r="X310" s="137">
        <f t="shared" si="93"/>
        <v>0</v>
      </c>
      <c r="Y310" s="137">
        <f t="shared" si="93"/>
        <v>0</v>
      </c>
      <c r="Z310" s="137">
        <f t="shared" si="93"/>
        <v>0</v>
      </c>
      <c r="AA310" s="137">
        <f t="shared" si="93"/>
        <v>0</v>
      </c>
      <c r="AB310" s="137">
        <f t="shared" si="93"/>
        <v>0</v>
      </c>
      <c r="AC310" s="137">
        <f t="shared" si="93"/>
        <v>0</v>
      </c>
      <c r="AD310" s="137">
        <f t="shared" si="93"/>
        <v>0</v>
      </c>
      <c r="AE310" s="137">
        <f t="shared" si="93"/>
        <v>0</v>
      </c>
      <c r="AF310" s="138"/>
      <c r="AG310" s="138"/>
      <c r="AH310" s="138"/>
      <c r="AI310" s="138"/>
    </row>
    <row r="311" spans="1:35" customFormat="1" ht="14.25" x14ac:dyDescent="0.45">
      <c r="B311" s="14" t="s">
        <v>2572</v>
      </c>
      <c r="C311" s="14" t="s">
        <v>113</v>
      </c>
      <c r="D311" s="15" t="s">
        <v>2660</v>
      </c>
      <c r="E311" s="16" t="s">
        <v>2068</v>
      </c>
      <c r="F311" s="14" t="s">
        <v>2655</v>
      </c>
      <c r="G311" s="17"/>
      <c r="H311" s="125" t="str">
        <f>Settings!$B$3&amp;".mit.wp.cmt.dry.np.2"</f>
        <v>egy.mit.wp.cmt.dry.np.2</v>
      </c>
      <c r="K311" s="136"/>
      <c r="L311" s="137">
        <f t="shared" ref="L311:AE311" si="94">L$293*EXP(-L$275*L$237)</f>
        <v>25.163138219961041</v>
      </c>
      <c r="M311" s="137">
        <f t="shared" si="94"/>
        <v>25.993521781219755</v>
      </c>
      <c r="N311" s="137">
        <f t="shared" si="94"/>
        <v>26.851308</v>
      </c>
      <c r="O311" s="137">
        <f t="shared" si="94"/>
        <v>27.737401163999998</v>
      </c>
      <c r="P311" s="137">
        <f t="shared" si="94"/>
        <v>28.652735402411995</v>
      </c>
      <c r="Q311" s="137">
        <f t="shared" si="94"/>
        <v>29.598275670691589</v>
      </c>
      <c r="R311" s="137">
        <f t="shared" si="94"/>
        <v>30.575018767824407</v>
      </c>
      <c r="S311" s="137">
        <f t="shared" si="94"/>
        <v>31.583994387162612</v>
      </c>
      <c r="T311" s="137">
        <f t="shared" si="94"/>
        <v>32.626266201938975</v>
      </c>
      <c r="U311" s="137">
        <f t="shared" si="94"/>
        <v>33.70293298660296</v>
      </c>
      <c r="V311" s="137">
        <f t="shared" si="94"/>
        <v>34.815129775160841</v>
      </c>
      <c r="W311" s="137">
        <f t="shared" si="94"/>
        <v>35.964029057741151</v>
      </c>
      <c r="X311" s="137">
        <f t="shared" si="94"/>
        <v>37.150842016646592</v>
      </c>
      <c r="Y311" s="137">
        <f t="shared" si="94"/>
        <v>38.376819803195943</v>
      </c>
      <c r="Z311" s="137">
        <f t="shared" si="94"/>
        <v>39.643254856701404</v>
      </c>
      <c r="AA311" s="137">
        <f t="shared" si="94"/>
        <v>40.951482266972548</v>
      </c>
      <c r="AB311" s="137">
        <f t="shared" si="94"/>
        <v>42.302881181782631</v>
      </c>
      <c r="AC311" s="137">
        <f t="shared" si="94"/>
        <v>43.698876260781446</v>
      </c>
      <c r="AD311" s="137">
        <f t="shared" si="94"/>
        <v>45.140939177387231</v>
      </c>
      <c r="AE311" s="137">
        <f t="shared" si="94"/>
        <v>46.630590170241007</v>
      </c>
      <c r="AF311" s="138"/>
      <c r="AG311" s="138"/>
      <c r="AH311" s="138"/>
      <c r="AI311" s="138"/>
    </row>
    <row r="312" spans="1:35" customFormat="1" ht="14.25" x14ac:dyDescent="0.45">
      <c r="B312" s="14" t="s">
        <v>2574</v>
      </c>
      <c r="C312" s="14" t="s">
        <v>117</v>
      </c>
      <c r="D312" s="15" t="s">
        <v>2661</v>
      </c>
      <c r="E312" s="16" t="s">
        <v>2068</v>
      </c>
      <c r="F312" s="14" t="s">
        <v>2655</v>
      </c>
      <c r="G312" s="17"/>
      <c r="H312" s="125" t="str">
        <f>Settings!$B$3&amp;".mit.wp.frt.amc.np.2"</f>
        <v>egy.mit.wp.frt.amc.np.2</v>
      </c>
      <c r="K312" s="136"/>
      <c r="L312" s="137">
        <f t="shared" ref="L312:AE312" si="95">L$294*EXP(-L$276*L$238)</f>
        <v>0</v>
      </c>
      <c r="M312" s="137">
        <f t="shared" si="95"/>
        <v>0</v>
      </c>
      <c r="N312" s="137">
        <f t="shared" si="95"/>
        <v>0</v>
      </c>
      <c r="O312" s="137">
        <f t="shared" si="95"/>
        <v>0</v>
      </c>
      <c r="P312" s="137">
        <f t="shared" si="95"/>
        <v>0</v>
      </c>
      <c r="Q312" s="137">
        <f t="shared" si="95"/>
        <v>0</v>
      </c>
      <c r="R312" s="137">
        <f t="shared" si="95"/>
        <v>0</v>
      </c>
      <c r="S312" s="137">
        <f t="shared" si="95"/>
        <v>0</v>
      </c>
      <c r="T312" s="137">
        <f t="shared" si="95"/>
        <v>0</v>
      </c>
      <c r="U312" s="137">
        <f t="shared" si="95"/>
        <v>0</v>
      </c>
      <c r="V312" s="137">
        <f t="shared" si="95"/>
        <v>0</v>
      </c>
      <c r="W312" s="137">
        <f t="shared" si="95"/>
        <v>0</v>
      </c>
      <c r="X312" s="137">
        <f t="shared" si="95"/>
        <v>0</v>
      </c>
      <c r="Y312" s="137">
        <f t="shared" si="95"/>
        <v>0</v>
      </c>
      <c r="Z312" s="137">
        <f t="shared" si="95"/>
        <v>0</v>
      </c>
      <c r="AA312" s="137">
        <f t="shared" si="95"/>
        <v>0</v>
      </c>
      <c r="AB312" s="137">
        <f t="shared" si="95"/>
        <v>0</v>
      </c>
      <c r="AC312" s="137">
        <f t="shared" si="95"/>
        <v>0</v>
      </c>
      <c r="AD312" s="137">
        <f t="shared" si="95"/>
        <v>0</v>
      </c>
      <c r="AE312" s="137">
        <f t="shared" si="95"/>
        <v>0</v>
      </c>
      <c r="AF312" s="138"/>
      <c r="AG312" s="138"/>
      <c r="AH312" s="138"/>
      <c r="AI312" s="138"/>
    </row>
    <row r="313" spans="1:35" customFormat="1" ht="14.25" x14ac:dyDescent="0.45">
      <c r="B313" s="14" t="s">
        <v>2576</v>
      </c>
      <c r="C313" s="14" t="s">
        <v>117</v>
      </c>
      <c r="D313" s="15" t="s">
        <v>2662</v>
      </c>
      <c r="E313" s="16" t="s">
        <v>2068</v>
      </c>
      <c r="F313" s="14" t="s">
        <v>2655</v>
      </c>
      <c r="G313" s="17"/>
      <c r="H313" s="125" t="str">
        <f>Settings!$B$3&amp;".mit.wp.frt.ure.np.2"</f>
        <v>egy.mit.wp.frt.ure.np.2</v>
      </c>
      <c r="K313" s="136"/>
      <c r="L313" s="137">
        <f t="shared" ref="L313:AE313" si="96">L$295*EXP(-L$277*L$239)</f>
        <v>0</v>
      </c>
      <c r="M313" s="137">
        <f t="shared" si="96"/>
        <v>0</v>
      </c>
      <c r="N313" s="137">
        <f t="shared" si="96"/>
        <v>0</v>
      </c>
      <c r="O313" s="137">
        <f t="shared" si="96"/>
        <v>0</v>
      </c>
      <c r="P313" s="137">
        <f t="shared" si="96"/>
        <v>0</v>
      </c>
      <c r="Q313" s="137">
        <f t="shared" si="96"/>
        <v>0</v>
      </c>
      <c r="R313" s="137">
        <f t="shared" si="96"/>
        <v>0</v>
      </c>
      <c r="S313" s="137">
        <f t="shared" si="96"/>
        <v>0</v>
      </c>
      <c r="T313" s="137">
        <f t="shared" si="96"/>
        <v>0</v>
      </c>
      <c r="U313" s="137">
        <f t="shared" si="96"/>
        <v>0</v>
      </c>
      <c r="V313" s="137">
        <f t="shared" si="96"/>
        <v>0</v>
      </c>
      <c r="W313" s="137">
        <f t="shared" si="96"/>
        <v>0</v>
      </c>
      <c r="X313" s="137">
        <f t="shared" si="96"/>
        <v>0</v>
      </c>
      <c r="Y313" s="137">
        <f t="shared" si="96"/>
        <v>0</v>
      </c>
      <c r="Z313" s="137">
        <f t="shared" si="96"/>
        <v>0</v>
      </c>
      <c r="AA313" s="137">
        <f t="shared" si="96"/>
        <v>0</v>
      </c>
      <c r="AB313" s="137">
        <f t="shared" si="96"/>
        <v>0</v>
      </c>
      <c r="AC313" s="137">
        <f t="shared" si="96"/>
        <v>0</v>
      </c>
      <c r="AD313" s="137">
        <f t="shared" si="96"/>
        <v>0</v>
      </c>
      <c r="AE313" s="137">
        <f t="shared" si="96"/>
        <v>0</v>
      </c>
      <c r="AF313" s="138"/>
      <c r="AG313" s="138"/>
      <c r="AH313" s="138"/>
      <c r="AI313" s="138"/>
    </row>
    <row r="314" spans="1:35" customFormat="1" ht="14.25" x14ac:dyDescent="0.45">
      <c r="B314" s="14" t="s">
        <v>2578</v>
      </c>
      <c r="C314" s="14" t="s">
        <v>117</v>
      </c>
      <c r="D314" s="15" t="s">
        <v>2663</v>
      </c>
      <c r="E314" s="16" t="s">
        <v>2068</v>
      </c>
      <c r="F314" s="14" t="s">
        <v>2655</v>
      </c>
      <c r="G314" s="17"/>
      <c r="H314" s="125" t="str">
        <f>Settings!$B$3&amp;".mit.wp.frt.nit.np.2"</f>
        <v>egy.mit.wp.frt.nit.np.2</v>
      </c>
      <c r="K314" s="136"/>
      <c r="L314" s="137">
        <f t="shared" ref="L314:AE314" si="97">L$296*EXP(-L$278*L$240)</f>
        <v>0</v>
      </c>
      <c r="M314" s="137">
        <f t="shared" si="97"/>
        <v>0</v>
      </c>
      <c r="N314" s="137">
        <f t="shared" si="97"/>
        <v>0</v>
      </c>
      <c r="O314" s="137">
        <f t="shared" si="97"/>
        <v>0</v>
      </c>
      <c r="P314" s="137">
        <f t="shared" si="97"/>
        <v>0</v>
      </c>
      <c r="Q314" s="137">
        <f t="shared" si="97"/>
        <v>0</v>
      </c>
      <c r="R314" s="137">
        <f t="shared" si="97"/>
        <v>0</v>
      </c>
      <c r="S314" s="137">
        <f t="shared" si="97"/>
        <v>0</v>
      </c>
      <c r="T314" s="137">
        <f t="shared" si="97"/>
        <v>0</v>
      </c>
      <c r="U314" s="137">
        <f t="shared" si="97"/>
        <v>0</v>
      </c>
      <c r="V314" s="137">
        <f t="shared" si="97"/>
        <v>0</v>
      </c>
      <c r="W314" s="137">
        <f t="shared" si="97"/>
        <v>0</v>
      </c>
      <c r="X314" s="137">
        <f t="shared" si="97"/>
        <v>0</v>
      </c>
      <c r="Y314" s="137">
        <f t="shared" si="97"/>
        <v>0</v>
      </c>
      <c r="Z314" s="137">
        <f t="shared" si="97"/>
        <v>0</v>
      </c>
      <c r="AA314" s="137">
        <f t="shared" si="97"/>
        <v>0</v>
      </c>
      <c r="AB314" s="137">
        <f t="shared" si="97"/>
        <v>0</v>
      </c>
      <c r="AC314" s="137">
        <f t="shared" si="97"/>
        <v>0</v>
      </c>
      <c r="AD314" s="137">
        <f t="shared" si="97"/>
        <v>0</v>
      </c>
      <c r="AE314" s="137">
        <f t="shared" si="97"/>
        <v>0</v>
      </c>
      <c r="AF314" s="138"/>
      <c r="AG314" s="138"/>
      <c r="AH314" s="138"/>
      <c r="AI314" s="138"/>
    </row>
    <row r="315" spans="1:35" customFormat="1" ht="14.25" x14ac:dyDescent="0.45">
      <c r="B315" s="14" t="s">
        <v>2580</v>
      </c>
      <c r="C315" s="14" t="s">
        <v>115</v>
      </c>
      <c r="D315" s="15" t="s">
        <v>2664</v>
      </c>
      <c r="E315" s="16" t="s">
        <v>2068</v>
      </c>
      <c r="F315" s="14" t="s">
        <v>2655</v>
      </c>
      <c r="G315" s="17"/>
      <c r="H315" s="125" t="str">
        <f>Settings!$B$3&amp;".mit.wp.alu.prp.np.2"</f>
        <v>egy.mit.wp.alu.prp.np.2</v>
      </c>
      <c r="K315" s="136"/>
      <c r="L315" s="137">
        <f t="shared" ref="L315:AE315" si="98">L$297*EXP(-L$279*L$241)</f>
        <v>0.43758937310482698</v>
      </c>
      <c r="M315" s="137">
        <f t="shared" si="98"/>
        <v>0.4616567886255924</v>
      </c>
      <c r="N315" s="137">
        <f t="shared" si="98"/>
        <v>0.48704791199999997</v>
      </c>
      <c r="O315" s="137">
        <f t="shared" si="98"/>
        <v>0.51383554716000002</v>
      </c>
      <c r="P315" s="137">
        <f t="shared" si="98"/>
        <v>0.54209650225379991</v>
      </c>
      <c r="Q315" s="137">
        <f t="shared" si="98"/>
        <v>0.5719118098777588</v>
      </c>
      <c r="R315" s="137">
        <f t="shared" si="98"/>
        <v>0.6033669594210358</v>
      </c>
      <c r="S315" s="137">
        <f t="shared" si="98"/>
        <v>0.63655214218919254</v>
      </c>
      <c r="T315" s="137">
        <f t="shared" si="98"/>
        <v>0.6715625100095981</v>
      </c>
      <c r="U315" s="137">
        <f t="shared" si="98"/>
        <v>0.70849844806012596</v>
      </c>
      <c r="V315" s="137">
        <f t="shared" si="98"/>
        <v>0.74746586270343296</v>
      </c>
      <c r="W315" s="137">
        <f t="shared" si="98"/>
        <v>0.78857648515212175</v>
      </c>
      <c r="X315" s="137">
        <f t="shared" si="98"/>
        <v>0.83194819183548852</v>
      </c>
      <c r="Y315" s="137">
        <f t="shared" si="98"/>
        <v>0.87770534238644027</v>
      </c>
      <c r="Z315" s="137">
        <f t="shared" si="98"/>
        <v>0.92597913621769457</v>
      </c>
      <c r="AA315" s="137">
        <f t="shared" si="98"/>
        <v>0.97690798870966755</v>
      </c>
      <c r="AB315" s="137">
        <f t="shared" si="98"/>
        <v>1.0306379280886993</v>
      </c>
      <c r="AC315" s="137">
        <f t="shared" si="98"/>
        <v>1.0873230141335775</v>
      </c>
      <c r="AD315" s="137">
        <f t="shared" si="98"/>
        <v>1.1471257799109245</v>
      </c>
      <c r="AE315" s="137">
        <f t="shared" si="98"/>
        <v>1.2102176978060251</v>
      </c>
      <c r="AF315" s="138"/>
      <c r="AG315" s="138"/>
      <c r="AH315" s="138"/>
      <c r="AI315" s="138"/>
    </row>
    <row r="316" spans="1:35" customFormat="1" ht="14.25" x14ac:dyDescent="0.45">
      <c r="B316" s="14" t="s">
        <v>2582</v>
      </c>
      <c r="C316" s="14" t="s">
        <v>43</v>
      </c>
      <c r="D316" s="15" t="s">
        <v>2665</v>
      </c>
      <c r="E316" s="16" t="s">
        <v>2068</v>
      </c>
      <c r="F316" s="14" t="s">
        <v>2655</v>
      </c>
      <c r="G316" s="17"/>
      <c r="H316" s="125" t="str">
        <f>Settings!$B$3&amp;".mit.wp.stl.drg.no.2"</f>
        <v>egy.mit.wp.stl.drg.no.2</v>
      </c>
      <c r="K316" s="136"/>
      <c r="L316" s="137">
        <f t="shared" ref="L316:AE316" si="99">L$298*EXP(-L$280*L$242)</f>
        <v>0</v>
      </c>
      <c r="M316" s="137">
        <f t="shared" si="99"/>
        <v>0</v>
      </c>
      <c r="N316" s="137">
        <f t="shared" si="99"/>
        <v>0</v>
      </c>
      <c r="O316" s="137">
        <f t="shared" si="99"/>
        <v>0</v>
      </c>
      <c r="P316" s="137">
        <f t="shared" si="99"/>
        <v>0</v>
      </c>
      <c r="Q316" s="137">
        <f t="shared" si="99"/>
        <v>0</v>
      </c>
      <c r="R316" s="137">
        <f t="shared" si="99"/>
        <v>0</v>
      </c>
      <c r="S316" s="137">
        <f t="shared" si="99"/>
        <v>0</v>
      </c>
      <c r="T316" s="137">
        <f t="shared" si="99"/>
        <v>0</v>
      </c>
      <c r="U316" s="137">
        <f t="shared" si="99"/>
        <v>0</v>
      </c>
      <c r="V316" s="137">
        <f t="shared" si="99"/>
        <v>0</v>
      </c>
      <c r="W316" s="137">
        <f t="shared" si="99"/>
        <v>0</v>
      </c>
      <c r="X316" s="137">
        <f t="shared" si="99"/>
        <v>0</v>
      </c>
      <c r="Y316" s="137">
        <f t="shared" si="99"/>
        <v>0</v>
      </c>
      <c r="Z316" s="137">
        <f t="shared" si="99"/>
        <v>0</v>
      </c>
      <c r="AA316" s="137">
        <f t="shared" si="99"/>
        <v>0</v>
      </c>
      <c r="AB316" s="137">
        <f t="shared" si="99"/>
        <v>0</v>
      </c>
      <c r="AC316" s="137">
        <f t="shared" si="99"/>
        <v>0</v>
      </c>
      <c r="AD316" s="137">
        <f t="shared" si="99"/>
        <v>0</v>
      </c>
      <c r="AE316" s="137">
        <f t="shared" si="99"/>
        <v>0</v>
      </c>
      <c r="AF316" s="138"/>
      <c r="AG316" s="138"/>
      <c r="AH316" s="138"/>
      <c r="AI316" s="138"/>
    </row>
    <row r="317" spans="1:35" customFormat="1" ht="14.25" x14ac:dyDescent="0.45">
      <c r="B317" s="14" t="s">
        <v>2584</v>
      </c>
      <c r="C317" s="14" t="s">
        <v>43</v>
      </c>
      <c r="D317" s="15" t="s">
        <v>2666</v>
      </c>
      <c r="E317" s="16" t="s">
        <v>2068</v>
      </c>
      <c r="F317" s="14" t="s">
        <v>2655</v>
      </c>
      <c r="G317" s="17"/>
      <c r="H317" s="125" t="str">
        <f>Settings!$B$3&amp;".mit.wp.stl.scr.no.2"</f>
        <v>egy.mit.wp.stl.scr.no.2</v>
      </c>
      <c r="K317" s="136"/>
      <c r="L317" s="137">
        <f t="shared" ref="L317:AE317" si="100">L$299*EXP(-L$281*L$243)</f>
        <v>0</v>
      </c>
      <c r="M317" s="137">
        <f t="shared" si="100"/>
        <v>0</v>
      </c>
      <c r="N317" s="137">
        <f t="shared" si="100"/>
        <v>0</v>
      </c>
      <c r="O317" s="137">
        <f t="shared" si="100"/>
        <v>0</v>
      </c>
      <c r="P317" s="137">
        <f t="shared" si="100"/>
        <v>0</v>
      </c>
      <c r="Q317" s="137">
        <f t="shared" si="100"/>
        <v>0</v>
      </c>
      <c r="R317" s="137">
        <f t="shared" si="100"/>
        <v>0</v>
      </c>
      <c r="S317" s="137">
        <f t="shared" si="100"/>
        <v>0</v>
      </c>
      <c r="T317" s="137">
        <f t="shared" si="100"/>
        <v>0</v>
      </c>
      <c r="U317" s="137">
        <f t="shared" si="100"/>
        <v>0</v>
      </c>
      <c r="V317" s="137">
        <f t="shared" si="100"/>
        <v>0</v>
      </c>
      <c r="W317" s="137">
        <f t="shared" si="100"/>
        <v>0</v>
      </c>
      <c r="X317" s="137">
        <f t="shared" si="100"/>
        <v>0</v>
      </c>
      <c r="Y317" s="137">
        <f t="shared" si="100"/>
        <v>0</v>
      </c>
      <c r="Z317" s="137">
        <f t="shared" si="100"/>
        <v>0</v>
      </c>
      <c r="AA317" s="137">
        <f t="shared" si="100"/>
        <v>0</v>
      </c>
      <c r="AB317" s="137">
        <f t="shared" si="100"/>
        <v>0</v>
      </c>
      <c r="AC317" s="137">
        <f t="shared" si="100"/>
        <v>0</v>
      </c>
      <c r="AD317" s="137">
        <f t="shared" si="100"/>
        <v>0</v>
      </c>
      <c r="AE317" s="137">
        <f t="shared" si="100"/>
        <v>0</v>
      </c>
      <c r="AF317" s="138"/>
      <c r="AG317" s="138"/>
      <c r="AH317" s="138"/>
      <c r="AI317" s="138"/>
    </row>
    <row r="318" spans="1:35" customFormat="1" ht="14.25" x14ac:dyDescent="0.45">
      <c r="B318" s="14" t="s">
        <v>2586</v>
      </c>
      <c r="C318" s="14" t="s">
        <v>43</v>
      </c>
      <c r="D318" s="15" t="s">
        <v>2667</v>
      </c>
      <c r="E318" s="16" t="s">
        <v>2068</v>
      </c>
      <c r="F318" s="14" t="s">
        <v>2655</v>
      </c>
      <c r="G318" s="17"/>
      <c r="H318" s="125" t="str">
        <f>Settings!$B$3&amp;".mit.wp.stl.bof.no.2"</f>
        <v>egy.mit.wp.stl.bof.no.2</v>
      </c>
      <c r="K318" s="136"/>
      <c r="L318" s="137">
        <f t="shared" ref="L318:AE318" si="101">L$300*EXP(-L$282*L$244)</f>
        <v>0</v>
      </c>
      <c r="M318" s="137">
        <f t="shared" si="101"/>
        <v>0</v>
      </c>
      <c r="N318" s="137">
        <f t="shared" si="101"/>
        <v>0</v>
      </c>
      <c r="O318" s="137">
        <f t="shared" si="101"/>
        <v>0</v>
      </c>
      <c r="P318" s="137">
        <f t="shared" si="101"/>
        <v>0</v>
      </c>
      <c r="Q318" s="137">
        <f t="shared" si="101"/>
        <v>0</v>
      </c>
      <c r="R318" s="137">
        <f t="shared" si="101"/>
        <v>0</v>
      </c>
      <c r="S318" s="137">
        <f t="shared" si="101"/>
        <v>0</v>
      </c>
      <c r="T318" s="137">
        <f t="shared" si="101"/>
        <v>0</v>
      </c>
      <c r="U318" s="137">
        <f t="shared" si="101"/>
        <v>0</v>
      </c>
      <c r="V318" s="137">
        <f t="shared" si="101"/>
        <v>0</v>
      </c>
      <c r="W318" s="137">
        <f t="shared" si="101"/>
        <v>0</v>
      </c>
      <c r="X318" s="137">
        <f t="shared" si="101"/>
        <v>0</v>
      </c>
      <c r="Y318" s="137">
        <f t="shared" si="101"/>
        <v>0</v>
      </c>
      <c r="Z318" s="137">
        <f t="shared" si="101"/>
        <v>0</v>
      </c>
      <c r="AA318" s="137">
        <f t="shared" si="101"/>
        <v>0</v>
      </c>
      <c r="AB318" s="137">
        <f t="shared" si="101"/>
        <v>0</v>
      </c>
      <c r="AC318" s="137">
        <f t="shared" si="101"/>
        <v>0</v>
      </c>
      <c r="AD318" s="137">
        <f t="shared" si="101"/>
        <v>0</v>
      </c>
      <c r="AE318" s="137">
        <f t="shared" si="101"/>
        <v>0</v>
      </c>
      <c r="AF318" s="138"/>
      <c r="AG318" s="138"/>
      <c r="AH318" s="138"/>
      <c r="AI318" s="138"/>
    </row>
    <row r="319" spans="1:35" customFormat="1" ht="14.25" x14ac:dyDescent="0.45">
      <c r="B319" s="14" t="s">
        <v>2588</v>
      </c>
      <c r="C319" s="14" t="s">
        <v>113</v>
      </c>
      <c r="D319" s="15" t="s">
        <v>2668</v>
      </c>
      <c r="E319" s="16" t="s">
        <v>2068</v>
      </c>
      <c r="F319" s="14" t="s">
        <v>2655</v>
      </c>
      <c r="G319" s="17"/>
      <c r="H319" s="125" t="str">
        <f>Settings!$B$3&amp;".mit.wp.cmt.dry.no.2"</f>
        <v>egy.mit.wp.cmt.dry.no.2</v>
      </c>
      <c r="K319" s="136"/>
      <c r="L319" s="137">
        <f t="shared" ref="L319:AE319" si="102">L$301*EXP(-L$283*L$245)</f>
        <v>0</v>
      </c>
      <c r="M319" s="137">
        <f t="shared" si="102"/>
        <v>0</v>
      </c>
      <c r="N319" s="137">
        <f t="shared" si="102"/>
        <v>0</v>
      </c>
      <c r="O319" s="137">
        <f t="shared" si="102"/>
        <v>0</v>
      </c>
      <c r="P319" s="137">
        <f t="shared" si="102"/>
        <v>0</v>
      </c>
      <c r="Q319" s="137">
        <f t="shared" si="102"/>
        <v>0</v>
      </c>
      <c r="R319" s="137">
        <f t="shared" si="102"/>
        <v>0</v>
      </c>
      <c r="S319" s="137">
        <f t="shared" si="102"/>
        <v>0</v>
      </c>
      <c r="T319" s="137">
        <f t="shared" si="102"/>
        <v>0</v>
      </c>
      <c r="U319" s="137">
        <f t="shared" si="102"/>
        <v>0</v>
      </c>
      <c r="V319" s="137">
        <f t="shared" si="102"/>
        <v>0</v>
      </c>
      <c r="W319" s="137">
        <f t="shared" si="102"/>
        <v>0</v>
      </c>
      <c r="X319" s="137">
        <f t="shared" si="102"/>
        <v>0</v>
      </c>
      <c r="Y319" s="137">
        <f t="shared" si="102"/>
        <v>0</v>
      </c>
      <c r="Z319" s="137">
        <f t="shared" si="102"/>
        <v>0</v>
      </c>
      <c r="AA319" s="137">
        <f t="shared" si="102"/>
        <v>0</v>
      </c>
      <c r="AB319" s="137">
        <f t="shared" si="102"/>
        <v>0</v>
      </c>
      <c r="AC319" s="137">
        <f t="shared" si="102"/>
        <v>0</v>
      </c>
      <c r="AD319" s="137">
        <f t="shared" si="102"/>
        <v>0</v>
      </c>
      <c r="AE319" s="137">
        <f t="shared" si="102"/>
        <v>0</v>
      </c>
      <c r="AF319" s="138"/>
      <c r="AG319" s="138"/>
      <c r="AH319" s="138"/>
      <c r="AI319" s="138"/>
    </row>
    <row r="320" spans="1:35" customFormat="1" ht="14.25" x14ac:dyDescent="0.45">
      <c r="B320" s="14" t="s">
        <v>2590</v>
      </c>
      <c r="C320" s="14" t="s">
        <v>117</v>
      </c>
      <c r="D320" s="15" t="s">
        <v>2669</v>
      </c>
      <c r="E320" s="16" t="s">
        <v>2068</v>
      </c>
      <c r="F320" s="14" t="s">
        <v>2655</v>
      </c>
      <c r="G320" s="17"/>
      <c r="H320" s="125" t="str">
        <f>Settings!$B$3&amp;".mit.wp.frt.amc.no.2"</f>
        <v>egy.mit.wp.frt.amc.no.2</v>
      </c>
      <c r="K320" s="136"/>
      <c r="L320" s="137">
        <f t="shared" ref="L320:AE320" si="103">L$302*EXP(-L$284*L$246)</f>
        <v>0</v>
      </c>
      <c r="M320" s="137">
        <f t="shared" si="103"/>
        <v>0</v>
      </c>
      <c r="N320" s="137">
        <f t="shared" si="103"/>
        <v>0</v>
      </c>
      <c r="O320" s="137">
        <f t="shared" si="103"/>
        <v>0</v>
      </c>
      <c r="P320" s="137">
        <f t="shared" si="103"/>
        <v>0</v>
      </c>
      <c r="Q320" s="137">
        <f t="shared" si="103"/>
        <v>0</v>
      </c>
      <c r="R320" s="137">
        <f t="shared" si="103"/>
        <v>0</v>
      </c>
      <c r="S320" s="137">
        <f t="shared" si="103"/>
        <v>0</v>
      </c>
      <c r="T320" s="137">
        <f t="shared" si="103"/>
        <v>0</v>
      </c>
      <c r="U320" s="137">
        <f t="shared" si="103"/>
        <v>0</v>
      </c>
      <c r="V320" s="137">
        <f t="shared" si="103"/>
        <v>0</v>
      </c>
      <c r="W320" s="137">
        <f t="shared" si="103"/>
        <v>0</v>
      </c>
      <c r="X320" s="137">
        <f t="shared" si="103"/>
        <v>0</v>
      </c>
      <c r="Y320" s="137">
        <f t="shared" si="103"/>
        <v>0</v>
      </c>
      <c r="Z320" s="137">
        <f t="shared" si="103"/>
        <v>0</v>
      </c>
      <c r="AA320" s="137">
        <f t="shared" si="103"/>
        <v>0</v>
      </c>
      <c r="AB320" s="137">
        <f t="shared" si="103"/>
        <v>0</v>
      </c>
      <c r="AC320" s="137">
        <f t="shared" si="103"/>
        <v>0</v>
      </c>
      <c r="AD320" s="137">
        <f t="shared" si="103"/>
        <v>0</v>
      </c>
      <c r="AE320" s="137">
        <f t="shared" si="103"/>
        <v>0</v>
      </c>
      <c r="AF320" s="138"/>
      <c r="AG320" s="138"/>
      <c r="AH320" s="138"/>
      <c r="AI320" s="138"/>
    </row>
    <row r="321" spans="1:35" customFormat="1" ht="14.25" x14ac:dyDescent="0.45">
      <c r="B321" s="14" t="s">
        <v>2592</v>
      </c>
      <c r="C321" s="14" t="s">
        <v>117</v>
      </c>
      <c r="D321" s="15" t="s">
        <v>2670</v>
      </c>
      <c r="E321" s="16" t="s">
        <v>2068</v>
      </c>
      <c r="F321" s="14" t="s">
        <v>2655</v>
      </c>
      <c r="G321" s="17"/>
      <c r="H321" s="125" t="str">
        <f>Settings!$B$3&amp;".mit.wp.frt.ure.no.2"</f>
        <v>egy.mit.wp.frt.ure.no.2</v>
      </c>
      <c r="K321" s="136"/>
      <c r="L321" s="137">
        <f t="shared" ref="L321:AE321" si="104">L$303*EXP(-L$285*L$247)</f>
        <v>0</v>
      </c>
      <c r="M321" s="137">
        <f t="shared" si="104"/>
        <v>0</v>
      </c>
      <c r="N321" s="137">
        <f t="shared" si="104"/>
        <v>0</v>
      </c>
      <c r="O321" s="137">
        <f t="shared" si="104"/>
        <v>0</v>
      </c>
      <c r="P321" s="137">
        <f t="shared" si="104"/>
        <v>0</v>
      </c>
      <c r="Q321" s="137">
        <f t="shared" si="104"/>
        <v>0</v>
      </c>
      <c r="R321" s="137">
        <f t="shared" si="104"/>
        <v>0</v>
      </c>
      <c r="S321" s="137">
        <f t="shared" si="104"/>
        <v>0</v>
      </c>
      <c r="T321" s="137">
        <f t="shared" si="104"/>
        <v>0</v>
      </c>
      <c r="U321" s="137">
        <f t="shared" si="104"/>
        <v>0</v>
      </c>
      <c r="V321" s="137">
        <f t="shared" si="104"/>
        <v>0</v>
      </c>
      <c r="W321" s="137">
        <f t="shared" si="104"/>
        <v>0</v>
      </c>
      <c r="X321" s="137">
        <f t="shared" si="104"/>
        <v>0</v>
      </c>
      <c r="Y321" s="137">
        <f t="shared" si="104"/>
        <v>0</v>
      </c>
      <c r="Z321" s="137">
        <f t="shared" si="104"/>
        <v>0</v>
      </c>
      <c r="AA321" s="137">
        <f t="shared" si="104"/>
        <v>0</v>
      </c>
      <c r="AB321" s="137">
        <f t="shared" si="104"/>
        <v>0</v>
      </c>
      <c r="AC321" s="137">
        <f t="shared" si="104"/>
        <v>0</v>
      </c>
      <c r="AD321" s="137">
        <f t="shared" si="104"/>
        <v>0</v>
      </c>
      <c r="AE321" s="137">
        <f t="shared" si="104"/>
        <v>0</v>
      </c>
      <c r="AF321" s="138"/>
      <c r="AG321" s="138"/>
      <c r="AH321" s="138"/>
      <c r="AI321" s="138"/>
    </row>
    <row r="322" spans="1:35" customFormat="1" ht="14.25" x14ac:dyDescent="0.45">
      <c r="B322" s="14" t="s">
        <v>2594</v>
      </c>
      <c r="C322" s="14" t="s">
        <v>117</v>
      </c>
      <c r="D322" s="15" t="s">
        <v>2671</v>
      </c>
      <c r="E322" s="16" t="s">
        <v>2068</v>
      </c>
      <c r="F322" s="14" t="s">
        <v>2655</v>
      </c>
      <c r="G322" s="17"/>
      <c r="H322" s="125" t="str">
        <f>Settings!$B$3&amp;".mit.wp.frt.nit.no.2"</f>
        <v>egy.mit.wp.frt.nit.no.2</v>
      </c>
      <c r="K322" s="136"/>
      <c r="L322" s="137">
        <f t="shared" ref="L322:AE322" si="105">L$304*EXP(-L$286*L$248)</f>
        <v>0.57123661061347031</v>
      </c>
      <c r="M322" s="137">
        <f t="shared" si="105"/>
        <v>0.58380381604696674</v>
      </c>
      <c r="N322" s="137">
        <f t="shared" si="105"/>
        <v>0.5966475</v>
      </c>
      <c r="O322" s="137">
        <f t="shared" si="105"/>
        <v>0.60977374500000003</v>
      </c>
      <c r="P322" s="137">
        <f t="shared" si="105"/>
        <v>0.62318876738999995</v>
      </c>
      <c r="Q322" s="137">
        <f t="shared" si="105"/>
        <v>0.6368989202725801</v>
      </c>
      <c r="R322" s="137">
        <f t="shared" si="105"/>
        <v>0.65091069651857669</v>
      </c>
      <c r="S322" s="137">
        <f t="shared" si="105"/>
        <v>0.66523073184198556</v>
      </c>
      <c r="T322" s="137">
        <f t="shared" si="105"/>
        <v>0.67986580794250906</v>
      </c>
      <c r="U322" s="137">
        <f t="shared" si="105"/>
        <v>0.69482285571724434</v>
      </c>
      <c r="V322" s="137">
        <f t="shared" si="105"/>
        <v>0.7101089585430238</v>
      </c>
      <c r="W322" s="137">
        <f t="shared" si="105"/>
        <v>0.72573135563097024</v>
      </c>
      <c r="X322" s="137">
        <f t="shared" si="105"/>
        <v>0.74169744545485172</v>
      </c>
      <c r="Y322" s="137">
        <f t="shared" si="105"/>
        <v>0.75801478925485843</v>
      </c>
      <c r="Z322" s="137">
        <f t="shared" si="105"/>
        <v>0.7746911146184654</v>
      </c>
      <c r="AA322" s="137">
        <f t="shared" si="105"/>
        <v>0.79173431914007153</v>
      </c>
      <c r="AB322" s="137">
        <f t="shared" si="105"/>
        <v>0.8091524741611531</v>
      </c>
      <c r="AC322" s="137">
        <f t="shared" si="105"/>
        <v>0.8269538285926985</v>
      </c>
      <c r="AD322" s="137">
        <f t="shared" si="105"/>
        <v>0.84514681282173787</v>
      </c>
      <c r="AE322" s="137">
        <f t="shared" si="105"/>
        <v>0.8637400427038161</v>
      </c>
      <c r="AF322" s="138"/>
      <c r="AG322" s="138"/>
      <c r="AH322" s="138"/>
      <c r="AI322" s="138"/>
    </row>
    <row r="323" spans="1:35" customFormat="1" ht="14.25" x14ac:dyDescent="0.45">
      <c r="B323" s="14" t="s">
        <v>2596</v>
      </c>
      <c r="C323" s="14" t="s">
        <v>115</v>
      </c>
      <c r="D323" s="15" t="s">
        <v>2672</v>
      </c>
      <c r="E323" s="16" t="s">
        <v>2068</v>
      </c>
      <c r="F323" s="14" t="s">
        <v>2655</v>
      </c>
      <c r="G323" s="17"/>
      <c r="H323" s="125" t="str">
        <f>Settings!$B$3&amp;".mit.wp.alu.prp.no.2"</f>
        <v>egy.mit.wp.alu.prp.no.2</v>
      </c>
      <c r="K323" s="136"/>
      <c r="L323" s="137">
        <f t="shared" ref="L323:AE323" si="106">L$305*EXP(-L$287*L$249)</f>
        <v>0.20862065092877519</v>
      </c>
      <c r="M323" s="137">
        <f t="shared" si="106"/>
        <v>0.22009478672985783</v>
      </c>
      <c r="N323" s="137">
        <f t="shared" si="106"/>
        <v>0.23220000000000002</v>
      </c>
      <c r="O323" s="137">
        <f t="shared" si="106"/>
        <v>0.24497099999999999</v>
      </c>
      <c r="P323" s="137">
        <f t="shared" si="106"/>
        <v>0.25844440499999999</v>
      </c>
      <c r="Q323" s="137">
        <f t="shared" si="106"/>
        <v>0.27265884727499995</v>
      </c>
      <c r="R323" s="137">
        <f t="shared" si="106"/>
        <v>0.28765508387512501</v>
      </c>
      <c r="S323" s="137">
        <f t="shared" si="106"/>
        <v>0.30347611348825682</v>
      </c>
      <c r="T323" s="137">
        <f t="shared" si="106"/>
        <v>0.32016729973011093</v>
      </c>
      <c r="U323" s="137">
        <f t="shared" si="106"/>
        <v>0.33777650121526698</v>
      </c>
      <c r="V323" s="137">
        <f t="shared" si="106"/>
        <v>0.35635420878210672</v>
      </c>
      <c r="W323" s="137">
        <f t="shared" si="106"/>
        <v>0.37595369026512254</v>
      </c>
      <c r="X323" s="137">
        <f t="shared" si="106"/>
        <v>0.39663114322970433</v>
      </c>
      <c r="Y323" s="137">
        <f t="shared" si="106"/>
        <v>0.41844585610733798</v>
      </c>
      <c r="Z323" s="137">
        <f t="shared" si="106"/>
        <v>0.44146037819324158</v>
      </c>
      <c r="AA323" s="137">
        <f t="shared" si="106"/>
        <v>0.46574069899386977</v>
      </c>
      <c r="AB323" s="137">
        <f t="shared" si="106"/>
        <v>0.49135643743853269</v>
      </c>
      <c r="AC323" s="137">
        <f t="shared" si="106"/>
        <v>0.51838104149765185</v>
      </c>
      <c r="AD323" s="137">
        <f t="shared" si="106"/>
        <v>0.5468919987800227</v>
      </c>
      <c r="AE323" s="137">
        <f t="shared" si="106"/>
        <v>0.57697105871292398</v>
      </c>
      <c r="AF323" s="138"/>
      <c r="AG323" s="138"/>
      <c r="AH323" s="138"/>
      <c r="AI323" s="138"/>
    </row>
    <row r="324" spans="1:35" x14ac:dyDescent="0.35"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  <c r="AC324" s="132"/>
      <c r="AD324" s="132"/>
      <c r="AE324" s="132"/>
      <c r="AF324" s="132"/>
      <c r="AG324" s="132"/>
      <c r="AH324" s="132"/>
      <c r="AI324" s="132"/>
    </row>
    <row r="325" spans="1:35" customFormat="1" ht="14.25" x14ac:dyDescent="0.45">
      <c r="A325" s="11"/>
      <c r="B325" s="6"/>
      <c r="C325" s="7" t="s">
        <v>2673</v>
      </c>
      <c r="D325" s="6" t="s">
        <v>1488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34">
        <v>2021</v>
      </c>
      <c r="L325" s="135">
        <v>2022</v>
      </c>
      <c r="M325" s="134">
        <v>2023</v>
      </c>
      <c r="N325" s="134">
        <v>2024</v>
      </c>
      <c r="O325" s="134">
        <v>2025</v>
      </c>
      <c r="P325" s="134">
        <v>2026</v>
      </c>
      <c r="Q325" s="134">
        <v>2027</v>
      </c>
      <c r="R325" s="134">
        <v>2028</v>
      </c>
      <c r="S325" s="134">
        <v>2029</v>
      </c>
      <c r="T325" s="134">
        <v>2030</v>
      </c>
      <c r="U325" s="134">
        <v>2031</v>
      </c>
      <c r="V325" s="134">
        <v>2032</v>
      </c>
      <c r="W325" s="134">
        <v>2033</v>
      </c>
      <c r="X325" s="134">
        <v>2034</v>
      </c>
      <c r="Y325" s="134">
        <v>2035</v>
      </c>
      <c r="Z325" s="134">
        <v>2036</v>
      </c>
      <c r="AA325" s="134">
        <v>2037</v>
      </c>
      <c r="AB325" s="134">
        <v>2038</v>
      </c>
      <c r="AC325" s="134">
        <v>2039</v>
      </c>
      <c r="AD325" s="134">
        <v>2040</v>
      </c>
      <c r="AE325" s="134">
        <v>2041</v>
      </c>
      <c r="AF325" s="134">
        <v>2042</v>
      </c>
      <c r="AG325" s="134">
        <v>2043</v>
      </c>
      <c r="AH325" s="134">
        <v>2044</v>
      </c>
      <c r="AI325" s="134">
        <v>2045</v>
      </c>
    </row>
    <row r="326" spans="1:35" customFormat="1" ht="14.25" x14ac:dyDescent="0.45">
      <c r="B326" s="14" t="s">
        <v>2674</v>
      </c>
      <c r="C326" s="14" t="s">
        <v>2675</v>
      </c>
      <c r="D326" s="15" t="s">
        <v>2676</v>
      </c>
      <c r="E326" s="16" t="s">
        <v>1854</v>
      </c>
      <c r="F326" s="14" t="s">
        <v>2674</v>
      </c>
      <c r="G326" s="17"/>
      <c r="H326" s="125" t="str">
        <f>Settings!$B$3&amp;".mit.revf0.cbam.tot.2"</f>
        <v>egy.mit.revf0.cbam.tot.2</v>
      </c>
      <c r="I326" t="s">
        <v>2677</v>
      </c>
      <c r="K326" s="136"/>
      <c r="L326" s="140">
        <f>SUMPRODUCT(L$252:L$259*Mitigation_Industry!$I$729:$I$736*L$224:L$231)</f>
        <v>0</v>
      </c>
      <c r="M326" s="140">
        <f>SUMPRODUCT(M$252:M$259*Mitigation_Industry!$I$729:$I$736*M$224:M$231)</f>
        <v>0</v>
      </c>
      <c r="N326" s="140">
        <f>SUMPRODUCT(N$252:N$259*Mitigation_Industry!$I$729:$I$736*N$224:N$231)</f>
        <v>0</v>
      </c>
      <c r="O326" s="140">
        <f>SUMPRODUCT(O$252:O$259*Mitigation_Industry!$I$729:$I$736*O$224:O$231)</f>
        <v>0</v>
      </c>
      <c r="P326" s="140">
        <f>SUMPRODUCT(P$252:P$259*Mitigation_Industry!$I$729:$I$736*P$224:P$231)</f>
        <v>0</v>
      </c>
      <c r="Q326" s="140">
        <f>SUMPRODUCT(Q$252:Q$259*Mitigation_Industry!$I$729:$I$736*Q$224:Q$231)</f>
        <v>313.18092912945133</v>
      </c>
      <c r="R326" s="140">
        <f>SUMPRODUCT(R$252:R$259*Mitigation_Industry!$I$729:$I$736*R$224:R$231)</f>
        <v>646.88764494852489</v>
      </c>
      <c r="S326" s="140">
        <f>SUMPRODUCT(S$252:S$259*Mitigation_Industry!$I$729:$I$736*S$224:S$231)</f>
        <v>1002.1648959865571</v>
      </c>
      <c r="T326" s="140">
        <f>SUMPRODUCT(T$252:T$259*Mitigation_Industry!$I$729:$I$736*T$224:T$231)</f>
        <v>1380.1062236958546</v>
      </c>
      <c r="U326" s="140">
        <f>SUMPRODUCT(U$252:U$259*Mitigation_Industry!$I$729:$I$736*U$224:U$231)</f>
        <v>1781.8561629939895</v>
      </c>
      <c r="V326" s="140">
        <f>SUMPRODUCT(V$252:V$259*Mitigation_Industry!$I$729:$I$736*V$224:V$231)</f>
        <v>2208.6125408023772</v>
      </c>
      <c r="W326" s="140">
        <f>SUMPRODUCT(W$252:W$259*Mitigation_Industry!$I$729:$I$736*W$224:W$231)</f>
        <v>2661.6288769403232</v>
      </c>
      <c r="X326" s="140">
        <f>SUMPRODUCT(X$252:X$259*Mitigation_Industry!$I$729:$I$736*X$224:X$231)</f>
        <v>3142.2168919286596</v>
      </c>
      <c r="Y326" s="140">
        <f>SUMPRODUCT(Y$252:Y$259*Mitigation_Industry!$I$729:$I$736*Y$224:Y$231)</f>
        <v>3651.7491264608011</v>
      </c>
      <c r="Z326" s="140">
        <f>SUMPRODUCT(Z$252:Z$259*Mitigation_Industry!$I$729:$I$736*Z$224:Z$231)</f>
        <v>4191.6616775120128</v>
      </c>
      <c r="AA326" s="140">
        <f>SUMPRODUCT(AA$252:AA$259*Mitigation_Industry!$I$729:$I$736*AA$224:AA$231)</f>
        <v>4763.45705628019</v>
      </c>
      <c r="AB326" s="140">
        <f>SUMPRODUCT(AB$252:AB$259*Mitigation_Industry!$I$729:$I$736*AB$224:AB$231)</f>
        <v>5368.7071733840539</v>
      </c>
      <c r="AC326" s="140">
        <f>SUMPRODUCT(AC$252:AC$259*Mitigation_Industry!$I$729:$I$736*AC$224:AC$231)</f>
        <v>6009.0564569877843</v>
      </c>
      <c r="AD326" s="140">
        <f>SUMPRODUCT(AD$252:AD$259*Mitigation_Industry!$I$729:$I$736*AD$224:AD$231)</f>
        <v>6686.2251097751796</v>
      </c>
      <c r="AE326" s="140">
        <f>SUMPRODUCT(AE$252:AE$259*Mitigation_Industry!$I$729:$I$736*AE$224:AE$231)</f>
        <v>7402.012510962054</v>
      </c>
      <c r="AF326" s="138"/>
      <c r="AG326" s="138"/>
      <c r="AH326" s="138"/>
      <c r="AI326" s="138"/>
    </row>
    <row r="327" spans="1:35" customFormat="1" ht="14.25" x14ac:dyDescent="0.45">
      <c r="B327" s="14" t="s">
        <v>2678</v>
      </c>
      <c r="C327" s="14" t="s">
        <v>2675</v>
      </c>
      <c r="D327" s="15" t="s">
        <v>2679</v>
      </c>
      <c r="E327" s="16" t="s">
        <v>1854</v>
      </c>
      <c r="F327" s="14" t="s">
        <v>2678</v>
      </c>
      <c r="G327" s="17"/>
      <c r="H327" s="125" t="str">
        <f>Settings!$B$3&amp;".mit.revp0.cbam.tot.2"</f>
        <v>egy.mit.revp0.cbam.tot.2</v>
      </c>
      <c r="I327" t="s">
        <v>2680</v>
      </c>
      <c r="K327" s="136"/>
      <c r="L327" s="140">
        <f>SUMPRODUCT(Mitigation_Industry!L$740:L$747*Mitigation_Industry!$J$729:$J$736*L$234:L$241)-SUMPRODUCT((L$290:L$305-L$308:L$323)*L$234:L$249)</f>
        <v>0</v>
      </c>
      <c r="M327" s="140">
        <f>SUMPRODUCT(Mitigation_Industry!M$740:M$747*Mitigation_Industry!$J$729:$J$736*M$234:M$241)-SUMPRODUCT((M$290:M$305-M$308:M$323)*M$234:M$249)</f>
        <v>0</v>
      </c>
      <c r="N327" s="140">
        <f>SUMPRODUCT(Mitigation_Industry!N$740:N$747*Mitigation_Industry!$J$729:$J$736*N$234:N$241)-SUMPRODUCT((N$290:N$305-N$308:N$323)*N$234:N$249)</f>
        <v>0</v>
      </c>
      <c r="O327" s="140">
        <f>SUMPRODUCT(Mitigation_Industry!O$740:O$747*Mitigation_Industry!$J$729:$J$736*O$234:O$241)-SUMPRODUCT((O$290:O$305-O$308:O$323)*O$234:O$249)</f>
        <v>0</v>
      </c>
      <c r="P327" s="140">
        <f>SUMPRODUCT(Mitigation_Industry!P$740:P$747*Mitigation_Industry!$J$729:$J$736*P$234:P$241)-SUMPRODUCT((P$290:P$305-P$308:P$323)*P$234:P$249)</f>
        <v>0</v>
      </c>
      <c r="Q327" s="140">
        <f>SUMPRODUCT(Mitigation_Industry!Q$740:Q$747*Mitigation_Industry!$J$729:$J$736*Q$234:Q$241)-SUMPRODUCT((Q$290:Q$305-Q$308:Q$323)*Q$234:Q$249)</f>
        <v>0</v>
      </c>
      <c r="R327" s="140">
        <f>SUMPRODUCT(Mitigation_Industry!R$740:R$747*Mitigation_Industry!$J$729:$J$736*R$234:R$241)-SUMPRODUCT((R$290:R$305-R$308:R$323)*R$234:R$249)</f>
        <v>0</v>
      </c>
      <c r="S327" s="140">
        <f>SUMPRODUCT(Mitigation_Industry!S$740:S$747*Mitigation_Industry!$J$729:$J$736*S$234:S$241)-SUMPRODUCT((S$290:S$305-S$308:S$323)*S$234:S$249)</f>
        <v>0</v>
      </c>
      <c r="T327" s="140">
        <f>SUMPRODUCT(Mitigation_Industry!T$740:T$747*Mitigation_Industry!$J$729:$J$736*T$234:T$241)-SUMPRODUCT((T$290:T$305-T$308:T$323)*T$234:T$249)</f>
        <v>0</v>
      </c>
      <c r="U327" s="140">
        <f>SUMPRODUCT(Mitigation_Industry!U$740:U$747*Mitigation_Industry!$J$729:$J$736*U$234:U$241)-SUMPRODUCT((U$290:U$305-U$308:U$323)*U$234:U$249)</f>
        <v>0</v>
      </c>
      <c r="V327" s="140">
        <f>SUMPRODUCT(Mitigation_Industry!V$740:V$747*Mitigation_Industry!$J$729:$J$736*V$234:V$241)-SUMPRODUCT((V$290:V$305-V$308:V$323)*V$234:V$249)</f>
        <v>0</v>
      </c>
      <c r="W327" s="140">
        <f>SUMPRODUCT(Mitigation_Industry!W$740:W$747*Mitigation_Industry!$J$729:$J$736*W$234:W$241)-SUMPRODUCT((W$290:W$305-W$308:W$323)*W$234:W$249)</f>
        <v>0</v>
      </c>
      <c r="X327" s="140">
        <f>SUMPRODUCT(Mitigation_Industry!X$740:X$747*Mitigation_Industry!$J$729:$J$736*X$234:X$241)-SUMPRODUCT((X$290:X$305-X$308:X$323)*X$234:X$249)</f>
        <v>0</v>
      </c>
      <c r="Y327" s="140">
        <f>SUMPRODUCT(Mitigation_Industry!Y$740:Y$747*Mitigation_Industry!$J$729:$J$736*Y$234:Y$241)-SUMPRODUCT((Y$290:Y$305-Y$308:Y$323)*Y$234:Y$249)</f>
        <v>0</v>
      </c>
      <c r="Z327" s="140">
        <f>SUMPRODUCT(Mitigation_Industry!Z$740:Z$747*Mitigation_Industry!$J$729:$J$736*Z$234:Z$241)-SUMPRODUCT((Z$290:Z$305-Z$308:Z$323)*Z$234:Z$249)</f>
        <v>0</v>
      </c>
      <c r="AA327" s="140">
        <f>SUMPRODUCT(Mitigation_Industry!AA$740:AA$747*Mitigation_Industry!$J$729:$J$736*AA$234:AA$241)-SUMPRODUCT((AA$290:AA$305-AA$308:AA$323)*AA$234:AA$249)</f>
        <v>0</v>
      </c>
      <c r="AB327" s="140">
        <f>SUMPRODUCT(Mitigation_Industry!AB$740:AB$747*Mitigation_Industry!$J$729:$J$736*AB$234:AB$241)-SUMPRODUCT((AB$290:AB$305-AB$308:AB$323)*AB$234:AB$249)</f>
        <v>0</v>
      </c>
      <c r="AC327" s="140">
        <f>SUMPRODUCT(Mitigation_Industry!AC$740:AC$747*Mitigation_Industry!$J$729:$J$736*AC$234:AC$241)-SUMPRODUCT((AC$290:AC$305-AC$308:AC$323)*AC$234:AC$249)</f>
        <v>0</v>
      </c>
      <c r="AD327" s="140">
        <f>SUMPRODUCT(Mitigation_Industry!AD$740:AD$747*Mitigation_Industry!$J$729:$J$736*AD$234:AD$241)-SUMPRODUCT((AD$290:AD$305-AD$308:AD$323)*AD$234:AD$249)</f>
        <v>0</v>
      </c>
      <c r="AE327" s="140">
        <f>SUMPRODUCT(Mitigation_Industry!AE$740:AE$747*Mitigation_Industry!$J$729:$J$736*AE$234:AE$241)-SUMPRODUCT((AE$290:AE$305-AE$308:AE$323)*AE$234:AE$249)</f>
        <v>0</v>
      </c>
      <c r="AF327" s="138"/>
      <c r="AG327" s="138"/>
      <c r="AH327" s="138"/>
      <c r="AI327" s="138"/>
    </row>
    <row r="328" spans="1:35" customFormat="1" ht="14.25" x14ac:dyDescent="0.45">
      <c r="B328" s="14" t="s">
        <v>2681</v>
      </c>
      <c r="C328" s="14" t="s">
        <v>2675</v>
      </c>
      <c r="D328" s="15" t="s">
        <v>2682</v>
      </c>
      <c r="E328" s="16" t="s">
        <v>1854</v>
      </c>
      <c r="F328" s="14" t="s">
        <v>2681</v>
      </c>
      <c r="G328" s="17"/>
      <c r="H328" s="125" t="str">
        <f>Settings!$B$3&amp;".mit.rev0.cbam.tot.2"</f>
        <v>egy.mit.rev0.cbam.tot.2</v>
      </c>
      <c r="I328" t="s">
        <v>2683</v>
      </c>
      <c r="K328" s="136"/>
      <c r="L328" s="140">
        <f t="shared" ref="L328:AE328" si="107">L326+L327</f>
        <v>0</v>
      </c>
      <c r="M328" s="140">
        <f t="shared" si="107"/>
        <v>0</v>
      </c>
      <c r="N328" s="140">
        <f t="shared" si="107"/>
        <v>0</v>
      </c>
      <c r="O328" s="140">
        <f t="shared" si="107"/>
        <v>0</v>
      </c>
      <c r="P328" s="140">
        <f t="shared" si="107"/>
        <v>0</v>
      </c>
      <c r="Q328" s="140">
        <f t="shared" si="107"/>
        <v>313.18092912945133</v>
      </c>
      <c r="R328" s="140">
        <f t="shared" si="107"/>
        <v>646.88764494852489</v>
      </c>
      <c r="S328" s="140">
        <f t="shared" si="107"/>
        <v>1002.1648959865571</v>
      </c>
      <c r="T328" s="140">
        <f t="shared" si="107"/>
        <v>1380.1062236958546</v>
      </c>
      <c r="U328" s="140">
        <f t="shared" si="107"/>
        <v>1781.8561629939895</v>
      </c>
      <c r="V328" s="140">
        <f t="shared" si="107"/>
        <v>2208.6125408023772</v>
      </c>
      <c r="W328" s="140">
        <f t="shared" si="107"/>
        <v>2661.6288769403232</v>
      </c>
      <c r="X328" s="140">
        <f t="shared" si="107"/>
        <v>3142.2168919286596</v>
      </c>
      <c r="Y328" s="140">
        <f t="shared" si="107"/>
        <v>3651.7491264608011</v>
      </c>
      <c r="Z328" s="140">
        <f t="shared" si="107"/>
        <v>4191.6616775120128</v>
      </c>
      <c r="AA328" s="140">
        <f t="shared" si="107"/>
        <v>4763.45705628019</v>
      </c>
      <c r="AB328" s="140">
        <f t="shared" si="107"/>
        <v>5368.7071733840539</v>
      </c>
      <c r="AC328" s="140">
        <f t="shared" si="107"/>
        <v>6009.0564569877843</v>
      </c>
      <c r="AD328" s="140">
        <f t="shared" si="107"/>
        <v>6686.2251097751796</v>
      </c>
      <c r="AE328" s="140">
        <f t="shared" si="107"/>
        <v>7402.012510962054</v>
      </c>
      <c r="AF328" s="138"/>
      <c r="AG328" s="138"/>
      <c r="AH328" s="138"/>
      <c r="AI328" s="138"/>
    </row>
    <row r="329" spans="1:35" customFormat="1" ht="14.25" x14ac:dyDescent="0.45">
      <c r="B329" s="14" t="s">
        <v>2673</v>
      </c>
      <c r="C329" s="14" t="s">
        <v>2675</v>
      </c>
      <c r="D329" s="15" t="s">
        <v>3673</v>
      </c>
      <c r="E329" s="16" t="s">
        <v>1854</v>
      </c>
      <c r="F329" s="14" t="s">
        <v>2673</v>
      </c>
      <c r="G329" s="17"/>
      <c r="H329" s="125" t="str">
        <f>Settings!$B$3&amp;".mit.fund.cbam.tot.2"</f>
        <v>egy.mit.fund.cbam.tot.2</v>
      </c>
      <c r="I329" t="s">
        <v>2866</v>
      </c>
      <c r="K329" s="136"/>
      <c r="L329" s="140">
        <f>L$218*INDEX(L$427:L$433,MATCH(Settings!$B$10,$B$427:$B$433,0))</f>
        <v>0</v>
      </c>
      <c r="M329" s="140">
        <f>M$218*INDEX(M$427:M$433,MATCH(Settings!$B$10,$B$427:$B$433,0))</f>
        <v>0</v>
      </c>
      <c r="N329" s="140">
        <f>N$218*INDEX(N$427:N$433,MATCH(Settings!$B$10,$B$427:$B$433,0))</f>
        <v>0</v>
      </c>
      <c r="O329" s="140">
        <f>O$218*INDEX(O$427:O$433,MATCH(Settings!$B$10,$B$427:$B$433,0))</f>
        <v>0</v>
      </c>
      <c r="P329" s="140">
        <f>P$218*INDEX(P$427:P$433,MATCH(Settings!$B$10,$B$427:$B$433,0))</f>
        <v>0</v>
      </c>
      <c r="Q329" s="140">
        <f>Q$218*INDEX(Q$427:Q$433,MATCH(Settings!$B$10,$B$427:$B$433,0))</f>
        <v>0</v>
      </c>
      <c r="R329" s="140">
        <f>R$218*INDEX(R$427:R$433,MATCH(Settings!$B$10,$B$427:$B$433,0))</f>
        <v>0</v>
      </c>
      <c r="S329" s="140">
        <f>S$218*INDEX(S$427:S$433,MATCH(Settings!$B$10,$B$427:$B$433,0))</f>
        <v>0</v>
      </c>
      <c r="T329" s="140">
        <f>T$218*INDEX(T$427:T$433,MATCH(Settings!$B$10,$B$427:$B$433,0))</f>
        <v>0</v>
      </c>
      <c r="U329" s="140">
        <f>U$218*INDEX(U$427:U$433,MATCH(Settings!$B$10,$B$427:$B$433,0))</f>
        <v>0</v>
      </c>
      <c r="V329" s="140">
        <f>V$218*INDEX(V$427:V$433,MATCH(Settings!$B$10,$B$427:$B$433,0))</f>
        <v>0</v>
      </c>
      <c r="W329" s="140">
        <f>W$218*INDEX(W$427:W$433,MATCH(Settings!$B$10,$B$427:$B$433,0))</f>
        <v>0</v>
      </c>
      <c r="X329" s="140">
        <f>X$218*INDEX(X$427:X$433,MATCH(Settings!$B$10,$B$427:$B$433,0))</f>
        <v>0</v>
      </c>
      <c r="Y329" s="140">
        <f>Y$218*INDEX(Y$427:Y$433,MATCH(Settings!$B$10,$B$427:$B$433,0))</f>
        <v>0</v>
      </c>
      <c r="Z329" s="140">
        <f>Z$218*INDEX(Z$427:Z$433,MATCH(Settings!$B$10,$B$427:$B$433,0))</f>
        <v>0</v>
      </c>
      <c r="AA329" s="140">
        <f>AA$218*INDEX(AA$427:AA$433,MATCH(Settings!$B$10,$B$427:$B$433,0))</f>
        <v>0</v>
      </c>
      <c r="AB329" s="140">
        <f>AB$218*INDEX(AB$427:AB$433,MATCH(Settings!$B$10,$B$427:$B$433,0))</f>
        <v>0</v>
      </c>
      <c r="AC329" s="140">
        <f>AC$218*INDEX(AC$427:AC$433,MATCH(Settings!$B$10,$B$427:$B$433,0))</f>
        <v>0</v>
      </c>
      <c r="AD329" s="140">
        <f>AD$218*INDEX(AD$427:AD$433,MATCH(Settings!$B$10,$B$427:$B$433,0))</f>
        <v>0</v>
      </c>
      <c r="AE329" s="140">
        <f>AE$218*INDEX(AE$427:AE$433,MATCH(Settings!$B$10,$B$427:$B$433,0))</f>
        <v>0</v>
      </c>
      <c r="AF329" s="138"/>
      <c r="AG329" s="138"/>
      <c r="AH329" s="138"/>
      <c r="AI329" s="138"/>
    </row>
    <row r="330" spans="1:35" customFormat="1" ht="14.25" x14ac:dyDescent="0.45">
      <c r="B330" s="14" t="s">
        <v>2686</v>
      </c>
      <c r="C330" s="14" t="s">
        <v>2675</v>
      </c>
      <c r="D330" s="15" t="s">
        <v>2687</v>
      </c>
      <c r="E330" s="16" t="s">
        <v>2068</v>
      </c>
      <c r="F330" s="14" t="s">
        <v>2686</v>
      </c>
      <c r="G330" s="17"/>
      <c r="H330" s="125" t="str">
        <f>Settings!$B$3&amp;".mit.emrp0.cbam.tot.2"</f>
        <v>egy.mit.emrp0.cbam.tot.2</v>
      </c>
      <c r="I330" t="s">
        <v>2688</v>
      </c>
      <c r="K330" s="136"/>
      <c r="L330" s="137">
        <f t="shared" ref="L330:AE330" si="108">SUM(L$308:L$323)-SUM(L$290:L$305)</f>
        <v>0</v>
      </c>
      <c r="M330" s="137">
        <f t="shared" si="108"/>
        <v>0</v>
      </c>
      <c r="N330" s="137">
        <f t="shared" si="108"/>
        <v>0</v>
      </c>
      <c r="O330" s="137">
        <f t="shared" si="108"/>
        <v>0</v>
      </c>
      <c r="P330" s="137">
        <f t="shared" si="108"/>
        <v>0</v>
      </c>
      <c r="Q330" s="137">
        <f t="shared" si="108"/>
        <v>0</v>
      </c>
      <c r="R330" s="137">
        <f t="shared" si="108"/>
        <v>0</v>
      </c>
      <c r="S330" s="137">
        <f t="shared" si="108"/>
        <v>0</v>
      </c>
      <c r="T330" s="137">
        <f t="shared" si="108"/>
        <v>0</v>
      </c>
      <c r="U330" s="137">
        <f t="shared" si="108"/>
        <v>0</v>
      </c>
      <c r="V330" s="137">
        <f t="shared" si="108"/>
        <v>0</v>
      </c>
      <c r="W330" s="137">
        <f t="shared" si="108"/>
        <v>0</v>
      </c>
      <c r="X330" s="137">
        <f t="shared" si="108"/>
        <v>0</v>
      </c>
      <c r="Y330" s="137">
        <f t="shared" si="108"/>
        <v>0</v>
      </c>
      <c r="Z330" s="137">
        <f t="shared" si="108"/>
        <v>0</v>
      </c>
      <c r="AA330" s="137">
        <f t="shared" si="108"/>
        <v>0</v>
      </c>
      <c r="AB330" s="137">
        <f t="shared" si="108"/>
        <v>0</v>
      </c>
      <c r="AC330" s="137">
        <f t="shared" si="108"/>
        <v>0</v>
      </c>
      <c r="AD330" s="137">
        <f t="shared" si="108"/>
        <v>0</v>
      </c>
      <c r="AE330" s="137">
        <f t="shared" si="108"/>
        <v>0</v>
      </c>
      <c r="AF330" s="138"/>
      <c r="AG330" s="138"/>
      <c r="AH330" s="138"/>
      <c r="AI330" s="138"/>
    </row>
    <row r="331" spans="1:35" customFormat="1" ht="14.25" x14ac:dyDescent="0.45">
      <c r="B331" s="14" t="s">
        <v>2689</v>
      </c>
      <c r="C331" s="14" t="s">
        <v>2675</v>
      </c>
      <c r="D331" s="15" t="s">
        <v>2690</v>
      </c>
      <c r="E331" s="16" t="s">
        <v>2691</v>
      </c>
      <c r="F331" s="14" t="s">
        <v>2689</v>
      </c>
      <c r="G331" s="17"/>
      <c r="H331" s="17"/>
      <c r="I331" t="s">
        <v>2692</v>
      </c>
      <c r="K331" s="136"/>
      <c r="L331" s="139">
        <f t="shared" ref="L331:AE331" si="109">SUMPRODUCT(L$252:L$259*L$262:L$269)+SUMPRODUCT(L$308:L$323*L$272:L$287)</f>
        <v>0.11343980799323071</v>
      </c>
      <c r="M331" s="139">
        <f t="shared" si="109"/>
        <v>0.11712329976149224</v>
      </c>
      <c r="N331" s="139">
        <f t="shared" si="109"/>
        <v>0.12092889969856549</v>
      </c>
      <c r="O331" s="139">
        <f t="shared" si="109"/>
        <v>0.12486074250600086</v>
      </c>
      <c r="P331" s="139">
        <f t="shared" si="109"/>
        <v>0.1289231063134835</v>
      </c>
      <c r="Q331" s="139">
        <f t="shared" si="109"/>
        <v>0.13312041780294456</v>
      </c>
      <c r="R331" s="139">
        <f t="shared" si="109"/>
        <v>0.13745725752256618</v>
      </c>
      <c r="S331" s="139">
        <f t="shared" si="109"/>
        <v>0.14193836539803825</v>
      </c>
      <c r="T331" s="139">
        <f t="shared" si="109"/>
        <v>0.14656864644872269</v>
      </c>
      <c r="U331" s="139">
        <f t="shared" si="109"/>
        <v>0.15135317671669662</v>
      </c>
      <c r="V331" s="139">
        <f t="shared" si="109"/>
        <v>0.1562972094169694</v>
      </c>
      <c r="W331" s="139">
        <f t="shared" si="109"/>
        <v>0.1614061813175115</v>
      </c>
      <c r="X331" s="139">
        <f t="shared" si="109"/>
        <v>0.16668571935808552</v>
      </c>
      <c r="Y331" s="139">
        <f t="shared" si="109"/>
        <v>0.17214164751724373</v>
      </c>
      <c r="Z331" s="139">
        <f t="shared" si="109"/>
        <v>0.17777999393723931</v>
      </c>
      <c r="AA331" s="139">
        <f t="shared" si="109"/>
        <v>0.18360699831700622</v>
      </c>
      <c r="AB331" s="139">
        <f t="shared" si="109"/>
        <v>0.18962911958377954</v>
      </c>
      <c r="AC331" s="139">
        <f t="shared" si="109"/>
        <v>0.19585304385437208</v>
      </c>
      <c r="AD331" s="139">
        <f t="shared" si="109"/>
        <v>0.20228569269757843</v>
      </c>
      <c r="AE331" s="139">
        <f t="shared" si="109"/>
        <v>0.20893423170965852</v>
      </c>
      <c r="AF331" s="138"/>
      <c r="AG331" s="138"/>
      <c r="AH331" s="138"/>
      <c r="AI331" s="138"/>
    </row>
    <row r="332" spans="1:35" customFormat="1" ht="14.25" x14ac:dyDescent="0.45">
      <c r="B332" s="14" t="s">
        <v>2693</v>
      </c>
      <c r="C332" s="14" t="s">
        <v>2675</v>
      </c>
      <c r="D332" s="15" t="s">
        <v>2694</v>
      </c>
      <c r="E332" s="16" t="s">
        <v>1398</v>
      </c>
      <c r="F332" s="14" t="s">
        <v>2693</v>
      </c>
      <c r="G332" s="17"/>
      <c r="H332" s="17"/>
      <c r="K332" s="136"/>
      <c r="L332" s="137">
        <f t="shared" ref="L332:AE332" si="110">IF(OR(L$329&lt;=0,L$331&lt;=0),0,MIN($F$5,SQRT(L$329/L$331*IF($F$4="COST",2,1))))</f>
        <v>0</v>
      </c>
      <c r="M332" s="137">
        <f t="shared" si="110"/>
        <v>0</v>
      </c>
      <c r="N332" s="137">
        <f t="shared" si="110"/>
        <v>0</v>
      </c>
      <c r="O332" s="137">
        <f t="shared" si="110"/>
        <v>0</v>
      </c>
      <c r="P332" s="137">
        <f t="shared" si="110"/>
        <v>0</v>
      </c>
      <c r="Q332" s="137">
        <f t="shared" si="110"/>
        <v>0</v>
      </c>
      <c r="R332" s="137">
        <f t="shared" si="110"/>
        <v>0</v>
      </c>
      <c r="S332" s="137">
        <f t="shared" si="110"/>
        <v>0</v>
      </c>
      <c r="T332" s="137">
        <f t="shared" si="110"/>
        <v>0</v>
      </c>
      <c r="U332" s="137">
        <f t="shared" si="110"/>
        <v>0</v>
      </c>
      <c r="V332" s="137">
        <f t="shared" si="110"/>
        <v>0</v>
      </c>
      <c r="W332" s="137">
        <f t="shared" si="110"/>
        <v>0</v>
      </c>
      <c r="X332" s="137">
        <f t="shared" si="110"/>
        <v>0</v>
      </c>
      <c r="Y332" s="137">
        <f t="shared" si="110"/>
        <v>0</v>
      </c>
      <c r="Z332" s="137">
        <f t="shared" si="110"/>
        <v>0</v>
      </c>
      <c r="AA332" s="137">
        <f t="shared" si="110"/>
        <v>0</v>
      </c>
      <c r="AB332" s="137">
        <f t="shared" si="110"/>
        <v>0</v>
      </c>
      <c r="AC332" s="137">
        <f t="shared" si="110"/>
        <v>0</v>
      </c>
      <c r="AD332" s="137">
        <f t="shared" si="110"/>
        <v>0</v>
      </c>
      <c r="AE332" s="137">
        <f t="shared" si="110"/>
        <v>0</v>
      </c>
      <c r="AF332" s="138"/>
      <c r="AG332" s="138"/>
      <c r="AH332" s="138"/>
      <c r="AI332" s="138"/>
    </row>
    <row r="333" spans="1:35" x14ac:dyDescent="0.35"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  <c r="AC333" s="132"/>
      <c r="AD333" s="132"/>
      <c r="AE333" s="132"/>
      <c r="AF333" s="132"/>
      <c r="AG333" s="132"/>
      <c r="AH333" s="132"/>
      <c r="AI333" s="132"/>
    </row>
    <row r="334" spans="1:35" customFormat="1" ht="14.25" x14ac:dyDescent="0.45">
      <c r="A334" s="11"/>
      <c r="B334" s="6"/>
      <c r="C334" s="7" t="s">
        <v>2695</v>
      </c>
      <c r="D334" s="6" t="s">
        <v>1488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2696</v>
      </c>
      <c r="J334" s="48">
        <v>2</v>
      </c>
      <c r="K334" s="134">
        <v>2021</v>
      </c>
      <c r="L334" s="135">
        <v>2022</v>
      </c>
      <c r="M334" s="134">
        <v>2023</v>
      </c>
      <c r="N334" s="134">
        <v>2024</v>
      </c>
      <c r="O334" s="134">
        <v>2025</v>
      </c>
      <c r="P334" s="134">
        <v>2026</v>
      </c>
      <c r="Q334" s="134">
        <v>2027</v>
      </c>
      <c r="R334" s="134">
        <v>2028</v>
      </c>
      <c r="S334" s="134">
        <v>2029</v>
      </c>
      <c r="T334" s="134">
        <v>2030</v>
      </c>
      <c r="U334" s="134">
        <v>2031</v>
      </c>
      <c r="V334" s="134">
        <v>2032</v>
      </c>
      <c r="W334" s="134">
        <v>2033</v>
      </c>
      <c r="X334" s="134">
        <v>2034</v>
      </c>
      <c r="Y334" s="134">
        <v>2035</v>
      </c>
      <c r="Z334" s="134">
        <v>2036</v>
      </c>
      <c r="AA334" s="134">
        <v>2037</v>
      </c>
      <c r="AB334" s="134">
        <v>2038</v>
      </c>
      <c r="AC334" s="134">
        <v>2039</v>
      </c>
      <c r="AD334" s="134">
        <v>2040</v>
      </c>
      <c r="AE334" s="134">
        <v>2041</v>
      </c>
      <c r="AF334" s="134">
        <v>2042</v>
      </c>
      <c r="AG334" s="134">
        <v>2043</v>
      </c>
      <c r="AH334" s="134">
        <v>2044</v>
      </c>
      <c r="AI334" s="134">
        <v>2045</v>
      </c>
    </row>
    <row r="335" spans="1:35" customFormat="1" ht="14.25" x14ac:dyDescent="0.45">
      <c r="B335" s="14" t="s">
        <v>2697</v>
      </c>
      <c r="C335" s="14" t="s">
        <v>2675</v>
      </c>
      <c r="D335" s="15" t="s">
        <v>2698</v>
      </c>
      <c r="E335" s="16" t="s">
        <v>2068</v>
      </c>
      <c r="F335" s="14" t="s">
        <v>2699</v>
      </c>
      <c r="G335" s="17"/>
      <c r="H335" s="17"/>
      <c r="K335" s="136"/>
      <c r="L335" s="139">
        <f t="shared" ref="L335:AE335" si="111">SUMPRODUCT(L$252:L$259*(1-EXP(-L$262:L$269*L$332)))+SUMPRODUCT(L$308:L$323*(1-EXP(-L$272:L$287*L$332)))</f>
        <v>0</v>
      </c>
      <c r="M335" s="139">
        <f t="shared" si="111"/>
        <v>0</v>
      </c>
      <c r="N335" s="139">
        <f t="shared" si="111"/>
        <v>0</v>
      </c>
      <c r="O335" s="139">
        <f t="shared" si="111"/>
        <v>0</v>
      </c>
      <c r="P335" s="139">
        <f t="shared" si="111"/>
        <v>0</v>
      </c>
      <c r="Q335" s="139">
        <f t="shared" si="111"/>
        <v>0</v>
      </c>
      <c r="R335" s="139">
        <f t="shared" si="111"/>
        <v>0</v>
      </c>
      <c r="S335" s="139">
        <f t="shared" si="111"/>
        <v>0</v>
      </c>
      <c r="T335" s="139">
        <f t="shared" si="111"/>
        <v>0</v>
      </c>
      <c r="U335" s="139">
        <f t="shared" si="111"/>
        <v>0</v>
      </c>
      <c r="V335" s="139">
        <f t="shared" si="111"/>
        <v>0</v>
      </c>
      <c r="W335" s="139">
        <f t="shared" si="111"/>
        <v>0</v>
      </c>
      <c r="X335" s="139">
        <f t="shared" si="111"/>
        <v>0</v>
      </c>
      <c r="Y335" s="139">
        <f t="shared" si="111"/>
        <v>0</v>
      </c>
      <c r="Z335" s="139">
        <f t="shared" si="111"/>
        <v>0</v>
      </c>
      <c r="AA335" s="139">
        <f t="shared" si="111"/>
        <v>0</v>
      </c>
      <c r="AB335" s="139">
        <f t="shared" si="111"/>
        <v>0</v>
      </c>
      <c r="AC335" s="139">
        <f t="shared" si="111"/>
        <v>0</v>
      </c>
      <c r="AD335" s="139">
        <f t="shared" si="111"/>
        <v>0</v>
      </c>
      <c r="AE335" s="139">
        <f t="shared" si="111"/>
        <v>0</v>
      </c>
      <c r="AF335" s="138"/>
      <c r="AG335" s="138"/>
      <c r="AH335" s="138"/>
      <c r="AI335" s="138"/>
    </row>
    <row r="336" spans="1:35" customFormat="1" ht="14.25" x14ac:dyDescent="0.45">
      <c r="B336" s="14" t="s">
        <v>2700</v>
      </c>
      <c r="C336" s="14" t="s">
        <v>2675</v>
      </c>
      <c r="D336" s="15" t="s">
        <v>2701</v>
      </c>
      <c r="E336" s="16" t="s">
        <v>1854</v>
      </c>
      <c r="F336" s="14" t="s">
        <v>2702</v>
      </c>
      <c r="G336" s="17"/>
      <c r="H336" s="17"/>
      <c r="K336" s="136"/>
      <c r="L336" s="137">
        <f t="shared" ref="L336:AE336" si="112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37">
        <f t="shared" si="112"/>
        <v>0</v>
      </c>
      <c r="N336" s="137">
        <f t="shared" si="112"/>
        <v>0</v>
      </c>
      <c r="O336" s="137">
        <f t="shared" si="112"/>
        <v>0</v>
      </c>
      <c r="P336" s="137">
        <f t="shared" si="112"/>
        <v>0</v>
      </c>
      <c r="Q336" s="137">
        <f t="shared" si="112"/>
        <v>0</v>
      </c>
      <c r="R336" s="137">
        <f t="shared" si="112"/>
        <v>0</v>
      </c>
      <c r="S336" s="137">
        <f t="shared" si="112"/>
        <v>0</v>
      </c>
      <c r="T336" s="137">
        <f t="shared" si="112"/>
        <v>0</v>
      </c>
      <c r="U336" s="137">
        <f t="shared" si="112"/>
        <v>0</v>
      </c>
      <c r="V336" s="137">
        <f t="shared" si="112"/>
        <v>0</v>
      </c>
      <c r="W336" s="137">
        <f t="shared" si="112"/>
        <v>0</v>
      </c>
      <c r="X336" s="137">
        <f t="shared" si="112"/>
        <v>0</v>
      </c>
      <c r="Y336" s="137">
        <f t="shared" si="112"/>
        <v>0</v>
      </c>
      <c r="Z336" s="137">
        <f t="shared" si="112"/>
        <v>0</v>
      </c>
      <c r="AA336" s="137">
        <f t="shared" si="112"/>
        <v>0</v>
      </c>
      <c r="AB336" s="137">
        <f t="shared" si="112"/>
        <v>0</v>
      </c>
      <c r="AC336" s="137">
        <f t="shared" si="112"/>
        <v>0</v>
      </c>
      <c r="AD336" s="137">
        <f t="shared" si="112"/>
        <v>0</v>
      </c>
      <c r="AE336" s="137">
        <f t="shared" si="112"/>
        <v>0</v>
      </c>
      <c r="AF336" s="138"/>
      <c r="AG336" s="138"/>
      <c r="AH336" s="138"/>
      <c r="AI336" s="138"/>
    </row>
    <row r="337" spans="2:35" customFormat="1" ht="14.25" x14ac:dyDescent="0.45">
      <c r="B337" s="14" t="s">
        <v>2703</v>
      </c>
      <c r="C337" s="14" t="s">
        <v>2675</v>
      </c>
      <c r="D337" s="15" t="s">
        <v>2704</v>
      </c>
      <c r="E337" s="16" t="s">
        <v>2705</v>
      </c>
      <c r="F337" s="14" t="s">
        <v>2706</v>
      </c>
      <c r="G337" s="17"/>
      <c r="H337" s="17"/>
      <c r="K337" s="136"/>
      <c r="L337" s="139">
        <f t="shared" ref="L337:AE337" si="113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39">
        <f t="shared" si="113"/>
        <v>0</v>
      </c>
      <c r="N337" s="139">
        <f t="shared" si="113"/>
        <v>0</v>
      </c>
      <c r="O337" s="139">
        <f t="shared" si="113"/>
        <v>0</v>
      </c>
      <c r="P337" s="139">
        <f t="shared" si="113"/>
        <v>0</v>
      </c>
      <c r="Q337" s="139">
        <f t="shared" si="113"/>
        <v>0</v>
      </c>
      <c r="R337" s="139">
        <f t="shared" si="113"/>
        <v>0</v>
      </c>
      <c r="S337" s="139">
        <f t="shared" si="113"/>
        <v>0</v>
      </c>
      <c r="T337" s="139">
        <f t="shared" si="113"/>
        <v>0</v>
      </c>
      <c r="U337" s="139">
        <f t="shared" si="113"/>
        <v>0</v>
      </c>
      <c r="V337" s="139">
        <f t="shared" si="113"/>
        <v>0</v>
      </c>
      <c r="W337" s="139">
        <f t="shared" si="113"/>
        <v>0</v>
      </c>
      <c r="X337" s="139">
        <f t="shared" si="113"/>
        <v>0</v>
      </c>
      <c r="Y337" s="139">
        <f t="shared" si="113"/>
        <v>0</v>
      </c>
      <c r="Z337" s="139">
        <f t="shared" si="113"/>
        <v>0</v>
      </c>
      <c r="AA337" s="139">
        <f t="shared" si="113"/>
        <v>0</v>
      </c>
      <c r="AB337" s="139">
        <f t="shared" si="113"/>
        <v>0</v>
      </c>
      <c r="AC337" s="139">
        <f t="shared" si="113"/>
        <v>0</v>
      </c>
      <c r="AD337" s="139">
        <f t="shared" si="113"/>
        <v>0</v>
      </c>
      <c r="AE337" s="139">
        <f t="shared" si="113"/>
        <v>0</v>
      </c>
      <c r="AF337" s="138"/>
      <c r="AG337" s="138"/>
      <c r="AH337" s="138"/>
      <c r="AI337" s="138"/>
    </row>
    <row r="338" spans="2:35" customFormat="1" ht="14.25" x14ac:dyDescent="0.45">
      <c r="B338" s="14" t="s">
        <v>2707</v>
      </c>
      <c r="C338" s="14" t="s">
        <v>2675</v>
      </c>
      <c r="D338" s="15" t="s">
        <v>2708</v>
      </c>
      <c r="E338" s="16" t="s">
        <v>1398</v>
      </c>
      <c r="F338" s="14" t="s">
        <v>2709</v>
      </c>
      <c r="G338" s="17"/>
      <c r="H338" s="17"/>
      <c r="K338" s="136"/>
      <c r="L338" s="137">
        <f t="shared" ref="L338:AE338" si="114">IF(L$329&lt;=0,0,IF(L$337&lt;=0,L$332,MIN($F$5,IF(L$332-(L$336-L$329)/L$337&lt;=0,L$332/2,L$332-(L$336-L$329)/L$337))))</f>
        <v>0</v>
      </c>
      <c r="M338" s="137">
        <f t="shared" si="114"/>
        <v>0</v>
      </c>
      <c r="N338" s="137">
        <f t="shared" si="114"/>
        <v>0</v>
      </c>
      <c r="O338" s="137">
        <f t="shared" si="114"/>
        <v>0</v>
      </c>
      <c r="P338" s="137">
        <f t="shared" si="114"/>
        <v>0</v>
      </c>
      <c r="Q338" s="137">
        <f t="shared" si="114"/>
        <v>0</v>
      </c>
      <c r="R338" s="137">
        <f t="shared" si="114"/>
        <v>0</v>
      </c>
      <c r="S338" s="137">
        <f t="shared" si="114"/>
        <v>0</v>
      </c>
      <c r="T338" s="137">
        <f t="shared" si="114"/>
        <v>0</v>
      </c>
      <c r="U338" s="137">
        <f t="shared" si="114"/>
        <v>0</v>
      </c>
      <c r="V338" s="137">
        <f t="shared" si="114"/>
        <v>0</v>
      </c>
      <c r="W338" s="137">
        <f t="shared" si="114"/>
        <v>0</v>
      </c>
      <c r="X338" s="137">
        <f t="shared" si="114"/>
        <v>0</v>
      </c>
      <c r="Y338" s="137">
        <f t="shared" si="114"/>
        <v>0</v>
      </c>
      <c r="Z338" s="137">
        <f t="shared" si="114"/>
        <v>0</v>
      </c>
      <c r="AA338" s="137">
        <f t="shared" si="114"/>
        <v>0</v>
      </c>
      <c r="AB338" s="137">
        <f t="shared" si="114"/>
        <v>0</v>
      </c>
      <c r="AC338" s="137">
        <f t="shared" si="114"/>
        <v>0</v>
      </c>
      <c r="AD338" s="137">
        <f t="shared" si="114"/>
        <v>0</v>
      </c>
      <c r="AE338" s="137">
        <f t="shared" si="114"/>
        <v>0</v>
      </c>
      <c r="AF338" s="138"/>
      <c r="AG338" s="138"/>
      <c r="AH338" s="138"/>
      <c r="AI338" s="138"/>
    </row>
    <row r="339" spans="2:35" customFormat="1" ht="14.25" x14ac:dyDescent="0.45">
      <c r="B339" s="14" t="s">
        <v>2710</v>
      </c>
      <c r="C339" s="14" t="s">
        <v>2675</v>
      </c>
      <c r="D339" s="15" t="s">
        <v>2711</v>
      </c>
      <c r="E339" s="16" t="s">
        <v>2068</v>
      </c>
      <c r="F339" s="14" t="s">
        <v>2699</v>
      </c>
      <c r="G339" s="17"/>
      <c r="H339" s="17"/>
      <c r="K339" s="136"/>
      <c r="L339" s="139">
        <f t="shared" ref="L339:AE339" si="115">SUMPRODUCT(L$252:L$259*(1-EXP(-L$262:L$269*L$338)))+SUMPRODUCT(L$308:L$323*(1-EXP(-L$272:L$287*L$338)))</f>
        <v>0</v>
      </c>
      <c r="M339" s="139">
        <f t="shared" si="115"/>
        <v>0</v>
      </c>
      <c r="N339" s="139">
        <f t="shared" si="115"/>
        <v>0</v>
      </c>
      <c r="O339" s="139">
        <f t="shared" si="115"/>
        <v>0</v>
      </c>
      <c r="P339" s="139">
        <f t="shared" si="115"/>
        <v>0</v>
      </c>
      <c r="Q339" s="139">
        <f t="shared" si="115"/>
        <v>0</v>
      </c>
      <c r="R339" s="139">
        <f t="shared" si="115"/>
        <v>0</v>
      </c>
      <c r="S339" s="139">
        <f t="shared" si="115"/>
        <v>0</v>
      </c>
      <c r="T339" s="139">
        <f t="shared" si="115"/>
        <v>0</v>
      </c>
      <c r="U339" s="139">
        <f t="shared" si="115"/>
        <v>0</v>
      </c>
      <c r="V339" s="139">
        <f t="shared" si="115"/>
        <v>0</v>
      </c>
      <c r="W339" s="139">
        <f t="shared" si="115"/>
        <v>0</v>
      </c>
      <c r="X339" s="139">
        <f t="shared" si="115"/>
        <v>0</v>
      </c>
      <c r="Y339" s="139">
        <f t="shared" si="115"/>
        <v>0</v>
      </c>
      <c r="Z339" s="139">
        <f t="shared" si="115"/>
        <v>0</v>
      </c>
      <c r="AA339" s="139">
        <f t="shared" si="115"/>
        <v>0</v>
      </c>
      <c r="AB339" s="139">
        <f t="shared" si="115"/>
        <v>0</v>
      </c>
      <c r="AC339" s="139">
        <f t="shared" si="115"/>
        <v>0</v>
      </c>
      <c r="AD339" s="139">
        <f t="shared" si="115"/>
        <v>0</v>
      </c>
      <c r="AE339" s="139">
        <f t="shared" si="115"/>
        <v>0</v>
      </c>
      <c r="AF339" s="138"/>
      <c r="AG339" s="138"/>
      <c r="AH339" s="138"/>
      <c r="AI339" s="138"/>
    </row>
    <row r="340" spans="2:35" customFormat="1" ht="14.25" x14ac:dyDescent="0.45">
      <c r="B340" s="14" t="s">
        <v>2712</v>
      </c>
      <c r="C340" s="14" t="s">
        <v>2675</v>
      </c>
      <c r="D340" s="15" t="s">
        <v>2713</v>
      </c>
      <c r="E340" s="16" t="s">
        <v>1854</v>
      </c>
      <c r="F340" s="14" t="s">
        <v>2702</v>
      </c>
      <c r="G340" s="17"/>
      <c r="H340" s="17"/>
      <c r="K340" s="136"/>
      <c r="L340" s="137">
        <f t="shared" ref="L340:AE340" si="116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37">
        <f t="shared" si="116"/>
        <v>0</v>
      </c>
      <c r="N340" s="137">
        <f t="shared" si="116"/>
        <v>0</v>
      </c>
      <c r="O340" s="137">
        <f t="shared" si="116"/>
        <v>0</v>
      </c>
      <c r="P340" s="137">
        <f t="shared" si="116"/>
        <v>0</v>
      </c>
      <c r="Q340" s="137">
        <f t="shared" si="116"/>
        <v>0</v>
      </c>
      <c r="R340" s="137">
        <f t="shared" si="116"/>
        <v>0</v>
      </c>
      <c r="S340" s="137">
        <f t="shared" si="116"/>
        <v>0</v>
      </c>
      <c r="T340" s="137">
        <f t="shared" si="116"/>
        <v>0</v>
      </c>
      <c r="U340" s="137">
        <f t="shared" si="116"/>
        <v>0</v>
      </c>
      <c r="V340" s="137">
        <f t="shared" si="116"/>
        <v>0</v>
      </c>
      <c r="W340" s="137">
        <f t="shared" si="116"/>
        <v>0</v>
      </c>
      <c r="X340" s="137">
        <f t="shared" si="116"/>
        <v>0</v>
      </c>
      <c r="Y340" s="137">
        <f t="shared" si="116"/>
        <v>0</v>
      </c>
      <c r="Z340" s="137">
        <f t="shared" si="116"/>
        <v>0</v>
      </c>
      <c r="AA340" s="137">
        <f t="shared" si="116"/>
        <v>0</v>
      </c>
      <c r="AB340" s="137">
        <f t="shared" si="116"/>
        <v>0</v>
      </c>
      <c r="AC340" s="137">
        <f t="shared" si="116"/>
        <v>0</v>
      </c>
      <c r="AD340" s="137">
        <f t="shared" si="116"/>
        <v>0</v>
      </c>
      <c r="AE340" s="137">
        <f t="shared" si="116"/>
        <v>0</v>
      </c>
      <c r="AF340" s="138"/>
      <c r="AG340" s="138"/>
      <c r="AH340" s="138"/>
      <c r="AI340" s="138"/>
    </row>
    <row r="341" spans="2:35" customFormat="1" ht="14.25" x14ac:dyDescent="0.45">
      <c r="B341" s="14" t="s">
        <v>2714</v>
      </c>
      <c r="C341" s="14" t="s">
        <v>2675</v>
      </c>
      <c r="D341" s="15" t="s">
        <v>2715</v>
      </c>
      <c r="E341" s="16" t="s">
        <v>2705</v>
      </c>
      <c r="F341" s="14" t="s">
        <v>2706</v>
      </c>
      <c r="G341" s="17"/>
      <c r="H341" s="17"/>
      <c r="K341" s="136"/>
      <c r="L341" s="139">
        <f t="shared" ref="L341:AE341" si="117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39">
        <f t="shared" si="117"/>
        <v>0</v>
      </c>
      <c r="N341" s="139">
        <f t="shared" si="117"/>
        <v>0</v>
      </c>
      <c r="O341" s="139">
        <f t="shared" si="117"/>
        <v>0</v>
      </c>
      <c r="P341" s="139">
        <f t="shared" si="117"/>
        <v>0</v>
      </c>
      <c r="Q341" s="139">
        <f t="shared" si="117"/>
        <v>0</v>
      </c>
      <c r="R341" s="139">
        <f t="shared" si="117"/>
        <v>0</v>
      </c>
      <c r="S341" s="139">
        <f t="shared" si="117"/>
        <v>0</v>
      </c>
      <c r="T341" s="139">
        <f t="shared" si="117"/>
        <v>0</v>
      </c>
      <c r="U341" s="139">
        <f t="shared" si="117"/>
        <v>0</v>
      </c>
      <c r="V341" s="139">
        <f t="shared" si="117"/>
        <v>0</v>
      </c>
      <c r="W341" s="139">
        <f t="shared" si="117"/>
        <v>0</v>
      </c>
      <c r="X341" s="139">
        <f t="shared" si="117"/>
        <v>0</v>
      </c>
      <c r="Y341" s="139">
        <f t="shared" si="117"/>
        <v>0</v>
      </c>
      <c r="Z341" s="139">
        <f t="shared" si="117"/>
        <v>0</v>
      </c>
      <c r="AA341" s="139">
        <f t="shared" si="117"/>
        <v>0</v>
      </c>
      <c r="AB341" s="139">
        <f t="shared" si="117"/>
        <v>0</v>
      </c>
      <c r="AC341" s="139">
        <f t="shared" si="117"/>
        <v>0</v>
      </c>
      <c r="AD341" s="139">
        <f t="shared" si="117"/>
        <v>0</v>
      </c>
      <c r="AE341" s="139">
        <f t="shared" si="117"/>
        <v>0</v>
      </c>
      <c r="AF341" s="138"/>
      <c r="AG341" s="138"/>
      <c r="AH341" s="138"/>
      <c r="AI341" s="138"/>
    </row>
    <row r="342" spans="2:35" customFormat="1" ht="14.25" x14ac:dyDescent="0.45">
      <c r="B342" s="14" t="s">
        <v>2716</v>
      </c>
      <c r="C342" s="14" t="s">
        <v>2675</v>
      </c>
      <c r="D342" s="15" t="s">
        <v>2717</v>
      </c>
      <c r="E342" s="16" t="s">
        <v>1398</v>
      </c>
      <c r="F342" s="14" t="s">
        <v>2709</v>
      </c>
      <c r="G342" s="17"/>
      <c r="H342" s="17"/>
      <c r="K342" s="136"/>
      <c r="L342" s="137">
        <f t="shared" ref="L342:AE342" si="118">IF(L$329&lt;=0,0,IF(L$341&lt;=0,L$338,MIN($F$5,IF(L$338-(L$340-L$329)/L$341&lt;=0,L$338/2,L$338-(L$340-L$329)/L$341))))</f>
        <v>0</v>
      </c>
      <c r="M342" s="137">
        <f t="shared" si="118"/>
        <v>0</v>
      </c>
      <c r="N342" s="137">
        <f t="shared" si="118"/>
        <v>0</v>
      </c>
      <c r="O342" s="137">
        <f t="shared" si="118"/>
        <v>0</v>
      </c>
      <c r="P342" s="137">
        <f t="shared" si="118"/>
        <v>0</v>
      </c>
      <c r="Q342" s="137">
        <f t="shared" si="118"/>
        <v>0</v>
      </c>
      <c r="R342" s="137">
        <f t="shared" si="118"/>
        <v>0</v>
      </c>
      <c r="S342" s="137">
        <f t="shared" si="118"/>
        <v>0</v>
      </c>
      <c r="T342" s="137">
        <f t="shared" si="118"/>
        <v>0</v>
      </c>
      <c r="U342" s="137">
        <f t="shared" si="118"/>
        <v>0</v>
      </c>
      <c r="V342" s="137">
        <f t="shared" si="118"/>
        <v>0</v>
      </c>
      <c r="W342" s="137">
        <f t="shared" si="118"/>
        <v>0</v>
      </c>
      <c r="X342" s="137">
        <f t="shared" si="118"/>
        <v>0</v>
      </c>
      <c r="Y342" s="137">
        <f t="shared" si="118"/>
        <v>0</v>
      </c>
      <c r="Z342" s="137">
        <f t="shared" si="118"/>
        <v>0</v>
      </c>
      <c r="AA342" s="137">
        <f t="shared" si="118"/>
        <v>0</v>
      </c>
      <c r="AB342" s="137">
        <f t="shared" si="118"/>
        <v>0</v>
      </c>
      <c r="AC342" s="137">
        <f t="shared" si="118"/>
        <v>0</v>
      </c>
      <c r="AD342" s="137">
        <f t="shared" si="118"/>
        <v>0</v>
      </c>
      <c r="AE342" s="137">
        <f t="shared" si="118"/>
        <v>0</v>
      </c>
      <c r="AF342" s="138"/>
      <c r="AG342" s="138"/>
      <c r="AH342" s="138"/>
      <c r="AI342" s="138"/>
    </row>
    <row r="343" spans="2:35" customFormat="1" ht="14.25" x14ac:dyDescent="0.45">
      <c r="B343" s="14" t="s">
        <v>2718</v>
      </c>
      <c r="C343" s="14" t="s">
        <v>2675</v>
      </c>
      <c r="D343" s="15" t="s">
        <v>2719</v>
      </c>
      <c r="E343" s="16" t="s">
        <v>2068</v>
      </c>
      <c r="F343" s="14" t="s">
        <v>2699</v>
      </c>
      <c r="G343" s="17"/>
      <c r="H343" s="17"/>
      <c r="K343" s="136"/>
      <c r="L343" s="139">
        <f t="shared" ref="L343:AE343" si="119">SUMPRODUCT(L$252:L$259*(1-EXP(-L$262:L$269*L$342)))+SUMPRODUCT(L$308:L$323*(1-EXP(-L$272:L$287*L$342)))</f>
        <v>0</v>
      </c>
      <c r="M343" s="139">
        <f t="shared" si="119"/>
        <v>0</v>
      </c>
      <c r="N343" s="139">
        <f t="shared" si="119"/>
        <v>0</v>
      </c>
      <c r="O343" s="139">
        <f t="shared" si="119"/>
        <v>0</v>
      </c>
      <c r="P343" s="139">
        <f t="shared" si="119"/>
        <v>0</v>
      </c>
      <c r="Q343" s="139">
        <f t="shared" si="119"/>
        <v>0</v>
      </c>
      <c r="R343" s="139">
        <f t="shared" si="119"/>
        <v>0</v>
      </c>
      <c r="S343" s="139">
        <f t="shared" si="119"/>
        <v>0</v>
      </c>
      <c r="T343" s="139">
        <f t="shared" si="119"/>
        <v>0</v>
      </c>
      <c r="U343" s="139">
        <f t="shared" si="119"/>
        <v>0</v>
      </c>
      <c r="V343" s="139">
        <f t="shared" si="119"/>
        <v>0</v>
      </c>
      <c r="W343" s="139">
        <f t="shared" si="119"/>
        <v>0</v>
      </c>
      <c r="X343" s="139">
        <f t="shared" si="119"/>
        <v>0</v>
      </c>
      <c r="Y343" s="139">
        <f t="shared" si="119"/>
        <v>0</v>
      </c>
      <c r="Z343" s="139">
        <f t="shared" si="119"/>
        <v>0</v>
      </c>
      <c r="AA343" s="139">
        <f t="shared" si="119"/>
        <v>0</v>
      </c>
      <c r="AB343" s="139">
        <f t="shared" si="119"/>
        <v>0</v>
      </c>
      <c r="AC343" s="139">
        <f t="shared" si="119"/>
        <v>0</v>
      </c>
      <c r="AD343" s="139">
        <f t="shared" si="119"/>
        <v>0</v>
      </c>
      <c r="AE343" s="139">
        <f t="shared" si="119"/>
        <v>0</v>
      </c>
      <c r="AF343" s="138"/>
      <c r="AG343" s="138"/>
      <c r="AH343" s="138"/>
      <c r="AI343" s="138"/>
    </row>
    <row r="344" spans="2:35" customFormat="1" ht="14.25" x14ac:dyDescent="0.45">
      <c r="B344" s="14" t="s">
        <v>2720</v>
      </c>
      <c r="C344" s="14" t="s">
        <v>2675</v>
      </c>
      <c r="D344" s="15" t="s">
        <v>2721</v>
      </c>
      <c r="E344" s="16" t="s">
        <v>1854</v>
      </c>
      <c r="F344" s="14" t="s">
        <v>2702</v>
      </c>
      <c r="G344" s="17"/>
      <c r="H344" s="17"/>
      <c r="K344" s="136"/>
      <c r="L344" s="137">
        <f t="shared" ref="L344:AE344" si="120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37">
        <f t="shared" si="120"/>
        <v>0</v>
      </c>
      <c r="N344" s="137">
        <f t="shared" si="120"/>
        <v>0</v>
      </c>
      <c r="O344" s="137">
        <f t="shared" si="120"/>
        <v>0</v>
      </c>
      <c r="P344" s="137">
        <f t="shared" si="120"/>
        <v>0</v>
      </c>
      <c r="Q344" s="137">
        <f t="shared" si="120"/>
        <v>0</v>
      </c>
      <c r="R344" s="137">
        <f t="shared" si="120"/>
        <v>0</v>
      </c>
      <c r="S344" s="137">
        <f t="shared" si="120"/>
        <v>0</v>
      </c>
      <c r="T344" s="137">
        <f t="shared" si="120"/>
        <v>0</v>
      </c>
      <c r="U344" s="137">
        <f t="shared" si="120"/>
        <v>0</v>
      </c>
      <c r="V344" s="137">
        <f t="shared" si="120"/>
        <v>0</v>
      </c>
      <c r="W344" s="137">
        <f t="shared" si="120"/>
        <v>0</v>
      </c>
      <c r="X344" s="137">
        <f t="shared" si="120"/>
        <v>0</v>
      </c>
      <c r="Y344" s="137">
        <f t="shared" si="120"/>
        <v>0</v>
      </c>
      <c r="Z344" s="137">
        <f t="shared" si="120"/>
        <v>0</v>
      </c>
      <c r="AA344" s="137">
        <f t="shared" si="120"/>
        <v>0</v>
      </c>
      <c r="AB344" s="137">
        <f t="shared" si="120"/>
        <v>0</v>
      </c>
      <c r="AC344" s="137">
        <f t="shared" si="120"/>
        <v>0</v>
      </c>
      <c r="AD344" s="137">
        <f t="shared" si="120"/>
        <v>0</v>
      </c>
      <c r="AE344" s="137">
        <f t="shared" si="120"/>
        <v>0</v>
      </c>
      <c r="AF344" s="138"/>
      <c r="AG344" s="138"/>
      <c r="AH344" s="138"/>
      <c r="AI344" s="138"/>
    </row>
    <row r="345" spans="2:35" customFormat="1" ht="14.25" x14ac:dyDescent="0.45">
      <c r="B345" s="14" t="s">
        <v>2722</v>
      </c>
      <c r="C345" s="14" t="s">
        <v>2675</v>
      </c>
      <c r="D345" s="15" t="s">
        <v>2723</v>
      </c>
      <c r="E345" s="16" t="s">
        <v>2705</v>
      </c>
      <c r="F345" s="14" t="s">
        <v>2706</v>
      </c>
      <c r="G345" s="17"/>
      <c r="H345" s="17"/>
      <c r="K345" s="136"/>
      <c r="L345" s="139">
        <f t="shared" ref="L345:AE345" si="121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39">
        <f t="shared" si="121"/>
        <v>0</v>
      </c>
      <c r="N345" s="139">
        <f t="shared" si="121"/>
        <v>0</v>
      </c>
      <c r="O345" s="139">
        <f t="shared" si="121"/>
        <v>0</v>
      </c>
      <c r="P345" s="139">
        <f t="shared" si="121"/>
        <v>0</v>
      </c>
      <c r="Q345" s="139">
        <f t="shared" si="121"/>
        <v>0</v>
      </c>
      <c r="R345" s="139">
        <f t="shared" si="121"/>
        <v>0</v>
      </c>
      <c r="S345" s="139">
        <f t="shared" si="121"/>
        <v>0</v>
      </c>
      <c r="T345" s="139">
        <f t="shared" si="121"/>
        <v>0</v>
      </c>
      <c r="U345" s="139">
        <f t="shared" si="121"/>
        <v>0</v>
      </c>
      <c r="V345" s="139">
        <f t="shared" si="121"/>
        <v>0</v>
      </c>
      <c r="W345" s="139">
        <f t="shared" si="121"/>
        <v>0</v>
      </c>
      <c r="X345" s="139">
        <f t="shared" si="121"/>
        <v>0</v>
      </c>
      <c r="Y345" s="139">
        <f t="shared" si="121"/>
        <v>0</v>
      </c>
      <c r="Z345" s="139">
        <f t="shared" si="121"/>
        <v>0</v>
      </c>
      <c r="AA345" s="139">
        <f t="shared" si="121"/>
        <v>0</v>
      </c>
      <c r="AB345" s="139">
        <f t="shared" si="121"/>
        <v>0</v>
      </c>
      <c r="AC345" s="139">
        <f t="shared" si="121"/>
        <v>0</v>
      </c>
      <c r="AD345" s="139">
        <f t="shared" si="121"/>
        <v>0</v>
      </c>
      <c r="AE345" s="139">
        <f t="shared" si="121"/>
        <v>0</v>
      </c>
      <c r="AF345" s="138"/>
      <c r="AG345" s="138"/>
      <c r="AH345" s="138"/>
      <c r="AI345" s="138"/>
    </row>
    <row r="346" spans="2:35" customFormat="1" ht="14.25" x14ac:dyDescent="0.45">
      <c r="B346" s="14" t="s">
        <v>2724</v>
      </c>
      <c r="C346" s="14" t="s">
        <v>2675</v>
      </c>
      <c r="D346" s="15" t="s">
        <v>2725</v>
      </c>
      <c r="E346" s="16" t="s">
        <v>1398</v>
      </c>
      <c r="F346" s="14" t="s">
        <v>2709</v>
      </c>
      <c r="G346" s="17"/>
      <c r="H346" s="17"/>
      <c r="K346" s="136"/>
      <c r="L346" s="137">
        <f t="shared" ref="L346:AE346" si="122">IF(L$329&lt;=0,0,IF(L$345&lt;=0,L$342,MIN($F$5,IF(L$342-(L$344-L$329)/L$345&lt;=0,L$342/2,L$342-(L$344-L$329)/L$345))))</f>
        <v>0</v>
      </c>
      <c r="M346" s="137">
        <f t="shared" si="122"/>
        <v>0</v>
      </c>
      <c r="N346" s="137">
        <f t="shared" si="122"/>
        <v>0</v>
      </c>
      <c r="O346" s="137">
        <f t="shared" si="122"/>
        <v>0</v>
      </c>
      <c r="P346" s="137">
        <f t="shared" si="122"/>
        <v>0</v>
      </c>
      <c r="Q346" s="137">
        <f t="shared" si="122"/>
        <v>0</v>
      </c>
      <c r="R346" s="137">
        <f t="shared" si="122"/>
        <v>0</v>
      </c>
      <c r="S346" s="137">
        <f t="shared" si="122"/>
        <v>0</v>
      </c>
      <c r="T346" s="137">
        <f t="shared" si="122"/>
        <v>0</v>
      </c>
      <c r="U346" s="137">
        <f t="shared" si="122"/>
        <v>0</v>
      </c>
      <c r="V346" s="137">
        <f t="shared" si="122"/>
        <v>0</v>
      </c>
      <c r="W346" s="137">
        <f t="shared" si="122"/>
        <v>0</v>
      </c>
      <c r="X346" s="137">
        <f t="shared" si="122"/>
        <v>0</v>
      </c>
      <c r="Y346" s="137">
        <f t="shared" si="122"/>
        <v>0</v>
      </c>
      <c r="Z346" s="137">
        <f t="shared" si="122"/>
        <v>0</v>
      </c>
      <c r="AA346" s="137">
        <f t="shared" si="122"/>
        <v>0</v>
      </c>
      <c r="AB346" s="137">
        <f t="shared" si="122"/>
        <v>0</v>
      </c>
      <c r="AC346" s="137">
        <f t="shared" si="122"/>
        <v>0</v>
      </c>
      <c r="AD346" s="137">
        <f t="shared" si="122"/>
        <v>0</v>
      </c>
      <c r="AE346" s="137">
        <f t="shared" si="122"/>
        <v>0</v>
      </c>
      <c r="AF346" s="138"/>
      <c r="AG346" s="138"/>
      <c r="AH346" s="138"/>
      <c r="AI346" s="138"/>
    </row>
    <row r="347" spans="2:35" customFormat="1" ht="14.25" x14ac:dyDescent="0.45">
      <c r="B347" s="14" t="s">
        <v>2726</v>
      </c>
      <c r="C347" s="14" t="s">
        <v>2675</v>
      </c>
      <c r="D347" s="15" t="s">
        <v>2727</v>
      </c>
      <c r="E347" s="16" t="s">
        <v>2068</v>
      </c>
      <c r="F347" s="14" t="s">
        <v>2699</v>
      </c>
      <c r="G347" s="17"/>
      <c r="H347" s="17"/>
      <c r="K347" s="136"/>
      <c r="L347" s="139">
        <f t="shared" ref="L347:AE347" si="123">SUMPRODUCT(L$252:L$259*(1-EXP(-L$262:L$269*L$346)))+SUMPRODUCT(L$308:L$323*(1-EXP(-L$272:L$287*L$346)))</f>
        <v>0</v>
      </c>
      <c r="M347" s="139">
        <f t="shared" si="123"/>
        <v>0</v>
      </c>
      <c r="N347" s="139">
        <f t="shared" si="123"/>
        <v>0</v>
      </c>
      <c r="O347" s="139">
        <f t="shared" si="123"/>
        <v>0</v>
      </c>
      <c r="P347" s="139">
        <f t="shared" si="123"/>
        <v>0</v>
      </c>
      <c r="Q347" s="139">
        <f t="shared" si="123"/>
        <v>0</v>
      </c>
      <c r="R347" s="139">
        <f t="shared" si="123"/>
        <v>0</v>
      </c>
      <c r="S347" s="139">
        <f t="shared" si="123"/>
        <v>0</v>
      </c>
      <c r="T347" s="139">
        <f t="shared" si="123"/>
        <v>0</v>
      </c>
      <c r="U347" s="139">
        <f t="shared" si="123"/>
        <v>0</v>
      </c>
      <c r="V347" s="139">
        <f t="shared" si="123"/>
        <v>0</v>
      </c>
      <c r="W347" s="139">
        <f t="shared" si="123"/>
        <v>0</v>
      </c>
      <c r="X347" s="139">
        <f t="shared" si="123"/>
        <v>0</v>
      </c>
      <c r="Y347" s="139">
        <f t="shared" si="123"/>
        <v>0</v>
      </c>
      <c r="Z347" s="139">
        <f t="shared" si="123"/>
        <v>0</v>
      </c>
      <c r="AA347" s="139">
        <f t="shared" si="123"/>
        <v>0</v>
      </c>
      <c r="AB347" s="139">
        <f t="shared" si="123"/>
        <v>0</v>
      </c>
      <c r="AC347" s="139">
        <f t="shared" si="123"/>
        <v>0</v>
      </c>
      <c r="AD347" s="139">
        <f t="shared" si="123"/>
        <v>0</v>
      </c>
      <c r="AE347" s="139">
        <f t="shared" si="123"/>
        <v>0</v>
      </c>
      <c r="AF347" s="138"/>
      <c r="AG347" s="138"/>
      <c r="AH347" s="138"/>
      <c r="AI347" s="138"/>
    </row>
    <row r="348" spans="2:35" customFormat="1" ht="14.25" x14ac:dyDescent="0.45">
      <c r="B348" s="14" t="s">
        <v>2728</v>
      </c>
      <c r="C348" s="14" t="s">
        <v>2675</v>
      </c>
      <c r="D348" s="15" t="s">
        <v>2729</v>
      </c>
      <c r="E348" s="16" t="s">
        <v>1854</v>
      </c>
      <c r="F348" s="14" t="s">
        <v>2702</v>
      </c>
      <c r="G348" s="17"/>
      <c r="H348" s="17"/>
      <c r="K348" s="136"/>
      <c r="L348" s="137">
        <f t="shared" ref="L348:AE348" si="124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37">
        <f t="shared" si="124"/>
        <v>0</v>
      </c>
      <c r="N348" s="137">
        <f t="shared" si="124"/>
        <v>0</v>
      </c>
      <c r="O348" s="137">
        <f t="shared" si="124"/>
        <v>0</v>
      </c>
      <c r="P348" s="137">
        <f t="shared" si="124"/>
        <v>0</v>
      </c>
      <c r="Q348" s="137">
        <f t="shared" si="124"/>
        <v>0</v>
      </c>
      <c r="R348" s="137">
        <f t="shared" si="124"/>
        <v>0</v>
      </c>
      <c r="S348" s="137">
        <f t="shared" si="124"/>
        <v>0</v>
      </c>
      <c r="T348" s="137">
        <f t="shared" si="124"/>
        <v>0</v>
      </c>
      <c r="U348" s="137">
        <f t="shared" si="124"/>
        <v>0</v>
      </c>
      <c r="V348" s="137">
        <f t="shared" si="124"/>
        <v>0</v>
      </c>
      <c r="W348" s="137">
        <f t="shared" si="124"/>
        <v>0</v>
      </c>
      <c r="X348" s="137">
        <f t="shared" si="124"/>
        <v>0</v>
      </c>
      <c r="Y348" s="137">
        <f t="shared" si="124"/>
        <v>0</v>
      </c>
      <c r="Z348" s="137">
        <f t="shared" si="124"/>
        <v>0</v>
      </c>
      <c r="AA348" s="137">
        <f t="shared" si="124"/>
        <v>0</v>
      </c>
      <c r="AB348" s="137">
        <f t="shared" si="124"/>
        <v>0</v>
      </c>
      <c r="AC348" s="137">
        <f t="shared" si="124"/>
        <v>0</v>
      </c>
      <c r="AD348" s="137">
        <f t="shared" si="124"/>
        <v>0</v>
      </c>
      <c r="AE348" s="137">
        <f t="shared" si="124"/>
        <v>0</v>
      </c>
      <c r="AF348" s="138"/>
      <c r="AG348" s="138"/>
      <c r="AH348" s="138"/>
      <c r="AI348" s="138"/>
    </row>
    <row r="349" spans="2:35" customFormat="1" ht="14.25" x14ac:dyDescent="0.45">
      <c r="B349" s="14" t="s">
        <v>2730</v>
      </c>
      <c r="C349" s="14" t="s">
        <v>2675</v>
      </c>
      <c r="D349" s="15" t="s">
        <v>2731</v>
      </c>
      <c r="E349" s="16" t="s">
        <v>2705</v>
      </c>
      <c r="F349" s="14" t="s">
        <v>2706</v>
      </c>
      <c r="G349" s="17"/>
      <c r="H349" s="17"/>
      <c r="K349" s="136"/>
      <c r="L349" s="139">
        <f t="shared" ref="L349:AE349" si="125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39">
        <f t="shared" si="125"/>
        <v>0</v>
      </c>
      <c r="N349" s="139">
        <f t="shared" si="125"/>
        <v>0</v>
      </c>
      <c r="O349" s="139">
        <f t="shared" si="125"/>
        <v>0</v>
      </c>
      <c r="P349" s="139">
        <f t="shared" si="125"/>
        <v>0</v>
      </c>
      <c r="Q349" s="139">
        <f t="shared" si="125"/>
        <v>0</v>
      </c>
      <c r="R349" s="139">
        <f t="shared" si="125"/>
        <v>0</v>
      </c>
      <c r="S349" s="139">
        <f t="shared" si="125"/>
        <v>0</v>
      </c>
      <c r="T349" s="139">
        <f t="shared" si="125"/>
        <v>0</v>
      </c>
      <c r="U349" s="139">
        <f t="shared" si="125"/>
        <v>0</v>
      </c>
      <c r="V349" s="139">
        <f t="shared" si="125"/>
        <v>0</v>
      </c>
      <c r="W349" s="139">
        <f t="shared" si="125"/>
        <v>0</v>
      </c>
      <c r="X349" s="139">
        <f t="shared" si="125"/>
        <v>0</v>
      </c>
      <c r="Y349" s="139">
        <f t="shared" si="125"/>
        <v>0</v>
      </c>
      <c r="Z349" s="139">
        <f t="shared" si="125"/>
        <v>0</v>
      </c>
      <c r="AA349" s="139">
        <f t="shared" si="125"/>
        <v>0</v>
      </c>
      <c r="AB349" s="139">
        <f t="shared" si="125"/>
        <v>0</v>
      </c>
      <c r="AC349" s="139">
        <f t="shared" si="125"/>
        <v>0</v>
      </c>
      <c r="AD349" s="139">
        <f t="shared" si="125"/>
        <v>0</v>
      </c>
      <c r="AE349" s="139">
        <f t="shared" si="125"/>
        <v>0</v>
      </c>
      <c r="AF349" s="138"/>
      <c r="AG349" s="138"/>
      <c r="AH349" s="138"/>
      <c r="AI349" s="138"/>
    </row>
    <row r="350" spans="2:35" customFormat="1" ht="14.25" x14ac:dyDescent="0.45">
      <c r="B350" s="14" t="s">
        <v>2732</v>
      </c>
      <c r="C350" s="14" t="s">
        <v>2675</v>
      </c>
      <c r="D350" s="15" t="s">
        <v>2733</v>
      </c>
      <c r="E350" s="16" t="s">
        <v>1398</v>
      </c>
      <c r="F350" s="14" t="s">
        <v>2709</v>
      </c>
      <c r="G350" s="17"/>
      <c r="H350" s="17"/>
      <c r="K350" s="136"/>
      <c r="L350" s="137">
        <f t="shared" ref="L350:AE350" si="126">IF(L$329&lt;=0,0,IF(L$349&lt;=0,L$346,MIN($F$5,IF(L$346-(L$348-L$329)/L$349&lt;=0,L$346/2,L$346-(L$348-L$329)/L$349))))</f>
        <v>0</v>
      </c>
      <c r="M350" s="137">
        <f t="shared" si="126"/>
        <v>0</v>
      </c>
      <c r="N350" s="137">
        <f t="shared" si="126"/>
        <v>0</v>
      </c>
      <c r="O350" s="137">
        <f t="shared" si="126"/>
        <v>0</v>
      </c>
      <c r="P350" s="137">
        <f t="shared" si="126"/>
        <v>0</v>
      </c>
      <c r="Q350" s="137">
        <f t="shared" si="126"/>
        <v>0</v>
      </c>
      <c r="R350" s="137">
        <f t="shared" si="126"/>
        <v>0</v>
      </c>
      <c r="S350" s="137">
        <f t="shared" si="126"/>
        <v>0</v>
      </c>
      <c r="T350" s="137">
        <f t="shared" si="126"/>
        <v>0</v>
      </c>
      <c r="U350" s="137">
        <f t="shared" si="126"/>
        <v>0</v>
      </c>
      <c r="V350" s="137">
        <f t="shared" si="126"/>
        <v>0</v>
      </c>
      <c r="W350" s="137">
        <f t="shared" si="126"/>
        <v>0</v>
      </c>
      <c r="X350" s="137">
        <f t="shared" si="126"/>
        <v>0</v>
      </c>
      <c r="Y350" s="137">
        <f t="shared" si="126"/>
        <v>0</v>
      </c>
      <c r="Z350" s="137">
        <f t="shared" si="126"/>
        <v>0</v>
      </c>
      <c r="AA350" s="137">
        <f t="shared" si="126"/>
        <v>0</v>
      </c>
      <c r="AB350" s="137">
        <f t="shared" si="126"/>
        <v>0</v>
      </c>
      <c r="AC350" s="137">
        <f t="shared" si="126"/>
        <v>0</v>
      </c>
      <c r="AD350" s="137">
        <f t="shared" si="126"/>
        <v>0</v>
      </c>
      <c r="AE350" s="137">
        <f t="shared" si="126"/>
        <v>0</v>
      </c>
      <c r="AF350" s="138"/>
      <c r="AG350" s="138"/>
      <c r="AH350" s="138"/>
      <c r="AI350" s="138"/>
    </row>
    <row r="351" spans="2:35" customFormat="1" ht="14.25" x14ac:dyDescent="0.45">
      <c r="B351" s="14" t="s">
        <v>2734</v>
      </c>
      <c r="C351" s="14" t="s">
        <v>2675</v>
      </c>
      <c r="D351" s="15" t="s">
        <v>2735</v>
      </c>
      <c r="E351" s="16" t="s">
        <v>2068</v>
      </c>
      <c r="F351" s="14" t="s">
        <v>2699</v>
      </c>
      <c r="G351" s="17"/>
      <c r="H351" s="17"/>
      <c r="K351" s="136"/>
      <c r="L351" s="139">
        <f t="shared" ref="L351:AE351" si="127">SUMPRODUCT(L$252:L$259*(1-EXP(-L$262:L$269*L$350)))+SUMPRODUCT(L$308:L$323*(1-EXP(-L$272:L$287*L$350)))</f>
        <v>0</v>
      </c>
      <c r="M351" s="139">
        <f t="shared" si="127"/>
        <v>0</v>
      </c>
      <c r="N351" s="139">
        <f t="shared" si="127"/>
        <v>0</v>
      </c>
      <c r="O351" s="139">
        <f t="shared" si="127"/>
        <v>0</v>
      </c>
      <c r="P351" s="139">
        <f t="shared" si="127"/>
        <v>0</v>
      </c>
      <c r="Q351" s="139">
        <f t="shared" si="127"/>
        <v>0</v>
      </c>
      <c r="R351" s="139">
        <f t="shared" si="127"/>
        <v>0</v>
      </c>
      <c r="S351" s="139">
        <f t="shared" si="127"/>
        <v>0</v>
      </c>
      <c r="T351" s="139">
        <f t="shared" si="127"/>
        <v>0</v>
      </c>
      <c r="U351" s="139">
        <f t="shared" si="127"/>
        <v>0</v>
      </c>
      <c r="V351" s="139">
        <f t="shared" si="127"/>
        <v>0</v>
      </c>
      <c r="W351" s="139">
        <f t="shared" si="127"/>
        <v>0</v>
      </c>
      <c r="X351" s="139">
        <f t="shared" si="127"/>
        <v>0</v>
      </c>
      <c r="Y351" s="139">
        <f t="shared" si="127"/>
        <v>0</v>
      </c>
      <c r="Z351" s="139">
        <f t="shared" si="127"/>
        <v>0</v>
      </c>
      <c r="AA351" s="139">
        <f t="shared" si="127"/>
        <v>0</v>
      </c>
      <c r="AB351" s="139">
        <f t="shared" si="127"/>
        <v>0</v>
      </c>
      <c r="AC351" s="139">
        <f t="shared" si="127"/>
        <v>0</v>
      </c>
      <c r="AD351" s="139">
        <f t="shared" si="127"/>
        <v>0</v>
      </c>
      <c r="AE351" s="139">
        <f t="shared" si="127"/>
        <v>0</v>
      </c>
      <c r="AF351" s="138"/>
      <c r="AG351" s="138"/>
      <c r="AH351" s="138"/>
      <c r="AI351" s="138"/>
    </row>
    <row r="352" spans="2:35" customFormat="1" ht="14.25" x14ac:dyDescent="0.45">
      <c r="B352" s="14" t="s">
        <v>2736</v>
      </c>
      <c r="C352" s="14" t="s">
        <v>2675</v>
      </c>
      <c r="D352" s="15" t="s">
        <v>2737</v>
      </c>
      <c r="E352" s="16" t="s">
        <v>1854</v>
      </c>
      <c r="F352" s="14" t="s">
        <v>2702</v>
      </c>
      <c r="G352" s="17"/>
      <c r="H352" s="17"/>
      <c r="K352" s="136"/>
      <c r="L352" s="137">
        <f t="shared" ref="L352:AE352" si="128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37">
        <f t="shared" si="128"/>
        <v>0</v>
      </c>
      <c r="N352" s="137">
        <f t="shared" si="128"/>
        <v>0</v>
      </c>
      <c r="O352" s="137">
        <f t="shared" si="128"/>
        <v>0</v>
      </c>
      <c r="P352" s="137">
        <f t="shared" si="128"/>
        <v>0</v>
      </c>
      <c r="Q352" s="137">
        <f t="shared" si="128"/>
        <v>0</v>
      </c>
      <c r="R352" s="137">
        <f t="shared" si="128"/>
        <v>0</v>
      </c>
      <c r="S352" s="137">
        <f t="shared" si="128"/>
        <v>0</v>
      </c>
      <c r="T352" s="137">
        <f t="shared" si="128"/>
        <v>0</v>
      </c>
      <c r="U352" s="137">
        <f t="shared" si="128"/>
        <v>0</v>
      </c>
      <c r="V352" s="137">
        <f t="shared" si="128"/>
        <v>0</v>
      </c>
      <c r="W352" s="137">
        <f t="shared" si="128"/>
        <v>0</v>
      </c>
      <c r="X352" s="137">
        <f t="shared" si="128"/>
        <v>0</v>
      </c>
      <c r="Y352" s="137">
        <f t="shared" si="128"/>
        <v>0</v>
      </c>
      <c r="Z352" s="137">
        <f t="shared" si="128"/>
        <v>0</v>
      </c>
      <c r="AA352" s="137">
        <f t="shared" si="128"/>
        <v>0</v>
      </c>
      <c r="AB352" s="137">
        <f t="shared" si="128"/>
        <v>0</v>
      </c>
      <c r="AC352" s="137">
        <f t="shared" si="128"/>
        <v>0</v>
      </c>
      <c r="AD352" s="137">
        <f t="shared" si="128"/>
        <v>0</v>
      </c>
      <c r="AE352" s="137">
        <f t="shared" si="128"/>
        <v>0</v>
      </c>
      <c r="AF352" s="138"/>
      <c r="AG352" s="138"/>
      <c r="AH352" s="138"/>
      <c r="AI352" s="138"/>
    </row>
    <row r="353" spans="2:35" customFormat="1" ht="14.25" x14ac:dyDescent="0.45">
      <c r="B353" s="14" t="s">
        <v>2738</v>
      </c>
      <c r="C353" s="14" t="s">
        <v>2675</v>
      </c>
      <c r="D353" s="15" t="s">
        <v>2739</v>
      </c>
      <c r="E353" s="16" t="s">
        <v>2705</v>
      </c>
      <c r="F353" s="14" t="s">
        <v>2706</v>
      </c>
      <c r="G353" s="17"/>
      <c r="H353" s="17"/>
      <c r="K353" s="136"/>
      <c r="L353" s="139">
        <f t="shared" ref="L353:AE353" si="129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39">
        <f t="shared" si="129"/>
        <v>0</v>
      </c>
      <c r="N353" s="139">
        <f t="shared" si="129"/>
        <v>0</v>
      </c>
      <c r="O353" s="139">
        <f t="shared" si="129"/>
        <v>0</v>
      </c>
      <c r="P353" s="139">
        <f t="shared" si="129"/>
        <v>0</v>
      </c>
      <c r="Q353" s="139">
        <f t="shared" si="129"/>
        <v>0</v>
      </c>
      <c r="R353" s="139">
        <f t="shared" si="129"/>
        <v>0</v>
      </c>
      <c r="S353" s="139">
        <f t="shared" si="129"/>
        <v>0</v>
      </c>
      <c r="T353" s="139">
        <f t="shared" si="129"/>
        <v>0</v>
      </c>
      <c r="U353" s="139">
        <f t="shared" si="129"/>
        <v>0</v>
      </c>
      <c r="V353" s="139">
        <f t="shared" si="129"/>
        <v>0</v>
      </c>
      <c r="W353" s="139">
        <f t="shared" si="129"/>
        <v>0</v>
      </c>
      <c r="X353" s="139">
        <f t="shared" si="129"/>
        <v>0</v>
      </c>
      <c r="Y353" s="139">
        <f t="shared" si="129"/>
        <v>0</v>
      </c>
      <c r="Z353" s="139">
        <f t="shared" si="129"/>
        <v>0</v>
      </c>
      <c r="AA353" s="139">
        <f t="shared" si="129"/>
        <v>0</v>
      </c>
      <c r="AB353" s="139">
        <f t="shared" si="129"/>
        <v>0</v>
      </c>
      <c r="AC353" s="139">
        <f t="shared" si="129"/>
        <v>0</v>
      </c>
      <c r="AD353" s="139">
        <f t="shared" si="129"/>
        <v>0</v>
      </c>
      <c r="AE353" s="139">
        <f t="shared" si="129"/>
        <v>0</v>
      </c>
      <c r="AF353" s="138"/>
      <c r="AG353" s="138"/>
      <c r="AH353" s="138"/>
      <c r="AI353" s="138"/>
    </row>
    <row r="354" spans="2:35" customFormat="1" ht="14.25" x14ac:dyDescent="0.45">
      <c r="B354" s="14" t="s">
        <v>2740</v>
      </c>
      <c r="C354" s="14" t="s">
        <v>2675</v>
      </c>
      <c r="D354" s="15" t="s">
        <v>2741</v>
      </c>
      <c r="E354" s="16" t="s">
        <v>1398</v>
      </c>
      <c r="F354" s="14" t="s">
        <v>2709</v>
      </c>
      <c r="G354" s="17"/>
      <c r="H354" s="17"/>
      <c r="K354" s="136"/>
      <c r="L354" s="137">
        <f t="shared" ref="L354:AE354" si="130">IF(L$329&lt;=0,0,IF(L$353&lt;=0,L$350,MIN($F$5,IF(L$350-(L$352-L$329)/L$353&lt;=0,L$350/2,L$350-(L$352-L$329)/L$353))))</f>
        <v>0</v>
      </c>
      <c r="M354" s="137">
        <f t="shared" si="130"/>
        <v>0</v>
      </c>
      <c r="N354" s="137">
        <f t="shared" si="130"/>
        <v>0</v>
      </c>
      <c r="O354" s="137">
        <f t="shared" si="130"/>
        <v>0</v>
      </c>
      <c r="P354" s="137">
        <f t="shared" si="130"/>
        <v>0</v>
      </c>
      <c r="Q354" s="137">
        <f t="shared" si="130"/>
        <v>0</v>
      </c>
      <c r="R354" s="137">
        <f t="shared" si="130"/>
        <v>0</v>
      </c>
      <c r="S354" s="137">
        <f t="shared" si="130"/>
        <v>0</v>
      </c>
      <c r="T354" s="137">
        <f t="shared" si="130"/>
        <v>0</v>
      </c>
      <c r="U354" s="137">
        <f t="shared" si="130"/>
        <v>0</v>
      </c>
      <c r="V354" s="137">
        <f t="shared" si="130"/>
        <v>0</v>
      </c>
      <c r="W354" s="137">
        <f t="shared" si="130"/>
        <v>0</v>
      </c>
      <c r="X354" s="137">
        <f t="shared" si="130"/>
        <v>0</v>
      </c>
      <c r="Y354" s="137">
        <f t="shared" si="130"/>
        <v>0</v>
      </c>
      <c r="Z354" s="137">
        <f t="shared" si="130"/>
        <v>0</v>
      </c>
      <c r="AA354" s="137">
        <f t="shared" si="130"/>
        <v>0</v>
      </c>
      <c r="AB354" s="137">
        <f t="shared" si="130"/>
        <v>0</v>
      </c>
      <c r="AC354" s="137">
        <f t="shared" si="130"/>
        <v>0</v>
      </c>
      <c r="AD354" s="137">
        <f t="shared" si="130"/>
        <v>0</v>
      </c>
      <c r="AE354" s="137">
        <f t="shared" si="130"/>
        <v>0</v>
      </c>
      <c r="AF354" s="138"/>
      <c r="AG354" s="138"/>
      <c r="AH354" s="138"/>
      <c r="AI354" s="138"/>
    </row>
    <row r="355" spans="2:35" customFormat="1" ht="14.25" x14ac:dyDescent="0.45">
      <c r="B355" s="14" t="s">
        <v>2742</v>
      </c>
      <c r="C355" s="14" t="s">
        <v>2675</v>
      </c>
      <c r="D355" s="15" t="s">
        <v>2743</v>
      </c>
      <c r="E355" s="16" t="s">
        <v>2068</v>
      </c>
      <c r="F355" s="14" t="s">
        <v>2699</v>
      </c>
      <c r="G355" s="17"/>
      <c r="H355" s="17"/>
      <c r="K355" s="136"/>
      <c r="L355" s="139">
        <f t="shared" ref="L355:AE355" si="131">SUMPRODUCT(L$252:L$259*(1-EXP(-L$262:L$269*L$354)))+SUMPRODUCT(L$308:L$323*(1-EXP(-L$272:L$287*L$354)))</f>
        <v>0</v>
      </c>
      <c r="M355" s="139">
        <f t="shared" si="131"/>
        <v>0</v>
      </c>
      <c r="N355" s="139">
        <f t="shared" si="131"/>
        <v>0</v>
      </c>
      <c r="O355" s="139">
        <f t="shared" si="131"/>
        <v>0</v>
      </c>
      <c r="P355" s="139">
        <f t="shared" si="131"/>
        <v>0</v>
      </c>
      <c r="Q355" s="139">
        <f t="shared" si="131"/>
        <v>0</v>
      </c>
      <c r="R355" s="139">
        <f t="shared" si="131"/>
        <v>0</v>
      </c>
      <c r="S355" s="139">
        <f t="shared" si="131"/>
        <v>0</v>
      </c>
      <c r="T355" s="139">
        <f t="shared" si="131"/>
        <v>0</v>
      </c>
      <c r="U355" s="139">
        <f t="shared" si="131"/>
        <v>0</v>
      </c>
      <c r="V355" s="139">
        <f t="shared" si="131"/>
        <v>0</v>
      </c>
      <c r="W355" s="139">
        <f t="shared" si="131"/>
        <v>0</v>
      </c>
      <c r="X355" s="139">
        <f t="shared" si="131"/>
        <v>0</v>
      </c>
      <c r="Y355" s="139">
        <f t="shared" si="131"/>
        <v>0</v>
      </c>
      <c r="Z355" s="139">
        <f t="shared" si="131"/>
        <v>0</v>
      </c>
      <c r="AA355" s="139">
        <f t="shared" si="131"/>
        <v>0</v>
      </c>
      <c r="AB355" s="139">
        <f t="shared" si="131"/>
        <v>0</v>
      </c>
      <c r="AC355" s="139">
        <f t="shared" si="131"/>
        <v>0</v>
      </c>
      <c r="AD355" s="139">
        <f t="shared" si="131"/>
        <v>0</v>
      </c>
      <c r="AE355" s="139">
        <f t="shared" si="131"/>
        <v>0</v>
      </c>
      <c r="AF355" s="138"/>
      <c r="AG355" s="138"/>
      <c r="AH355" s="138"/>
      <c r="AI355" s="138"/>
    </row>
    <row r="356" spans="2:35" customFormat="1" ht="14.25" x14ac:dyDescent="0.45">
      <c r="B356" s="14" t="s">
        <v>2744</v>
      </c>
      <c r="C356" s="14" t="s">
        <v>2675</v>
      </c>
      <c r="D356" s="15" t="s">
        <v>2745</v>
      </c>
      <c r="E356" s="16" t="s">
        <v>1854</v>
      </c>
      <c r="F356" s="14" t="s">
        <v>2702</v>
      </c>
      <c r="G356" s="17"/>
      <c r="H356" s="17"/>
      <c r="K356" s="136"/>
      <c r="L356" s="137">
        <f t="shared" ref="L356:AE356" si="132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37">
        <f t="shared" si="132"/>
        <v>0</v>
      </c>
      <c r="N356" s="137">
        <f t="shared" si="132"/>
        <v>0</v>
      </c>
      <c r="O356" s="137">
        <f t="shared" si="132"/>
        <v>0</v>
      </c>
      <c r="P356" s="137">
        <f t="shared" si="132"/>
        <v>0</v>
      </c>
      <c r="Q356" s="137">
        <f t="shared" si="132"/>
        <v>0</v>
      </c>
      <c r="R356" s="137">
        <f t="shared" si="132"/>
        <v>0</v>
      </c>
      <c r="S356" s="137">
        <f t="shared" si="132"/>
        <v>0</v>
      </c>
      <c r="T356" s="137">
        <f t="shared" si="132"/>
        <v>0</v>
      </c>
      <c r="U356" s="137">
        <f t="shared" si="132"/>
        <v>0</v>
      </c>
      <c r="V356" s="137">
        <f t="shared" si="132"/>
        <v>0</v>
      </c>
      <c r="W356" s="137">
        <f t="shared" si="132"/>
        <v>0</v>
      </c>
      <c r="X356" s="137">
        <f t="shared" si="132"/>
        <v>0</v>
      </c>
      <c r="Y356" s="137">
        <f t="shared" si="132"/>
        <v>0</v>
      </c>
      <c r="Z356" s="137">
        <f t="shared" si="132"/>
        <v>0</v>
      </c>
      <c r="AA356" s="137">
        <f t="shared" si="132"/>
        <v>0</v>
      </c>
      <c r="AB356" s="137">
        <f t="shared" si="132"/>
        <v>0</v>
      </c>
      <c r="AC356" s="137">
        <f t="shared" si="132"/>
        <v>0</v>
      </c>
      <c r="AD356" s="137">
        <f t="shared" si="132"/>
        <v>0</v>
      </c>
      <c r="AE356" s="137">
        <f t="shared" si="132"/>
        <v>0</v>
      </c>
      <c r="AF356" s="138"/>
      <c r="AG356" s="138"/>
      <c r="AH356" s="138"/>
      <c r="AI356" s="138"/>
    </row>
    <row r="357" spans="2:35" customFormat="1" ht="14.25" x14ac:dyDescent="0.45">
      <c r="B357" s="14" t="s">
        <v>2746</v>
      </c>
      <c r="C357" s="14" t="s">
        <v>2675</v>
      </c>
      <c r="D357" s="15" t="s">
        <v>2747</v>
      </c>
      <c r="E357" s="16" t="s">
        <v>2705</v>
      </c>
      <c r="F357" s="14" t="s">
        <v>2706</v>
      </c>
      <c r="G357" s="17"/>
      <c r="H357" s="17"/>
      <c r="K357" s="136"/>
      <c r="L357" s="139">
        <f t="shared" ref="L357:AE357" si="133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39">
        <f t="shared" si="133"/>
        <v>0</v>
      </c>
      <c r="N357" s="139">
        <f t="shared" si="133"/>
        <v>0</v>
      </c>
      <c r="O357" s="139">
        <f t="shared" si="133"/>
        <v>0</v>
      </c>
      <c r="P357" s="139">
        <f t="shared" si="133"/>
        <v>0</v>
      </c>
      <c r="Q357" s="139">
        <f t="shared" si="133"/>
        <v>0</v>
      </c>
      <c r="R357" s="139">
        <f t="shared" si="133"/>
        <v>0</v>
      </c>
      <c r="S357" s="139">
        <f t="shared" si="133"/>
        <v>0</v>
      </c>
      <c r="T357" s="139">
        <f t="shared" si="133"/>
        <v>0</v>
      </c>
      <c r="U357" s="139">
        <f t="shared" si="133"/>
        <v>0</v>
      </c>
      <c r="V357" s="139">
        <f t="shared" si="133"/>
        <v>0</v>
      </c>
      <c r="W357" s="139">
        <f t="shared" si="133"/>
        <v>0</v>
      </c>
      <c r="X357" s="139">
        <f t="shared" si="133"/>
        <v>0</v>
      </c>
      <c r="Y357" s="139">
        <f t="shared" si="133"/>
        <v>0</v>
      </c>
      <c r="Z357" s="139">
        <f t="shared" si="133"/>
        <v>0</v>
      </c>
      <c r="AA357" s="139">
        <f t="shared" si="133"/>
        <v>0</v>
      </c>
      <c r="AB357" s="139">
        <f t="shared" si="133"/>
        <v>0</v>
      </c>
      <c r="AC357" s="139">
        <f t="shared" si="133"/>
        <v>0</v>
      </c>
      <c r="AD357" s="139">
        <f t="shared" si="133"/>
        <v>0</v>
      </c>
      <c r="AE357" s="139">
        <f t="shared" si="133"/>
        <v>0</v>
      </c>
      <c r="AF357" s="138"/>
      <c r="AG357" s="138"/>
      <c r="AH357" s="138"/>
      <c r="AI357" s="138"/>
    </row>
    <row r="358" spans="2:35" customFormat="1" ht="14.25" x14ac:dyDescent="0.45">
      <c r="B358" s="14" t="s">
        <v>2748</v>
      </c>
      <c r="C358" s="14" t="s">
        <v>2675</v>
      </c>
      <c r="D358" s="15" t="s">
        <v>2749</v>
      </c>
      <c r="E358" s="16" t="s">
        <v>1398</v>
      </c>
      <c r="F358" s="14" t="s">
        <v>2709</v>
      </c>
      <c r="G358" s="17"/>
      <c r="H358" s="17"/>
      <c r="K358" s="136"/>
      <c r="L358" s="137">
        <f t="shared" ref="L358:AE358" si="134">IF(L$329&lt;=0,0,IF(L$357&lt;=0,L$354,MIN($F$5,IF(L$354-(L$356-L$329)/L$357&lt;=0,L$354/2,L$354-(L$356-L$329)/L$357))))</f>
        <v>0</v>
      </c>
      <c r="M358" s="137">
        <f t="shared" si="134"/>
        <v>0</v>
      </c>
      <c r="N358" s="137">
        <f t="shared" si="134"/>
        <v>0</v>
      </c>
      <c r="O358" s="137">
        <f t="shared" si="134"/>
        <v>0</v>
      </c>
      <c r="P358" s="137">
        <f t="shared" si="134"/>
        <v>0</v>
      </c>
      <c r="Q358" s="137">
        <f t="shared" si="134"/>
        <v>0</v>
      </c>
      <c r="R358" s="137">
        <f t="shared" si="134"/>
        <v>0</v>
      </c>
      <c r="S358" s="137">
        <f t="shared" si="134"/>
        <v>0</v>
      </c>
      <c r="T358" s="137">
        <f t="shared" si="134"/>
        <v>0</v>
      </c>
      <c r="U358" s="137">
        <f t="shared" si="134"/>
        <v>0</v>
      </c>
      <c r="V358" s="137">
        <f t="shared" si="134"/>
        <v>0</v>
      </c>
      <c r="W358" s="137">
        <f t="shared" si="134"/>
        <v>0</v>
      </c>
      <c r="X358" s="137">
        <f t="shared" si="134"/>
        <v>0</v>
      </c>
      <c r="Y358" s="137">
        <f t="shared" si="134"/>
        <v>0</v>
      </c>
      <c r="Z358" s="137">
        <f t="shared" si="134"/>
        <v>0</v>
      </c>
      <c r="AA358" s="137">
        <f t="shared" si="134"/>
        <v>0</v>
      </c>
      <c r="AB358" s="137">
        <f t="shared" si="134"/>
        <v>0</v>
      </c>
      <c r="AC358" s="137">
        <f t="shared" si="134"/>
        <v>0</v>
      </c>
      <c r="AD358" s="137">
        <f t="shared" si="134"/>
        <v>0</v>
      </c>
      <c r="AE358" s="137">
        <f t="shared" si="134"/>
        <v>0</v>
      </c>
      <c r="AF358" s="138"/>
      <c r="AG358" s="138"/>
      <c r="AH358" s="138"/>
      <c r="AI358" s="138"/>
    </row>
    <row r="359" spans="2:35" customFormat="1" ht="14.25" x14ac:dyDescent="0.45">
      <c r="B359" s="14" t="s">
        <v>2750</v>
      </c>
      <c r="C359" s="14" t="s">
        <v>2675</v>
      </c>
      <c r="D359" s="15" t="s">
        <v>2751</v>
      </c>
      <c r="E359" s="16" t="s">
        <v>2068</v>
      </c>
      <c r="F359" s="14" t="s">
        <v>2699</v>
      </c>
      <c r="G359" s="17"/>
      <c r="H359" s="17"/>
      <c r="K359" s="136"/>
      <c r="L359" s="139">
        <f t="shared" ref="L359:AE359" si="135">SUMPRODUCT(L$252:L$259*(1-EXP(-L$262:L$269*L$358)))+SUMPRODUCT(L$308:L$323*(1-EXP(-L$272:L$287*L$358)))</f>
        <v>0</v>
      </c>
      <c r="M359" s="139">
        <f t="shared" si="135"/>
        <v>0</v>
      </c>
      <c r="N359" s="139">
        <f t="shared" si="135"/>
        <v>0</v>
      </c>
      <c r="O359" s="139">
        <f t="shared" si="135"/>
        <v>0</v>
      </c>
      <c r="P359" s="139">
        <f t="shared" si="135"/>
        <v>0</v>
      </c>
      <c r="Q359" s="139">
        <f t="shared" si="135"/>
        <v>0</v>
      </c>
      <c r="R359" s="139">
        <f t="shared" si="135"/>
        <v>0</v>
      </c>
      <c r="S359" s="139">
        <f t="shared" si="135"/>
        <v>0</v>
      </c>
      <c r="T359" s="139">
        <f t="shared" si="135"/>
        <v>0</v>
      </c>
      <c r="U359" s="139">
        <f t="shared" si="135"/>
        <v>0</v>
      </c>
      <c r="V359" s="139">
        <f t="shared" si="135"/>
        <v>0</v>
      </c>
      <c r="W359" s="139">
        <f t="shared" si="135"/>
        <v>0</v>
      </c>
      <c r="X359" s="139">
        <f t="shared" si="135"/>
        <v>0</v>
      </c>
      <c r="Y359" s="139">
        <f t="shared" si="135"/>
        <v>0</v>
      </c>
      <c r="Z359" s="139">
        <f t="shared" si="135"/>
        <v>0</v>
      </c>
      <c r="AA359" s="139">
        <f t="shared" si="135"/>
        <v>0</v>
      </c>
      <c r="AB359" s="139">
        <f t="shared" si="135"/>
        <v>0</v>
      </c>
      <c r="AC359" s="139">
        <f t="shared" si="135"/>
        <v>0</v>
      </c>
      <c r="AD359" s="139">
        <f t="shared" si="135"/>
        <v>0</v>
      </c>
      <c r="AE359" s="139">
        <f t="shared" si="135"/>
        <v>0</v>
      </c>
      <c r="AF359" s="138"/>
      <c r="AG359" s="138"/>
      <c r="AH359" s="138"/>
      <c r="AI359" s="138"/>
    </row>
    <row r="360" spans="2:35" customFormat="1" ht="14.25" x14ac:dyDescent="0.45">
      <c r="B360" s="14" t="s">
        <v>2752</v>
      </c>
      <c r="C360" s="14" t="s">
        <v>2675</v>
      </c>
      <c r="D360" s="15" t="s">
        <v>2753</v>
      </c>
      <c r="E360" s="16" t="s">
        <v>1854</v>
      </c>
      <c r="F360" s="14" t="s">
        <v>2702</v>
      </c>
      <c r="G360" s="17"/>
      <c r="H360" s="17"/>
      <c r="K360" s="136"/>
      <c r="L360" s="137">
        <f t="shared" ref="L360:AE360" si="136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37">
        <f t="shared" si="136"/>
        <v>0</v>
      </c>
      <c r="N360" s="137">
        <f t="shared" si="136"/>
        <v>0</v>
      </c>
      <c r="O360" s="137">
        <f t="shared" si="136"/>
        <v>0</v>
      </c>
      <c r="P360" s="137">
        <f t="shared" si="136"/>
        <v>0</v>
      </c>
      <c r="Q360" s="137">
        <f t="shared" si="136"/>
        <v>0</v>
      </c>
      <c r="R360" s="137">
        <f t="shared" si="136"/>
        <v>0</v>
      </c>
      <c r="S360" s="137">
        <f t="shared" si="136"/>
        <v>0</v>
      </c>
      <c r="T360" s="137">
        <f t="shared" si="136"/>
        <v>0</v>
      </c>
      <c r="U360" s="137">
        <f t="shared" si="136"/>
        <v>0</v>
      </c>
      <c r="V360" s="137">
        <f t="shared" si="136"/>
        <v>0</v>
      </c>
      <c r="W360" s="137">
        <f t="shared" si="136"/>
        <v>0</v>
      </c>
      <c r="X360" s="137">
        <f t="shared" si="136"/>
        <v>0</v>
      </c>
      <c r="Y360" s="137">
        <f t="shared" si="136"/>
        <v>0</v>
      </c>
      <c r="Z360" s="137">
        <f t="shared" si="136"/>
        <v>0</v>
      </c>
      <c r="AA360" s="137">
        <f t="shared" si="136"/>
        <v>0</v>
      </c>
      <c r="AB360" s="137">
        <f t="shared" si="136"/>
        <v>0</v>
      </c>
      <c r="AC360" s="137">
        <f t="shared" si="136"/>
        <v>0</v>
      </c>
      <c r="AD360" s="137">
        <f t="shared" si="136"/>
        <v>0</v>
      </c>
      <c r="AE360" s="137">
        <f t="shared" si="136"/>
        <v>0</v>
      </c>
      <c r="AF360" s="138"/>
      <c r="AG360" s="138"/>
      <c r="AH360" s="138"/>
      <c r="AI360" s="138"/>
    </row>
    <row r="361" spans="2:35" customFormat="1" ht="14.25" x14ac:dyDescent="0.45">
      <c r="B361" s="14" t="s">
        <v>2754</v>
      </c>
      <c r="C361" s="14" t="s">
        <v>2675</v>
      </c>
      <c r="D361" s="15" t="s">
        <v>2755</v>
      </c>
      <c r="E361" s="16" t="s">
        <v>2705</v>
      </c>
      <c r="F361" s="14" t="s">
        <v>2706</v>
      </c>
      <c r="G361" s="17"/>
      <c r="H361" s="17"/>
      <c r="K361" s="136"/>
      <c r="L361" s="139">
        <f t="shared" ref="L361:AE361" si="137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39">
        <f t="shared" si="137"/>
        <v>0</v>
      </c>
      <c r="N361" s="139">
        <f t="shared" si="137"/>
        <v>0</v>
      </c>
      <c r="O361" s="139">
        <f t="shared" si="137"/>
        <v>0</v>
      </c>
      <c r="P361" s="139">
        <f t="shared" si="137"/>
        <v>0</v>
      </c>
      <c r="Q361" s="139">
        <f t="shared" si="137"/>
        <v>0</v>
      </c>
      <c r="R361" s="139">
        <f t="shared" si="137"/>
        <v>0</v>
      </c>
      <c r="S361" s="139">
        <f t="shared" si="137"/>
        <v>0</v>
      </c>
      <c r="T361" s="139">
        <f t="shared" si="137"/>
        <v>0</v>
      </c>
      <c r="U361" s="139">
        <f t="shared" si="137"/>
        <v>0</v>
      </c>
      <c r="V361" s="139">
        <f t="shared" si="137"/>
        <v>0</v>
      </c>
      <c r="W361" s="139">
        <f t="shared" si="137"/>
        <v>0</v>
      </c>
      <c r="X361" s="139">
        <f t="shared" si="137"/>
        <v>0</v>
      </c>
      <c r="Y361" s="139">
        <f t="shared" si="137"/>
        <v>0</v>
      </c>
      <c r="Z361" s="139">
        <f t="shared" si="137"/>
        <v>0</v>
      </c>
      <c r="AA361" s="139">
        <f t="shared" si="137"/>
        <v>0</v>
      </c>
      <c r="AB361" s="139">
        <f t="shared" si="137"/>
        <v>0</v>
      </c>
      <c r="AC361" s="139">
        <f t="shared" si="137"/>
        <v>0</v>
      </c>
      <c r="AD361" s="139">
        <f t="shared" si="137"/>
        <v>0</v>
      </c>
      <c r="AE361" s="139">
        <f t="shared" si="137"/>
        <v>0</v>
      </c>
      <c r="AF361" s="138"/>
      <c r="AG361" s="138"/>
      <c r="AH361" s="138"/>
      <c r="AI361" s="138"/>
    </row>
    <row r="362" spans="2:35" customFormat="1" ht="14.25" x14ac:dyDescent="0.45">
      <c r="B362" s="14" t="s">
        <v>2756</v>
      </c>
      <c r="C362" s="14" t="s">
        <v>2675</v>
      </c>
      <c r="D362" s="15" t="s">
        <v>2757</v>
      </c>
      <c r="E362" s="16" t="s">
        <v>1398</v>
      </c>
      <c r="F362" s="14" t="s">
        <v>2709</v>
      </c>
      <c r="G362" s="17"/>
      <c r="H362" s="17"/>
      <c r="K362" s="136"/>
      <c r="L362" s="137">
        <f t="shared" ref="L362:AE362" si="138">IF(L$329&lt;=0,0,IF(L$361&lt;=0,L$358,MIN($F$5,IF(L$358-(L$360-L$329)/L$361&lt;=0,L$358/2,L$358-(L$360-L$329)/L$361))))</f>
        <v>0</v>
      </c>
      <c r="M362" s="137">
        <f t="shared" si="138"/>
        <v>0</v>
      </c>
      <c r="N362" s="137">
        <f t="shared" si="138"/>
        <v>0</v>
      </c>
      <c r="O362" s="137">
        <f t="shared" si="138"/>
        <v>0</v>
      </c>
      <c r="P362" s="137">
        <f t="shared" si="138"/>
        <v>0</v>
      </c>
      <c r="Q362" s="137">
        <f t="shared" si="138"/>
        <v>0</v>
      </c>
      <c r="R362" s="137">
        <f t="shared" si="138"/>
        <v>0</v>
      </c>
      <c r="S362" s="137">
        <f t="shared" si="138"/>
        <v>0</v>
      </c>
      <c r="T362" s="137">
        <f t="shared" si="138"/>
        <v>0</v>
      </c>
      <c r="U362" s="137">
        <f t="shared" si="138"/>
        <v>0</v>
      </c>
      <c r="V362" s="137">
        <f t="shared" si="138"/>
        <v>0</v>
      </c>
      <c r="W362" s="137">
        <f t="shared" si="138"/>
        <v>0</v>
      </c>
      <c r="X362" s="137">
        <f t="shared" si="138"/>
        <v>0</v>
      </c>
      <c r="Y362" s="137">
        <f t="shared" si="138"/>
        <v>0</v>
      </c>
      <c r="Z362" s="137">
        <f t="shared" si="138"/>
        <v>0</v>
      </c>
      <c r="AA362" s="137">
        <f t="shared" si="138"/>
        <v>0</v>
      </c>
      <c r="AB362" s="137">
        <f t="shared" si="138"/>
        <v>0</v>
      </c>
      <c r="AC362" s="137">
        <f t="shared" si="138"/>
        <v>0</v>
      </c>
      <c r="AD362" s="137">
        <f t="shared" si="138"/>
        <v>0</v>
      </c>
      <c r="AE362" s="137">
        <f t="shared" si="138"/>
        <v>0</v>
      </c>
      <c r="AF362" s="138"/>
      <c r="AG362" s="138"/>
      <c r="AH362" s="138"/>
      <c r="AI362" s="138"/>
    </row>
    <row r="363" spans="2:35" customFormat="1" ht="14.25" x14ac:dyDescent="0.45">
      <c r="B363" s="14" t="s">
        <v>2758</v>
      </c>
      <c r="C363" s="14" t="s">
        <v>2675</v>
      </c>
      <c r="D363" s="15" t="s">
        <v>2759</v>
      </c>
      <c r="E363" s="16" t="s">
        <v>2068</v>
      </c>
      <c r="F363" s="14" t="s">
        <v>2699</v>
      </c>
      <c r="G363" s="17"/>
      <c r="H363" s="17"/>
      <c r="K363" s="136"/>
      <c r="L363" s="139">
        <f t="shared" ref="L363:AE363" si="139">SUMPRODUCT(L$252:L$259*(1-EXP(-L$262:L$269*L$362)))+SUMPRODUCT(L$308:L$323*(1-EXP(-L$272:L$287*L$362)))</f>
        <v>0</v>
      </c>
      <c r="M363" s="139">
        <f t="shared" si="139"/>
        <v>0</v>
      </c>
      <c r="N363" s="139">
        <f t="shared" si="139"/>
        <v>0</v>
      </c>
      <c r="O363" s="139">
        <f t="shared" si="139"/>
        <v>0</v>
      </c>
      <c r="P363" s="139">
        <f t="shared" si="139"/>
        <v>0</v>
      </c>
      <c r="Q363" s="139">
        <f t="shared" si="139"/>
        <v>0</v>
      </c>
      <c r="R363" s="139">
        <f t="shared" si="139"/>
        <v>0</v>
      </c>
      <c r="S363" s="139">
        <f t="shared" si="139"/>
        <v>0</v>
      </c>
      <c r="T363" s="139">
        <f t="shared" si="139"/>
        <v>0</v>
      </c>
      <c r="U363" s="139">
        <f t="shared" si="139"/>
        <v>0</v>
      </c>
      <c r="V363" s="139">
        <f t="shared" si="139"/>
        <v>0</v>
      </c>
      <c r="W363" s="139">
        <f t="shared" si="139"/>
        <v>0</v>
      </c>
      <c r="X363" s="139">
        <f t="shared" si="139"/>
        <v>0</v>
      </c>
      <c r="Y363" s="139">
        <f t="shared" si="139"/>
        <v>0</v>
      </c>
      <c r="Z363" s="139">
        <f t="shared" si="139"/>
        <v>0</v>
      </c>
      <c r="AA363" s="139">
        <f t="shared" si="139"/>
        <v>0</v>
      </c>
      <c r="AB363" s="139">
        <f t="shared" si="139"/>
        <v>0</v>
      </c>
      <c r="AC363" s="139">
        <f t="shared" si="139"/>
        <v>0</v>
      </c>
      <c r="AD363" s="139">
        <f t="shared" si="139"/>
        <v>0</v>
      </c>
      <c r="AE363" s="139">
        <f t="shared" si="139"/>
        <v>0</v>
      </c>
      <c r="AF363" s="138"/>
      <c r="AG363" s="138"/>
      <c r="AH363" s="138"/>
      <c r="AI363" s="138"/>
    </row>
    <row r="364" spans="2:35" customFormat="1" ht="14.25" x14ac:dyDescent="0.45">
      <c r="B364" s="14" t="s">
        <v>2760</v>
      </c>
      <c r="C364" s="14" t="s">
        <v>2675</v>
      </c>
      <c r="D364" s="15" t="s">
        <v>2761</v>
      </c>
      <c r="E364" s="16" t="s">
        <v>1854</v>
      </c>
      <c r="F364" s="14" t="s">
        <v>2702</v>
      </c>
      <c r="G364" s="17"/>
      <c r="H364" s="17"/>
      <c r="K364" s="136"/>
      <c r="L364" s="137">
        <f t="shared" ref="L364:AE364" si="140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37">
        <f t="shared" si="140"/>
        <v>0</v>
      </c>
      <c r="N364" s="137">
        <f t="shared" si="140"/>
        <v>0</v>
      </c>
      <c r="O364" s="137">
        <f t="shared" si="140"/>
        <v>0</v>
      </c>
      <c r="P364" s="137">
        <f t="shared" si="140"/>
        <v>0</v>
      </c>
      <c r="Q364" s="137">
        <f t="shared" si="140"/>
        <v>0</v>
      </c>
      <c r="R364" s="137">
        <f t="shared" si="140"/>
        <v>0</v>
      </c>
      <c r="S364" s="137">
        <f t="shared" si="140"/>
        <v>0</v>
      </c>
      <c r="T364" s="137">
        <f t="shared" si="140"/>
        <v>0</v>
      </c>
      <c r="U364" s="137">
        <f t="shared" si="140"/>
        <v>0</v>
      </c>
      <c r="V364" s="137">
        <f t="shared" si="140"/>
        <v>0</v>
      </c>
      <c r="W364" s="137">
        <f t="shared" si="140"/>
        <v>0</v>
      </c>
      <c r="X364" s="137">
        <f t="shared" si="140"/>
        <v>0</v>
      </c>
      <c r="Y364" s="137">
        <f t="shared" si="140"/>
        <v>0</v>
      </c>
      <c r="Z364" s="137">
        <f t="shared" si="140"/>
        <v>0</v>
      </c>
      <c r="AA364" s="137">
        <f t="shared" si="140"/>
        <v>0</v>
      </c>
      <c r="AB364" s="137">
        <f t="shared" si="140"/>
        <v>0</v>
      </c>
      <c r="AC364" s="137">
        <f t="shared" si="140"/>
        <v>0</v>
      </c>
      <c r="AD364" s="137">
        <f t="shared" si="140"/>
        <v>0</v>
      </c>
      <c r="AE364" s="137">
        <f t="shared" si="140"/>
        <v>0</v>
      </c>
      <c r="AF364" s="138"/>
      <c r="AG364" s="138"/>
      <c r="AH364" s="138"/>
      <c r="AI364" s="138"/>
    </row>
    <row r="365" spans="2:35" customFormat="1" ht="14.25" x14ac:dyDescent="0.45">
      <c r="B365" s="14" t="s">
        <v>2762</v>
      </c>
      <c r="C365" s="14" t="s">
        <v>2675</v>
      </c>
      <c r="D365" s="15" t="s">
        <v>2763</v>
      </c>
      <c r="E365" s="16" t="s">
        <v>2705</v>
      </c>
      <c r="F365" s="14" t="s">
        <v>2706</v>
      </c>
      <c r="G365" s="17"/>
      <c r="H365" s="17"/>
      <c r="K365" s="136"/>
      <c r="L365" s="139">
        <f t="shared" ref="L365:AE365" si="141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39">
        <f t="shared" si="141"/>
        <v>0</v>
      </c>
      <c r="N365" s="139">
        <f t="shared" si="141"/>
        <v>0</v>
      </c>
      <c r="O365" s="139">
        <f t="shared" si="141"/>
        <v>0</v>
      </c>
      <c r="P365" s="139">
        <f t="shared" si="141"/>
        <v>0</v>
      </c>
      <c r="Q365" s="139">
        <f t="shared" si="141"/>
        <v>0</v>
      </c>
      <c r="R365" s="139">
        <f t="shared" si="141"/>
        <v>0</v>
      </c>
      <c r="S365" s="139">
        <f t="shared" si="141"/>
        <v>0</v>
      </c>
      <c r="T365" s="139">
        <f t="shared" si="141"/>
        <v>0</v>
      </c>
      <c r="U365" s="139">
        <f t="shared" si="141"/>
        <v>0</v>
      </c>
      <c r="V365" s="139">
        <f t="shared" si="141"/>
        <v>0</v>
      </c>
      <c r="W365" s="139">
        <f t="shared" si="141"/>
        <v>0</v>
      </c>
      <c r="X365" s="139">
        <f t="shared" si="141"/>
        <v>0</v>
      </c>
      <c r="Y365" s="139">
        <f t="shared" si="141"/>
        <v>0</v>
      </c>
      <c r="Z365" s="139">
        <f t="shared" si="141"/>
        <v>0</v>
      </c>
      <c r="AA365" s="139">
        <f t="shared" si="141"/>
        <v>0</v>
      </c>
      <c r="AB365" s="139">
        <f t="shared" si="141"/>
        <v>0</v>
      </c>
      <c r="AC365" s="139">
        <f t="shared" si="141"/>
        <v>0</v>
      </c>
      <c r="AD365" s="139">
        <f t="shared" si="141"/>
        <v>0</v>
      </c>
      <c r="AE365" s="139">
        <f t="shared" si="141"/>
        <v>0</v>
      </c>
      <c r="AF365" s="138"/>
      <c r="AG365" s="138"/>
      <c r="AH365" s="138"/>
      <c r="AI365" s="138"/>
    </row>
    <row r="366" spans="2:35" customFormat="1" ht="14.25" x14ac:dyDescent="0.45">
      <c r="B366" s="14" t="s">
        <v>2764</v>
      </c>
      <c r="C366" s="14" t="s">
        <v>2675</v>
      </c>
      <c r="D366" s="15" t="s">
        <v>2765</v>
      </c>
      <c r="E366" s="16" t="s">
        <v>1398</v>
      </c>
      <c r="F366" s="14" t="s">
        <v>2709</v>
      </c>
      <c r="G366" s="17"/>
      <c r="H366" s="17"/>
      <c r="K366" s="136"/>
      <c r="L366" s="137">
        <f t="shared" ref="L366:AE366" si="142">IF(L$329&lt;=0,0,IF(L$365&lt;=0,L$362,MIN($F$5,IF(L$362-(L$364-L$329)/L$365&lt;=0,L$362/2,L$362-(L$364-L$329)/L$365))))</f>
        <v>0</v>
      </c>
      <c r="M366" s="137">
        <f t="shared" si="142"/>
        <v>0</v>
      </c>
      <c r="N366" s="137">
        <f t="shared" si="142"/>
        <v>0</v>
      </c>
      <c r="O366" s="137">
        <f t="shared" si="142"/>
        <v>0</v>
      </c>
      <c r="P366" s="137">
        <f t="shared" si="142"/>
        <v>0</v>
      </c>
      <c r="Q366" s="137">
        <f t="shared" si="142"/>
        <v>0</v>
      </c>
      <c r="R366" s="137">
        <f t="shared" si="142"/>
        <v>0</v>
      </c>
      <c r="S366" s="137">
        <f t="shared" si="142"/>
        <v>0</v>
      </c>
      <c r="T366" s="137">
        <f t="shared" si="142"/>
        <v>0</v>
      </c>
      <c r="U366" s="137">
        <f t="shared" si="142"/>
        <v>0</v>
      </c>
      <c r="V366" s="137">
        <f t="shared" si="142"/>
        <v>0</v>
      </c>
      <c r="W366" s="137">
        <f t="shared" si="142"/>
        <v>0</v>
      </c>
      <c r="X366" s="137">
        <f t="shared" si="142"/>
        <v>0</v>
      </c>
      <c r="Y366" s="137">
        <f t="shared" si="142"/>
        <v>0</v>
      </c>
      <c r="Z366" s="137">
        <f t="shared" si="142"/>
        <v>0</v>
      </c>
      <c r="AA366" s="137">
        <f t="shared" si="142"/>
        <v>0</v>
      </c>
      <c r="AB366" s="137">
        <f t="shared" si="142"/>
        <v>0</v>
      </c>
      <c r="AC366" s="137">
        <f t="shared" si="142"/>
        <v>0</v>
      </c>
      <c r="AD366" s="137">
        <f t="shared" si="142"/>
        <v>0</v>
      </c>
      <c r="AE366" s="137">
        <f t="shared" si="142"/>
        <v>0</v>
      </c>
      <c r="AF366" s="138"/>
      <c r="AG366" s="138"/>
      <c r="AH366" s="138"/>
      <c r="AI366" s="138"/>
    </row>
    <row r="367" spans="2:35" customFormat="1" ht="14.25" x14ac:dyDescent="0.45">
      <c r="B367" s="14" t="s">
        <v>2766</v>
      </c>
      <c r="C367" s="14" t="s">
        <v>2675</v>
      </c>
      <c r="D367" s="15" t="s">
        <v>2767</v>
      </c>
      <c r="E367" s="16" t="s">
        <v>2068</v>
      </c>
      <c r="F367" s="14" t="s">
        <v>2699</v>
      </c>
      <c r="G367" s="17"/>
      <c r="H367" s="17"/>
      <c r="K367" s="136"/>
      <c r="L367" s="139">
        <f t="shared" ref="L367:AE367" si="143">SUMPRODUCT(L$252:L$259*(1-EXP(-L$262:L$269*L$366)))+SUMPRODUCT(L$308:L$323*(1-EXP(-L$272:L$287*L$366)))</f>
        <v>0</v>
      </c>
      <c r="M367" s="139">
        <f t="shared" si="143"/>
        <v>0</v>
      </c>
      <c r="N367" s="139">
        <f t="shared" si="143"/>
        <v>0</v>
      </c>
      <c r="O367" s="139">
        <f t="shared" si="143"/>
        <v>0</v>
      </c>
      <c r="P367" s="139">
        <f t="shared" si="143"/>
        <v>0</v>
      </c>
      <c r="Q367" s="139">
        <f t="shared" si="143"/>
        <v>0</v>
      </c>
      <c r="R367" s="139">
        <f t="shared" si="143"/>
        <v>0</v>
      </c>
      <c r="S367" s="139">
        <f t="shared" si="143"/>
        <v>0</v>
      </c>
      <c r="T367" s="139">
        <f t="shared" si="143"/>
        <v>0</v>
      </c>
      <c r="U367" s="139">
        <f t="shared" si="143"/>
        <v>0</v>
      </c>
      <c r="V367" s="139">
        <f t="shared" si="143"/>
        <v>0</v>
      </c>
      <c r="W367" s="139">
        <f t="shared" si="143"/>
        <v>0</v>
      </c>
      <c r="X367" s="139">
        <f t="shared" si="143"/>
        <v>0</v>
      </c>
      <c r="Y367" s="139">
        <f t="shared" si="143"/>
        <v>0</v>
      </c>
      <c r="Z367" s="139">
        <f t="shared" si="143"/>
        <v>0</v>
      </c>
      <c r="AA367" s="139">
        <f t="shared" si="143"/>
        <v>0</v>
      </c>
      <c r="AB367" s="139">
        <f t="shared" si="143"/>
        <v>0</v>
      </c>
      <c r="AC367" s="139">
        <f t="shared" si="143"/>
        <v>0</v>
      </c>
      <c r="AD367" s="139">
        <f t="shared" si="143"/>
        <v>0</v>
      </c>
      <c r="AE367" s="139">
        <f t="shared" si="143"/>
        <v>0</v>
      </c>
      <c r="AF367" s="138"/>
      <c r="AG367" s="138"/>
      <c r="AH367" s="138"/>
      <c r="AI367" s="138"/>
    </row>
    <row r="368" spans="2:35" customFormat="1" ht="14.25" x14ac:dyDescent="0.45">
      <c r="B368" s="14" t="s">
        <v>2768</v>
      </c>
      <c r="C368" s="14" t="s">
        <v>2675</v>
      </c>
      <c r="D368" s="15" t="s">
        <v>2769</v>
      </c>
      <c r="E368" s="16" t="s">
        <v>1854</v>
      </c>
      <c r="F368" s="14" t="s">
        <v>2702</v>
      </c>
      <c r="G368" s="17"/>
      <c r="H368" s="17"/>
      <c r="K368" s="136"/>
      <c r="L368" s="137">
        <f t="shared" ref="L368:AE368" si="144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37">
        <f t="shared" si="144"/>
        <v>0</v>
      </c>
      <c r="N368" s="137">
        <f t="shared" si="144"/>
        <v>0</v>
      </c>
      <c r="O368" s="137">
        <f t="shared" si="144"/>
        <v>0</v>
      </c>
      <c r="P368" s="137">
        <f t="shared" si="144"/>
        <v>0</v>
      </c>
      <c r="Q368" s="137">
        <f t="shared" si="144"/>
        <v>0</v>
      </c>
      <c r="R368" s="137">
        <f t="shared" si="144"/>
        <v>0</v>
      </c>
      <c r="S368" s="137">
        <f t="shared" si="144"/>
        <v>0</v>
      </c>
      <c r="T368" s="137">
        <f t="shared" si="144"/>
        <v>0</v>
      </c>
      <c r="U368" s="137">
        <f t="shared" si="144"/>
        <v>0</v>
      </c>
      <c r="V368" s="137">
        <f t="shared" si="144"/>
        <v>0</v>
      </c>
      <c r="W368" s="137">
        <f t="shared" si="144"/>
        <v>0</v>
      </c>
      <c r="X368" s="137">
        <f t="shared" si="144"/>
        <v>0</v>
      </c>
      <c r="Y368" s="137">
        <f t="shared" si="144"/>
        <v>0</v>
      </c>
      <c r="Z368" s="137">
        <f t="shared" si="144"/>
        <v>0</v>
      </c>
      <c r="AA368" s="137">
        <f t="shared" si="144"/>
        <v>0</v>
      </c>
      <c r="AB368" s="137">
        <f t="shared" si="144"/>
        <v>0</v>
      </c>
      <c r="AC368" s="137">
        <f t="shared" si="144"/>
        <v>0</v>
      </c>
      <c r="AD368" s="137">
        <f t="shared" si="144"/>
        <v>0</v>
      </c>
      <c r="AE368" s="137">
        <f t="shared" si="144"/>
        <v>0</v>
      </c>
      <c r="AF368" s="138"/>
      <c r="AG368" s="138"/>
      <c r="AH368" s="138"/>
      <c r="AI368" s="138"/>
    </row>
    <row r="369" spans="2:35" customFormat="1" ht="14.25" x14ac:dyDescent="0.45">
      <c r="B369" s="14" t="s">
        <v>2770</v>
      </c>
      <c r="C369" s="14" t="s">
        <v>2675</v>
      </c>
      <c r="D369" s="15" t="s">
        <v>2771</v>
      </c>
      <c r="E369" s="16" t="s">
        <v>2705</v>
      </c>
      <c r="F369" s="14" t="s">
        <v>2706</v>
      </c>
      <c r="G369" s="17"/>
      <c r="H369" s="17"/>
      <c r="K369" s="136"/>
      <c r="L369" s="139">
        <f t="shared" ref="L369:AE369" si="145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39">
        <f t="shared" si="145"/>
        <v>0</v>
      </c>
      <c r="N369" s="139">
        <f t="shared" si="145"/>
        <v>0</v>
      </c>
      <c r="O369" s="139">
        <f t="shared" si="145"/>
        <v>0</v>
      </c>
      <c r="P369" s="139">
        <f t="shared" si="145"/>
        <v>0</v>
      </c>
      <c r="Q369" s="139">
        <f t="shared" si="145"/>
        <v>0</v>
      </c>
      <c r="R369" s="139">
        <f t="shared" si="145"/>
        <v>0</v>
      </c>
      <c r="S369" s="139">
        <f t="shared" si="145"/>
        <v>0</v>
      </c>
      <c r="T369" s="139">
        <f t="shared" si="145"/>
        <v>0</v>
      </c>
      <c r="U369" s="139">
        <f t="shared" si="145"/>
        <v>0</v>
      </c>
      <c r="V369" s="139">
        <f t="shared" si="145"/>
        <v>0</v>
      </c>
      <c r="W369" s="139">
        <f t="shared" si="145"/>
        <v>0</v>
      </c>
      <c r="X369" s="139">
        <f t="shared" si="145"/>
        <v>0</v>
      </c>
      <c r="Y369" s="139">
        <f t="shared" si="145"/>
        <v>0</v>
      </c>
      <c r="Z369" s="139">
        <f t="shared" si="145"/>
        <v>0</v>
      </c>
      <c r="AA369" s="139">
        <f t="shared" si="145"/>
        <v>0</v>
      </c>
      <c r="AB369" s="139">
        <f t="shared" si="145"/>
        <v>0</v>
      </c>
      <c r="AC369" s="139">
        <f t="shared" si="145"/>
        <v>0</v>
      </c>
      <c r="AD369" s="139">
        <f t="shared" si="145"/>
        <v>0</v>
      </c>
      <c r="AE369" s="139">
        <f t="shared" si="145"/>
        <v>0</v>
      </c>
      <c r="AF369" s="138"/>
      <c r="AG369" s="138"/>
      <c r="AH369" s="138"/>
      <c r="AI369" s="138"/>
    </row>
    <row r="370" spans="2:35" customFormat="1" ht="14.25" x14ac:dyDescent="0.45">
      <c r="B370" s="14" t="s">
        <v>2772</v>
      </c>
      <c r="C370" s="14" t="s">
        <v>2675</v>
      </c>
      <c r="D370" s="15" t="s">
        <v>2773</v>
      </c>
      <c r="E370" s="16" t="s">
        <v>1398</v>
      </c>
      <c r="F370" s="14" t="s">
        <v>2709</v>
      </c>
      <c r="G370" s="17"/>
      <c r="H370" s="17"/>
      <c r="K370" s="136"/>
      <c r="L370" s="137">
        <f t="shared" ref="L370:AE370" si="146">IF(L$329&lt;=0,0,IF(L$369&lt;=0,L$366,MIN($F$5,IF(L$366-(L$368-L$329)/L$369&lt;=0,L$366/2,L$366-(L$368-L$329)/L$369))))</f>
        <v>0</v>
      </c>
      <c r="M370" s="137">
        <f t="shared" si="146"/>
        <v>0</v>
      </c>
      <c r="N370" s="137">
        <f t="shared" si="146"/>
        <v>0</v>
      </c>
      <c r="O370" s="137">
        <f t="shared" si="146"/>
        <v>0</v>
      </c>
      <c r="P370" s="137">
        <f t="shared" si="146"/>
        <v>0</v>
      </c>
      <c r="Q370" s="137">
        <f t="shared" si="146"/>
        <v>0</v>
      </c>
      <c r="R370" s="137">
        <f t="shared" si="146"/>
        <v>0</v>
      </c>
      <c r="S370" s="137">
        <f t="shared" si="146"/>
        <v>0</v>
      </c>
      <c r="T370" s="137">
        <f t="shared" si="146"/>
        <v>0</v>
      </c>
      <c r="U370" s="137">
        <f t="shared" si="146"/>
        <v>0</v>
      </c>
      <c r="V370" s="137">
        <f t="shared" si="146"/>
        <v>0</v>
      </c>
      <c r="W370" s="137">
        <f t="shared" si="146"/>
        <v>0</v>
      </c>
      <c r="X370" s="137">
        <f t="shared" si="146"/>
        <v>0</v>
      </c>
      <c r="Y370" s="137">
        <f t="shared" si="146"/>
        <v>0</v>
      </c>
      <c r="Z370" s="137">
        <f t="shared" si="146"/>
        <v>0</v>
      </c>
      <c r="AA370" s="137">
        <f t="shared" si="146"/>
        <v>0</v>
      </c>
      <c r="AB370" s="137">
        <f t="shared" si="146"/>
        <v>0</v>
      </c>
      <c r="AC370" s="137">
        <f t="shared" si="146"/>
        <v>0</v>
      </c>
      <c r="AD370" s="137">
        <f t="shared" si="146"/>
        <v>0</v>
      </c>
      <c r="AE370" s="137">
        <f t="shared" si="146"/>
        <v>0</v>
      </c>
      <c r="AF370" s="138"/>
      <c r="AG370" s="138"/>
      <c r="AH370" s="138"/>
      <c r="AI370" s="138"/>
    </row>
    <row r="371" spans="2:35" customFormat="1" ht="14.25" x14ac:dyDescent="0.45">
      <c r="B371" s="14" t="s">
        <v>2774</v>
      </c>
      <c r="C371" s="14" t="s">
        <v>2675</v>
      </c>
      <c r="D371" s="15" t="s">
        <v>2775</v>
      </c>
      <c r="E371" s="16" t="s">
        <v>2068</v>
      </c>
      <c r="F371" s="14" t="s">
        <v>2699</v>
      </c>
      <c r="G371" s="17"/>
      <c r="H371" s="17"/>
      <c r="K371" s="136"/>
      <c r="L371" s="139">
        <f t="shared" ref="L371:AE371" si="147">SUMPRODUCT(L$252:L$259*(1-EXP(-L$262:L$269*L$370)))+SUMPRODUCT(L$308:L$323*(1-EXP(-L$272:L$287*L$370)))</f>
        <v>0</v>
      </c>
      <c r="M371" s="139">
        <f t="shared" si="147"/>
        <v>0</v>
      </c>
      <c r="N371" s="139">
        <f t="shared" si="147"/>
        <v>0</v>
      </c>
      <c r="O371" s="139">
        <f t="shared" si="147"/>
        <v>0</v>
      </c>
      <c r="P371" s="139">
        <f t="shared" si="147"/>
        <v>0</v>
      </c>
      <c r="Q371" s="139">
        <f t="shared" si="147"/>
        <v>0</v>
      </c>
      <c r="R371" s="139">
        <f t="shared" si="147"/>
        <v>0</v>
      </c>
      <c r="S371" s="139">
        <f t="shared" si="147"/>
        <v>0</v>
      </c>
      <c r="T371" s="139">
        <f t="shared" si="147"/>
        <v>0</v>
      </c>
      <c r="U371" s="139">
        <f t="shared" si="147"/>
        <v>0</v>
      </c>
      <c r="V371" s="139">
        <f t="shared" si="147"/>
        <v>0</v>
      </c>
      <c r="W371" s="139">
        <f t="shared" si="147"/>
        <v>0</v>
      </c>
      <c r="X371" s="139">
        <f t="shared" si="147"/>
        <v>0</v>
      </c>
      <c r="Y371" s="139">
        <f t="shared" si="147"/>
        <v>0</v>
      </c>
      <c r="Z371" s="139">
        <f t="shared" si="147"/>
        <v>0</v>
      </c>
      <c r="AA371" s="139">
        <f t="shared" si="147"/>
        <v>0</v>
      </c>
      <c r="AB371" s="139">
        <f t="shared" si="147"/>
        <v>0</v>
      </c>
      <c r="AC371" s="139">
        <f t="shared" si="147"/>
        <v>0</v>
      </c>
      <c r="AD371" s="139">
        <f t="shared" si="147"/>
        <v>0</v>
      </c>
      <c r="AE371" s="139">
        <f t="shared" si="147"/>
        <v>0</v>
      </c>
      <c r="AF371" s="138"/>
      <c r="AG371" s="138"/>
      <c r="AH371" s="138"/>
      <c r="AI371" s="138"/>
    </row>
    <row r="372" spans="2:35" customFormat="1" ht="14.25" x14ac:dyDescent="0.45">
      <c r="B372" s="14" t="s">
        <v>2776</v>
      </c>
      <c r="C372" s="14" t="s">
        <v>2675</v>
      </c>
      <c r="D372" s="15" t="s">
        <v>2777</v>
      </c>
      <c r="E372" s="16" t="s">
        <v>1854</v>
      </c>
      <c r="F372" s="14" t="s">
        <v>2702</v>
      </c>
      <c r="G372" s="17"/>
      <c r="H372" s="17"/>
      <c r="K372" s="136"/>
      <c r="L372" s="137">
        <f t="shared" ref="L372:AE372" si="148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37">
        <f t="shared" si="148"/>
        <v>0</v>
      </c>
      <c r="N372" s="137">
        <f t="shared" si="148"/>
        <v>0</v>
      </c>
      <c r="O372" s="137">
        <f t="shared" si="148"/>
        <v>0</v>
      </c>
      <c r="P372" s="137">
        <f t="shared" si="148"/>
        <v>0</v>
      </c>
      <c r="Q372" s="137">
        <f t="shared" si="148"/>
        <v>0</v>
      </c>
      <c r="R372" s="137">
        <f t="shared" si="148"/>
        <v>0</v>
      </c>
      <c r="S372" s="137">
        <f t="shared" si="148"/>
        <v>0</v>
      </c>
      <c r="T372" s="137">
        <f t="shared" si="148"/>
        <v>0</v>
      </c>
      <c r="U372" s="137">
        <f t="shared" si="148"/>
        <v>0</v>
      </c>
      <c r="V372" s="137">
        <f t="shared" si="148"/>
        <v>0</v>
      </c>
      <c r="W372" s="137">
        <f t="shared" si="148"/>
        <v>0</v>
      </c>
      <c r="X372" s="137">
        <f t="shared" si="148"/>
        <v>0</v>
      </c>
      <c r="Y372" s="137">
        <f t="shared" si="148"/>
        <v>0</v>
      </c>
      <c r="Z372" s="137">
        <f t="shared" si="148"/>
        <v>0</v>
      </c>
      <c r="AA372" s="137">
        <f t="shared" si="148"/>
        <v>0</v>
      </c>
      <c r="AB372" s="137">
        <f t="shared" si="148"/>
        <v>0</v>
      </c>
      <c r="AC372" s="137">
        <f t="shared" si="148"/>
        <v>0</v>
      </c>
      <c r="AD372" s="137">
        <f t="shared" si="148"/>
        <v>0</v>
      </c>
      <c r="AE372" s="137">
        <f t="shared" si="148"/>
        <v>0</v>
      </c>
      <c r="AF372" s="138"/>
      <c r="AG372" s="138"/>
      <c r="AH372" s="138"/>
      <c r="AI372" s="138"/>
    </row>
    <row r="373" spans="2:35" customFormat="1" ht="14.25" x14ac:dyDescent="0.45">
      <c r="B373" s="14" t="s">
        <v>2778</v>
      </c>
      <c r="C373" s="14" t="s">
        <v>2675</v>
      </c>
      <c r="D373" s="15" t="s">
        <v>2779</v>
      </c>
      <c r="E373" s="16" t="s">
        <v>2705</v>
      </c>
      <c r="F373" s="14" t="s">
        <v>2706</v>
      </c>
      <c r="G373" s="17"/>
      <c r="H373" s="17"/>
      <c r="K373" s="136"/>
      <c r="L373" s="139">
        <f t="shared" ref="L373:AE373" si="149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39">
        <f t="shared" si="149"/>
        <v>0</v>
      </c>
      <c r="N373" s="139">
        <f t="shared" si="149"/>
        <v>0</v>
      </c>
      <c r="O373" s="139">
        <f t="shared" si="149"/>
        <v>0</v>
      </c>
      <c r="P373" s="139">
        <f t="shared" si="149"/>
        <v>0</v>
      </c>
      <c r="Q373" s="139">
        <f t="shared" si="149"/>
        <v>0</v>
      </c>
      <c r="R373" s="139">
        <f t="shared" si="149"/>
        <v>0</v>
      </c>
      <c r="S373" s="139">
        <f t="shared" si="149"/>
        <v>0</v>
      </c>
      <c r="T373" s="139">
        <f t="shared" si="149"/>
        <v>0</v>
      </c>
      <c r="U373" s="139">
        <f t="shared" si="149"/>
        <v>0</v>
      </c>
      <c r="V373" s="139">
        <f t="shared" si="149"/>
        <v>0</v>
      </c>
      <c r="W373" s="139">
        <f t="shared" si="149"/>
        <v>0</v>
      </c>
      <c r="X373" s="139">
        <f t="shared" si="149"/>
        <v>0</v>
      </c>
      <c r="Y373" s="139">
        <f t="shared" si="149"/>
        <v>0</v>
      </c>
      <c r="Z373" s="139">
        <f t="shared" si="149"/>
        <v>0</v>
      </c>
      <c r="AA373" s="139">
        <f t="shared" si="149"/>
        <v>0</v>
      </c>
      <c r="AB373" s="139">
        <f t="shared" si="149"/>
        <v>0</v>
      </c>
      <c r="AC373" s="139">
        <f t="shared" si="149"/>
        <v>0</v>
      </c>
      <c r="AD373" s="139">
        <f t="shared" si="149"/>
        <v>0</v>
      </c>
      <c r="AE373" s="139">
        <f t="shared" si="149"/>
        <v>0</v>
      </c>
      <c r="AF373" s="138"/>
      <c r="AG373" s="138"/>
      <c r="AH373" s="138"/>
      <c r="AI373" s="138"/>
    </row>
    <row r="374" spans="2:35" customFormat="1" ht="14.25" x14ac:dyDescent="0.45">
      <c r="B374" s="14" t="s">
        <v>2780</v>
      </c>
      <c r="C374" s="14" t="s">
        <v>2675</v>
      </c>
      <c r="D374" s="15" t="s">
        <v>2781</v>
      </c>
      <c r="E374" s="16" t="s">
        <v>1398</v>
      </c>
      <c r="F374" s="14" t="s">
        <v>2709</v>
      </c>
      <c r="G374" s="17"/>
      <c r="H374" s="17"/>
      <c r="K374" s="136"/>
      <c r="L374" s="137">
        <f t="shared" ref="L374:AE374" si="150">IF(L$329&lt;=0,0,IF(L$373&lt;=0,L$370,MIN($F$5,IF(L$370-(L$372-L$329)/L$373&lt;=0,L$370/2,L$370-(L$372-L$329)/L$373))))</f>
        <v>0</v>
      </c>
      <c r="M374" s="137">
        <f t="shared" si="150"/>
        <v>0</v>
      </c>
      <c r="N374" s="137">
        <f t="shared" si="150"/>
        <v>0</v>
      </c>
      <c r="O374" s="137">
        <f t="shared" si="150"/>
        <v>0</v>
      </c>
      <c r="P374" s="137">
        <f t="shared" si="150"/>
        <v>0</v>
      </c>
      <c r="Q374" s="137">
        <f t="shared" si="150"/>
        <v>0</v>
      </c>
      <c r="R374" s="137">
        <f t="shared" si="150"/>
        <v>0</v>
      </c>
      <c r="S374" s="137">
        <f t="shared" si="150"/>
        <v>0</v>
      </c>
      <c r="T374" s="137">
        <f t="shared" si="150"/>
        <v>0</v>
      </c>
      <c r="U374" s="137">
        <f t="shared" si="150"/>
        <v>0</v>
      </c>
      <c r="V374" s="137">
        <f t="shared" si="150"/>
        <v>0</v>
      </c>
      <c r="W374" s="137">
        <f t="shared" si="150"/>
        <v>0</v>
      </c>
      <c r="X374" s="137">
        <f t="shared" si="150"/>
        <v>0</v>
      </c>
      <c r="Y374" s="137">
        <f t="shared" si="150"/>
        <v>0</v>
      </c>
      <c r="Z374" s="137">
        <f t="shared" si="150"/>
        <v>0</v>
      </c>
      <c r="AA374" s="137">
        <f t="shared" si="150"/>
        <v>0</v>
      </c>
      <c r="AB374" s="137">
        <f t="shared" si="150"/>
        <v>0</v>
      </c>
      <c r="AC374" s="137">
        <f t="shared" si="150"/>
        <v>0</v>
      </c>
      <c r="AD374" s="137">
        <f t="shared" si="150"/>
        <v>0</v>
      </c>
      <c r="AE374" s="137">
        <f t="shared" si="150"/>
        <v>0</v>
      </c>
      <c r="AF374" s="138"/>
      <c r="AG374" s="138"/>
      <c r="AH374" s="138"/>
      <c r="AI374" s="138"/>
    </row>
    <row r="375" spans="2:35" customFormat="1" ht="14.25" x14ac:dyDescent="0.45">
      <c r="B375" s="14" t="s">
        <v>2782</v>
      </c>
      <c r="C375" s="14" t="s">
        <v>2675</v>
      </c>
      <c r="D375" s="15" t="s">
        <v>2783</v>
      </c>
      <c r="E375" s="16" t="s">
        <v>2068</v>
      </c>
      <c r="F375" s="14" t="s">
        <v>2699</v>
      </c>
      <c r="G375" s="17"/>
      <c r="H375" s="17"/>
      <c r="K375" s="136"/>
      <c r="L375" s="139">
        <f t="shared" ref="L375:AE375" si="151">SUMPRODUCT(L$252:L$259*(1-EXP(-L$262:L$269*L$374)))+SUMPRODUCT(L$308:L$323*(1-EXP(-L$272:L$287*L$374)))</f>
        <v>0</v>
      </c>
      <c r="M375" s="139">
        <f t="shared" si="151"/>
        <v>0</v>
      </c>
      <c r="N375" s="139">
        <f t="shared" si="151"/>
        <v>0</v>
      </c>
      <c r="O375" s="139">
        <f t="shared" si="151"/>
        <v>0</v>
      </c>
      <c r="P375" s="139">
        <f t="shared" si="151"/>
        <v>0</v>
      </c>
      <c r="Q375" s="139">
        <f t="shared" si="151"/>
        <v>0</v>
      </c>
      <c r="R375" s="139">
        <f t="shared" si="151"/>
        <v>0</v>
      </c>
      <c r="S375" s="139">
        <f t="shared" si="151"/>
        <v>0</v>
      </c>
      <c r="T375" s="139">
        <f t="shared" si="151"/>
        <v>0</v>
      </c>
      <c r="U375" s="139">
        <f t="shared" si="151"/>
        <v>0</v>
      </c>
      <c r="V375" s="139">
        <f t="shared" si="151"/>
        <v>0</v>
      </c>
      <c r="W375" s="139">
        <f t="shared" si="151"/>
        <v>0</v>
      </c>
      <c r="X375" s="139">
        <f t="shared" si="151"/>
        <v>0</v>
      </c>
      <c r="Y375" s="139">
        <f t="shared" si="151"/>
        <v>0</v>
      </c>
      <c r="Z375" s="139">
        <f t="shared" si="151"/>
        <v>0</v>
      </c>
      <c r="AA375" s="139">
        <f t="shared" si="151"/>
        <v>0</v>
      </c>
      <c r="AB375" s="139">
        <f t="shared" si="151"/>
        <v>0</v>
      </c>
      <c r="AC375" s="139">
        <f t="shared" si="151"/>
        <v>0</v>
      </c>
      <c r="AD375" s="139">
        <f t="shared" si="151"/>
        <v>0</v>
      </c>
      <c r="AE375" s="139">
        <f t="shared" si="151"/>
        <v>0</v>
      </c>
      <c r="AF375" s="138"/>
      <c r="AG375" s="138"/>
      <c r="AH375" s="138"/>
      <c r="AI375" s="138"/>
    </row>
    <row r="376" spans="2:35" customFormat="1" ht="14.25" x14ac:dyDescent="0.45">
      <c r="B376" s="14" t="s">
        <v>2784</v>
      </c>
      <c r="C376" s="14" t="s">
        <v>2675</v>
      </c>
      <c r="D376" s="15" t="s">
        <v>2785</v>
      </c>
      <c r="E376" s="16" t="s">
        <v>1854</v>
      </c>
      <c r="F376" s="14" t="s">
        <v>2702</v>
      </c>
      <c r="G376" s="17"/>
      <c r="H376" s="17"/>
      <c r="K376" s="136"/>
      <c r="L376" s="137">
        <f t="shared" ref="L376:AE376" si="152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37">
        <f t="shared" si="152"/>
        <v>0</v>
      </c>
      <c r="N376" s="137">
        <f t="shared" si="152"/>
        <v>0</v>
      </c>
      <c r="O376" s="137">
        <f t="shared" si="152"/>
        <v>0</v>
      </c>
      <c r="P376" s="137">
        <f t="shared" si="152"/>
        <v>0</v>
      </c>
      <c r="Q376" s="137">
        <f t="shared" si="152"/>
        <v>0</v>
      </c>
      <c r="R376" s="137">
        <f t="shared" si="152"/>
        <v>0</v>
      </c>
      <c r="S376" s="137">
        <f t="shared" si="152"/>
        <v>0</v>
      </c>
      <c r="T376" s="137">
        <f t="shared" si="152"/>
        <v>0</v>
      </c>
      <c r="U376" s="137">
        <f t="shared" si="152"/>
        <v>0</v>
      </c>
      <c r="V376" s="137">
        <f t="shared" si="152"/>
        <v>0</v>
      </c>
      <c r="W376" s="137">
        <f t="shared" si="152"/>
        <v>0</v>
      </c>
      <c r="X376" s="137">
        <f t="shared" si="152"/>
        <v>0</v>
      </c>
      <c r="Y376" s="137">
        <f t="shared" si="152"/>
        <v>0</v>
      </c>
      <c r="Z376" s="137">
        <f t="shared" si="152"/>
        <v>0</v>
      </c>
      <c r="AA376" s="137">
        <f t="shared" si="152"/>
        <v>0</v>
      </c>
      <c r="AB376" s="137">
        <f t="shared" si="152"/>
        <v>0</v>
      </c>
      <c r="AC376" s="137">
        <f t="shared" si="152"/>
        <v>0</v>
      </c>
      <c r="AD376" s="137">
        <f t="shared" si="152"/>
        <v>0</v>
      </c>
      <c r="AE376" s="137">
        <f t="shared" si="152"/>
        <v>0</v>
      </c>
      <c r="AF376" s="138"/>
      <c r="AG376" s="138"/>
      <c r="AH376" s="138"/>
      <c r="AI376" s="138"/>
    </row>
    <row r="377" spans="2:35" customFormat="1" ht="14.25" x14ac:dyDescent="0.45">
      <c r="B377" s="14" t="s">
        <v>2786</v>
      </c>
      <c r="C377" s="14" t="s">
        <v>2675</v>
      </c>
      <c r="D377" s="15" t="s">
        <v>2787</v>
      </c>
      <c r="E377" s="16" t="s">
        <v>2705</v>
      </c>
      <c r="F377" s="14" t="s">
        <v>2706</v>
      </c>
      <c r="G377" s="17"/>
      <c r="H377" s="17"/>
      <c r="K377" s="136"/>
      <c r="L377" s="139">
        <f t="shared" ref="L377:AE377" si="153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39">
        <f t="shared" si="153"/>
        <v>0</v>
      </c>
      <c r="N377" s="139">
        <f t="shared" si="153"/>
        <v>0</v>
      </c>
      <c r="O377" s="139">
        <f t="shared" si="153"/>
        <v>0</v>
      </c>
      <c r="P377" s="139">
        <f t="shared" si="153"/>
        <v>0</v>
      </c>
      <c r="Q377" s="139">
        <f t="shared" si="153"/>
        <v>0</v>
      </c>
      <c r="R377" s="139">
        <f t="shared" si="153"/>
        <v>0</v>
      </c>
      <c r="S377" s="139">
        <f t="shared" si="153"/>
        <v>0</v>
      </c>
      <c r="T377" s="139">
        <f t="shared" si="153"/>
        <v>0</v>
      </c>
      <c r="U377" s="139">
        <f t="shared" si="153"/>
        <v>0</v>
      </c>
      <c r="V377" s="139">
        <f t="shared" si="153"/>
        <v>0</v>
      </c>
      <c r="W377" s="139">
        <f t="shared" si="153"/>
        <v>0</v>
      </c>
      <c r="X377" s="139">
        <f t="shared" si="153"/>
        <v>0</v>
      </c>
      <c r="Y377" s="139">
        <f t="shared" si="153"/>
        <v>0</v>
      </c>
      <c r="Z377" s="139">
        <f t="shared" si="153"/>
        <v>0</v>
      </c>
      <c r="AA377" s="139">
        <f t="shared" si="153"/>
        <v>0</v>
      </c>
      <c r="AB377" s="139">
        <f t="shared" si="153"/>
        <v>0</v>
      </c>
      <c r="AC377" s="139">
        <f t="shared" si="153"/>
        <v>0</v>
      </c>
      <c r="AD377" s="139">
        <f t="shared" si="153"/>
        <v>0</v>
      </c>
      <c r="AE377" s="139">
        <f t="shared" si="153"/>
        <v>0</v>
      </c>
      <c r="AF377" s="138"/>
      <c r="AG377" s="138"/>
      <c r="AH377" s="138"/>
      <c r="AI377" s="138"/>
    </row>
    <row r="378" spans="2:35" customFormat="1" ht="14.25" x14ac:dyDescent="0.45">
      <c r="B378" s="14" t="s">
        <v>2788</v>
      </c>
      <c r="C378" s="14" t="s">
        <v>2675</v>
      </c>
      <c r="D378" s="15" t="s">
        <v>2789</v>
      </c>
      <c r="E378" s="16" t="s">
        <v>1398</v>
      </c>
      <c r="F378" s="14" t="s">
        <v>2709</v>
      </c>
      <c r="G378" s="17"/>
      <c r="H378" s="17"/>
      <c r="K378" s="136"/>
      <c r="L378" s="137">
        <f t="shared" ref="L378:AE378" si="154">IF(L$329&lt;=0,0,IF(L$377&lt;=0,L$374,MIN($F$5,IF(L$374-(L$376-L$329)/L$377&lt;=0,L$374/2,L$374-(L$376-L$329)/L$377))))</f>
        <v>0</v>
      </c>
      <c r="M378" s="137">
        <f t="shared" si="154"/>
        <v>0</v>
      </c>
      <c r="N378" s="137">
        <f t="shared" si="154"/>
        <v>0</v>
      </c>
      <c r="O378" s="137">
        <f t="shared" si="154"/>
        <v>0</v>
      </c>
      <c r="P378" s="137">
        <f t="shared" si="154"/>
        <v>0</v>
      </c>
      <c r="Q378" s="137">
        <f t="shared" si="154"/>
        <v>0</v>
      </c>
      <c r="R378" s="137">
        <f t="shared" si="154"/>
        <v>0</v>
      </c>
      <c r="S378" s="137">
        <f t="shared" si="154"/>
        <v>0</v>
      </c>
      <c r="T378" s="137">
        <f t="shared" si="154"/>
        <v>0</v>
      </c>
      <c r="U378" s="137">
        <f t="shared" si="154"/>
        <v>0</v>
      </c>
      <c r="V378" s="137">
        <f t="shared" si="154"/>
        <v>0</v>
      </c>
      <c r="W378" s="137">
        <f t="shared" si="154"/>
        <v>0</v>
      </c>
      <c r="X378" s="137">
        <f t="shared" si="154"/>
        <v>0</v>
      </c>
      <c r="Y378" s="137">
        <f t="shared" si="154"/>
        <v>0</v>
      </c>
      <c r="Z378" s="137">
        <f t="shared" si="154"/>
        <v>0</v>
      </c>
      <c r="AA378" s="137">
        <f t="shared" si="154"/>
        <v>0</v>
      </c>
      <c r="AB378" s="137">
        <f t="shared" si="154"/>
        <v>0</v>
      </c>
      <c r="AC378" s="137">
        <f t="shared" si="154"/>
        <v>0</v>
      </c>
      <c r="AD378" s="137">
        <f t="shared" si="154"/>
        <v>0</v>
      </c>
      <c r="AE378" s="137">
        <f t="shared" si="154"/>
        <v>0</v>
      </c>
      <c r="AF378" s="138"/>
      <c r="AG378" s="138"/>
      <c r="AH378" s="138"/>
      <c r="AI378" s="138"/>
    </row>
    <row r="379" spans="2:35" customFormat="1" ht="14.25" x14ac:dyDescent="0.45">
      <c r="B379" s="14" t="s">
        <v>2790</v>
      </c>
      <c r="C379" s="14" t="s">
        <v>2675</v>
      </c>
      <c r="D379" s="15" t="s">
        <v>2791</v>
      </c>
      <c r="E379" s="16" t="s">
        <v>2068</v>
      </c>
      <c r="F379" s="14" t="s">
        <v>2699</v>
      </c>
      <c r="G379" s="17"/>
      <c r="H379" s="17"/>
      <c r="K379" s="136"/>
      <c r="L379" s="139">
        <f t="shared" ref="L379:AE379" si="155">SUMPRODUCT(L$252:L$259*(1-EXP(-L$262:L$269*L$378)))+SUMPRODUCT(L$308:L$323*(1-EXP(-L$272:L$287*L$378)))</f>
        <v>0</v>
      </c>
      <c r="M379" s="139">
        <f t="shared" si="155"/>
        <v>0</v>
      </c>
      <c r="N379" s="139">
        <f t="shared" si="155"/>
        <v>0</v>
      </c>
      <c r="O379" s="139">
        <f t="shared" si="155"/>
        <v>0</v>
      </c>
      <c r="P379" s="139">
        <f t="shared" si="155"/>
        <v>0</v>
      </c>
      <c r="Q379" s="139">
        <f t="shared" si="155"/>
        <v>0</v>
      </c>
      <c r="R379" s="139">
        <f t="shared" si="155"/>
        <v>0</v>
      </c>
      <c r="S379" s="139">
        <f t="shared" si="155"/>
        <v>0</v>
      </c>
      <c r="T379" s="139">
        <f t="shared" si="155"/>
        <v>0</v>
      </c>
      <c r="U379" s="139">
        <f t="shared" si="155"/>
        <v>0</v>
      </c>
      <c r="V379" s="139">
        <f t="shared" si="155"/>
        <v>0</v>
      </c>
      <c r="W379" s="139">
        <f t="shared" si="155"/>
        <v>0</v>
      </c>
      <c r="X379" s="139">
        <f t="shared" si="155"/>
        <v>0</v>
      </c>
      <c r="Y379" s="139">
        <f t="shared" si="155"/>
        <v>0</v>
      </c>
      <c r="Z379" s="139">
        <f t="shared" si="155"/>
        <v>0</v>
      </c>
      <c r="AA379" s="139">
        <f t="shared" si="155"/>
        <v>0</v>
      </c>
      <c r="AB379" s="139">
        <f t="shared" si="155"/>
        <v>0</v>
      </c>
      <c r="AC379" s="139">
        <f t="shared" si="155"/>
        <v>0</v>
      </c>
      <c r="AD379" s="139">
        <f t="shared" si="155"/>
        <v>0</v>
      </c>
      <c r="AE379" s="139">
        <f t="shared" si="155"/>
        <v>0</v>
      </c>
      <c r="AF379" s="138"/>
      <c r="AG379" s="138"/>
      <c r="AH379" s="138"/>
      <c r="AI379" s="138"/>
    </row>
    <row r="380" spans="2:35" customFormat="1" ht="14.25" x14ac:dyDescent="0.45">
      <c r="B380" s="14" t="s">
        <v>2792</v>
      </c>
      <c r="C380" s="14" t="s">
        <v>2675</v>
      </c>
      <c r="D380" s="15" t="s">
        <v>2793</v>
      </c>
      <c r="E380" s="16" t="s">
        <v>1854</v>
      </c>
      <c r="F380" s="14" t="s">
        <v>2702</v>
      </c>
      <c r="G380" s="17"/>
      <c r="H380" s="17"/>
      <c r="K380" s="136"/>
      <c r="L380" s="137">
        <f t="shared" ref="L380:AE380" si="156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37">
        <f t="shared" si="156"/>
        <v>0</v>
      </c>
      <c r="N380" s="137">
        <f t="shared" si="156"/>
        <v>0</v>
      </c>
      <c r="O380" s="137">
        <f t="shared" si="156"/>
        <v>0</v>
      </c>
      <c r="P380" s="137">
        <f t="shared" si="156"/>
        <v>0</v>
      </c>
      <c r="Q380" s="137">
        <f t="shared" si="156"/>
        <v>0</v>
      </c>
      <c r="R380" s="137">
        <f t="shared" si="156"/>
        <v>0</v>
      </c>
      <c r="S380" s="137">
        <f t="shared" si="156"/>
        <v>0</v>
      </c>
      <c r="T380" s="137">
        <f t="shared" si="156"/>
        <v>0</v>
      </c>
      <c r="U380" s="137">
        <f t="shared" si="156"/>
        <v>0</v>
      </c>
      <c r="V380" s="137">
        <f t="shared" si="156"/>
        <v>0</v>
      </c>
      <c r="W380" s="137">
        <f t="shared" si="156"/>
        <v>0</v>
      </c>
      <c r="X380" s="137">
        <f t="shared" si="156"/>
        <v>0</v>
      </c>
      <c r="Y380" s="137">
        <f t="shared" si="156"/>
        <v>0</v>
      </c>
      <c r="Z380" s="137">
        <f t="shared" si="156"/>
        <v>0</v>
      </c>
      <c r="AA380" s="137">
        <f t="shared" si="156"/>
        <v>0</v>
      </c>
      <c r="AB380" s="137">
        <f t="shared" si="156"/>
        <v>0</v>
      </c>
      <c r="AC380" s="137">
        <f t="shared" si="156"/>
        <v>0</v>
      </c>
      <c r="AD380" s="137">
        <f t="shared" si="156"/>
        <v>0</v>
      </c>
      <c r="AE380" s="137">
        <f t="shared" si="156"/>
        <v>0</v>
      </c>
      <c r="AF380" s="138"/>
      <c r="AG380" s="138"/>
      <c r="AH380" s="138"/>
      <c r="AI380" s="138"/>
    </row>
    <row r="381" spans="2:35" customFormat="1" ht="14.25" x14ac:dyDescent="0.45">
      <c r="B381" s="14" t="s">
        <v>2794</v>
      </c>
      <c r="C381" s="14" t="s">
        <v>2675</v>
      </c>
      <c r="D381" s="15" t="s">
        <v>2795</v>
      </c>
      <c r="E381" s="16" t="s">
        <v>2705</v>
      </c>
      <c r="F381" s="14" t="s">
        <v>2706</v>
      </c>
      <c r="G381" s="17"/>
      <c r="H381" s="17"/>
      <c r="K381" s="136"/>
      <c r="L381" s="139">
        <f t="shared" ref="L381:AE381" si="157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39">
        <f t="shared" si="157"/>
        <v>0</v>
      </c>
      <c r="N381" s="139">
        <f t="shared" si="157"/>
        <v>0</v>
      </c>
      <c r="O381" s="139">
        <f t="shared" si="157"/>
        <v>0</v>
      </c>
      <c r="P381" s="139">
        <f t="shared" si="157"/>
        <v>0</v>
      </c>
      <c r="Q381" s="139">
        <f t="shared" si="157"/>
        <v>0</v>
      </c>
      <c r="R381" s="139">
        <f t="shared" si="157"/>
        <v>0</v>
      </c>
      <c r="S381" s="139">
        <f t="shared" si="157"/>
        <v>0</v>
      </c>
      <c r="T381" s="139">
        <f t="shared" si="157"/>
        <v>0</v>
      </c>
      <c r="U381" s="139">
        <f t="shared" si="157"/>
        <v>0</v>
      </c>
      <c r="V381" s="139">
        <f t="shared" si="157"/>
        <v>0</v>
      </c>
      <c r="W381" s="139">
        <f t="shared" si="157"/>
        <v>0</v>
      </c>
      <c r="X381" s="139">
        <f t="shared" si="157"/>
        <v>0</v>
      </c>
      <c r="Y381" s="139">
        <f t="shared" si="157"/>
        <v>0</v>
      </c>
      <c r="Z381" s="139">
        <f t="shared" si="157"/>
        <v>0</v>
      </c>
      <c r="AA381" s="139">
        <f t="shared" si="157"/>
        <v>0</v>
      </c>
      <c r="AB381" s="139">
        <f t="shared" si="157"/>
        <v>0</v>
      </c>
      <c r="AC381" s="139">
        <f t="shared" si="157"/>
        <v>0</v>
      </c>
      <c r="AD381" s="139">
        <f t="shared" si="157"/>
        <v>0</v>
      </c>
      <c r="AE381" s="139">
        <f t="shared" si="157"/>
        <v>0</v>
      </c>
      <c r="AF381" s="138"/>
      <c r="AG381" s="138"/>
      <c r="AH381" s="138"/>
      <c r="AI381" s="138"/>
    </row>
    <row r="382" spans="2:35" customFormat="1" ht="14.25" x14ac:dyDescent="0.45">
      <c r="B382" s="14" t="s">
        <v>2796</v>
      </c>
      <c r="C382" s="14" t="s">
        <v>2675</v>
      </c>
      <c r="D382" s="15" t="s">
        <v>2797</v>
      </c>
      <c r="E382" s="16" t="s">
        <v>1398</v>
      </c>
      <c r="F382" s="14" t="s">
        <v>2709</v>
      </c>
      <c r="G382" s="17"/>
      <c r="H382" s="17"/>
      <c r="K382" s="136"/>
      <c r="L382" s="137">
        <f t="shared" ref="L382:AE382" si="158">IF(L$329&lt;=0,0,IF(L$381&lt;=0,L$378,MIN($F$5,IF(L$378-(L$380-L$329)/L$381&lt;=0,L$378/2,L$378-(L$380-L$329)/L$381))))</f>
        <v>0</v>
      </c>
      <c r="M382" s="137">
        <f t="shared" si="158"/>
        <v>0</v>
      </c>
      <c r="N382" s="137">
        <f t="shared" si="158"/>
        <v>0</v>
      </c>
      <c r="O382" s="137">
        <f t="shared" si="158"/>
        <v>0</v>
      </c>
      <c r="P382" s="137">
        <f t="shared" si="158"/>
        <v>0</v>
      </c>
      <c r="Q382" s="137">
        <f t="shared" si="158"/>
        <v>0</v>
      </c>
      <c r="R382" s="137">
        <f t="shared" si="158"/>
        <v>0</v>
      </c>
      <c r="S382" s="137">
        <f t="shared" si="158"/>
        <v>0</v>
      </c>
      <c r="T382" s="137">
        <f t="shared" si="158"/>
        <v>0</v>
      </c>
      <c r="U382" s="137">
        <f t="shared" si="158"/>
        <v>0</v>
      </c>
      <c r="V382" s="137">
        <f t="shared" si="158"/>
        <v>0</v>
      </c>
      <c r="W382" s="137">
        <f t="shared" si="158"/>
        <v>0</v>
      </c>
      <c r="X382" s="137">
        <f t="shared" si="158"/>
        <v>0</v>
      </c>
      <c r="Y382" s="137">
        <f t="shared" si="158"/>
        <v>0</v>
      </c>
      <c r="Z382" s="137">
        <f t="shared" si="158"/>
        <v>0</v>
      </c>
      <c r="AA382" s="137">
        <f t="shared" si="158"/>
        <v>0</v>
      </c>
      <c r="AB382" s="137">
        <f t="shared" si="158"/>
        <v>0</v>
      </c>
      <c r="AC382" s="137">
        <f t="shared" si="158"/>
        <v>0</v>
      </c>
      <c r="AD382" s="137">
        <f t="shared" si="158"/>
        <v>0</v>
      </c>
      <c r="AE382" s="137">
        <f t="shared" si="158"/>
        <v>0</v>
      </c>
      <c r="AF382" s="138"/>
      <c r="AG382" s="138"/>
      <c r="AH382" s="138"/>
      <c r="AI382" s="138"/>
    </row>
    <row r="383" spans="2:35" customFormat="1" ht="14.25" x14ac:dyDescent="0.45">
      <c r="B383" s="14" t="s">
        <v>2798</v>
      </c>
      <c r="C383" s="14" t="s">
        <v>2675</v>
      </c>
      <c r="D383" s="15" t="s">
        <v>2799</v>
      </c>
      <c r="E383" s="16" t="s">
        <v>2068</v>
      </c>
      <c r="F383" s="14" t="s">
        <v>2699</v>
      </c>
      <c r="G383" s="17"/>
      <c r="H383" s="17"/>
      <c r="K383" s="136"/>
      <c r="L383" s="139">
        <f t="shared" ref="L383:AE383" si="159">SUMPRODUCT(L$252:L$259*(1-EXP(-L$262:L$269*L$382)))+SUMPRODUCT(L$308:L$323*(1-EXP(-L$272:L$287*L$382)))</f>
        <v>0</v>
      </c>
      <c r="M383" s="139">
        <f t="shared" si="159"/>
        <v>0</v>
      </c>
      <c r="N383" s="139">
        <f t="shared" si="159"/>
        <v>0</v>
      </c>
      <c r="O383" s="139">
        <f t="shared" si="159"/>
        <v>0</v>
      </c>
      <c r="P383" s="139">
        <f t="shared" si="159"/>
        <v>0</v>
      </c>
      <c r="Q383" s="139">
        <f t="shared" si="159"/>
        <v>0</v>
      </c>
      <c r="R383" s="139">
        <f t="shared" si="159"/>
        <v>0</v>
      </c>
      <c r="S383" s="139">
        <f t="shared" si="159"/>
        <v>0</v>
      </c>
      <c r="T383" s="139">
        <f t="shared" si="159"/>
        <v>0</v>
      </c>
      <c r="U383" s="139">
        <f t="shared" si="159"/>
        <v>0</v>
      </c>
      <c r="V383" s="139">
        <f t="shared" si="159"/>
        <v>0</v>
      </c>
      <c r="W383" s="139">
        <f t="shared" si="159"/>
        <v>0</v>
      </c>
      <c r="X383" s="139">
        <f t="shared" si="159"/>
        <v>0</v>
      </c>
      <c r="Y383" s="139">
        <f t="shared" si="159"/>
        <v>0</v>
      </c>
      <c r="Z383" s="139">
        <f t="shared" si="159"/>
        <v>0</v>
      </c>
      <c r="AA383" s="139">
        <f t="shared" si="159"/>
        <v>0</v>
      </c>
      <c r="AB383" s="139">
        <f t="shared" si="159"/>
        <v>0</v>
      </c>
      <c r="AC383" s="139">
        <f t="shared" si="159"/>
        <v>0</v>
      </c>
      <c r="AD383" s="139">
        <f t="shared" si="159"/>
        <v>0</v>
      </c>
      <c r="AE383" s="139">
        <f t="shared" si="159"/>
        <v>0</v>
      </c>
      <c r="AF383" s="138"/>
      <c r="AG383" s="138"/>
      <c r="AH383" s="138"/>
      <c r="AI383" s="138"/>
    </row>
    <row r="384" spans="2:35" customFormat="1" ht="14.25" x14ac:dyDescent="0.45">
      <c r="B384" s="14" t="s">
        <v>2800</v>
      </c>
      <c r="C384" s="14" t="s">
        <v>2675</v>
      </c>
      <c r="D384" s="15" t="s">
        <v>2801</v>
      </c>
      <c r="E384" s="16" t="s">
        <v>1854</v>
      </c>
      <c r="F384" s="14" t="s">
        <v>2702</v>
      </c>
      <c r="G384" s="17"/>
      <c r="H384" s="17"/>
      <c r="K384" s="136"/>
      <c r="L384" s="137">
        <f t="shared" ref="L384:AE384" si="160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37">
        <f t="shared" si="160"/>
        <v>0</v>
      </c>
      <c r="N384" s="137">
        <f t="shared" si="160"/>
        <v>0</v>
      </c>
      <c r="O384" s="137">
        <f t="shared" si="160"/>
        <v>0</v>
      </c>
      <c r="P384" s="137">
        <f t="shared" si="160"/>
        <v>0</v>
      </c>
      <c r="Q384" s="137">
        <f t="shared" si="160"/>
        <v>0</v>
      </c>
      <c r="R384" s="137">
        <f t="shared" si="160"/>
        <v>0</v>
      </c>
      <c r="S384" s="137">
        <f t="shared" si="160"/>
        <v>0</v>
      </c>
      <c r="T384" s="137">
        <f t="shared" si="160"/>
        <v>0</v>
      </c>
      <c r="U384" s="137">
        <f t="shared" si="160"/>
        <v>0</v>
      </c>
      <c r="V384" s="137">
        <f t="shared" si="160"/>
        <v>0</v>
      </c>
      <c r="W384" s="137">
        <f t="shared" si="160"/>
        <v>0</v>
      </c>
      <c r="X384" s="137">
        <f t="shared" si="160"/>
        <v>0</v>
      </c>
      <c r="Y384" s="137">
        <f t="shared" si="160"/>
        <v>0</v>
      </c>
      <c r="Z384" s="137">
        <f t="shared" si="160"/>
        <v>0</v>
      </c>
      <c r="AA384" s="137">
        <f t="shared" si="160"/>
        <v>0</v>
      </c>
      <c r="AB384" s="137">
        <f t="shared" si="160"/>
        <v>0</v>
      </c>
      <c r="AC384" s="137">
        <f t="shared" si="160"/>
        <v>0</v>
      </c>
      <c r="AD384" s="137">
        <f t="shared" si="160"/>
        <v>0</v>
      </c>
      <c r="AE384" s="137">
        <f t="shared" si="160"/>
        <v>0</v>
      </c>
      <c r="AF384" s="138"/>
      <c r="AG384" s="138"/>
      <c r="AH384" s="138"/>
      <c r="AI384" s="138"/>
    </row>
    <row r="385" spans="1:35" customFormat="1" ht="14.25" x14ac:dyDescent="0.45">
      <c r="B385" s="14" t="s">
        <v>2802</v>
      </c>
      <c r="C385" s="14" t="s">
        <v>2675</v>
      </c>
      <c r="D385" s="15" t="s">
        <v>2803</v>
      </c>
      <c r="E385" s="16" t="s">
        <v>2705</v>
      </c>
      <c r="F385" s="14" t="s">
        <v>2706</v>
      </c>
      <c r="G385" s="17"/>
      <c r="H385" s="17"/>
      <c r="K385" s="136"/>
      <c r="L385" s="139">
        <f t="shared" ref="L385:AE385" si="161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39">
        <f t="shared" si="161"/>
        <v>0</v>
      </c>
      <c r="N385" s="139">
        <f t="shared" si="161"/>
        <v>0</v>
      </c>
      <c r="O385" s="139">
        <f t="shared" si="161"/>
        <v>0</v>
      </c>
      <c r="P385" s="139">
        <f t="shared" si="161"/>
        <v>0</v>
      </c>
      <c r="Q385" s="139">
        <f t="shared" si="161"/>
        <v>0</v>
      </c>
      <c r="R385" s="139">
        <f t="shared" si="161"/>
        <v>0</v>
      </c>
      <c r="S385" s="139">
        <f t="shared" si="161"/>
        <v>0</v>
      </c>
      <c r="T385" s="139">
        <f t="shared" si="161"/>
        <v>0</v>
      </c>
      <c r="U385" s="139">
        <f t="shared" si="161"/>
        <v>0</v>
      </c>
      <c r="V385" s="139">
        <f t="shared" si="161"/>
        <v>0</v>
      </c>
      <c r="W385" s="139">
        <f t="shared" si="161"/>
        <v>0</v>
      </c>
      <c r="X385" s="139">
        <f t="shared" si="161"/>
        <v>0</v>
      </c>
      <c r="Y385" s="139">
        <f t="shared" si="161"/>
        <v>0</v>
      </c>
      <c r="Z385" s="139">
        <f t="shared" si="161"/>
        <v>0</v>
      </c>
      <c r="AA385" s="139">
        <f t="shared" si="161"/>
        <v>0</v>
      </c>
      <c r="AB385" s="139">
        <f t="shared" si="161"/>
        <v>0</v>
      </c>
      <c r="AC385" s="139">
        <f t="shared" si="161"/>
        <v>0</v>
      </c>
      <c r="AD385" s="139">
        <f t="shared" si="161"/>
        <v>0</v>
      </c>
      <c r="AE385" s="139">
        <f t="shared" si="161"/>
        <v>0</v>
      </c>
      <c r="AF385" s="138"/>
      <c r="AG385" s="138"/>
      <c r="AH385" s="138"/>
      <c r="AI385" s="138"/>
    </row>
    <row r="386" spans="1:35" customFormat="1" ht="14.25" x14ac:dyDescent="0.45">
      <c r="B386" s="14" t="s">
        <v>2804</v>
      </c>
      <c r="C386" s="14" t="s">
        <v>2675</v>
      </c>
      <c r="D386" s="15" t="s">
        <v>2805</v>
      </c>
      <c r="E386" s="16" t="s">
        <v>1398</v>
      </c>
      <c r="F386" s="14" t="s">
        <v>2709</v>
      </c>
      <c r="G386" s="17"/>
      <c r="H386" s="17"/>
      <c r="K386" s="136"/>
      <c r="L386" s="137">
        <f t="shared" ref="L386:AE386" si="162">IF(L$329&lt;=0,0,IF(L$385&lt;=0,L$382,MIN($F$5,IF(L$382-(L$384-L$329)/L$385&lt;=0,L$382/2,L$382-(L$384-L$329)/L$385))))</f>
        <v>0</v>
      </c>
      <c r="M386" s="137">
        <f t="shared" si="162"/>
        <v>0</v>
      </c>
      <c r="N386" s="137">
        <f t="shared" si="162"/>
        <v>0</v>
      </c>
      <c r="O386" s="137">
        <f t="shared" si="162"/>
        <v>0</v>
      </c>
      <c r="P386" s="137">
        <f t="shared" si="162"/>
        <v>0</v>
      </c>
      <c r="Q386" s="137">
        <f t="shared" si="162"/>
        <v>0</v>
      </c>
      <c r="R386" s="137">
        <f t="shared" si="162"/>
        <v>0</v>
      </c>
      <c r="S386" s="137">
        <f t="shared" si="162"/>
        <v>0</v>
      </c>
      <c r="T386" s="137">
        <f t="shared" si="162"/>
        <v>0</v>
      </c>
      <c r="U386" s="137">
        <f t="shared" si="162"/>
        <v>0</v>
      </c>
      <c r="V386" s="137">
        <f t="shared" si="162"/>
        <v>0</v>
      </c>
      <c r="W386" s="137">
        <f t="shared" si="162"/>
        <v>0</v>
      </c>
      <c r="X386" s="137">
        <f t="shared" si="162"/>
        <v>0</v>
      </c>
      <c r="Y386" s="137">
        <f t="shared" si="162"/>
        <v>0</v>
      </c>
      <c r="Z386" s="137">
        <f t="shared" si="162"/>
        <v>0</v>
      </c>
      <c r="AA386" s="137">
        <f t="shared" si="162"/>
        <v>0</v>
      </c>
      <c r="AB386" s="137">
        <f t="shared" si="162"/>
        <v>0</v>
      </c>
      <c r="AC386" s="137">
        <f t="shared" si="162"/>
        <v>0</v>
      </c>
      <c r="AD386" s="137">
        <f t="shared" si="162"/>
        <v>0</v>
      </c>
      <c r="AE386" s="137">
        <f t="shared" si="162"/>
        <v>0</v>
      </c>
      <c r="AF386" s="138"/>
      <c r="AG386" s="138"/>
      <c r="AH386" s="138"/>
      <c r="AI386" s="138"/>
    </row>
    <row r="387" spans="1:35" customFormat="1" ht="14.25" x14ac:dyDescent="0.45">
      <c r="B387" s="14" t="s">
        <v>2806</v>
      </c>
      <c r="C387" s="14" t="s">
        <v>2675</v>
      </c>
      <c r="D387" s="15" t="s">
        <v>2807</v>
      </c>
      <c r="E387" s="16" t="s">
        <v>2068</v>
      </c>
      <c r="F387" s="14" t="s">
        <v>2699</v>
      </c>
      <c r="G387" s="17"/>
      <c r="H387" s="17"/>
      <c r="K387" s="136"/>
      <c r="L387" s="139">
        <f t="shared" ref="L387:AE387" si="163">SUMPRODUCT(L$252:L$259*(1-EXP(-L$262:L$269*L$386)))+SUMPRODUCT(L$308:L$323*(1-EXP(-L$272:L$287*L$386)))</f>
        <v>0</v>
      </c>
      <c r="M387" s="139">
        <f t="shared" si="163"/>
        <v>0</v>
      </c>
      <c r="N387" s="139">
        <f t="shared" si="163"/>
        <v>0</v>
      </c>
      <c r="O387" s="139">
        <f t="shared" si="163"/>
        <v>0</v>
      </c>
      <c r="P387" s="139">
        <f t="shared" si="163"/>
        <v>0</v>
      </c>
      <c r="Q387" s="139">
        <f t="shared" si="163"/>
        <v>0</v>
      </c>
      <c r="R387" s="139">
        <f t="shared" si="163"/>
        <v>0</v>
      </c>
      <c r="S387" s="139">
        <f t="shared" si="163"/>
        <v>0</v>
      </c>
      <c r="T387" s="139">
        <f t="shared" si="163"/>
        <v>0</v>
      </c>
      <c r="U387" s="139">
        <f t="shared" si="163"/>
        <v>0</v>
      </c>
      <c r="V387" s="139">
        <f t="shared" si="163"/>
        <v>0</v>
      </c>
      <c r="W387" s="139">
        <f t="shared" si="163"/>
        <v>0</v>
      </c>
      <c r="X387" s="139">
        <f t="shared" si="163"/>
        <v>0</v>
      </c>
      <c r="Y387" s="139">
        <f t="shared" si="163"/>
        <v>0</v>
      </c>
      <c r="Z387" s="139">
        <f t="shared" si="163"/>
        <v>0</v>
      </c>
      <c r="AA387" s="139">
        <f t="shared" si="163"/>
        <v>0</v>
      </c>
      <c r="AB387" s="139">
        <f t="shared" si="163"/>
        <v>0</v>
      </c>
      <c r="AC387" s="139">
        <f t="shared" si="163"/>
        <v>0</v>
      </c>
      <c r="AD387" s="139">
        <f t="shared" si="163"/>
        <v>0</v>
      </c>
      <c r="AE387" s="139">
        <f t="shared" si="163"/>
        <v>0</v>
      </c>
      <c r="AF387" s="138"/>
      <c r="AG387" s="138"/>
      <c r="AH387" s="138"/>
      <c r="AI387" s="138"/>
    </row>
    <row r="388" spans="1:35" customFormat="1" ht="14.25" x14ac:dyDescent="0.45">
      <c r="B388" s="14" t="s">
        <v>2808</v>
      </c>
      <c r="C388" s="14" t="s">
        <v>2675</v>
      </c>
      <c r="D388" s="15" t="s">
        <v>2809</v>
      </c>
      <c r="E388" s="16" t="s">
        <v>1854</v>
      </c>
      <c r="F388" s="14" t="s">
        <v>2702</v>
      </c>
      <c r="G388" s="17"/>
      <c r="H388" s="17"/>
      <c r="K388" s="136"/>
      <c r="L388" s="137">
        <f t="shared" ref="L388:AE388" si="164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37">
        <f t="shared" si="164"/>
        <v>0</v>
      </c>
      <c r="N388" s="137">
        <f t="shared" si="164"/>
        <v>0</v>
      </c>
      <c r="O388" s="137">
        <f t="shared" si="164"/>
        <v>0</v>
      </c>
      <c r="P388" s="137">
        <f t="shared" si="164"/>
        <v>0</v>
      </c>
      <c r="Q388" s="137">
        <f t="shared" si="164"/>
        <v>0</v>
      </c>
      <c r="R388" s="137">
        <f t="shared" si="164"/>
        <v>0</v>
      </c>
      <c r="S388" s="137">
        <f t="shared" si="164"/>
        <v>0</v>
      </c>
      <c r="T388" s="137">
        <f t="shared" si="164"/>
        <v>0</v>
      </c>
      <c r="U388" s="137">
        <f t="shared" si="164"/>
        <v>0</v>
      </c>
      <c r="V388" s="137">
        <f t="shared" si="164"/>
        <v>0</v>
      </c>
      <c r="W388" s="137">
        <f t="shared" si="164"/>
        <v>0</v>
      </c>
      <c r="X388" s="137">
        <f t="shared" si="164"/>
        <v>0</v>
      </c>
      <c r="Y388" s="137">
        <f t="shared" si="164"/>
        <v>0</v>
      </c>
      <c r="Z388" s="137">
        <f t="shared" si="164"/>
        <v>0</v>
      </c>
      <c r="AA388" s="137">
        <f t="shared" si="164"/>
        <v>0</v>
      </c>
      <c r="AB388" s="137">
        <f t="shared" si="164"/>
        <v>0</v>
      </c>
      <c r="AC388" s="137">
        <f t="shared" si="164"/>
        <v>0</v>
      </c>
      <c r="AD388" s="137">
        <f t="shared" si="164"/>
        <v>0</v>
      </c>
      <c r="AE388" s="137">
        <f t="shared" si="164"/>
        <v>0</v>
      </c>
      <c r="AF388" s="138"/>
      <c r="AG388" s="138"/>
      <c r="AH388" s="138"/>
      <c r="AI388" s="138"/>
    </row>
    <row r="389" spans="1:35" customFormat="1" ht="14.25" x14ac:dyDescent="0.45">
      <c r="B389" s="14" t="s">
        <v>2810</v>
      </c>
      <c r="C389" s="14" t="s">
        <v>2675</v>
      </c>
      <c r="D389" s="15" t="s">
        <v>2811</v>
      </c>
      <c r="E389" s="16" t="s">
        <v>2705</v>
      </c>
      <c r="F389" s="14" t="s">
        <v>2706</v>
      </c>
      <c r="G389" s="17"/>
      <c r="H389" s="17"/>
      <c r="K389" s="136"/>
      <c r="L389" s="139">
        <f t="shared" ref="L389:AE389" si="165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39">
        <f t="shared" si="165"/>
        <v>0</v>
      </c>
      <c r="N389" s="139">
        <f t="shared" si="165"/>
        <v>0</v>
      </c>
      <c r="O389" s="139">
        <f t="shared" si="165"/>
        <v>0</v>
      </c>
      <c r="P389" s="139">
        <f t="shared" si="165"/>
        <v>0</v>
      </c>
      <c r="Q389" s="139">
        <f t="shared" si="165"/>
        <v>0</v>
      </c>
      <c r="R389" s="139">
        <f t="shared" si="165"/>
        <v>0</v>
      </c>
      <c r="S389" s="139">
        <f t="shared" si="165"/>
        <v>0</v>
      </c>
      <c r="T389" s="139">
        <f t="shared" si="165"/>
        <v>0</v>
      </c>
      <c r="U389" s="139">
        <f t="shared" si="165"/>
        <v>0</v>
      </c>
      <c r="V389" s="139">
        <f t="shared" si="165"/>
        <v>0</v>
      </c>
      <c r="W389" s="139">
        <f t="shared" si="165"/>
        <v>0</v>
      </c>
      <c r="X389" s="139">
        <f t="shared" si="165"/>
        <v>0</v>
      </c>
      <c r="Y389" s="139">
        <f t="shared" si="165"/>
        <v>0</v>
      </c>
      <c r="Z389" s="139">
        <f t="shared" si="165"/>
        <v>0</v>
      </c>
      <c r="AA389" s="139">
        <f t="shared" si="165"/>
        <v>0</v>
      </c>
      <c r="AB389" s="139">
        <f t="shared" si="165"/>
        <v>0</v>
      </c>
      <c r="AC389" s="139">
        <f t="shared" si="165"/>
        <v>0</v>
      </c>
      <c r="AD389" s="139">
        <f t="shared" si="165"/>
        <v>0</v>
      </c>
      <c r="AE389" s="139">
        <f t="shared" si="165"/>
        <v>0</v>
      </c>
      <c r="AF389" s="138"/>
      <c r="AG389" s="138"/>
      <c r="AH389" s="138"/>
      <c r="AI389" s="138"/>
    </row>
    <row r="390" spans="1:35" customFormat="1" ht="14.25" x14ac:dyDescent="0.45">
      <c r="B390" s="14" t="s">
        <v>2812</v>
      </c>
      <c r="C390" s="14" t="s">
        <v>2675</v>
      </c>
      <c r="D390" s="15" t="s">
        <v>2813</v>
      </c>
      <c r="E390" s="16" t="s">
        <v>1398</v>
      </c>
      <c r="F390" s="14" t="s">
        <v>2709</v>
      </c>
      <c r="G390" s="17"/>
      <c r="H390" s="17"/>
      <c r="K390" s="136"/>
      <c r="L390" s="137">
        <f t="shared" ref="L390:AE390" si="166">IF(L$329&lt;=0,0,IF(L$389&lt;=0,L$386,MIN($F$5,IF(L$386-(L$388-L$329)/L$389&lt;=0,L$386/2,L$386-(L$388-L$329)/L$389))))</f>
        <v>0</v>
      </c>
      <c r="M390" s="137">
        <f t="shared" si="166"/>
        <v>0</v>
      </c>
      <c r="N390" s="137">
        <f t="shared" si="166"/>
        <v>0</v>
      </c>
      <c r="O390" s="137">
        <f t="shared" si="166"/>
        <v>0</v>
      </c>
      <c r="P390" s="137">
        <f t="shared" si="166"/>
        <v>0</v>
      </c>
      <c r="Q390" s="137">
        <f t="shared" si="166"/>
        <v>0</v>
      </c>
      <c r="R390" s="137">
        <f t="shared" si="166"/>
        <v>0</v>
      </c>
      <c r="S390" s="137">
        <f t="shared" si="166"/>
        <v>0</v>
      </c>
      <c r="T390" s="137">
        <f t="shared" si="166"/>
        <v>0</v>
      </c>
      <c r="U390" s="137">
        <f t="shared" si="166"/>
        <v>0</v>
      </c>
      <c r="V390" s="137">
        <f t="shared" si="166"/>
        <v>0</v>
      </c>
      <c r="W390" s="137">
        <f t="shared" si="166"/>
        <v>0</v>
      </c>
      <c r="X390" s="137">
        <f t="shared" si="166"/>
        <v>0</v>
      </c>
      <c r="Y390" s="137">
        <f t="shared" si="166"/>
        <v>0</v>
      </c>
      <c r="Z390" s="137">
        <f t="shared" si="166"/>
        <v>0</v>
      </c>
      <c r="AA390" s="137">
        <f t="shared" si="166"/>
        <v>0</v>
      </c>
      <c r="AB390" s="137">
        <f t="shared" si="166"/>
        <v>0</v>
      </c>
      <c r="AC390" s="137">
        <f t="shared" si="166"/>
        <v>0</v>
      </c>
      <c r="AD390" s="137">
        <f t="shared" si="166"/>
        <v>0</v>
      </c>
      <c r="AE390" s="137">
        <f t="shared" si="166"/>
        <v>0</v>
      </c>
      <c r="AF390" s="138"/>
      <c r="AG390" s="138"/>
      <c r="AH390" s="138"/>
      <c r="AI390" s="138"/>
    </row>
    <row r="391" spans="1:35" customFormat="1" ht="14.25" x14ac:dyDescent="0.45">
      <c r="B391" s="14" t="s">
        <v>2814</v>
      </c>
      <c r="C391" s="14" t="s">
        <v>2675</v>
      </c>
      <c r="D391" s="15" t="s">
        <v>2815</v>
      </c>
      <c r="E391" s="16" t="s">
        <v>2068</v>
      </c>
      <c r="F391" s="14" t="s">
        <v>2699</v>
      </c>
      <c r="G391" s="17"/>
      <c r="H391" s="17"/>
      <c r="K391" s="136"/>
      <c r="L391" s="139">
        <f t="shared" ref="L391:AE391" si="167">SUMPRODUCT(L$252:L$259*(1-EXP(-L$262:L$269*L$390)))+SUMPRODUCT(L$308:L$323*(1-EXP(-L$272:L$287*L$390)))</f>
        <v>0</v>
      </c>
      <c r="M391" s="139">
        <f t="shared" si="167"/>
        <v>0</v>
      </c>
      <c r="N391" s="139">
        <f t="shared" si="167"/>
        <v>0</v>
      </c>
      <c r="O391" s="139">
        <f t="shared" si="167"/>
        <v>0</v>
      </c>
      <c r="P391" s="139">
        <f t="shared" si="167"/>
        <v>0</v>
      </c>
      <c r="Q391" s="139">
        <f t="shared" si="167"/>
        <v>0</v>
      </c>
      <c r="R391" s="139">
        <f t="shared" si="167"/>
        <v>0</v>
      </c>
      <c r="S391" s="139">
        <f t="shared" si="167"/>
        <v>0</v>
      </c>
      <c r="T391" s="139">
        <f t="shared" si="167"/>
        <v>0</v>
      </c>
      <c r="U391" s="139">
        <f t="shared" si="167"/>
        <v>0</v>
      </c>
      <c r="V391" s="139">
        <f t="shared" si="167"/>
        <v>0</v>
      </c>
      <c r="W391" s="139">
        <f t="shared" si="167"/>
        <v>0</v>
      </c>
      <c r="X391" s="139">
        <f t="shared" si="167"/>
        <v>0</v>
      </c>
      <c r="Y391" s="139">
        <f t="shared" si="167"/>
        <v>0</v>
      </c>
      <c r="Z391" s="139">
        <f t="shared" si="167"/>
        <v>0</v>
      </c>
      <c r="AA391" s="139">
        <f t="shared" si="167"/>
        <v>0</v>
      </c>
      <c r="AB391" s="139">
        <f t="shared" si="167"/>
        <v>0</v>
      </c>
      <c r="AC391" s="139">
        <f t="shared" si="167"/>
        <v>0</v>
      </c>
      <c r="AD391" s="139">
        <f t="shared" si="167"/>
        <v>0</v>
      </c>
      <c r="AE391" s="139">
        <f t="shared" si="167"/>
        <v>0</v>
      </c>
      <c r="AF391" s="138"/>
      <c r="AG391" s="138"/>
      <c r="AH391" s="138"/>
      <c r="AI391" s="138"/>
    </row>
    <row r="392" spans="1:35" customFormat="1" ht="14.25" x14ac:dyDescent="0.45">
      <c r="B392" s="14" t="s">
        <v>2816</v>
      </c>
      <c r="C392" s="14" t="s">
        <v>2675</v>
      </c>
      <c r="D392" s="15" t="s">
        <v>2817</v>
      </c>
      <c r="E392" s="16" t="s">
        <v>1854</v>
      </c>
      <c r="F392" s="14" t="s">
        <v>2702</v>
      </c>
      <c r="G392" s="17"/>
      <c r="H392" s="17"/>
      <c r="K392" s="136"/>
      <c r="L392" s="137">
        <f t="shared" ref="L392:AE392" si="168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37">
        <f t="shared" si="168"/>
        <v>0</v>
      </c>
      <c r="N392" s="137">
        <f t="shared" si="168"/>
        <v>0</v>
      </c>
      <c r="O392" s="137">
        <f t="shared" si="168"/>
        <v>0</v>
      </c>
      <c r="P392" s="137">
        <f t="shared" si="168"/>
        <v>0</v>
      </c>
      <c r="Q392" s="137">
        <f t="shared" si="168"/>
        <v>0</v>
      </c>
      <c r="R392" s="137">
        <f t="shared" si="168"/>
        <v>0</v>
      </c>
      <c r="S392" s="137">
        <f t="shared" si="168"/>
        <v>0</v>
      </c>
      <c r="T392" s="137">
        <f t="shared" si="168"/>
        <v>0</v>
      </c>
      <c r="U392" s="137">
        <f t="shared" si="168"/>
        <v>0</v>
      </c>
      <c r="V392" s="137">
        <f t="shared" si="168"/>
        <v>0</v>
      </c>
      <c r="W392" s="137">
        <f t="shared" si="168"/>
        <v>0</v>
      </c>
      <c r="X392" s="137">
        <f t="shared" si="168"/>
        <v>0</v>
      </c>
      <c r="Y392" s="137">
        <f t="shared" si="168"/>
        <v>0</v>
      </c>
      <c r="Z392" s="137">
        <f t="shared" si="168"/>
        <v>0</v>
      </c>
      <c r="AA392" s="137">
        <f t="shared" si="168"/>
        <v>0</v>
      </c>
      <c r="AB392" s="137">
        <f t="shared" si="168"/>
        <v>0</v>
      </c>
      <c r="AC392" s="137">
        <f t="shared" si="168"/>
        <v>0</v>
      </c>
      <c r="AD392" s="137">
        <f t="shared" si="168"/>
        <v>0</v>
      </c>
      <c r="AE392" s="137">
        <f t="shared" si="168"/>
        <v>0</v>
      </c>
      <c r="AF392" s="138"/>
      <c r="AG392" s="138"/>
      <c r="AH392" s="138"/>
      <c r="AI392" s="138"/>
    </row>
    <row r="393" spans="1:35" customFormat="1" ht="14.25" x14ac:dyDescent="0.45">
      <c r="B393" s="14" t="s">
        <v>2818</v>
      </c>
      <c r="C393" s="14" t="s">
        <v>2675</v>
      </c>
      <c r="D393" s="15" t="s">
        <v>2819</v>
      </c>
      <c r="E393" s="16" t="s">
        <v>2705</v>
      </c>
      <c r="F393" s="14" t="s">
        <v>2706</v>
      </c>
      <c r="G393" s="17"/>
      <c r="H393" s="17"/>
      <c r="K393" s="136"/>
      <c r="L393" s="139">
        <f t="shared" ref="L393:AE393" si="169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39">
        <f t="shared" si="169"/>
        <v>0</v>
      </c>
      <c r="N393" s="139">
        <f t="shared" si="169"/>
        <v>0</v>
      </c>
      <c r="O393" s="139">
        <f t="shared" si="169"/>
        <v>0</v>
      </c>
      <c r="P393" s="139">
        <f t="shared" si="169"/>
        <v>0</v>
      </c>
      <c r="Q393" s="139">
        <f t="shared" si="169"/>
        <v>0</v>
      </c>
      <c r="R393" s="139">
        <f t="shared" si="169"/>
        <v>0</v>
      </c>
      <c r="S393" s="139">
        <f t="shared" si="169"/>
        <v>0</v>
      </c>
      <c r="T393" s="139">
        <f t="shared" si="169"/>
        <v>0</v>
      </c>
      <c r="U393" s="139">
        <f t="shared" si="169"/>
        <v>0</v>
      </c>
      <c r="V393" s="139">
        <f t="shared" si="169"/>
        <v>0</v>
      </c>
      <c r="W393" s="139">
        <f t="shared" si="169"/>
        <v>0</v>
      </c>
      <c r="X393" s="139">
        <f t="shared" si="169"/>
        <v>0</v>
      </c>
      <c r="Y393" s="139">
        <f t="shared" si="169"/>
        <v>0</v>
      </c>
      <c r="Z393" s="139">
        <f t="shared" si="169"/>
        <v>0</v>
      </c>
      <c r="AA393" s="139">
        <f t="shared" si="169"/>
        <v>0</v>
      </c>
      <c r="AB393" s="139">
        <f t="shared" si="169"/>
        <v>0</v>
      </c>
      <c r="AC393" s="139">
        <f t="shared" si="169"/>
        <v>0</v>
      </c>
      <c r="AD393" s="139">
        <f t="shared" si="169"/>
        <v>0</v>
      </c>
      <c r="AE393" s="139">
        <f t="shared" si="169"/>
        <v>0</v>
      </c>
      <c r="AF393" s="138"/>
      <c r="AG393" s="138"/>
      <c r="AH393" s="138"/>
      <c r="AI393" s="138"/>
    </row>
    <row r="394" spans="1:35" customFormat="1" ht="14.25" x14ac:dyDescent="0.45">
      <c r="B394" s="14" t="s">
        <v>2820</v>
      </c>
      <c r="C394" s="14" t="s">
        <v>2675</v>
      </c>
      <c r="D394" s="15" t="s">
        <v>2821</v>
      </c>
      <c r="E394" s="16" t="s">
        <v>1398</v>
      </c>
      <c r="F394" s="14" t="s">
        <v>2709</v>
      </c>
      <c r="G394" s="17"/>
      <c r="H394" s="17"/>
      <c r="K394" s="136"/>
      <c r="L394" s="137">
        <f t="shared" ref="L394:AE394" si="170">IF(L$329&lt;=0,0,IF(L$393&lt;=0,L$390,MIN($F$5,IF(L$390-(L$392-L$329)/L$393&lt;=0,L$390/2,L$390-(L$392-L$329)/L$393))))</f>
        <v>0</v>
      </c>
      <c r="M394" s="137">
        <f t="shared" si="170"/>
        <v>0</v>
      </c>
      <c r="N394" s="137">
        <f t="shared" si="170"/>
        <v>0</v>
      </c>
      <c r="O394" s="137">
        <f t="shared" si="170"/>
        <v>0</v>
      </c>
      <c r="P394" s="137">
        <f t="shared" si="170"/>
        <v>0</v>
      </c>
      <c r="Q394" s="137">
        <f t="shared" si="170"/>
        <v>0</v>
      </c>
      <c r="R394" s="137">
        <f t="shared" si="170"/>
        <v>0</v>
      </c>
      <c r="S394" s="137">
        <f t="shared" si="170"/>
        <v>0</v>
      </c>
      <c r="T394" s="137">
        <f t="shared" si="170"/>
        <v>0</v>
      </c>
      <c r="U394" s="137">
        <f t="shared" si="170"/>
        <v>0</v>
      </c>
      <c r="V394" s="137">
        <f t="shared" si="170"/>
        <v>0</v>
      </c>
      <c r="W394" s="137">
        <f t="shared" si="170"/>
        <v>0</v>
      </c>
      <c r="X394" s="137">
        <f t="shared" si="170"/>
        <v>0</v>
      </c>
      <c r="Y394" s="137">
        <f t="shared" si="170"/>
        <v>0</v>
      </c>
      <c r="Z394" s="137">
        <f t="shared" si="170"/>
        <v>0</v>
      </c>
      <c r="AA394" s="137">
        <f t="shared" si="170"/>
        <v>0</v>
      </c>
      <c r="AB394" s="137">
        <f t="shared" si="170"/>
        <v>0</v>
      </c>
      <c r="AC394" s="137">
        <f t="shared" si="170"/>
        <v>0</v>
      </c>
      <c r="AD394" s="137">
        <f t="shared" si="170"/>
        <v>0</v>
      </c>
      <c r="AE394" s="137">
        <f t="shared" si="170"/>
        <v>0</v>
      </c>
      <c r="AF394" s="138"/>
      <c r="AG394" s="138"/>
      <c r="AH394" s="138"/>
      <c r="AI394" s="138"/>
    </row>
    <row r="395" spans="1:35" x14ac:dyDescent="0.35"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2"/>
      <c r="AI395" s="132"/>
    </row>
    <row r="396" spans="1:35" customFormat="1" ht="14.25" x14ac:dyDescent="0.45">
      <c r="A396" s="11"/>
      <c r="B396" s="6"/>
      <c r="C396" s="7" t="s">
        <v>2822</v>
      </c>
      <c r="D396" s="6" t="s">
        <v>1488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34">
        <v>2021</v>
      </c>
      <c r="L396" s="135">
        <v>2022</v>
      </c>
      <c r="M396" s="134">
        <v>2023</v>
      </c>
      <c r="N396" s="134">
        <v>2024</v>
      </c>
      <c r="O396" s="134">
        <v>2025</v>
      </c>
      <c r="P396" s="134">
        <v>2026</v>
      </c>
      <c r="Q396" s="134">
        <v>2027</v>
      </c>
      <c r="R396" s="134">
        <v>2028</v>
      </c>
      <c r="S396" s="134">
        <v>2029</v>
      </c>
      <c r="T396" s="134">
        <v>2030</v>
      </c>
      <c r="U396" s="134">
        <v>2031</v>
      </c>
      <c r="V396" s="134">
        <v>2032</v>
      </c>
      <c r="W396" s="134">
        <v>2033</v>
      </c>
      <c r="X396" s="134">
        <v>2034</v>
      </c>
      <c r="Y396" s="134">
        <v>2035</v>
      </c>
      <c r="Z396" s="134">
        <v>2036</v>
      </c>
      <c r="AA396" s="134">
        <v>2037</v>
      </c>
      <c r="AB396" s="134">
        <v>2038</v>
      </c>
      <c r="AC396" s="134">
        <v>2039</v>
      </c>
      <c r="AD396" s="134">
        <v>2040</v>
      </c>
      <c r="AE396" s="134">
        <v>2041</v>
      </c>
      <c r="AF396" s="134">
        <v>2042</v>
      </c>
      <c r="AG396" s="134">
        <v>2043</v>
      </c>
      <c r="AH396" s="134">
        <v>2044</v>
      </c>
      <c r="AI396" s="134">
        <v>2045</v>
      </c>
    </row>
    <row r="397" spans="1:35" customFormat="1" ht="14.25" x14ac:dyDescent="0.45">
      <c r="B397" s="14" t="s">
        <v>1793</v>
      </c>
      <c r="C397" s="14" t="s">
        <v>2675</v>
      </c>
      <c r="D397" s="15" t="s">
        <v>2823</v>
      </c>
      <c r="E397" s="16" t="s">
        <v>1398</v>
      </c>
      <c r="F397" s="14" t="s">
        <v>1793</v>
      </c>
      <c r="G397" s="17"/>
      <c r="H397" s="125" t="str">
        <f>Settings!$B$3&amp;".mit.fundsp.cbam.tot.2"</f>
        <v>egy.mit.fundsp.cbam.tot.2</v>
      </c>
      <c r="I397" t="s">
        <v>2867</v>
      </c>
      <c r="K397" s="136"/>
      <c r="L397" s="137">
        <f t="shared" ref="L397:AE397" si="171">L$394</f>
        <v>0</v>
      </c>
      <c r="M397" s="137">
        <f t="shared" si="171"/>
        <v>0</v>
      </c>
      <c r="N397" s="137">
        <f t="shared" si="171"/>
        <v>0</v>
      </c>
      <c r="O397" s="137">
        <f t="shared" si="171"/>
        <v>0</v>
      </c>
      <c r="P397" s="137">
        <f t="shared" si="171"/>
        <v>0</v>
      </c>
      <c r="Q397" s="137">
        <f t="shared" si="171"/>
        <v>0</v>
      </c>
      <c r="R397" s="137">
        <f t="shared" si="171"/>
        <v>0</v>
      </c>
      <c r="S397" s="137">
        <f t="shared" si="171"/>
        <v>0</v>
      </c>
      <c r="T397" s="137">
        <f t="shared" si="171"/>
        <v>0</v>
      </c>
      <c r="U397" s="137">
        <f t="shared" si="171"/>
        <v>0</v>
      </c>
      <c r="V397" s="137">
        <f t="shared" si="171"/>
        <v>0</v>
      </c>
      <c r="W397" s="137">
        <f t="shared" si="171"/>
        <v>0</v>
      </c>
      <c r="X397" s="137">
        <f t="shared" si="171"/>
        <v>0</v>
      </c>
      <c r="Y397" s="137">
        <f t="shared" si="171"/>
        <v>0</v>
      </c>
      <c r="Z397" s="137">
        <f t="shared" si="171"/>
        <v>0</v>
      </c>
      <c r="AA397" s="137">
        <f t="shared" si="171"/>
        <v>0</v>
      </c>
      <c r="AB397" s="137">
        <f t="shared" si="171"/>
        <v>0</v>
      </c>
      <c r="AC397" s="137">
        <f t="shared" si="171"/>
        <v>0</v>
      </c>
      <c r="AD397" s="137">
        <f t="shared" si="171"/>
        <v>0</v>
      </c>
      <c r="AE397" s="137">
        <f t="shared" si="171"/>
        <v>0</v>
      </c>
      <c r="AF397" s="138"/>
      <c r="AG397" s="138"/>
      <c r="AH397" s="138"/>
      <c r="AI397" s="138"/>
    </row>
    <row r="398" spans="1:35" customFormat="1" ht="14.25" x14ac:dyDescent="0.45">
      <c r="B398" s="14" t="s">
        <v>2825</v>
      </c>
      <c r="C398" s="14" t="s">
        <v>2675</v>
      </c>
      <c r="D398" s="15" t="s">
        <v>2826</v>
      </c>
      <c r="E398" s="16" t="s">
        <v>2068</v>
      </c>
      <c r="F398" s="14" t="s">
        <v>2825</v>
      </c>
      <c r="G398" s="17"/>
      <c r="H398" s="125" t="str">
        <f>Settings!$B$3&amp;".mit.abat.cbam.tot.2"</f>
        <v>egy.mit.abat.cbam.tot.2</v>
      </c>
      <c r="I398" t="s">
        <v>2827</v>
      </c>
      <c r="K398" s="136"/>
      <c r="L398" s="139">
        <f t="shared" ref="L398:AE398" si="172">L399+L400</f>
        <v>0</v>
      </c>
      <c r="M398" s="139">
        <f t="shared" si="172"/>
        <v>0</v>
      </c>
      <c r="N398" s="139">
        <f t="shared" si="172"/>
        <v>0</v>
      </c>
      <c r="O398" s="139">
        <f t="shared" si="172"/>
        <v>0</v>
      </c>
      <c r="P398" s="139">
        <f t="shared" si="172"/>
        <v>0</v>
      </c>
      <c r="Q398" s="139">
        <f t="shared" si="172"/>
        <v>0</v>
      </c>
      <c r="R398" s="139">
        <f t="shared" si="172"/>
        <v>0</v>
      </c>
      <c r="S398" s="139">
        <f t="shared" si="172"/>
        <v>0</v>
      </c>
      <c r="T398" s="139">
        <f t="shared" si="172"/>
        <v>0</v>
      </c>
      <c r="U398" s="139">
        <f t="shared" si="172"/>
        <v>0</v>
      </c>
      <c r="V398" s="139">
        <f t="shared" si="172"/>
        <v>0</v>
      </c>
      <c r="W398" s="139">
        <f t="shared" si="172"/>
        <v>0</v>
      </c>
      <c r="X398" s="139">
        <f t="shared" si="172"/>
        <v>0</v>
      </c>
      <c r="Y398" s="139">
        <f t="shared" si="172"/>
        <v>0</v>
      </c>
      <c r="Z398" s="139">
        <f t="shared" si="172"/>
        <v>0</v>
      </c>
      <c r="AA398" s="139">
        <f t="shared" si="172"/>
        <v>0</v>
      </c>
      <c r="AB398" s="139">
        <f t="shared" si="172"/>
        <v>0</v>
      </c>
      <c r="AC398" s="139">
        <f t="shared" si="172"/>
        <v>0</v>
      </c>
      <c r="AD398" s="139">
        <f t="shared" si="172"/>
        <v>0</v>
      </c>
      <c r="AE398" s="139">
        <f t="shared" si="172"/>
        <v>0</v>
      </c>
      <c r="AF398" s="138"/>
      <c r="AG398" s="138"/>
      <c r="AH398" s="138"/>
      <c r="AI398" s="138"/>
    </row>
    <row r="399" spans="1:35" customFormat="1" ht="14.25" x14ac:dyDescent="0.45">
      <c r="B399" s="14" t="s">
        <v>2828</v>
      </c>
      <c r="C399" s="14" t="s">
        <v>2675</v>
      </c>
      <c r="D399" s="15" t="s">
        <v>2829</v>
      </c>
      <c r="E399" s="16" t="s">
        <v>2068</v>
      </c>
      <c r="F399" s="14" t="s">
        <v>2828</v>
      </c>
      <c r="G399" s="17"/>
      <c r="H399" s="125" t="str">
        <f>Settings!$B$3&amp;".mit.abatf.cbam.tot.2"</f>
        <v>egy.mit.abatf.cbam.tot.2</v>
      </c>
      <c r="I399" t="s">
        <v>2830</v>
      </c>
      <c r="K399" s="136"/>
      <c r="L399" s="139">
        <f t="shared" ref="L399:AE399" si="173">SUMPRODUCT(L$252:L$259*(1-EXP(-L$262:L$269*L$397)))</f>
        <v>0</v>
      </c>
      <c r="M399" s="139">
        <f t="shared" si="173"/>
        <v>0</v>
      </c>
      <c r="N399" s="139">
        <f t="shared" si="173"/>
        <v>0</v>
      </c>
      <c r="O399" s="139">
        <f t="shared" si="173"/>
        <v>0</v>
      </c>
      <c r="P399" s="139">
        <f t="shared" si="173"/>
        <v>0</v>
      </c>
      <c r="Q399" s="139">
        <f t="shared" si="173"/>
        <v>0</v>
      </c>
      <c r="R399" s="139">
        <f t="shared" si="173"/>
        <v>0</v>
      </c>
      <c r="S399" s="139">
        <f t="shared" si="173"/>
        <v>0</v>
      </c>
      <c r="T399" s="139">
        <f t="shared" si="173"/>
        <v>0</v>
      </c>
      <c r="U399" s="139">
        <f t="shared" si="173"/>
        <v>0</v>
      </c>
      <c r="V399" s="139">
        <f t="shared" si="173"/>
        <v>0</v>
      </c>
      <c r="W399" s="139">
        <f t="shared" si="173"/>
        <v>0</v>
      </c>
      <c r="X399" s="139">
        <f t="shared" si="173"/>
        <v>0</v>
      </c>
      <c r="Y399" s="139">
        <f t="shared" si="173"/>
        <v>0</v>
      </c>
      <c r="Z399" s="139">
        <f t="shared" si="173"/>
        <v>0</v>
      </c>
      <c r="AA399" s="139">
        <f t="shared" si="173"/>
        <v>0</v>
      </c>
      <c r="AB399" s="139">
        <f t="shared" si="173"/>
        <v>0</v>
      </c>
      <c r="AC399" s="139">
        <f t="shared" si="173"/>
        <v>0</v>
      </c>
      <c r="AD399" s="139">
        <f t="shared" si="173"/>
        <v>0</v>
      </c>
      <c r="AE399" s="139">
        <f t="shared" si="173"/>
        <v>0</v>
      </c>
      <c r="AF399" s="138"/>
      <c r="AG399" s="138"/>
      <c r="AH399" s="138"/>
      <c r="AI399" s="138"/>
    </row>
    <row r="400" spans="1:35" customFormat="1" ht="14.25" x14ac:dyDescent="0.45">
      <c r="B400" s="14" t="s">
        <v>2831</v>
      </c>
      <c r="C400" s="14" t="s">
        <v>2675</v>
      </c>
      <c r="D400" s="15" t="s">
        <v>2832</v>
      </c>
      <c r="E400" s="16" t="s">
        <v>2068</v>
      </c>
      <c r="F400" s="14" t="s">
        <v>2831</v>
      </c>
      <c r="G400" s="17"/>
      <c r="H400" s="125" t="str">
        <f>Settings!$B$3&amp;".mit.abatp.cbam.tot.2"</f>
        <v>egy.mit.abatp.cbam.tot.2</v>
      </c>
      <c r="I400" t="s">
        <v>2833</v>
      </c>
      <c r="K400" s="136"/>
      <c r="L400" s="139">
        <f t="shared" ref="L400:AE400" si="174">SUMPRODUCT(L$308:L$323*(1-EXP(-L$272:L$287*L$397)))</f>
        <v>0</v>
      </c>
      <c r="M400" s="139">
        <f t="shared" si="174"/>
        <v>0</v>
      </c>
      <c r="N400" s="139">
        <f t="shared" si="174"/>
        <v>0</v>
      </c>
      <c r="O400" s="139">
        <f t="shared" si="174"/>
        <v>0</v>
      </c>
      <c r="P400" s="139">
        <f t="shared" si="174"/>
        <v>0</v>
      </c>
      <c r="Q400" s="139">
        <f t="shared" si="174"/>
        <v>0</v>
      </c>
      <c r="R400" s="139">
        <f t="shared" si="174"/>
        <v>0</v>
      </c>
      <c r="S400" s="139">
        <f t="shared" si="174"/>
        <v>0</v>
      </c>
      <c r="T400" s="139">
        <f t="shared" si="174"/>
        <v>0</v>
      </c>
      <c r="U400" s="139">
        <f t="shared" si="174"/>
        <v>0</v>
      </c>
      <c r="V400" s="139">
        <f t="shared" si="174"/>
        <v>0</v>
      </c>
      <c r="W400" s="139">
        <f t="shared" si="174"/>
        <v>0</v>
      </c>
      <c r="X400" s="139">
        <f t="shared" si="174"/>
        <v>0</v>
      </c>
      <c r="Y400" s="139">
        <f t="shared" si="174"/>
        <v>0</v>
      </c>
      <c r="Z400" s="139">
        <f t="shared" si="174"/>
        <v>0</v>
      </c>
      <c r="AA400" s="139">
        <f t="shared" si="174"/>
        <v>0</v>
      </c>
      <c r="AB400" s="139">
        <f t="shared" si="174"/>
        <v>0</v>
      </c>
      <c r="AC400" s="139">
        <f t="shared" si="174"/>
        <v>0</v>
      </c>
      <c r="AD400" s="139">
        <f t="shared" si="174"/>
        <v>0</v>
      </c>
      <c r="AE400" s="139">
        <f t="shared" si="174"/>
        <v>0</v>
      </c>
      <c r="AF400" s="138"/>
      <c r="AG400" s="138"/>
      <c r="AH400" s="138"/>
      <c r="AI400" s="138"/>
    </row>
    <row r="401" spans="1:35" customFormat="1" ht="14.25" x14ac:dyDescent="0.45">
      <c r="B401" s="14" t="s">
        <v>2834</v>
      </c>
      <c r="C401" s="14" t="s">
        <v>2675</v>
      </c>
      <c r="D401" s="15" t="s">
        <v>2835</v>
      </c>
      <c r="E401" s="16" t="s">
        <v>1854</v>
      </c>
      <c r="F401" s="14" t="s">
        <v>2834</v>
      </c>
      <c r="G401" s="17"/>
      <c r="H401" s="125" t="str">
        <f>Settings!$B$3&amp;".mit.outlay.cbam.tot.2"</f>
        <v>egy.mit.outlay.cbam.tot.2</v>
      </c>
      <c r="K401" s="136"/>
      <c r="L401" s="137">
        <f t="shared" ref="L401:AE401" si="175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37">
        <f t="shared" si="175"/>
        <v>0</v>
      </c>
      <c r="N401" s="137">
        <f t="shared" si="175"/>
        <v>0</v>
      </c>
      <c r="O401" s="137">
        <f t="shared" si="175"/>
        <v>0</v>
      </c>
      <c r="P401" s="137">
        <f t="shared" si="175"/>
        <v>0</v>
      </c>
      <c r="Q401" s="137">
        <f t="shared" si="175"/>
        <v>0</v>
      </c>
      <c r="R401" s="137">
        <f t="shared" si="175"/>
        <v>0</v>
      </c>
      <c r="S401" s="137">
        <f t="shared" si="175"/>
        <v>0</v>
      </c>
      <c r="T401" s="137">
        <f t="shared" si="175"/>
        <v>0</v>
      </c>
      <c r="U401" s="137">
        <f t="shared" si="175"/>
        <v>0</v>
      </c>
      <c r="V401" s="137">
        <f t="shared" si="175"/>
        <v>0</v>
      </c>
      <c r="W401" s="137">
        <f t="shared" si="175"/>
        <v>0</v>
      </c>
      <c r="X401" s="137">
        <f t="shared" si="175"/>
        <v>0</v>
      </c>
      <c r="Y401" s="137">
        <f t="shared" si="175"/>
        <v>0</v>
      </c>
      <c r="Z401" s="137">
        <f t="shared" si="175"/>
        <v>0</v>
      </c>
      <c r="AA401" s="137">
        <f t="shared" si="175"/>
        <v>0</v>
      </c>
      <c r="AB401" s="137">
        <f t="shared" si="175"/>
        <v>0</v>
      </c>
      <c r="AC401" s="137">
        <f t="shared" si="175"/>
        <v>0</v>
      </c>
      <c r="AD401" s="137">
        <f t="shared" si="175"/>
        <v>0</v>
      </c>
      <c r="AE401" s="137">
        <f t="shared" si="175"/>
        <v>0</v>
      </c>
      <c r="AF401" s="138"/>
      <c r="AG401" s="138"/>
      <c r="AH401" s="138"/>
      <c r="AI401" s="138"/>
    </row>
    <row r="402" spans="1:35" customFormat="1" ht="14.25" x14ac:dyDescent="0.45">
      <c r="B402" s="14" t="s">
        <v>2836</v>
      </c>
      <c r="C402" s="14" t="s">
        <v>2675</v>
      </c>
      <c r="D402" s="15" t="s">
        <v>2837</v>
      </c>
      <c r="E402" s="16" t="s">
        <v>1854</v>
      </c>
      <c r="F402" s="14" t="s">
        <v>2836</v>
      </c>
      <c r="G402" s="17"/>
      <c r="H402" s="17"/>
      <c r="K402" s="136"/>
      <c r="L402" s="139">
        <f t="shared" ref="L402:AE402" si="176">L$401-L$329</f>
        <v>0</v>
      </c>
      <c r="M402" s="139">
        <f t="shared" si="176"/>
        <v>0</v>
      </c>
      <c r="N402" s="139">
        <f t="shared" si="176"/>
        <v>0</v>
      </c>
      <c r="O402" s="139">
        <f t="shared" si="176"/>
        <v>0</v>
      </c>
      <c r="P402" s="139">
        <f t="shared" si="176"/>
        <v>0</v>
      </c>
      <c r="Q402" s="139">
        <f t="shared" si="176"/>
        <v>0</v>
      </c>
      <c r="R402" s="139">
        <f t="shared" si="176"/>
        <v>0</v>
      </c>
      <c r="S402" s="139">
        <f t="shared" si="176"/>
        <v>0</v>
      </c>
      <c r="T402" s="139">
        <f t="shared" si="176"/>
        <v>0</v>
      </c>
      <c r="U402" s="139">
        <f t="shared" si="176"/>
        <v>0</v>
      </c>
      <c r="V402" s="139">
        <f t="shared" si="176"/>
        <v>0</v>
      </c>
      <c r="W402" s="139">
        <f t="shared" si="176"/>
        <v>0</v>
      </c>
      <c r="X402" s="139">
        <f t="shared" si="176"/>
        <v>0</v>
      </c>
      <c r="Y402" s="139">
        <f t="shared" si="176"/>
        <v>0</v>
      </c>
      <c r="Z402" s="139">
        <f t="shared" si="176"/>
        <v>0</v>
      </c>
      <c r="AA402" s="139">
        <f t="shared" si="176"/>
        <v>0</v>
      </c>
      <c r="AB402" s="139">
        <f t="shared" si="176"/>
        <v>0</v>
      </c>
      <c r="AC402" s="139">
        <f t="shared" si="176"/>
        <v>0</v>
      </c>
      <c r="AD402" s="139">
        <f t="shared" si="176"/>
        <v>0</v>
      </c>
      <c r="AE402" s="139">
        <f t="shared" si="176"/>
        <v>0</v>
      </c>
      <c r="AF402" s="138"/>
      <c r="AG402" s="138"/>
      <c r="AH402" s="138"/>
      <c r="AI402" s="138"/>
    </row>
    <row r="403" spans="1:35" customFormat="1" ht="14.25" x14ac:dyDescent="0.45">
      <c r="B403" s="14" t="s">
        <v>2838</v>
      </c>
      <c r="C403" s="14" t="s">
        <v>2675</v>
      </c>
      <c r="D403" s="15" t="s">
        <v>2839</v>
      </c>
      <c r="E403" s="16" t="s">
        <v>1854</v>
      </c>
      <c r="F403" s="14" t="s">
        <v>2838</v>
      </c>
      <c r="G403" s="17"/>
      <c r="H403" s="125" t="str">
        <f>Settings!$B$3&amp;".mit.unspent.cbam.tot.2"</f>
        <v>egy.mit.unspent.cbam.tot.2</v>
      </c>
      <c r="K403" s="136"/>
      <c r="L403" s="137">
        <f t="shared" ref="L403:AE403" si="177">MAX(0,L$329-L$401)</f>
        <v>0</v>
      </c>
      <c r="M403" s="137">
        <f t="shared" si="177"/>
        <v>0</v>
      </c>
      <c r="N403" s="137">
        <f t="shared" si="177"/>
        <v>0</v>
      </c>
      <c r="O403" s="137">
        <f t="shared" si="177"/>
        <v>0</v>
      </c>
      <c r="P403" s="137">
        <f t="shared" si="177"/>
        <v>0</v>
      </c>
      <c r="Q403" s="137">
        <f t="shared" si="177"/>
        <v>0</v>
      </c>
      <c r="R403" s="137">
        <f t="shared" si="177"/>
        <v>0</v>
      </c>
      <c r="S403" s="137">
        <f t="shared" si="177"/>
        <v>0</v>
      </c>
      <c r="T403" s="137">
        <f t="shared" si="177"/>
        <v>0</v>
      </c>
      <c r="U403" s="137">
        <f t="shared" si="177"/>
        <v>0</v>
      </c>
      <c r="V403" s="137">
        <f t="shared" si="177"/>
        <v>0</v>
      </c>
      <c r="W403" s="137">
        <f t="shared" si="177"/>
        <v>0</v>
      </c>
      <c r="X403" s="137">
        <f t="shared" si="177"/>
        <v>0</v>
      </c>
      <c r="Y403" s="137">
        <f t="shared" si="177"/>
        <v>0</v>
      </c>
      <c r="Z403" s="137">
        <f t="shared" si="177"/>
        <v>0</v>
      </c>
      <c r="AA403" s="137">
        <f t="shared" si="177"/>
        <v>0</v>
      </c>
      <c r="AB403" s="137">
        <f t="shared" si="177"/>
        <v>0</v>
      </c>
      <c r="AC403" s="137">
        <f t="shared" si="177"/>
        <v>0</v>
      </c>
      <c r="AD403" s="137">
        <f t="shared" si="177"/>
        <v>0</v>
      </c>
      <c r="AE403" s="137">
        <f t="shared" si="177"/>
        <v>0</v>
      </c>
      <c r="AF403" s="138"/>
      <c r="AG403" s="138"/>
      <c r="AH403" s="138"/>
      <c r="AI403" s="138"/>
    </row>
    <row r="404" spans="1:35" customFormat="1" ht="14.25" x14ac:dyDescent="0.45">
      <c r="B404" s="14" t="s">
        <v>2840</v>
      </c>
      <c r="C404" s="14" t="s">
        <v>2675</v>
      </c>
      <c r="D404" s="15" t="s">
        <v>2841</v>
      </c>
      <c r="E404" s="16" t="s">
        <v>2842</v>
      </c>
      <c r="F404" s="14" t="s">
        <v>2840</v>
      </c>
      <c r="G404" s="17"/>
      <c r="H404" s="17"/>
      <c r="K404" s="136"/>
      <c r="L404" s="141">
        <f t="shared" ref="L404:AE404" si="178">(L$329&gt;0)*(L$397&gt;=$F$5-0.000000001)</f>
        <v>0</v>
      </c>
      <c r="M404" s="141">
        <f t="shared" si="178"/>
        <v>0</v>
      </c>
      <c r="N404" s="141">
        <f t="shared" si="178"/>
        <v>0</v>
      </c>
      <c r="O404" s="141">
        <f t="shared" si="178"/>
        <v>0</v>
      </c>
      <c r="P404" s="141">
        <f t="shared" si="178"/>
        <v>0</v>
      </c>
      <c r="Q404" s="141">
        <f t="shared" si="178"/>
        <v>0</v>
      </c>
      <c r="R404" s="141">
        <f t="shared" si="178"/>
        <v>0</v>
      </c>
      <c r="S404" s="141">
        <f t="shared" si="178"/>
        <v>0</v>
      </c>
      <c r="T404" s="141">
        <f t="shared" si="178"/>
        <v>0</v>
      </c>
      <c r="U404" s="141">
        <f t="shared" si="178"/>
        <v>0</v>
      </c>
      <c r="V404" s="141">
        <f t="shared" si="178"/>
        <v>0</v>
      </c>
      <c r="W404" s="141">
        <f t="shared" si="178"/>
        <v>0</v>
      </c>
      <c r="X404" s="141">
        <f t="shared" si="178"/>
        <v>0</v>
      </c>
      <c r="Y404" s="141">
        <f t="shared" si="178"/>
        <v>0</v>
      </c>
      <c r="Z404" s="141">
        <f t="shared" si="178"/>
        <v>0</v>
      </c>
      <c r="AA404" s="141">
        <f t="shared" si="178"/>
        <v>0</v>
      </c>
      <c r="AB404" s="141">
        <f t="shared" si="178"/>
        <v>0</v>
      </c>
      <c r="AC404" s="141">
        <f t="shared" si="178"/>
        <v>0</v>
      </c>
      <c r="AD404" s="141">
        <f t="shared" si="178"/>
        <v>0</v>
      </c>
      <c r="AE404" s="141">
        <f t="shared" si="178"/>
        <v>0</v>
      </c>
      <c r="AF404" s="138"/>
      <c r="AG404" s="138"/>
      <c r="AH404" s="138"/>
      <c r="AI404" s="138"/>
    </row>
    <row r="405" spans="1:35" customFormat="1" ht="14.25" x14ac:dyDescent="0.45">
      <c r="B405" s="14" t="s">
        <v>2843</v>
      </c>
      <c r="C405" s="14" t="s">
        <v>2675</v>
      </c>
      <c r="D405" s="15" t="s">
        <v>2844</v>
      </c>
      <c r="E405" s="16" t="s">
        <v>1398</v>
      </c>
      <c r="F405" s="14" t="s">
        <v>2843</v>
      </c>
      <c r="G405" s="17"/>
      <c r="H405" s="125" t="str">
        <f>Settings!$B$3&amp;".mit.cpt.cbam.tot.2"</f>
        <v>egy.mit.cpt.cbam.tot.2</v>
      </c>
      <c r="K405" s="136"/>
      <c r="L405" s="137">
        <f t="shared" ref="L405:AE405" si="179">IF(L$398&gt;0,L$401/L$398,0)</f>
        <v>0</v>
      </c>
      <c r="M405" s="137">
        <f t="shared" si="179"/>
        <v>0</v>
      </c>
      <c r="N405" s="137">
        <f t="shared" si="179"/>
        <v>0</v>
      </c>
      <c r="O405" s="137">
        <f t="shared" si="179"/>
        <v>0</v>
      </c>
      <c r="P405" s="137">
        <f t="shared" si="179"/>
        <v>0</v>
      </c>
      <c r="Q405" s="137">
        <f t="shared" si="179"/>
        <v>0</v>
      </c>
      <c r="R405" s="137">
        <f t="shared" si="179"/>
        <v>0</v>
      </c>
      <c r="S405" s="137">
        <f t="shared" si="179"/>
        <v>0</v>
      </c>
      <c r="T405" s="137">
        <f t="shared" si="179"/>
        <v>0</v>
      </c>
      <c r="U405" s="137">
        <f t="shared" si="179"/>
        <v>0</v>
      </c>
      <c r="V405" s="137">
        <f t="shared" si="179"/>
        <v>0</v>
      </c>
      <c r="W405" s="137">
        <f t="shared" si="179"/>
        <v>0</v>
      </c>
      <c r="X405" s="137">
        <f t="shared" si="179"/>
        <v>0</v>
      </c>
      <c r="Y405" s="137">
        <f t="shared" si="179"/>
        <v>0</v>
      </c>
      <c r="Z405" s="137">
        <f t="shared" si="179"/>
        <v>0</v>
      </c>
      <c r="AA405" s="137">
        <f t="shared" si="179"/>
        <v>0</v>
      </c>
      <c r="AB405" s="137">
        <f t="shared" si="179"/>
        <v>0</v>
      </c>
      <c r="AC405" s="137">
        <f t="shared" si="179"/>
        <v>0</v>
      </c>
      <c r="AD405" s="137">
        <f t="shared" si="179"/>
        <v>0</v>
      </c>
      <c r="AE405" s="137">
        <f t="shared" si="179"/>
        <v>0</v>
      </c>
      <c r="AF405" s="138"/>
      <c r="AG405" s="138"/>
      <c r="AH405" s="138"/>
      <c r="AI405" s="138"/>
    </row>
    <row r="406" spans="1:35" customFormat="1" ht="14.25" x14ac:dyDescent="0.45">
      <c r="B406" s="14" t="s">
        <v>2845</v>
      </c>
      <c r="C406" s="14" t="s">
        <v>2675</v>
      </c>
      <c r="D406" s="15" t="s">
        <v>2846</v>
      </c>
      <c r="E406" s="16" t="s">
        <v>1854</v>
      </c>
      <c r="F406" s="14" t="s">
        <v>2845</v>
      </c>
      <c r="G406" s="17"/>
      <c r="H406" s="17"/>
      <c r="I406" t="s">
        <v>2847</v>
      </c>
      <c r="K406" s="136"/>
      <c r="L406" s="140">
        <f>L$218*Mitigation_Industry!L$799</f>
        <v>0</v>
      </c>
      <c r="M406" s="140">
        <f>M$218*Mitigation_Industry!M$799</f>
        <v>0</v>
      </c>
      <c r="N406" s="140">
        <f>N$218*Mitigation_Industry!N$799</f>
        <v>0</v>
      </c>
      <c r="O406" s="140">
        <f>O$218*Mitigation_Industry!O$799</f>
        <v>0</v>
      </c>
      <c r="P406" s="140">
        <f>P$218*Mitigation_Industry!P$799</f>
        <v>0</v>
      </c>
      <c r="Q406" s="140">
        <f>Q$218*Mitigation_Industry!Q$799</f>
        <v>0</v>
      </c>
      <c r="R406" s="140">
        <f>R$218*Mitigation_Industry!R$799</f>
        <v>0</v>
      </c>
      <c r="S406" s="140">
        <f>S$218*Mitigation_Industry!S$799</f>
        <v>0</v>
      </c>
      <c r="T406" s="140">
        <f>T$218*Mitigation_Industry!T$799</f>
        <v>0</v>
      </c>
      <c r="U406" s="140">
        <f>U$218*Mitigation_Industry!U$799</f>
        <v>0</v>
      </c>
      <c r="V406" s="140">
        <f>V$218*Mitigation_Industry!V$799</f>
        <v>0</v>
      </c>
      <c r="W406" s="140">
        <f>W$218*Mitigation_Industry!W$799</f>
        <v>0</v>
      </c>
      <c r="X406" s="140">
        <f>X$218*Mitigation_Industry!X$799</f>
        <v>0</v>
      </c>
      <c r="Y406" s="140">
        <f>Y$218*Mitigation_Industry!Y$799</f>
        <v>0</v>
      </c>
      <c r="Z406" s="140">
        <f>Z$218*Mitigation_Industry!Z$799</f>
        <v>0</v>
      </c>
      <c r="AA406" s="140">
        <f>AA$218*Mitigation_Industry!AA$799</f>
        <v>0</v>
      </c>
      <c r="AB406" s="140">
        <f>AB$218*Mitigation_Industry!AB$799</f>
        <v>0</v>
      </c>
      <c r="AC406" s="140">
        <f>AC$218*Mitigation_Industry!AC$799</f>
        <v>0</v>
      </c>
      <c r="AD406" s="140">
        <f>AD$218*Mitigation_Industry!AD$799</f>
        <v>0</v>
      </c>
      <c r="AE406" s="140">
        <f>AE$218*Mitigation_Industry!AE$799</f>
        <v>0</v>
      </c>
      <c r="AF406" s="138"/>
      <c r="AG406" s="138"/>
      <c r="AH406" s="138"/>
      <c r="AI406" s="138"/>
    </row>
    <row r="407" spans="1:35" customFormat="1" ht="14.25" x14ac:dyDescent="0.45">
      <c r="B407" s="14" t="s">
        <v>2848</v>
      </c>
      <c r="C407" s="14" t="s">
        <v>2675</v>
      </c>
      <c r="D407" s="15" t="s">
        <v>2849</v>
      </c>
      <c r="E407" s="16" t="s">
        <v>1854</v>
      </c>
      <c r="F407" s="14" t="s">
        <v>2848</v>
      </c>
      <c r="G407" s="17"/>
      <c r="H407" s="17"/>
      <c r="I407" t="s">
        <v>2850</v>
      </c>
      <c r="K407" s="136"/>
      <c r="L407" s="140">
        <f t="shared" ref="L407:AE407" si="180">L406-L$329</f>
        <v>0</v>
      </c>
      <c r="M407" s="140">
        <f t="shared" si="180"/>
        <v>0</v>
      </c>
      <c r="N407" s="140">
        <f t="shared" si="180"/>
        <v>0</v>
      </c>
      <c r="O407" s="140">
        <f t="shared" si="180"/>
        <v>0</v>
      </c>
      <c r="P407" s="140">
        <f t="shared" si="180"/>
        <v>0</v>
      </c>
      <c r="Q407" s="140">
        <f t="shared" si="180"/>
        <v>0</v>
      </c>
      <c r="R407" s="140">
        <f t="shared" si="180"/>
        <v>0</v>
      </c>
      <c r="S407" s="140">
        <f t="shared" si="180"/>
        <v>0</v>
      </c>
      <c r="T407" s="140">
        <f t="shared" si="180"/>
        <v>0</v>
      </c>
      <c r="U407" s="140">
        <f t="shared" si="180"/>
        <v>0</v>
      </c>
      <c r="V407" s="140">
        <f t="shared" si="180"/>
        <v>0</v>
      </c>
      <c r="W407" s="140">
        <f t="shared" si="180"/>
        <v>0</v>
      </c>
      <c r="X407" s="140">
        <f t="shared" si="180"/>
        <v>0</v>
      </c>
      <c r="Y407" s="140">
        <f t="shared" si="180"/>
        <v>0</v>
      </c>
      <c r="Z407" s="140">
        <f t="shared" si="180"/>
        <v>0</v>
      </c>
      <c r="AA407" s="140">
        <f t="shared" si="180"/>
        <v>0</v>
      </c>
      <c r="AB407" s="140">
        <f t="shared" si="180"/>
        <v>0</v>
      </c>
      <c r="AC407" s="140">
        <f t="shared" si="180"/>
        <v>0</v>
      </c>
      <c r="AD407" s="140">
        <f t="shared" si="180"/>
        <v>0</v>
      </c>
      <c r="AE407" s="140">
        <f t="shared" si="180"/>
        <v>0</v>
      </c>
      <c r="AF407" s="138"/>
      <c r="AG407" s="138"/>
      <c r="AH407" s="138"/>
      <c r="AI407" s="138"/>
    </row>
    <row r="408" spans="1:35" x14ac:dyDescent="0.35"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  <c r="AC408" s="132"/>
      <c r="AD408" s="132"/>
      <c r="AE408" s="132"/>
      <c r="AF408" s="132"/>
      <c r="AG408" s="132"/>
      <c r="AH408" s="132"/>
      <c r="AI408" s="132"/>
    </row>
    <row r="409" spans="1:35" customFormat="1" ht="14.25" x14ac:dyDescent="0.45">
      <c r="A409" s="11"/>
      <c r="B409" s="6"/>
      <c r="C409" s="7" t="s">
        <v>1160</v>
      </c>
      <c r="D409" s="6" t="s">
        <v>1488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2868</v>
      </c>
      <c r="J409" s="48">
        <v>2</v>
      </c>
      <c r="K409" s="134">
        <v>2021</v>
      </c>
      <c r="L409" s="135">
        <v>2022</v>
      </c>
      <c r="M409" s="134">
        <v>2023</v>
      </c>
      <c r="N409" s="134">
        <v>2024</v>
      </c>
      <c r="O409" s="134">
        <v>2025</v>
      </c>
      <c r="P409" s="134">
        <v>2026</v>
      </c>
      <c r="Q409" s="134">
        <v>2027</v>
      </c>
      <c r="R409" s="134">
        <v>2028</v>
      </c>
      <c r="S409" s="134">
        <v>2029</v>
      </c>
      <c r="T409" s="134">
        <v>2030</v>
      </c>
      <c r="U409" s="134">
        <v>2031</v>
      </c>
      <c r="V409" s="134">
        <v>2032</v>
      </c>
      <c r="W409" s="134">
        <v>2033</v>
      </c>
      <c r="X409" s="134">
        <v>2034</v>
      </c>
      <c r="Y409" s="134">
        <v>2035</v>
      </c>
      <c r="Z409" s="134">
        <v>2036</v>
      </c>
      <c r="AA409" s="134">
        <v>2037</v>
      </c>
      <c r="AB409" s="134">
        <v>2038</v>
      </c>
      <c r="AC409" s="134">
        <v>2039</v>
      </c>
      <c r="AD409" s="134">
        <v>2040</v>
      </c>
      <c r="AE409" s="134">
        <v>2041</v>
      </c>
      <c r="AF409" s="134">
        <v>2042</v>
      </c>
      <c r="AG409" s="134">
        <v>2043</v>
      </c>
      <c r="AH409" s="134">
        <v>2044</v>
      </c>
      <c r="AI409" s="134">
        <v>2045</v>
      </c>
    </row>
    <row r="410" spans="1:35" customFormat="1" ht="14.25" x14ac:dyDescent="0.45">
      <c r="B410" s="14" t="s">
        <v>49</v>
      </c>
      <c r="C410" s="14" t="s">
        <v>4</v>
      </c>
      <c r="D410" s="15" t="s">
        <v>2852</v>
      </c>
      <c r="E410" s="16" t="s">
        <v>51</v>
      </c>
      <c r="F410" s="14" t="s">
        <v>2853</v>
      </c>
      <c r="G410" s="17"/>
      <c r="H410" s="125" t="str">
        <f>Settings!$B$3&amp;".mit.shpf.coa.ind.2"</f>
        <v>egy.mit.shpf.coa.ind.2</v>
      </c>
      <c r="K410" s="137"/>
      <c r="L410" s="137">
        <f>L$397*Scenarios!$E$30</f>
        <v>0</v>
      </c>
      <c r="M410" s="137">
        <f>M$397*Scenarios!$E$30</f>
        <v>0</v>
      </c>
      <c r="N410" s="137">
        <f>N$397*Scenarios!$E$30</f>
        <v>0</v>
      </c>
      <c r="O410" s="137">
        <f>O$397*Scenarios!$E$30</f>
        <v>0</v>
      </c>
      <c r="P410" s="137">
        <f>P$397*Scenarios!$E$30</f>
        <v>0</v>
      </c>
      <c r="Q410" s="137">
        <f>Q$397*Scenarios!$E$30</f>
        <v>0</v>
      </c>
      <c r="R410" s="137">
        <f>R$397*Scenarios!$E$30</f>
        <v>0</v>
      </c>
      <c r="S410" s="137">
        <f>S$397*Scenarios!$E$30</f>
        <v>0</v>
      </c>
      <c r="T410" s="137">
        <f>T$397*Scenarios!$E$30</f>
        <v>0</v>
      </c>
      <c r="U410" s="137">
        <f>U$397*Scenarios!$E$30</f>
        <v>0</v>
      </c>
      <c r="V410" s="137">
        <f>V$397*Scenarios!$E$30</f>
        <v>0</v>
      </c>
      <c r="W410" s="137">
        <f>W$397*Scenarios!$E$30</f>
        <v>0</v>
      </c>
      <c r="X410" s="137">
        <f>X$397*Scenarios!$E$30</f>
        <v>0</v>
      </c>
      <c r="Y410" s="137">
        <f>Y$397*Scenarios!$E$30</f>
        <v>0</v>
      </c>
      <c r="Z410" s="137">
        <f>Z$397*Scenarios!$E$30</f>
        <v>0</v>
      </c>
      <c r="AA410" s="137">
        <f>AA$397*Scenarios!$E$30</f>
        <v>0</v>
      </c>
      <c r="AB410" s="137">
        <f>AB$397*Scenarios!$E$30</f>
        <v>0</v>
      </c>
      <c r="AC410" s="137">
        <f>AC$397*Scenarios!$E$30</f>
        <v>0</v>
      </c>
      <c r="AD410" s="137">
        <f>AD$397*Scenarios!$E$30</f>
        <v>0</v>
      </c>
      <c r="AE410" s="137">
        <f>AE$397*Scenarios!$E$30</f>
        <v>0</v>
      </c>
      <c r="AF410" s="138"/>
      <c r="AG410" s="138"/>
      <c r="AH410" s="138"/>
      <c r="AI410" s="138"/>
    </row>
    <row r="411" spans="1:35" customFormat="1" ht="14.25" x14ac:dyDescent="0.45">
      <c r="B411" s="14" t="s">
        <v>53</v>
      </c>
      <c r="C411" s="14" t="s">
        <v>4</v>
      </c>
      <c r="D411" s="15" t="s">
        <v>2854</v>
      </c>
      <c r="E411" s="16" t="s">
        <v>51</v>
      </c>
      <c r="F411" s="14" t="s">
        <v>2853</v>
      </c>
      <c r="G411" s="17"/>
      <c r="H411" s="125" t="str">
        <f>Settings!$B$3&amp;".mit.shpf.nga.ind.2"</f>
        <v>egy.mit.shpf.nga.ind.2</v>
      </c>
      <c r="K411" s="137"/>
      <c r="L411" s="137">
        <f>L$397*Scenarios!$E$31</f>
        <v>0</v>
      </c>
      <c r="M411" s="137">
        <f>M$397*Scenarios!$E$31</f>
        <v>0</v>
      </c>
      <c r="N411" s="137">
        <f>N$397*Scenarios!$E$31</f>
        <v>0</v>
      </c>
      <c r="O411" s="137">
        <f>O$397*Scenarios!$E$31</f>
        <v>0</v>
      </c>
      <c r="P411" s="137">
        <f>P$397*Scenarios!$E$31</f>
        <v>0</v>
      </c>
      <c r="Q411" s="137">
        <f>Q$397*Scenarios!$E$31</f>
        <v>0</v>
      </c>
      <c r="R411" s="137">
        <f>R$397*Scenarios!$E$31</f>
        <v>0</v>
      </c>
      <c r="S411" s="137">
        <f>S$397*Scenarios!$E$31</f>
        <v>0</v>
      </c>
      <c r="T411" s="137">
        <f>T$397*Scenarios!$E$31</f>
        <v>0</v>
      </c>
      <c r="U411" s="137">
        <f>U$397*Scenarios!$E$31</f>
        <v>0</v>
      </c>
      <c r="V411" s="137">
        <f>V$397*Scenarios!$E$31</f>
        <v>0</v>
      </c>
      <c r="W411" s="137">
        <f>W$397*Scenarios!$E$31</f>
        <v>0</v>
      </c>
      <c r="X411" s="137">
        <f>X$397*Scenarios!$E$31</f>
        <v>0</v>
      </c>
      <c r="Y411" s="137">
        <f>Y$397*Scenarios!$E$31</f>
        <v>0</v>
      </c>
      <c r="Z411" s="137">
        <f>Z$397*Scenarios!$E$31</f>
        <v>0</v>
      </c>
      <c r="AA411" s="137">
        <f>AA$397*Scenarios!$E$31</f>
        <v>0</v>
      </c>
      <c r="AB411" s="137">
        <f>AB$397*Scenarios!$E$31</f>
        <v>0</v>
      </c>
      <c r="AC411" s="137">
        <f>AC$397*Scenarios!$E$31</f>
        <v>0</v>
      </c>
      <c r="AD411" s="137">
        <f>AD$397*Scenarios!$E$31</f>
        <v>0</v>
      </c>
      <c r="AE411" s="137">
        <f>AE$397*Scenarios!$E$31</f>
        <v>0</v>
      </c>
      <c r="AF411" s="138"/>
      <c r="AG411" s="138"/>
      <c r="AH411" s="138"/>
      <c r="AI411" s="138"/>
    </row>
    <row r="412" spans="1:35" customFormat="1" ht="14.25" x14ac:dyDescent="0.45">
      <c r="B412" s="14" t="s">
        <v>55</v>
      </c>
      <c r="C412" s="14" t="s">
        <v>4</v>
      </c>
      <c r="D412" s="15" t="s">
        <v>2855</v>
      </c>
      <c r="E412" s="16" t="s">
        <v>57</v>
      </c>
      <c r="F412" s="14" t="s">
        <v>2853</v>
      </c>
      <c r="G412" s="17"/>
      <c r="H412" s="125" t="str">
        <f>Settings!$B$3&amp;".mit.shpf.gso.ind.2"</f>
        <v>egy.mit.shpf.gso.ind.2</v>
      </c>
      <c r="K412" s="137"/>
      <c r="L412" s="137">
        <f>L$397*Scenarios!$E$32</f>
        <v>0</v>
      </c>
      <c r="M412" s="137">
        <f>M$397*Scenarios!$E$32</f>
        <v>0</v>
      </c>
      <c r="N412" s="137">
        <f>N$397*Scenarios!$E$32</f>
        <v>0</v>
      </c>
      <c r="O412" s="137">
        <f>O$397*Scenarios!$E$32</f>
        <v>0</v>
      </c>
      <c r="P412" s="137">
        <f>P$397*Scenarios!$E$32</f>
        <v>0</v>
      </c>
      <c r="Q412" s="137">
        <f>Q$397*Scenarios!$E$32</f>
        <v>0</v>
      </c>
      <c r="R412" s="137">
        <f>R$397*Scenarios!$E$32</f>
        <v>0</v>
      </c>
      <c r="S412" s="137">
        <f>S$397*Scenarios!$E$32</f>
        <v>0</v>
      </c>
      <c r="T412" s="137">
        <f>T$397*Scenarios!$E$32</f>
        <v>0</v>
      </c>
      <c r="U412" s="137">
        <f>U$397*Scenarios!$E$32</f>
        <v>0</v>
      </c>
      <c r="V412" s="137">
        <f>V$397*Scenarios!$E$32</f>
        <v>0</v>
      </c>
      <c r="W412" s="137">
        <f>W$397*Scenarios!$E$32</f>
        <v>0</v>
      </c>
      <c r="X412" s="137">
        <f>X$397*Scenarios!$E$32</f>
        <v>0</v>
      </c>
      <c r="Y412" s="137">
        <f>Y$397*Scenarios!$E$32</f>
        <v>0</v>
      </c>
      <c r="Z412" s="137">
        <f>Z$397*Scenarios!$E$32</f>
        <v>0</v>
      </c>
      <c r="AA412" s="137">
        <f>AA$397*Scenarios!$E$32</f>
        <v>0</v>
      </c>
      <c r="AB412" s="137">
        <f>AB$397*Scenarios!$E$32</f>
        <v>0</v>
      </c>
      <c r="AC412" s="137">
        <f>AC$397*Scenarios!$E$32</f>
        <v>0</v>
      </c>
      <c r="AD412" s="137">
        <f>AD$397*Scenarios!$E$32</f>
        <v>0</v>
      </c>
      <c r="AE412" s="137">
        <f>AE$397*Scenarios!$E$32</f>
        <v>0</v>
      </c>
      <c r="AF412" s="138"/>
      <c r="AG412" s="138"/>
      <c r="AH412" s="138"/>
      <c r="AI412" s="138"/>
    </row>
    <row r="413" spans="1:35" customFormat="1" ht="14.25" x14ac:dyDescent="0.45">
      <c r="B413" s="14" t="s">
        <v>58</v>
      </c>
      <c r="C413" s="14" t="s">
        <v>4</v>
      </c>
      <c r="D413" s="15" t="s">
        <v>2856</v>
      </c>
      <c r="E413" s="16" t="s">
        <v>57</v>
      </c>
      <c r="F413" s="14" t="s">
        <v>2853</v>
      </c>
      <c r="G413" s="17"/>
      <c r="H413" s="125" t="str">
        <f>Settings!$B$3&amp;".mit.shpf.die.ind.2"</f>
        <v>egy.mit.shpf.die.ind.2</v>
      </c>
      <c r="K413" s="137"/>
      <c r="L413" s="137">
        <f>L$397*Scenarios!$E$33</f>
        <v>0</v>
      </c>
      <c r="M413" s="137">
        <f>M$397*Scenarios!$E$33</f>
        <v>0</v>
      </c>
      <c r="N413" s="137">
        <f>N$397*Scenarios!$E$33</f>
        <v>0</v>
      </c>
      <c r="O413" s="137">
        <f>O$397*Scenarios!$E$33</f>
        <v>0</v>
      </c>
      <c r="P413" s="137">
        <f>P$397*Scenarios!$E$33</f>
        <v>0</v>
      </c>
      <c r="Q413" s="137">
        <f>Q$397*Scenarios!$E$33</f>
        <v>0</v>
      </c>
      <c r="R413" s="137">
        <f>R$397*Scenarios!$E$33</f>
        <v>0</v>
      </c>
      <c r="S413" s="137">
        <f>S$397*Scenarios!$E$33</f>
        <v>0</v>
      </c>
      <c r="T413" s="137">
        <f>T$397*Scenarios!$E$33</f>
        <v>0</v>
      </c>
      <c r="U413" s="137">
        <f>U$397*Scenarios!$E$33</f>
        <v>0</v>
      </c>
      <c r="V413" s="137">
        <f>V$397*Scenarios!$E$33</f>
        <v>0</v>
      </c>
      <c r="W413" s="137">
        <f>W$397*Scenarios!$E$33</f>
        <v>0</v>
      </c>
      <c r="X413" s="137">
        <f>X$397*Scenarios!$E$33</f>
        <v>0</v>
      </c>
      <c r="Y413" s="137">
        <f>Y$397*Scenarios!$E$33</f>
        <v>0</v>
      </c>
      <c r="Z413" s="137">
        <f>Z$397*Scenarios!$E$33</f>
        <v>0</v>
      </c>
      <c r="AA413" s="137">
        <f>AA$397*Scenarios!$E$33</f>
        <v>0</v>
      </c>
      <c r="AB413" s="137">
        <f>AB$397*Scenarios!$E$33</f>
        <v>0</v>
      </c>
      <c r="AC413" s="137">
        <f>AC$397*Scenarios!$E$33</f>
        <v>0</v>
      </c>
      <c r="AD413" s="137">
        <f>AD$397*Scenarios!$E$33</f>
        <v>0</v>
      </c>
      <c r="AE413" s="137">
        <f>AE$397*Scenarios!$E$33</f>
        <v>0</v>
      </c>
      <c r="AF413" s="138"/>
      <c r="AG413" s="138"/>
      <c r="AH413" s="138"/>
      <c r="AI413" s="138"/>
    </row>
    <row r="414" spans="1:35" customFormat="1" ht="14.25" x14ac:dyDescent="0.45">
      <c r="B414" s="14" t="s">
        <v>60</v>
      </c>
      <c r="C414" s="14" t="s">
        <v>4</v>
      </c>
      <c r="D414" s="15" t="s">
        <v>2857</v>
      </c>
      <c r="E414" s="16" t="s">
        <v>57</v>
      </c>
      <c r="F414" s="14" t="s">
        <v>2853</v>
      </c>
      <c r="G414" s="17"/>
      <c r="H414" s="125" t="str">
        <f>Settings!$B$3&amp;".mit.shpf.lpg.ind.2"</f>
        <v>egy.mit.shpf.lpg.ind.2</v>
      </c>
      <c r="K414" s="137"/>
      <c r="L414" s="137">
        <f>L$397*Scenarios!$E$34</f>
        <v>0</v>
      </c>
      <c r="M414" s="137">
        <f>M$397*Scenarios!$E$34</f>
        <v>0</v>
      </c>
      <c r="N414" s="137">
        <f>N$397*Scenarios!$E$34</f>
        <v>0</v>
      </c>
      <c r="O414" s="137">
        <f>O$397*Scenarios!$E$34</f>
        <v>0</v>
      </c>
      <c r="P414" s="137">
        <f>P$397*Scenarios!$E$34</f>
        <v>0</v>
      </c>
      <c r="Q414" s="137">
        <f>Q$397*Scenarios!$E$34</f>
        <v>0</v>
      </c>
      <c r="R414" s="137">
        <f>R$397*Scenarios!$E$34</f>
        <v>0</v>
      </c>
      <c r="S414" s="137">
        <f>S$397*Scenarios!$E$34</f>
        <v>0</v>
      </c>
      <c r="T414" s="137">
        <f>T$397*Scenarios!$E$34</f>
        <v>0</v>
      </c>
      <c r="U414" s="137">
        <f>U$397*Scenarios!$E$34</f>
        <v>0</v>
      </c>
      <c r="V414" s="137">
        <f>V$397*Scenarios!$E$34</f>
        <v>0</v>
      </c>
      <c r="W414" s="137">
        <f>W$397*Scenarios!$E$34</f>
        <v>0</v>
      </c>
      <c r="X414" s="137">
        <f>X$397*Scenarios!$E$34</f>
        <v>0</v>
      </c>
      <c r="Y414" s="137">
        <f>Y$397*Scenarios!$E$34</f>
        <v>0</v>
      </c>
      <c r="Z414" s="137">
        <f>Z$397*Scenarios!$E$34</f>
        <v>0</v>
      </c>
      <c r="AA414" s="137">
        <f>AA$397*Scenarios!$E$34</f>
        <v>0</v>
      </c>
      <c r="AB414" s="137">
        <f>AB$397*Scenarios!$E$34</f>
        <v>0</v>
      </c>
      <c r="AC414" s="137">
        <f>AC$397*Scenarios!$E$34</f>
        <v>0</v>
      </c>
      <c r="AD414" s="137">
        <f>AD$397*Scenarios!$E$34</f>
        <v>0</v>
      </c>
      <c r="AE414" s="137">
        <f>AE$397*Scenarios!$E$34</f>
        <v>0</v>
      </c>
      <c r="AF414" s="138"/>
      <c r="AG414" s="138"/>
      <c r="AH414" s="138"/>
      <c r="AI414" s="138"/>
    </row>
    <row r="415" spans="1:35" customFormat="1" ht="14.25" x14ac:dyDescent="0.45">
      <c r="B415" s="14" t="s">
        <v>62</v>
      </c>
      <c r="C415" s="14" t="s">
        <v>4</v>
      </c>
      <c r="D415" s="15" t="s">
        <v>2858</v>
      </c>
      <c r="E415" s="16" t="s">
        <v>57</v>
      </c>
      <c r="F415" s="14" t="s">
        <v>2853</v>
      </c>
      <c r="G415" s="17"/>
      <c r="H415" s="125" t="str">
        <f>Settings!$B$3&amp;".mit.shpf.ker.ind.2"</f>
        <v>egy.mit.shpf.ker.ind.2</v>
      </c>
      <c r="K415" s="137"/>
      <c r="L415" s="137">
        <f>L$397*Scenarios!$E$35</f>
        <v>0</v>
      </c>
      <c r="M415" s="137">
        <f>M$397*Scenarios!$E$35</f>
        <v>0</v>
      </c>
      <c r="N415" s="137">
        <f>N$397*Scenarios!$E$35</f>
        <v>0</v>
      </c>
      <c r="O415" s="137">
        <f>O$397*Scenarios!$E$35</f>
        <v>0</v>
      </c>
      <c r="P415" s="137">
        <f>P$397*Scenarios!$E$35</f>
        <v>0</v>
      </c>
      <c r="Q415" s="137">
        <f>Q$397*Scenarios!$E$35</f>
        <v>0</v>
      </c>
      <c r="R415" s="137">
        <f>R$397*Scenarios!$E$35</f>
        <v>0</v>
      </c>
      <c r="S415" s="137">
        <f>S$397*Scenarios!$E$35</f>
        <v>0</v>
      </c>
      <c r="T415" s="137">
        <f>T$397*Scenarios!$E$35</f>
        <v>0</v>
      </c>
      <c r="U415" s="137">
        <f>U$397*Scenarios!$E$35</f>
        <v>0</v>
      </c>
      <c r="V415" s="137">
        <f>V$397*Scenarios!$E$35</f>
        <v>0</v>
      </c>
      <c r="W415" s="137">
        <f>W$397*Scenarios!$E$35</f>
        <v>0</v>
      </c>
      <c r="X415" s="137">
        <f>X$397*Scenarios!$E$35</f>
        <v>0</v>
      </c>
      <c r="Y415" s="137">
        <f>Y$397*Scenarios!$E$35</f>
        <v>0</v>
      </c>
      <c r="Z415" s="137">
        <f>Z$397*Scenarios!$E$35</f>
        <v>0</v>
      </c>
      <c r="AA415" s="137">
        <f>AA$397*Scenarios!$E$35</f>
        <v>0</v>
      </c>
      <c r="AB415" s="137">
        <f>AB$397*Scenarios!$E$35</f>
        <v>0</v>
      </c>
      <c r="AC415" s="137">
        <f>AC$397*Scenarios!$E$35</f>
        <v>0</v>
      </c>
      <c r="AD415" s="137">
        <f>AD$397*Scenarios!$E$35</f>
        <v>0</v>
      </c>
      <c r="AE415" s="137">
        <f>AE$397*Scenarios!$E$35</f>
        <v>0</v>
      </c>
      <c r="AF415" s="138"/>
      <c r="AG415" s="138"/>
      <c r="AH415" s="138"/>
      <c r="AI415" s="138"/>
    </row>
    <row r="416" spans="1:35" customFormat="1" ht="14.25" x14ac:dyDescent="0.45">
      <c r="B416" s="14" t="s">
        <v>64</v>
      </c>
      <c r="C416" s="14" t="s">
        <v>4</v>
      </c>
      <c r="D416" s="15" t="s">
        <v>2859</v>
      </c>
      <c r="E416" s="16" t="s">
        <v>66</v>
      </c>
      <c r="F416" s="14" t="s">
        <v>2853</v>
      </c>
      <c r="G416" s="17"/>
      <c r="H416" s="125" t="str">
        <f>Settings!$B$3&amp;".mit.shpf.oop.ind.2"</f>
        <v>egy.mit.shpf.oop.ind.2</v>
      </c>
      <c r="K416" s="137"/>
      <c r="L416" s="137">
        <f>L$397*Scenarios!$E$36</f>
        <v>0</v>
      </c>
      <c r="M416" s="137">
        <f>M$397*Scenarios!$E$36</f>
        <v>0</v>
      </c>
      <c r="N416" s="137">
        <f>N$397*Scenarios!$E$36</f>
        <v>0</v>
      </c>
      <c r="O416" s="137">
        <f>O$397*Scenarios!$E$36</f>
        <v>0</v>
      </c>
      <c r="P416" s="137">
        <f>P$397*Scenarios!$E$36</f>
        <v>0</v>
      </c>
      <c r="Q416" s="137">
        <f>Q$397*Scenarios!$E$36</f>
        <v>0</v>
      </c>
      <c r="R416" s="137">
        <f>R$397*Scenarios!$E$36</f>
        <v>0</v>
      </c>
      <c r="S416" s="137">
        <f>S$397*Scenarios!$E$36</f>
        <v>0</v>
      </c>
      <c r="T416" s="137">
        <f>T$397*Scenarios!$E$36</f>
        <v>0</v>
      </c>
      <c r="U416" s="137">
        <f>U$397*Scenarios!$E$36</f>
        <v>0</v>
      </c>
      <c r="V416" s="137">
        <f>V$397*Scenarios!$E$36</f>
        <v>0</v>
      </c>
      <c r="W416" s="137">
        <f>W$397*Scenarios!$E$36</f>
        <v>0</v>
      </c>
      <c r="X416" s="137">
        <f>X$397*Scenarios!$E$36</f>
        <v>0</v>
      </c>
      <c r="Y416" s="137">
        <f>Y$397*Scenarios!$E$36</f>
        <v>0</v>
      </c>
      <c r="Z416" s="137">
        <f>Z$397*Scenarios!$E$36</f>
        <v>0</v>
      </c>
      <c r="AA416" s="137">
        <f>AA$397*Scenarios!$E$36</f>
        <v>0</v>
      </c>
      <c r="AB416" s="137">
        <f>AB$397*Scenarios!$E$36</f>
        <v>0</v>
      </c>
      <c r="AC416" s="137">
        <f>AC$397*Scenarios!$E$36</f>
        <v>0</v>
      </c>
      <c r="AD416" s="137">
        <f>AD$397*Scenarios!$E$36</f>
        <v>0</v>
      </c>
      <c r="AE416" s="137">
        <f>AE$397*Scenarios!$E$36</f>
        <v>0</v>
      </c>
      <c r="AF416" s="138"/>
      <c r="AG416" s="138"/>
      <c r="AH416" s="138"/>
      <c r="AI416" s="138"/>
    </row>
    <row r="417" spans="1:35" customFormat="1" ht="14.25" x14ac:dyDescent="0.45">
      <c r="B417" s="14" t="s">
        <v>67</v>
      </c>
      <c r="C417" s="14" t="s">
        <v>4</v>
      </c>
      <c r="D417" s="15" t="s">
        <v>2860</v>
      </c>
      <c r="E417" s="16" t="s">
        <v>51</v>
      </c>
      <c r="F417" s="14" t="s">
        <v>2853</v>
      </c>
      <c r="G417" s="17"/>
      <c r="H417" s="125" t="str">
        <f>Settings!$B$3&amp;".mit.shpf.bio.ind.2"</f>
        <v>egy.mit.shpf.bio.ind.2</v>
      </c>
      <c r="K417" s="137"/>
      <c r="L417" s="137">
        <f>L$397*Scenarios!$E$37</f>
        <v>0</v>
      </c>
      <c r="M417" s="137">
        <f>M$397*Scenarios!$E$37</f>
        <v>0</v>
      </c>
      <c r="N417" s="137">
        <f>N$397*Scenarios!$E$37</f>
        <v>0</v>
      </c>
      <c r="O417" s="137">
        <f>O$397*Scenarios!$E$37</f>
        <v>0</v>
      </c>
      <c r="P417" s="137">
        <f>P$397*Scenarios!$E$37</f>
        <v>0</v>
      </c>
      <c r="Q417" s="137">
        <f>Q$397*Scenarios!$E$37</f>
        <v>0</v>
      </c>
      <c r="R417" s="137">
        <f>R$397*Scenarios!$E$37</f>
        <v>0</v>
      </c>
      <c r="S417" s="137">
        <f>S$397*Scenarios!$E$37</f>
        <v>0</v>
      </c>
      <c r="T417" s="137">
        <f>T$397*Scenarios!$E$37</f>
        <v>0</v>
      </c>
      <c r="U417" s="137">
        <f>U$397*Scenarios!$E$37</f>
        <v>0</v>
      </c>
      <c r="V417" s="137">
        <f>V$397*Scenarios!$E$37</f>
        <v>0</v>
      </c>
      <c r="W417" s="137">
        <f>W$397*Scenarios!$E$37</f>
        <v>0</v>
      </c>
      <c r="X417" s="137">
        <f>X$397*Scenarios!$E$37</f>
        <v>0</v>
      </c>
      <c r="Y417" s="137">
        <f>Y$397*Scenarios!$E$37</f>
        <v>0</v>
      </c>
      <c r="Z417" s="137">
        <f>Z$397*Scenarios!$E$37</f>
        <v>0</v>
      </c>
      <c r="AA417" s="137">
        <f>AA$397*Scenarios!$E$37</f>
        <v>0</v>
      </c>
      <c r="AB417" s="137">
        <f>AB$397*Scenarios!$E$37</f>
        <v>0</v>
      </c>
      <c r="AC417" s="137">
        <f>AC$397*Scenarios!$E$37</f>
        <v>0</v>
      </c>
      <c r="AD417" s="137">
        <f>AD$397*Scenarios!$E$37</f>
        <v>0</v>
      </c>
      <c r="AE417" s="137">
        <f>AE$397*Scenarios!$E$37</f>
        <v>0</v>
      </c>
      <c r="AF417" s="138"/>
      <c r="AG417" s="138"/>
      <c r="AH417" s="138"/>
      <c r="AI417" s="138"/>
    </row>
    <row r="418" spans="1:35" customFormat="1" ht="14.25" x14ac:dyDescent="0.45">
      <c r="B418" s="14" t="s">
        <v>69</v>
      </c>
      <c r="C418" s="14" t="s">
        <v>4</v>
      </c>
      <c r="D418" s="15" t="s">
        <v>2861</v>
      </c>
      <c r="E418" s="16" t="s">
        <v>71</v>
      </c>
      <c r="F418" s="14" t="s">
        <v>2853</v>
      </c>
      <c r="G418" s="17"/>
      <c r="H418" s="125" t="str">
        <f>Settings!$B$3&amp;".mit.shpf.ren.ind.2"</f>
        <v>egy.mit.shpf.ren.ind.2</v>
      </c>
      <c r="K418" s="137"/>
      <c r="L418" s="137">
        <f>L$397*Scenarios!$E$38</f>
        <v>0</v>
      </c>
      <c r="M418" s="137">
        <f>M$397*Scenarios!$E$38</f>
        <v>0</v>
      </c>
      <c r="N418" s="137">
        <f>N$397*Scenarios!$E$38</f>
        <v>0</v>
      </c>
      <c r="O418" s="137">
        <f>O$397*Scenarios!$E$38</f>
        <v>0</v>
      </c>
      <c r="P418" s="137">
        <f>P$397*Scenarios!$E$38</f>
        <v>0</v>
      </c>
      <c r="Q418" s="137">
        <f>Q$397*Scenarios!$E$38</f>
        <v>0</v>
      </c>
      <c r="R418" s="137">
        <f>R$397*Scenarios!$E$38</f>
        <v>0</v>
      </c>
      <c r="S418" s="137">
        <f>S$397*Scenarios!$E$38</f>
        <v>0</v>
      </c>
      <c r="T418" s="137">
        <f>T$397*Scenarios!$E$38</f>
        <v>0</v>
      </c>
      <c r="U418" s="137">
        <f>U$397*Scenarios!$E$38</f>
        <v>0</v>
      </c>
      <c r="V418" s="137">
        <f>V$397*Scenarios!$E$38</f>
        <v>0</v>
      </c>
      <c r="W418" s="137">
        <f>W$397*Scenarios!$E$38</f>
        <v>0</v>
      </c>
      <c r="X418" s="137">
        <f>X$397*Scenarios!$E$38</f>
        <v>0</v>
      </c>
      <c r="Y418" s="137">
        <f>Y$397*Scenarios!$E$38</f>
        <v>0</v>
      </c>
      <c r="Z418" s="137">
        <f>Z$397*Scenarios!$E$38</f>
        <v>0</v>
      </c>
      <c r="AA418" s="137">
        <f>AA$397*Scenarios!$E$38</f>
        <v>0</v>
      </c>
      <c r="AB418" s="137">
        <f>AB$397*Scenarios!$E$38</f>
        <v>0</v>
      </c>
      <c r="AC418" s="137">
        <f>AC$397*Scenarios!$E$38</f>
        <v>0</v>
      </c>
      <c r="AD418" s="137">
        <f>AD$397*Scenarios!$E$38</f>
        <v>0</v>
      </c>
      <c r="AE418" s="137">
        <f>AE$397*Scenarios!$E$38</f>
        <v>0</v>
      </c>
      <c r="AF418" s="138"/>
      <c r="AG418" s="138"/>
      <c r="AH418" s="138"/>
      <c r="AI418" s="138"/>
    </row>
    <row r="419" spans="1:35" x14ac:dyDescent="0.35"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  <c r="AC419" s="132"/>
      <c r="AD419" s="132"/>
      <c r="AE419" s="132"/>
      <c r="AF419" s="132"/>
      <c r="AG419" s="132"/>
      <c r="AH419" s="132"/>
      <c r="AI419" s="132"/>
    </row>
    <row r="420" spans="1:35" x14ac:dyDescent="0.35"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  <c r="AC420" s="132"/>
      <c r="AD420" s="132"/>
      <c r="AE420" s="132"/>
      <c r="AF420" s="132"/>
      <c r="AG420" s="132"/>
      <c r="AH420" s="132"/>
      <c r="AI420" s="132"/>
    </row>
    <row r="421" spans="1:35" x14ac:dyDescent="0.35"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  <c r="AC421" s="132"/>
      <c r="AD421" s="132"/>
      <c r="AE421" s="132"/>
      <c r="AF421" s="132"/>
      <c r="AG421" s="132"/>
      <c r="AH421" s="132"/>
      <c r="AI421" s="132"/>
    </row>
    <row r="422" spans="1:35" x14ac:dyDescent="0.35"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  <c r="AC422" s="132"/>
      <c r="AD422" s="132"/>
      <c r="AE422" s="132"/>
      <c r="AF422" s="132"/>
      <c r="AG422" s="132"/>
      <c r="AH422" s="132"/>
      <c r="AI422" s="132"/>
    </row>
    <row r="425" spans="1:35" ht="13.9" x14ac:dyDescent="0.4">
      <c r="B425" s="121" t="s">
        <v>3670</v>
      </c>
    </row>
    <row r="426" spans="1:35" customFormat="1" ht="14.25" x14ac:dyDescent="0.45">
      <c r="A426" s="11"/>
      <c r="B426" s="6" t="s">
        <v>3671</v>
      </c>
      <c r="C426" s="7" t="s">
        <v>1488</v>
      </c>
      <c r="D426" s="6" t="s">
        <v>34</v>
      </c>
      <c r="E426" s="7" t="s">
        <v>35</v>
      </c>
      <c r="F426" s="7"/>
      <c r="G426" s="7"/>
      <c r="H426" s="12"/>
      <c r="I426" s="6"/>
      <c r="J426" s="48"/>
      <c r="K426" s="134"/>
      <c r="L426" s="135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  <c r="AI426" s="134"/>
    </row>
    <row r="427" spans="1:35" customFormat="1" ht="14.25" x14ac:dyDescent="0.45">
      <c r="B427" s="14" t="s">
        <v>1737</v>
      </c>
      <c r="C427" s="14" t="s">
        <v>2675</v>
      </c>
      <c r="D427" s="15" t="s">
        <v>3672</v>
      </c>
      <c r="E427" s="16" t="s">
        <v>1854</v>
      </c>
      <c r="F427" s="14"/>
      <c r="G427" s="17"/>
      <c r="H427" s="125"/>
      <c r="K427" s="136"/>
      <c r="L427" s="163">
        <v>0</v>
      </c>
      <c r="M427" s="163">
        <v>0</v>
      </c>
      <c r="N427" s="163">
        <v>0</v>
      </c>
      <c r="O427" s="163">
        <v>0</v>
      </c>
      <c r="P427" s="163">
        <v>0</v>
      </c>
      <c r="Q427" s="163">
        <v>313.18092912945133</v>
      </c>
      <c r="R427" s="163">
        <v>646.88764494852489</v>
      </c>
      <c r="S427" s="163">
        <v>1002.1648959865571</v>
      </c>
      <c r="T427" s="163">
        <v>1380.1062236958546</v>
      </c>
      <c r="U427" s="163">
        <v>1781.8561629939895</v>
      </c>
      <c r="V427" s="163">
        <v>2208.6125408023772</v>
      </c>
      <c r="W427" s="163">
        <v>2661.6288769403232</v>
      </c>
      <c r="X427" s="163">
        <v>3142.2168919286596</v>
      </c>
      <c r="Y427" s="163">
        <v>3651.7491264608011</v>
      </c>
      <c r="Z427" s="163">
        <v>4191.6616775120128</v>
      </c>
      <c r="AA427" s="163">
        <v>4763.45705628019</v>
      </c>
      <c r="AB427" s="163">
        <v>5368.7071733840539</v>
      </c>
      <c r="AC427" s="163">
        <v>6009.0564569877843</v>
      </c>
      <c r="AD427" s="163">
        <v>6686.2251097751796</v>
      </c>
      <c r="AE427" s="163">
        <v>7402.012510962054</v>
      </c>
      <c r="AF427" s="138"/>
      <c r="AG427" s="138"/>
      <c r="AH427" s="138"/>
      <c r="AI427" s="138"/>
    </row>
    <row r="428" spans="1:35" customFormat="1" ht="14.25" x14ac:dyDescent="0.45">
      <c r="B428" s="14" t="s">
        <v>1741</v>
      </c>
      <c r="C428" s="14" t="s">
        <v>2675</v>
      </c>
      <c r="D428" s="15" t="s">
        <v>3672</v>
      </c>
      <c r="E428" s="16" t="s">
        <v>1854</v>
      </c>
      <c r="F428" s="14"/>
      <c r="G428" s="17"/>
      <c r="H428" s="125"/>
      <c r="K428" s="136"/>
      <c r="L428" s="163">
        <v>0</v>
      </c>
      <c r="M428" s="163">
        <v>0</v>
      </c>
      <c r="N428" s="163">
        <v>0</v>
      </c>
      <c r="O428" s="163">
        <v>0</v>
      </c>
      <c r="P428" s="163">
        <v>0</v>
      </c>
      <c r="Q428" s="163">
        <v>0</v>
      </c>
      <c r="R428" s="163">
        <v>1057.9653697411281</v>
      </c>
      <c r="S428" s="163">
        <v>1093.1620433314142</v>
      </c>
      <c r="T428" s="163">
        <v>1129.5594607976172</v>
      </c>
      <c r="U428" s="163">
        <v>1167.1997052675226</v>
      </c>
      <c r="V428" s="163">
        <v>1206.1263807224127</v>
      </c>
      <c r="W428" s="163">
        <v>1246.3846689558893</v>
      </c>
      <c r="X428" s="163">
        <v>1288.0213887550383</v>
      </c>
      <c r="Y428" s="163">
        <v>1331.0850573946454</v>
      </c>
      <c r="Z428" s="163">
        <v>1375.6259545390431</v>
      </c>
      <c r="AA428" s="163">
        <v>1421.6961886502354</v>
      </c>
      <c r="AB428" s="163">
        <v>1469.3497660051655</v>
      </c>
      <c r="AC428" s="163">
        <v>1518.6426624294395</v>
      </c>
      <c r="AD428" s="163">
        <v>1569.6328978594127</v>
      </c>
      <c r="AE428" s="163">
        <v>1622.380613849411</v>
      </c>
      <c r="AF428" s="138"/>
      <c r="AG428" s="138"/>
      <c r="AH428" s="138"/>
      <c r="AI428" s="138"/>
    </row>
    <row r="429" spans="1:35" customFormat="1" ht="14.25" x14ac:dyDescent="0.45">
      <c r="B429" s="14" t="s">
        <v>1744</v>
      </c>
      <c r="C429" s="14" t="s">
        <v>2675</v>
      </c>
      <c r="D429" s="15" t="s">
        <v>3672</v>
      </c>
      <c r="E429" s="16" t="s">
        <v>1854</v>
      </c>
      <c r="F429" s="14"/>
      <c r="G429" s="17"/>
      <c r="H429" s="125"/>
      <c r="K429" s="136"/>
      <c r="L429" s="163">
        <v>0</v>
      </c>
      <c r="M429" s="163">
        <v>0</v>
      </c>
      <c r="N429" s="163">
        <v>0</v>
      </c>
      <c r="O429" s="163">
        <v>0</v>
      </c>
      <c r="P429" s="163">
        <v>0</v>
      </c>
      <c r="Q429" s="163">
        <v>0</v>
      </c>
      <c r="R429" s="163">
        <v>504.02954432644299</v>
      </c>
      <c r="S429" s="163">
        <v>520.59186271947965</v>
      </c>
      <c r="T429" s="163">
        <v>537.71770413942943</v>
      </c>
      <c r="U429" s="163">
        <v>555.42686035444433</v>
      </c>
      <c r="V429" s="163">
        <v>573.73983914371013</v>
      </c>
      <c r="W429" s="163">
        <v>592.67789094096656</v>
      </c>
      <c r="X429" s="163">
        <v>612.26303649661156</v>
      </c>
      <c r="Y429" s="163">
        <v>632.51809559834771</v>
      </c>
      <c r="Z429" s="163">
        <v>653.46671689193511</v>
      </c>
      <c r="AA429" s="163">
        <v>675.13340884529282</v>
      </c>
      <c r="AB429" s="163">
        <v>697.54357190091923</v>
      </c>
      <c r="AC429" s="163">
        <v>720.72353186342718</v>
      </c>
      <c r="AD429" s="163">
        <v>744.70057457087296</v>
      </c>
      <c r="AE429" s="163">
        <v>769.50298190052069</v>
      </c>
      <c r="AF429" s="138"/>
      <c r="AG429" s="138"/>
      <c r="AH429" s="138"/>
      <c r="AI429" s="138"/>
    </row>
    <row r="430" spans="1:35" customFormat="1" ht="14.25" x14ac:dyDescent="0.45">
      <c r="B430" s="14" t="s">
        <v>1746</v>
      </c>
      <c r="C430" s="14" t="s">
        <v>2675</v>
      </c>
      <c r="D430" s="15" t="s">
        <v>3672</v>
      </c>
      <c r="E430" s="16" t="s">
        <v>1854</v>
      </c>
      <c r="F430" s="14"/>
      <c r="G430" s="17"/>
      <c r="H430" s="125"/>
      <c r="K430" s="136"/>
      <c r="L430" s="163">
        <v>0</v>
      </c>
      <c r="M430" s="163">
        <v>0</v>
      </c>
      <c r="N430" s="163">
        <v>0</v>
      </c>
      <c r="O430" s="163">
        <v>0</v>
      </c>
      <c r="P430" s="163">
        <v>0</v>
      </c>
      <c r="Q430" s="163">
        <v>0</v>
      </c>
      <c r="R430" s="163">
        <v>504.02954432644299</v>
      </c>
      <c r="S430" s="163">
        <v>520.59186271947965</v>
      </c>
      <c r="T430" s="163">
        <v>537.71770413942943</v>
      </c>
      <c r="U430" s="163">
        <v>555.42686035444433</v>
      </c>
      <c r="V430" s="163">
        <v>573.73983914371013</v>
      </c>
      <c r="W430" s="163">
        <v>592.67789094096656</v>
      </c>
      <c r="X430" s="163">
        <v>612.26303649661156</v>
      </c>
      <c r="Y430" s="163">
        <v>632.51809559834771</v>
      </c>
      <c r="Z430" s="163">
        <v>653.46671689193511</v>
      </c>
      <c r="AA430" s="163">
        <v>675.13340884529282</v>
      </c>
      <c r="AB430" s="163">
        <v>697.54357190091923</v>
      </c>
      <c r="AC430" s="163">
        <v>720.72353186342718</v>
      </c>
      <c r="AD430" s="163">
        <v>744.70057457087296</v>
      </c>
      <c r="AE430" s="163">
        <v>769.50298190052069</v>
      </c>
      <c r="AF430" s="138"/>
      <c r="AG430" s="138"/>
      <c r="AH430" s="138"/>
      <c r="AI430" s="138"/>
    </row>
    <row r="431" spans="1:35" customFormat="1" ht="14.25" x14ac:dyDescent="0.45">
      <c r="B431" s="14" t="s">
        <v>1749</v>
      </c>
      <c r="C431" s="14" t="s">
        <v>2675</v>
      </c>
      <c r="D431" s="15" t="s">
        <v>3672</v>
      </c>
      <c r="E431" s="16" t="s">
        <v>1854</v>
      </c>
      <c r="F431" s="14"/>
      <c r="G431" s="17"/>
      <c r="H431" s="125"/>
      <c r="K431" s="136"/>
      <c r="L431" s="163">
        <v>0</v>
      </c>
      <c r="M431" s="163">
        <v>0</v>
      </c>
      <c r="N431" s="163">
        <v>0</v>
      </c>
      <c r="O431" s="163">
        <v>0</v>
      </c>
      <c r="P431" s="163">
        <v>0</v>
      </c>
      <c r="Q431" s="163">
        <v>0</v>
      </c>
      <c r="R431" s="163">
        <v>284.83707043323085</v>
      </c>
      <c r="S431" s="163">
        <v>708.4833424775004</v>
      </c>
      <c r="T431" s="163">
        <v>1129.5594607976172</v>
      </c>
      <c r="U431" s="163">
        <v>1549.8255604732622</v>
      </c>
      <c r="V431" s="163">
        <v>1970.8501189293936</v>
      </c>
      <c r="W431" s="163">
        <v>2394.0512219885131</v>
      </c>
      <c r="X431" s="163">
        <v>2820.7286212640565</v>
      </c>
      <c r="Y431" s="163">
        <v>3252.0889937031375</v>
      </c>
      <c r="Z431" s="163">
        <v>3689.2661154735397</v>
      </c>
      <c r="AA431" s="163">
        <v>4133.3371852990622</v>
      </c>
      <c r="AB431" s="163">
        <v>4585.3362010107467</v>
      </c>
      <c r="AC431" s="163">
        <v>5046.2650594036386</v>
      </c>
      <c r="AD431" s="163">
        <v>5517.1028823420893</v>
      </c>
      <c r="AE431" s="163">
        <v>5998.813950934873</v>
      </c>
      <c r="AF431" s="138"/>
      <c r="AG431" s="138"/>
      <c r="AH431" s="138"/>
      <c r="AI431" s="138"/>
    </row>
    <row r="432" spans="1:35" customFormat="1" ht="14.25" x14ac:dyDescent="0.45">
      <c r="B432" s="14" t="s">
        <v>1752</v>
      </c>
      <c r="C432" s="14" t="s">
        <v>2675</v>
      </c>
      <c r="D432" s="15" t="s">
        <v>3672</v>
      </c>
      <c r="E432" s="16" t="s">
        <v>1854</v>
      </c>
      <c r="F432" s="14"/>
      <c r="G432" s="17"/>
      <c r="H432" s="125"/>
      <c r="K432" s="136"/>
      <c r="L432" s="163">
        <v>0</v>
      </c>
      <c r="M432" s="163">
        <v>0</v>
      </c>
      <c r="N432" s="163">
        <v>0</v>
      </c>
      <c r="O432" s="163">
        <v>0</v>
      </c>
      <c r="P432" s="163">
        <v>0</v>
      </c>
      <c r="Q432" s="163">
        <v>0</v>
      </c>
      <c r="R432" s="163">
        <v>289.62772594427662</v>
      </c>
      <c r="S432" s="163">
        <v>737.75273903408788</v>
      </c>
      <c r="T432" s="163">
        <v>1202.9577954449232</v>
      </c>
      <c r="U432" s="163">
        <v>1686.0143243059147</v>
      </c>
      <c r="V432" s="163">
        <v>2187.7267979966064</v>
      </c>
      <c r="W432" s="163">
        <v>2708.9342957422778</v>
      </c>
      <c r="X432" s="163">
        <v>3250.5121333185052</v>
      </c>
      <c r="Y432" s="163">
        <v>3813.373561967609</v>
      </c>
      <c r="Z432" s="163">
        <v>4398.4715397617456</v>
      </c>
      <c r="AA432" s="163">
        <v>5006.8005787858556</v>
      </c>
      <c r="AB432" s="163">
        <v>5639.3986716585496</v>
      </c>
      <c r="AC432" s="163">
        <v>6297.3493010607763</v>
      </c>
      <c r="AD432" s="163">
        <v>6981.7835361008492</v>
      </c>
      <c r="AE432" s="163">
        <v>7693.8822195106932</v>
      </c>
      <c r="AF432" s="138"/>
      <c r="AG432" s="138"/>
      <c r="AH432" s="138"/>
      <c r="AI432" s="138"/>
    </row>
    <row r="433" spans="2:35" customFormat="1" ht="14.25" x14ac:dyDescent="0.45">
      <c r="B433" s="14" t="s">
        <v>1755</v>
      </c>
      <c r="C433" s="14" t="s">
        <v>2675</v>
      </c>
      <c r="D433" s="15" t="s">
        <v>3672</v>
      </c>
      <c r="E433" s="16" t="s">
        <v>1854</v>
      </c>
      <c r="F433" s="14"/>
      <c r="G433" s="17"/>
      <c r="H433" s="125"/>
      <c r="K433" s="136"/>
      <c r="L433" s="163">
        <v>0</v>
      </c>
      <c r="M433" s="163">
        <v>0</v>
      </c>
      <c r="N433" s="163">
        <v>0</v>
      </c>
      <c r="O433" s="163">
        <v>0</v>
      </c>
      <c r="P433" s="163">
        <v>0</v>
      </c>
      <c r="Q433" s="163">
        <v>0</v>
      </c>
      <c r="R433" s="163">
        <v>256.59970852637645</v>
      </c>
      <c r="S433" s="163">
        <v>603.01651494915359</v>
      </c>
      <c r="T433" s="163">
        <v>924.58405672931167</v>
      </c>
      <c r="U433" s="163">
        <v>1229.8939684901975</v>
      </c>
      <c r="V433" s="163">
        <v>1523.7820184995367</v>
      </c>
      <c r="W433" s="163">
        <v>1809.5338075890486</v>
      </c>
      <c r="X433" s="163">
        <v>2089.5969662499333</v>
      </c>
      <c r="Y433" s="163">
        <v>2365.9014322891198</v>
      </c>
      <c r="Z433" s="163">
        <v>2640.0308088773613</v>
      </c>
      <c r="AA433" s="163">
        <v>2913.3246699521969</v>
      </c>
      <c r="AB433" s="163">
        <v>3186.9444471251309</v>
      </c>
      <c r="AC433" s="163">
        <v>3461.9182857945693</v>
      </c>
      <c r="AD433" s="163">
        <v>3739.1729114652398</v>
      </c>
      <c r="AE433" s="163">
        <v>4019.5570475058698</v>
      </c>
      <c r="AF433" s="138"/>
      <c r="AG433" s="138"/>
      <c r="AH433" s="138"/>
      <c r="AI433" s="1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E0A-D97F-4310-9A01-1E2CDC6C4E9C}">
  <dimension ref="A1:AI93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3127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3128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1488</v>
      </c>
      <c r="C5" s="7" t="s">
        <v>33</v>
      </c>
      <c r="D5" s="6" t="s">
        <v>34</v>
      </c>
      <c r="E5" s="7" t="s">
        <v>35</v>
      </c>
      <c r="F5" s="7" t="s">
        <v>36</v>
      </c>
      <c r="G5" s="7" t="s">
        <v>37</v>
      </c>
      <c r="H5" s="12" t="s">
        <v>38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2" t="s">
        <v>3129</v>
      </c>
      <c r="C6" s="112" t="s">
        <v>3130</v>
      </c>
      <c r="D6" s="112" t="s">
        <v>3131</v>
      </c>
      <c r="E6" s="112" t="s">
        <v>1852</v>
      </c>
      <c r="F6" s="112" t="s">
        <v>3132</v>
      </c>
      <c r="H6" s="116" t="str">
        <f>Settings!$B$3&amp;".mit.ghg.ipr.co2.1"</f>
        <v>egy.mit.ghg.ipr.co2.1</v>
      </c>
      <c r="I6" s="112" t="s">
        <v>3133</v>
      </c>
      <c r="L6" s="119">
        <v>39.407980795454698</v>
      </c>
      <c r="M6" s="119">
        <v>43.585000918797398</v>
      </c>
      <c r="N6" s="119">
        <v>50.912804098383539</v>
      </c>
      <c r="O6" s="119">
        <v>56.757414027053628</v>
      </c>
      <c r="P6" s="119">
        <v>55.1773166677362</v>
      </c>
      <c r="Q6" s="119">
        <v>60.177140336361155</v>
      </c>
      <c r="R6" s="119">
        <v>62.592850889257889</v>
      </c>
      <c r="S6" s="119">
        <v>64.932582697226763</v>
      </c>
      <c r="T6" s="119">
        <v>67.146957884204539</v>
      </c>
      <c r="U6" s="119">
        <v>69.397003093875313</v>
      </c>
      <c r="V6" s="119">
        <v>71.660468477644955</v>
      </c>
      <c r="W6" s="119">
        <v>73.966810189848204</v>
      </c>
      <c r="X6" s="119">
        <v>76.315807722191707</v>
      </c>
      <c r="Y6" s="119">
        <v>78.707211855040825</v>
      </c>
      <c r="Z6" s="119">
        <v>81.140744118134904</v>
      </c>
      <c r="AA6" s="119">
        <v>83.616096165537925</v>
      </c>
      <c r="AB6" s="119">
        <v>86.13292906095532</v>
      </c>
      <c r="AC6" s="119">
        <v>88.690872469710754</v>
      </c>
      <c r="AD6" s="119">
        <v>91.289523753836292</v>
      </c>
      <c r="AE6" s="119">
        <v>93.928446966871803</v>
      </c>
    </row>
    <row r="7" spans="1:35" x14ac:dyDescent="0.35">
      <c r="B7" s="112" t="s">
        <v>3134</v>
      </c>
      <c r="C7" s="112" t="s">
        <v>3130</v>
      </c>
      <c r="D7" s="112" t="s">
        <v>3135</v>
      </c>
      <c r="E7" s="112" t="s">
        <v>1852</v>
      </c>
      <c r="F7" s="112" t="s">
        <v>3136</v>
      </c>
      <c r="H7" s="116" t="str">
        <f>Settings!$B$3&amp;".mit.ghg.ipr.ch4.1"</f>
        <v>egy.mit.ghg.ipr.ch4.1</v>
      </c>
      <c r="I7" s="112" t="s">
        <v>3133</v>
      </c>
      <c r="L7" s="119">
        <v>0.1657182072</v>
      </c>
      <c r="M7" s="119">
        <v>0.16588942488057401</v>
      </c>
      <c r="N7" s="119">
        <v>0.19377986951689197</v>
      </c>
      <c r="O7" s="119">
        <v>0.21602511350632642</v>
      </c>
      <c r="P7" s="119">
        <v>0.21001108490321049</v>
      </c>
      <c r="Q7" s="119">
        <v>0.22904097719202224</v>
      </c>
      <c r="R7" s="119">
        <v>0.23823544377112332</v>
      </c>
      <c r="S7" s="119">
        <v>0.24714072668535048</v>
      </c>
      <c r="T7" s="119">
        <v>0.25556888817425227</v>
      </c>
      <c r="U7" s="119">
        <v>0.26413281378900649</v>
      </c>
      <c r="V7" s="119">
        <v>0.27274781809863574</v>
      </c>
      <c r="W7" s="119">
        <v>0.28152601454581</v>
      </c>
      <c r="X7" s="119">
        <v>0.29046656385111685</v>
      </c>
      <c r="Y7" s="119">
        <v>0.29956851745654345</v>
      </c>
      <c r="Z7" s="119">
        <v>0.30883081547289826</v>
      </c>
      <c r="AA7" s="119">
        <v>0.31825228430080271</v>
      </c>
      <c r="AB7" s="119">
        <v>0.32783163391052672</v>
      </c>
      <c r="AC7" s="119">
        <v>0.33756745476656086</v>
      </c>
      <c r="AD7" s="119">
        <v>0.34745821438342783</v>
      </c>
      <c r="AE7" s="119">
        <v>0.35750225349977566</v>
      </c>
    </row>
    <row r="8" spans="1:35" x14ac:dyDescent="0.35">
      <c r="B8" s="112" t="s">
        <v>3137</v>
      </c>
      <c r="C8" s="112" t="s">
        <v>3130</v>
      </c>
      <c r="D8" s="112" t="s">
        <v>3138</v>
      </c>
      <c r="E8" s="112" t="s">
        <v>1852</v>
      </c>
      <c r="F8" s="112" t="s">
        <v>3139</v>
      </c>
      <c r="H8" s="116" t="str">
        <f>Settings!$B$3&amp;".mit.ghg.ipr.n2o.1"</f>
        <v>egy.mit.ghg.ipr.n2o.1</v>
      </c>
      <c r="I8" s="112" t="s">
        <v>3133</v>
      </c>
      <c r="L8" s="119">
        <v>0.92749999999999999</v>
      </c>
      <c r="M8" s="119">
        <v>0.92749999999999999</v>
      </c>
      <c r="N8" s="119">
        <v>1.0834375313936251</v>
      </c>
      <c r="O8" s="119">
        <v>1.2078123299382222</v>
      </c>
      <c r="P8" s="119">
        <v>1.1741874528045189</v>
      </c>
      <c r="Q8" s="119">
        <v>1.2805849830303275</v>
      </c>
      <c r="R8" s="119">
        <v>1.3319919232753465</v>
      </c>
      <c r="S8" s="119">
        <v>1.381782016338192</v>
      </c>
      <c r="T8" s="119">
        <v>1.428904488349799</v>
      </c>
      <c r="U8" s="119">
        <v>1.4767860275944065</v>
      </c>
      <c r="V8" s="119">
        <v>1.5249531515863879</v>
      </c>
      <c r="W8" s="119">
        <v>1.5740326948460954</v>
      </c>
      <c r="X8" s="119">
        <v>1.6240199649004818</v>
      </c>
      <c r="Y8" s="119">
        <v>1.6749096582917917</v>
      </c>
      <c r="Z8" s="119">
        <v>1.7266958491014452</v>
      </c>
      <c r="AA8" s="119">
        <v>1.7793719756488264</v>
      </c>
      <c r="AB8" s="119">
        <v>1.8329308252826433</v>
      </c>
      <c r="AC8" s="119">
        <v>1.8873645171859845</v>
      </c>
      <c r="AD8" s="119">
        <v>1.9426644831196078</v>
      </c>
      <c r="AE8" s="119">
        <v>1.9988214460310123</v>
      </c>
    </row>
    <row r="9" spans="1:35" x14ac:dyDescent="0.35">
      <c r="B9" s="112" t="s">
        <v>3140</v>
      </c>
      <c r="C9" s="112" t="s">
        <v>3130</v>
      </c>
      <c r="D9" s="112" t="s">
        <v>3141</v>
      </c>
      <c r="E9" s="112" t="s">
        <v>1852</v>
      </c>
      <c r="F9" s="112" t="s">
        <v>3142</v>
      </c>
      <c r="H9" s="116" t="str">
        <f>Settings!$B$3&amp;".mit.ghg.ipr.fga.1"</f>
        <v>egy.mit.ghg.ipr.fga.1</v>
      </c>
      <c r="I9" s="112" t="s">
        <v>3133</v>
      </c>
      <c r="L9" s="119">
        <v>11.699150757821901</v>
      </c>
      <c r="M9" s="119">
        <v>12.2250407871263</v>
      </c>
      <c r="N9" s="119">
        <v>14.280396777995145</v>
      </c>
      <c r="O9" s="119">
        <v>15.919735845486592</v>
      </c>
      <c r="P9" s="119">
        <v>15.476538546918793</v>
      </c>
      <c r="Q9" s="119">
        <v>16.878925767037405</v>
      </c>
      <c r="R9" s="119">
        <v>17.556501984004221</v>
      </c>
      <c r="S9" s="119">
        <v>18.212767125231281</v>
      </c>
      <c r="T9" s="119">
        <v>18.833871321815767</v>
      </c>
      <c r="U9" s="119">
        <v>19.46498050803217</v>
      </c>
      <c r="V9" s="119">
        <v>20.099853883127096</v>
      </c>
      <c r="W9" s="119">
        <v>20.746753525351846</v>
      </c>
      <c r="X9" s="119">
        <v>21.405617584922702</v>
      </c>
      <c r="Y9" s="119">
        <v>22.076376158888326</v>
      </c>
      <c r="Z9" s="119">
        <v>22.758951139867214</v>
      </c>
      <c r="AA9" s="119">
        <v>23.453256040729276</v>
      </c>
      <c r="AB9" s="119">
        <v>24.159195794136256</v>
      </c>
      <c r="AC9" s="119">
        <v>24.876666525901445</v>
      </c>
      <c r="AD9" s="119">
        <v>25.60555530117394</v>
      </c>
      <c r="AE9" s="119">
        <v>26.345739842492602</v>
      </c>
    </row>
    <row r="10" spans="1:35" x14ac:dyDescent="0.35">
      <c r="B10" s="112" t="s">
        <v>110</v>
      </c>
      <c r="C10" s="112" t="s">
        <v>3130</v>
      </c>
      <c r="D10" s="112" t="s">
        <v>3143</v>
      </c>
      <c r="E10" s="112" t="s">
        <v>1852</v>
      </c>
      <c r="F10" s="112" t="s">
        <v>3144</v>
      </c>
      <c r="H10" s="116" t="str">
        <f>Settings!$B$3&amp;".mit.ghg.ipr.tot.1"</f>
        <v>egy.mit.ghg.ipr.tot.1</v>
      </c>
      <c r="I10" s="112" t="s">
        <v>3145</v>
      </c>
      <c r="L10" s="118">
        <f t="shared" ref="L10:AE10" si="0">SUM(L6:L9)</f>
        <v>52.200349760476598</v>
      </c>
      <c r="M10" s="118">
        <f t="shared" si="0"/>
        <v>56.903431130804279</v>
      </c>
      <c r="N10" s="118">
        <f t="shared" si="0"/>
        <v>66.470418277289212</v>
      </c>
      <c r="O10" s="118">
        <f t="shared" si="0"/>
        <v>74.100987315984767</v>
      </c>
      <c r="P10" s="118">
        <f t="shared" si="0"/>
        <v>72.038053752362714</v>
      </c>
      <c r="Q10" s="118">
        <f t="shared" si="0"/>
        <v>78.565692063620915</v>
      </c>
      <c r="R10" s="118">
        <f t="shared" si="0"/>
        <v>81.719580240308574</v>
      </c>
      <c r="S10" s="118">
        <f t="shared" si="0"/>
        <v>84.774272565481581</v>
      </c>
      <c r="T10" s="118">
        <f t="shared" si="0"/>
        <v>87.665302582544356</v>
      </c>
      <c r="U10" s="118">
        <f t="shared" si="0"/>
        <v>90.602902443290887</v>
      </c>
      <c r="V10" s="118">
        <f t="shared" si="0"/>
        <v>93.558023330457075</v>
      </c>
      <c r="W10" s="118">
        <f t="shared" si="0"/>
        <v>96.569122424591953</v>
      </c>
      <c r="X10" s="118">
        <f t="shared" si="0"/>
        <v>99.635911835866011</v>
      </c>
      <c r="Y10" s="118">
        <f t="shared" si="0"/>
        <v>102.75806618967749</v>
      </c>
      <c r="Z10" s="118">
        <f t="shared" si="0"/>
        <v>105.93522192257646</v>
      </c>
      <c r="AA10" s="118">
        <f t="shared" si="0"/>
        <v>109.16697646621682</v>
      </c>
      <c r="AB10" s="118">
        <f t="shared" si="0"/>
        <v>112.45288731428474</v>
      </c>
      <c r="AC10" s="118">
        <f t="shared" si="0"/>
        <v>115.79247096756474</v>
      </c>
      <c r="AD10" s="118">
        <f t="shared" si="0"/>
        <v>119.18520175251327</v>
      </c>
      <c r="AE10" s="118">
        <f t="shared" si="0"/>
        <v>122.6305105088952</v>
      </c>
    </row>
    <row r="11" spans="1:35" x14ac:dyDescent="0.35">
      <c r="B11" s="112" t="s">
        <v>110</v>
      </c>
      <c r="C11" s="112" t="s">
        <v>4</v>
      </c>
      <c r="D11" s="112" t="s">
        <v>3146</v>
      </c>
      <c r="E11" s="112" t="s">
        <v>2068</v>
      </c>
      <c r="F11" s="112" t="s">
        <v>3147</v>
      </c>
      <c r="H11" s="116" t="str">
        <f>Settings!$B$3&amp;".mit.co2.ind.1"</f>
        <v>egy.mit.co2.ind.1</v>
      </c>
      <c r="I11" s="112" t="s">
        <v>3148</v>
      </c>
      <c r="L11" s="119">
        <v>59.804205879849356</v>
      </c>
      <c r="M11" s="119">
        <v>48.931828957170424</v>
      </c>
      <c r="N11" s="119">
        <v>57.158576789144817</v>
      </c>
      <c r="O11" s="119">
        <v>63.720179343286866</v>
      </c>
      <c r="P11" s="119">
        <v>61.946242160955606</v>
      </c>
      <c r="Q11" s="119">
        <v>67.559423563084593</v>
      </c>
      <c r="R11" s="119">
        <v>70.271483517026113</v>
      </c>
      <c r="S11" s="119">
        <v>72.898243967174636</v>
      </c>
      <c r="T11" s="119">
        <v>75.384269563412914</v>
      </c>
      <c r="U11" s="119">
        <v>77.910341033518762</v>
      </c>
      <c r="V11" s="119">
        <v>80.451479009297159</v>
      </c>
      <c r="W11" s="119">
        <v>83.040753204531725</v>
      </c>
      <c r="X11" s="119">
        <v>85.677916059881724</v>
      </c>
      <c r="Y11" s="119">
        <v>88.362687782476257</v>
      </c>
      <c r="Z11" s="119">
        <v>91.094755740472323</v>
      </c>
      <c r="AA11" s="119">
        <v>93.873773761327016</v>
      </c>
      <c r="AB11" s="119">
        <v>96.699361329439938</v>
      </c>
      <c r="AC11" s="119">
        <v>99.571102679005023</v>
      </c>
      <c r="AD11" s="119">
        <v>102.4885457780901</v>
      </c>
      <c r="AE11" s="119">
        <v>105.45120120012244</v>
      </c>
    </row>
    <row r="14" spans="1:35" customFormat="1" ht="18" customHeight="1" x14ac:dyDescent="0.45">
      <c r="A14" s="8"/>
      <c r="B14" s="9" t="s">
        <v>3149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1:35" customFormat="1" ht="14.25" x14ac:dyDescent="0.45">
      <c r="A16" s="11"/>
      <c r="B16" s="6" t="s">
        <v>1488</v>
      </c>
      <c r="C16" s="7" t="s">
        <v>33</v>
      </c>
      <c r="D16" s="6" t="s">
        <v>34</v>
      </c>
      <c r="E16" s="7" t="s">
        <v>35</v>
      </c>
      <c r="F16" s="7" t="s">
        <v>36</v>
      </c>
      <c r="G16" s="7" t="s">
        <v>37</v>
      </c>
      <c r="H16" s="12" t="s">
        <v>38</v>
      </c>
      <c r="I16" s="6" t="s">
        <v>39</v>
      </c>
      <c r="J16" s="48">
        <v>1</v>
      </c>
      <c r="K16" s="6">
        <v>2021</v>
      </c>
      <c r="L16" s="46">
        <v>2022</v>
      </c>
      <c r="M16" s="6">
        <v>2023</v>
      </c>
      <c r="N16" s="6">
        <v>2024</v>
      </c>
      <c r="O16" s="6">
        <v>2025</v>
      </c>
      <c r="P16" s="6">
        <v>2026</v>
      </c>
      <c r="Q16" s="6">
        <v>2027</v>
      </c>
      <c r="R16" s="6">
        <v>2028</v>
      </c>
      <c r="S16" s="6">
        <v>2029</v>
      </c>
      <c r="T16" s="6">
        <v>2030</v>
      </c>
      <c r="U16" s="6">
        <v>2031</v>
      </c>
      <c r="V16" s="6">
        <v>2032</v>
      </c>
      <c r="W16" s="6">
        <v>2033</v>
      </c>
      <c r="X16" s="6">
        <v>2034</v>
      </c>
      <c r="Y16" s="6">
        <v>2035</v>
      </c>
      <c r="Z16" s="6">
        <v>2036</v>
      </c>
      <c r="AA16" s="6">
        <v>2037</v>
      </c>
      <c r="AB16" s="6">
        <v>2038</v>
      </c>
      <c r="AC16" s="6">
        <v>2039</v>
      </c>
      <c r="AD16" s="6">
        <v>2040</v>
      </c>
      <c r="AE16" s="6">
        <v>2041</v>
      </c>
      <c r="AF16" s="6">
        <v>2042</v>
      </c>
      <c r="AG16" s="6">
        <v>2043</v>
      </c>
      <c r="AH16" s="6">
        <v>2044</v>
      </c>
      <c r="AI16" s="6">
        <v>2045</v>
      </c>
    </row>
    <row r="17" spans="1:35" x14ac:dyDescent="0.35">
      <c r="B17" s="112" t="s">
        <v>110</v>
      </c>
      <c r="C17" s="112" t="s">
        <v>3150</v>
      </c>
      <c r="D17" s="112" t="s">
        <v>3151</v>
      </c>
      <c r="E17" s="112" t="s">
        <v>2068</v>
      </c>
      <c r="F17" s="112" t="s">
        <v>3152</v>
      </c>
      <c r="H17" s="116" t="str">
        <f>Settings!$B$3&amp;".mit.eco2.kern.tot.e.1"</f>
        <v>egy.mit.eco2.kern.tot.e.1</v>
      </c>
      <c r="I17" s="112" t="s">
        <v>3153</v>
      </c>
      <c r="L17" s="118">
        <f>Emissions_Industry!L15+Emissions_Industry!L27+Emissions_Industry!L39+Emissions_Industry!L51</f>
        <v>14.019740964534272</v>
      </c>
      <c r="M17" s="118">
        <f>Emissions_Industry!M15+Emissions_Industry!M27+Emissions_Industry!M39+Emissions_Industry!M51</f>
        <v>11.739301230035998</v>
      </c>
      <c r="N17" s="118">
        <f>Emissions_Industry!N15+Emissions_Industry!N27+Emissions_Industry!N39+Emissions_Industry!N51</f>
        <v>13.303124518863104</v>
      </c>
      <c r="O17" s="118">
        <f>Emissions_Industry!O15+Emissions_Industry!O27+Emissions_Industry!O39+Emissions_Industry!O51</f>
        <v>14.156899598427017</v>
      </c>
      <c r="P17" s="118">
        <f>Emissions_Industry!P15+Emissions_Industry!P27+Emissions_Industry!P39+Emissions_Industry!P51</f>
        <v>14.286244741983563</v>
      </c>
      <c r="Q17" s="118">
        <f>Emissions_Industry!Q15+Emissions_Industry!Q27+Emissions_Industry!Q39+Emissions_Industry!Q51</f>
        <v>14.694127249831887</v>
      </c>
      <c r="R17" s="118">
        <f>Emissions_Industry!R15+Emissions_Industry!R27+Emissions_Industry!R39+Emissions_Industry!R51</f>
        <v>15.27697183467752</v>
      </c>
      <c r="S17" s="118">
        <f>Emissions_Industry!S15+Emissions_Industry!S27+Emissions_Industry!S39+Emissions_Industry!S51</f>
        <v>15.844069878250156</v>
      </c>
      <c r="T17" s="118">
        <f>Emissions_Industry!T15+Emissions_Industry!T27+Emissions_Industry!T39+Emissions_Industry!T51</f>
        <v>16.383896414290213</v>
      </c>
      <c r="U17" s="118">
        <f>Emissions_Industry!U15+Emissions_Industry!U27+Emissions_Industry!U39+Emissions_Industry!U51</f>
        <v>16.932091247027692</v>
      </c>
      <c r="V17" s="118">
        <f>Emissions_Industry!V15+Emissions_Industry!V27+Emissions_Industry!V39+Emissions_Industry!V51</f>
        <v>17.456721897287899</v>
      </c>
      <c r="W17" s="118">
        <f>Emissions_Industry!W15+Emissions_Industry!W27+Emissions_Industry!W39+Emissions_Industry!W51</f>
        <v>17.991034633776298</v>
      </c>
      <c r="X17" s="118">
        <f>Emissions_Industry!X15+Emissions_Industry!X27+Emissions_Industry!X39+Emissions_Industry!X51</f>
        <v>18.534983575594026</v>
      </c>
      <c r="Y17" s="118">
        <f>Emissions_Industry!Y15+Emissions_Industry!Y27+Emissions_Industry!Y39+Emissions_Industry!Y51</f>
        <v>19.08851611045521</v>
      </c>
      <c r="Z17" s="118">
        <f>Emissions_Industry!Z15+Emissions_Industry!Z27+Emissions_Industry!Z39+Emissions_Industry!Z51</f>
        <v>19.651572741430424</v>
      </c>
      <c r="AA17" s="118">
        <f>Emissions_Industry!AA15+Emissions_Industry!AA27+Emissions_Industry!AA39+Emissions_Industry!AA51</f>
        <v>20.224086914529249</v>
      </c>
      <c r="AB17" s="118">
        <f>Emissions_Industry!AB15+Emissions_Industry!AB27+Emissions_Industry!AB39+Emissions_Industry!AB51</f>
        <v>20.80598482616989</v>
      </c>
      <c r="AC17" s="118">
        <f>Emissions_Industry!AC15+Emissions_Industry!AC27+Emissions_Industry!AC39+Emissions_Industry!AC51</f>
        <v>21.397185209616836</v>
      </c>
      <c r="AD17" s="118">
        <f>Emissions_Industry!AD15+Emissions_Industry!AD27+Emissions_Industry!AD39+Emissions_Industry!AD51</f>
        <v>21.997599099500416</v>
      </c>
      <c r="AE17" s="118">
        <f>Emissions_Industry!AE15+Emissions_Industry!AE27+Emissions_Industry!AE39+Emissions_Industry!AE51</f>
        <v>22.607129573562297</v>
      </c>
    </row>
    <row r="18" spans="1:35" x14ac:dyDescent="0.35">
      <c r="B18" s="112" t="s">
        <v>110</v>
      </c>
      <c r="C18" s="112" t="s">
        <v>4</v>
      </c>
      <c r="D18" s="112" t="s">
        <v>3154</v>
      </c>
      <c r="E18" s="112" t="s">
        <v>2068</v>
      </c>
      <c r="F18" s="112" t="s">
        <v>3155</v>
      </c>
      <c r="H18" s="116" t="str">
        <f>Settings!$B$3&amp;".mit.co2.ind.k.1"</f>
        <v>egy.mit.co2.ind.k.1</v>
      </c>
      <c r="I18" s="112" t="s">
        <v>3156</v>
      </c>
      <c r="L18" s="118">
        <f t="shared" ref="L18:AE18" si="1">L11+L17-L17</f>
        <v>59.804205879849356</v>
      </c>
      <c r="M18" s="118">
        <f t="shared" si="1"/>
        <v>48.931828957170424</v>
      </c>
      <c r="N18" s="118">
        <f t="shared" si="1"/>
        <v>57.158576789144817</v>
      </c>
      <c r="O18" s="118">
        <f t="shared" si="1"/>
        <v>63.720179343286858</v>
      </c>
      <c r="P18" s="118">
        <f t="shared" si="1"/>
        <v>61.946242160955606</v>
      </c>
      <c r="Q18" s="118">
        <f t="shared" si="1"/>
        <v>67.559423563084579</v>
      </c>
      <c r="R18" s="118">
        <f t="shared" si="1"/>
        <v>70.271483517026113</v>
      </c>
      <c r="S18" s="118">
        <f t="shared" si="1"/>
        <v>72.898243967174636</v>
      </c>
      <c r="T18" s="118">
        <f t="shared" si="1"/>
        <v>75.384269563412914</v>
      </c>
      <c r="U18" s="118">
        <f t="shared" si="1"/>
        <v>77.910341033518762</v>
      </c>
      <c r="V18" s="118">
        <f t="shared" si="1"/>
        <v>80.451479009297145</v>
      </c>
      <c r="W18" s="118">
        <f t="shared" si="1"/>
        <v>83.040753204531725</v>
      </c>
      <c r="X18" s="118">
        <f t="shared" si="1"/>
        <v>85.677916059881724</v>
      </c>
      <c r="Y18" s="118">
        <f t="shared" si="1"/>
        <v>88.362687782476257</v>
      </c>
      <c r="Z18" s="118">
        <f t="shared" si="1"/>
        <v>91.094755740472323</v>
      </c>
      <c r="AA18" s="118">
        <f t="shared" si="1"/>
        <v>93.873773761327016</v>
      </c>
      <c r="AB18" s="118">
        <f t="shared" si="1"/>
        <v>96.699361329439938</v>
      </c>
      <c r="AC18" s="118">
        <f t="shared" si="1"/>
        <v>99.571102679005023</v>
      </c>
      <c r="AD18" s="118">
        <f t="shared" si="1"/>
        <v>102.4885457780901</v>
      </c>
      <c r="AE18" s="118">
        <f t="shared" si="1"/>
        <v>105.45120120012243</v>
      </c>
    </row>
    <row r="19" spans="1:35" x14ac:dyDescent="0.35">
      <c r="B19" s="112" t="s">
        <v>110</v>
      </c>
      <c r="C19" s="112" t="s">
        <v>3130</v>
      </c>
      <c r="D19" s="112" t="s">
        <v>3157</v>
      </c>
      <c r="E19" s="112" t="s">
        <v>1852</v>
      </c>
      <c r="F19" s="112" t="s">
        <v>3158</v>
      </c>
      <c r="H19" s="116" t="str">
        <f>Settings!$B$3&amp;".mit.ghg.iprc.tot.1"</f>
        <v>egy.mit.ghg.iprc.tot.1</v>
      </c>
      <c r="I19" s="112" t="s">
        <v>3159</v>
      </c>
      <c r="L19" s="118">
        <f>L10</f>
        <v>52.200349760476598</v>
      </c>
      <c r="M19" s="118">
        <f>M10</f>
        <v>56.903431130804279</v>
      </c>
      <c r="N19" s="118">
        <f t="shared" ref="N19:AE19" si="2">IF(M18=0,0,M19*N18/M18)</f>
        <v>66.470418277289212</v>
      </c>
      <c r="O19" s="118">
        <f t="shared" si="2"/>
        <v>74.100987315984753</v>
      </c>
      <c r="P19" s="118">
        <f t="shared" si="2"/>
        <v>72.038053752362728</v>
      </c>
      <c r="Q19" s="118">
        <f t="shared" si="2"/>
        <v>78.565692063620887</v>
      </c>
      <c r="R19" s="118">
        <f t="shared" si="2"/>
        <v>81.719580240308588</v>
      </c>
      <c r="S19" s="118">
        <f t="shared" si="2"/>
        <v>84.774272565481596</v>
      </c>
      <c r="T19" s="118">
        <f t="shared" si="2"/>
        <v>87.665302582544385</v>
      </c>
      <c r="U19" s="118">
        <f t="shared" si="2"/>
        <v>90.60290244329093</v>
      </c>
      <c r="V19" s="118">
        <f t="shared" si="2"/>
        <v>93.558023330457104</v>
      </c>
      <c r="W19" s="118">
        <f t="shared" si="2"/>
        <v>96.569122424591995</v>
      </c>
      <c r="X19" s="118">
        <f t="shared" si="2"/>
        <v>99.635911835866054</v>
      </c>
      <c r="Y19" s="118">
        <f t="shared" si="2"/>
        <v>102.75806618967755</v>
      </c>
      <c r="Z19" s="118">
        <f t="shared" si="2"/>
        <v>105.93522192257653</v>
      </c>
      <c r="AA19" s="118">
        <f t="shared" si="2"/>
        <v>109.16697646621689</v>
      </c>
      <c r="AB19" s="118">
        <f t="shared" si="2"/>
        <v>112.45288731428481</v>
      </c>
      <c r="AC19" s="118">
        <f t="shared" si="2"/>
        <v>115.79247096756482</v>
      </c>
      <c r="AD19" s="118">
        <f t="shared" si="2"/>
        <v>119.18520175251335</v>
      </c>
      <c r="AE19" s="118">
        <f t="shared" si="2"/>
        <v>122.63051050889524</v>
      </c>
    </row>
    <row r="20" spans="1:35" x14ac:dyDescent="0.35">
      <c r="B20" s="112" t="s">
        <v>2675</v>
      </c>
      <c r="C20" s="112" t="s">
        <v>3130</v>
      </c>
      <c r="D20" s="112" t="s">
        <v>3160</v>
      </c>
      <c r="E20" s="112" t="s">
        <v>1852</v>
      </c>
      <c r="F20" s="112" t="s">
        <v>3161</v>
      </c>
      <c r="H20" s="116" t="str">
        <f>Settings!$B$3&amp;".mit.ghg.ipr.blknp.1"</f>
        <v>egy.mit.ghg.ipr.blknp.1</v>
      </c>
      <c r="I20" s="112" t="s">
        <v>3162</v>
      </c>
      <c r="L20" s="118">
        <f>Mitigation_Industry!L260</f>
        <v>25.971762885046314</v>
      </c>
      <c r="M20" s="118">
        <f>Mitigation_Industry!M260</f>
        <v>26.842539414672931</v>
      </c>
      <c r="N20" s="118">
        <f>Mitigation_Industry!N260</f>
        <v>27.742760634</v>
      </c>
      <c r="O20" s="118">
        <f>Mitigation_Industry!O260</f>
        <v>28.673435240928001</v>
      </c>
      <c r="P20" s="118">
        <f>Mitigation_Industry!P260</f>
        <v>29.635607169743587</v>
      </c>
      <c r="Q20" s="118">
        <f>Mitigation_Industry!Q260</f>
        <v>30.630356857310563</v>
      </c>
      <c r="R20" s="118">
        <f>Mitigation_Industry!R260</f>
        <v>31.658802556563273</v>
      </c>
      <c r="S20" s="118">
        <f>Mitigation_Industry!S260</f>
        <v>32.722101699159616</v>
      </c>
      <c r="T20" s="118">
        <f>Mitigation_Industry!T260</f>
        <v>33.821452309227929</v>
      </c>
      <c r="U20" s="118">
        <f>Mitigation_Industry!U260</f>
        <v>34.958094470222733</v>
      </c>
      <c r="V20" s="118">
        <f>Mitigation_Industry!V260</f>
        <v>36.133311846988548</v>
      </c>
      <c r="W20" s="118">
        <f>Mitigation_Industry!W260</f>
        <v>37.348433265219015</v>
      </c>
      <c r="X20" s="118">
        <f>Mitigation_Industry!X260</f>
        <v>38.60483435059016</v>
      </c>
      <c r="Y20" s="118">
        <f>Mitigation_Industry!Y260</f>
        <v>39.903939229943205</v>
      </c>
      <c r="Z20" s="118">
        <f>Mitigation_Industry!Z260</f>
        <v>41.247222296991801</v>
      </c>
      <c r="AA20" s="118">
        <f>Mitigation_Industry!AA260</f>
        <v>42.636210045134121</v>
      </c>
      <c r="AB20" s="118">
        <f>Mitigation_Industry!AB260</f>
        <v>44.072482970059113</v>
      </c>
      <c r="AC20" s="118">
        <f>Mitigation_Industry!AC260</f>
        <v>45.557677544951083</v>
      </c>
      <c r="AD20" s="118">
        <f>Mitigation_Industry!AD260</f>
        <v>47.09348827121579</v>
      </c>
      <c r="AE20" s="118">
        <f>Mitigation_Industry!AE260</f>
        <v>48.681669807777041</v>
      </c>
    </row>
    <row r="21" spans="1:35" x14ac:dyDescent="0.35">
      <c r="B21" s="112" t="s">
        <v>2675</v>
      </c>
      <c r="C21" s="112" t="s">
        <v>3130</v>
      </c>
      <c r="D21" s="112" t="s">
        <v>3163</v>
      </c>
      <c r="E21" s="112" t="s">
        <v>1852</v>
      </c>
      <c r="F21" s="112" t="s">
        <v>3164</v>
      </c>
      <c r="H21" s="116" t="str">
        <f>Settings!$B$3&amp;".mit.ghg.ipr.blkno.1"</f>
        <v>egy.mit.ghg.ipr.blkno.1</v>
      </c>
      <c r="I21" s="112" t="s">
        <v>3165</v>
      </c>
      <c r="L21" s="118">
        <f>Mitigation_Industry!L261</f>
        <v>0.77985726154224555</v>
      </c>
      <c r="M21" s="118">
        <f>Mitigation_Industry!M261</f>
        <v>0.80389860277682457</v>
      </c>
      <c r="N21" s="118">
        <f>Mitigation_Industry!N261</f>
        <v>0.82884750000000007</v>
      </c>
      <c r="O21" s="118">
        <f>Mitigation_Industry!O261</f>
        <v>0.85474474500000008</v>
      </c>
      <c r="P21" s="118">
        <f>Mitigation_Industry!P261</f>
        <v>0.88163317238999994</v>
      </c>
      <c r="Q21" s="118">
        <f>Mitigation_Industry!Q261</f>
        <v>0.90955776754758011</v>
      </c>
      <c r="R21" s="118">
        <f>Mitigation_Industry!R261</f>
        <v>0.93856578039370175</v>
      </c>
      <c r="S21" s="118">
        <f>Mitigation_Industry!S261</f>
        <v>0.96870684533024232</v>
      </c>
      <c r="T21" s="118">
        <f>Mitigation_Industry!T261</f>
        <v>1.0000331076726199</v>
      </c>
      <c r="U21" s="118">
        <f>Mitigation_Industry!U261</f>
        <v>1.0325993569325114</v>
      </c>
      <c r="V21" s="118">
        <f>Mitigation_Industry!V261</f>
        <v>1.0664631673251306</v>
      </c>
      <c r="W21" s="118">
        <f>Mitigation_Industry!W261</f>
        <v>1.1016850458960927</v>
      </c>
      <c r="X21" s="118">
        <f>Mitigation_Industry!X261</f>
        <v>1.138328588684556</v>
      </c>
      <c r="Y21" s="118">
        <f>Mitigation_Industry!Y261</f>
        <v>1.1764606453621964</v>
      </c>
      <c r="Z21" s="118">
        <f>Mitigation_Industry!Z261</f>
        <v>1.216151492811707</v>
      </c>
      <c r="AA21" s="118">
        <f>Mitigation_Industry!AA261</f>
        <v>1.2574750181339414</v>
      </c>
      <c r="AB21" s="118">
        <f>Mitigation_Industry!AB261</f>
        <v>1.3005089115996857</v>
      </c>
      <c r="AC21" s="118">
        <f>Mitigation_Industry!AC261</f>
        <v>1.3453348700903502</v>
      </c>
      <c r="AD21" s="118">
        <f>Mitigation_Industry!AD261</f>
        <v>1.3920388116017608</v>
      </c>
      <c r="AE21" s="118">
        <f>Mitigation_Industry!AE261</f>
        <v>1.4407111014167402</v>
      </c>
    </row>
    <row r="22" spans="1:35" x14ac:dyDescent="0.35">
      <c r="B22" s="112" t="s">
        <v>2675</v>
      </c>
      <c r="C22" s="112" t="s">
        <v>3130</v>
      </c>
      <c r="D22" s="112" t="s">
        <v>3166</v>
      </c>
      <c r="E22" s="112" t="s">
        <v>1852</v>
      </c>
      <c r="F22" s="112" t="s">
        <v>3167</v>
      </c>
      <c r="H22" s="116" t="str">
        <f>Settings!$B$3&amp;".mit.ghg.ipr.blkproc.1"</f>
        <v>egy.mit.ghg.ipr.blkproc.1</v>
      </c>
      <c r="I22" s="112" t="s">
        <v>3168</v>
      </c>
      <c r="L22" s="118">
        <f>Mitigation_Industry!L390</f>
        <v>26.751620146588561</v>
      </c>
      <c r="M22" s="118">
        <f>Mitigation_Industry!M390</f>
        <v>27.646438017449757</v>
      </c>
      <c r="N22" s="118">
        <f>Mitigation_Industry!N390</f>
        <v>28.571608133999998</v>
      </c>
      <c r="O22" s="118">
        <f>Mitigation_Industry!O390</f>
        <v>29.528179985927999</v>
      </c>
      <c r="P22" s="118">
        <f>Mitigation_Industry!P390</f>
        <v>30.517240342133586</v>
      </c>
      <c r="Q22" s="118">
        <f>Mitigation_Industry!Q390</f>
        <v>31.539914624858142</v>
      </c>
      <c r="R22" s="118">
        <f>Mitigation_Industry!R390</f>
        <v>32.597368336956976</v>
      </c>
      <c r="S22" s="118">
        <f>Mitigation_Industry!S390</f>
        <v>33.690808544489862</v>
      </c>
      <c r="T22" s="118">
        <f>Mitigation_Industry!T390</f>
        <v>34.821485416900551</v>
      </c>
      <c r="U22" s="118">
        <f>Mitigation_Industry!U390</f>
        <v>35.990693827155248</v>
      </c>
      <c r="V22" s="118">
        <f>Mitigation_Industry!V390</f>
        <v>37.19977501431368</v>
      </c>
      <c r="W22" s="118">
        <f>Mitigation_Industry!W390</f>
        <v>38.450118311115105</v>
      </c>
      <c r="X22" s="118">
        <f>Mitigation_Industry!X390</f>
        <v>39.743162939274711</v>
      </c>
      <c r="Y22" s="118">
        <f>Mitigation_Industry!Y390</f>
        <v>41.08039987530541</v>
      </c>
      <c r="Z22" s="118">
        <f>Mitigation_Industry!Z390</f>
        <v>42.463373789803512</v>
      </c>
      <c r="AA22" s="118">
        <f>Mitigation_Industry!AA390</f>
        <v>43.893685063268059</v>
      </c>
      <c r="AB22" s="118">
        <f>Mitigation_Industry!AB390</f>
        <v>45.372991881658805</v>
      </c>
      <c r="AC22" s="118">
        <f>Mitigation_Industry!AC390</f>
        <v>46.903012415041424</v>
      </c>
      <c r="AD22" s="118">
        <f>Mitigation_Industry!AD390</f>
        <v>48.485527082817555</v>
      </c>
      <c r="AE22" s="118">
        <f>Mitigation_Industry!AE390</f>
        <v>50.122380909193787</v>
      </c>
    </row>
    <row r="23" spans="1:35" x14ac:dyDescent="0.35">
      <c r="B23" s="112" t="s">
        <v>2675</v>
      </c>
      <c r="C23" s="112" t="s">
        <v>3130</v>
      </c>
      <c r="D23" s="112" t="s">
        <v>3169</v>
      </c>
      <c r="E23" s="112" t="s">
        <v>1852</v>
      </c>
      <c r="F23" s="112" t="s">
        <v>3170</v>
      </c>
      <c r="H23" s="116" t="str">
        <f>Settings!$B$3&amp;".mit.ghg.ipr.blkfp.1"</f>
        <v>egy.mit.ghg.ipr.blkfp.1</v>
      </c>
      <c r="I23" s="112" t="s">
        <v>3171</v>
      </c>
      <c r="L23" s="118">
        <f>SUMPRODUCT((Mitigation_Industry!L330:L337+Mitigation_Industry!L352:L359)*Mitigation_Industry!$I$264:$I$271/(Mitigation_Industry!$F$330:$F$337+(Mitigation_Industry!$F$330:$F$337=0))*'Manual inputs'!$E$88:$E$95)</f>
        <v>2.1571572661716218</v>
      </c>
      <c r="M23" s="118">
        <f>SUMPRODUCT((Mitigation_Industry!M330:M337+Mitigation_Industry!M352:M359)*Mitigation_Industry!$I$264:$I$271/(Mitigation_Industry!$F$330:$F$337+(Mitigation_Industry!$F$330:$F$337=0))*'Manual inputs'!$E$88:$E$95)</f>
        <v>2.2046147260273972</v>
      </c>
      <c r="N23" s="118">
        <f>SUMPRODUCT((Mitigation_Industry!N330:N337+Mitigation_Industry!N352:N359)*Mitigation_Industry!$I$264:$I$271/(Mitigation_Industry!$F$330:$F$337+(Mitigation_Industry!$F$330:$F$337=0))*'Manual inputs'!$E$88:$E$95)</f>
        <v>2.2531162500000002</v>
      </c>
      <c r="O23" s="118">
        <f>SUMPRODUCT((Mitigation_Industry!O330:O337+Mitigation_Industry!O352:O359)*Mitigation_Industry!$I$264:$I$271/(Mitigation_Industry!$F$330:$F$337+(Mitigation_Industry!$F$330:$F$337=0))*'Manual inputs'!$E$88:$E$95)</f>
        <v>2.3026848075000004</v>
      </c>
      <c r="P23" s="118">
        <f>SUMPRODUCT((Mitigation_Industry!P330:P337+Mitigation_Industry!P352:P359)*Mitigation_Industry!$I$264:$I$271/(Mitigation_Industry!$F$330:$F$337+(Mitigation_Industry!$F$330:$F$337=0))*'Manual inputs'!$E$88:$E$95)</f>
        <v>2.3533438732650001</v>
      </c>
      <c r="Q23" s="118">
        <f>SUMPRODUCT((Mitigation_Industry!Q330:Q337+Mitigation_Industry!Q352:Q359)*Mitigation_Industry!$I$264:$I$271/(Mitigation_Industry!$F$330:$F$337+(Mitigation_Industry!$F$330:$F$337=0))*'Manual inputs'!$E$88:$E$95)</f>
        <v>2.4051174384768301</v>
      </c>
      <c r="R23" s="118">
        <f>SUMPRODUCT((Mitigation_Industry!R330:R337+Mitigation_Industry!R352:R359)*Mitigation_Industry!$I$264:$I$271/(Mitigation_Industry!$F$330:$F$337+(Mitigation_Industry!$F$330:$F$337=0))*'Manual inputs'!$E$88:$E$95)</f>
        <v>2.45803002212332</v>
      </c>
      <c r="S23" s="118">
        <f>SUMPRODUCT((Mitigation_Industry!S330:S337+Mitigation_Industry!S352:S359)*Mitigation_Industry!$I$264:$I$271/(Mitigation_Industry!$F$330:$F$337+(Mitigation_Industry!$F$330:$F$337=0))*'Manual inputs'!$E$88:$E$95)</f>
        <v>2.5121066826100331</v>
      </c>
      <c r="T23" s="118">
        <f>SUMPRODUCT((Mitigation_Industry!T330:T337+Mitigation_Industry!T352:T359)*Mitigation_Industry!$I$264:$I$271/(Mitigation_Industry!$F$330:$F$337+(Mitigation_Industry!$F$330:$F$337=0))*'Manual inputs'!$E$88:$E$95)</f>
        <v>2.5673730296274542</v>
      </c>
      <c r="U23" s="118">
        <f>SUMPRODUCT((Mitigation_Industry!U330:U337+Mitigation_Industry!U352:U359)*Mitigation_Industry!$I$264:$I$271/(Mitigation_Industry!$F$330:$F$337+(Mitigation_Industry!$F$330:$F$337=0))*'Manual inputs'!$E$88:$E$95)</f>
        <v>2.6238552362792582</v>
      </c>
      <c r="V23" s="118">
        <f>SUMPRODUCT((Mitigation_Industry!V330:V337+Mitigation_Industry!V352:V359)*Mitigation_Industry!$I$264:$I$271/(Mitigation_Industry!$F$330:$F$337+(Mitigation_Industry!$F$330:$F$337=0))*'Manual inputs'!$E$88:$E$95)</f>
        <v>2.6815800514774026</v>
      </c>
      <c r="W23" s="118">
        <f>SUMPRODUCT((Mitigation_Industry!W330:W337+Mitigation_Industry!W352:W359)*Mitigation_Industry!$I$264:$I$271/(Mitigation_Industry!$F$330:$F$337+(Mitigation_Industry!$F$330:$F$337=0))*'Manual inputs'!$E$88:$E$95)</f>
        <v>2.7405748126099048</v>
      </c>
      <c r="X23" s="118">
        <f>SUMPRODUCT((Mitigation_Industry!X330:X337+Mitigation_Industry!X352:X359)*Mitigation_Industry!$I$264:$I$271/(Mitigation_Industry!$F$330:$F$337+(Mitigation_Industry!$F$330:$F$337=0))*'Manual inputs'!$E$88:$E$95)</f>
        <v>2.800867458487323</v>
      </c>
      <c r="Y23" s="118">
        <f>SUMPRODUCT((Mitigation_Industry!Y330:Y337+Mitigation_Industry!Y352:Y359)*Mitigation_Industry!$I$264:$I$271/(Mitigation_Industry!$F$330:$F$337+(Mitigation_Industry!$F$330:$F$337=0))*'Manual inputs'!$E$88:$E$95)</f>
        <v>2.862486542574044</v>
      </c>
      <c r="Z23" s="118">
        <f>SUMPRODUCT((Mitigation_Industry!Z330:Z337+Mitigation_Industry!Z352:Z359)*Mitigation_Industry!$I$264:$I$271/(Mitigation_Industry!$F$330:$F$337+(Mitigation_Industry!$F$330:$F$337=0))*'Manual inputs'!$E$88:$E$95)</f>
        <v>2.9254612465106731</v>
      </c>
      <c r="AA23" s="118">
        <f>SUMPRODUCT((Mitigation_Industry!AA330:AA337+Mitigation_Industry!AA352:AA359)*Mitigation_Industry!$I$264:$I$271/(Mitigation_Industry!$F$330:$F$337+(Mitigation_Industry!$F$330:$F$337=0))*'Manual inputs'!$E$88:$E$95)</f>
        <v>2.9898213939339078</v>
      </c>
      <c r="AB23" s="118">
        <f>SUMPRODUCT((Mitigation_Industry!AB330:AB337+Mitigation_Industry!AB352:AB359)*Mitigation_Industry!$I$264:$I$271/(Mitigation_Industry!$F$330:$F$337+(Mitigation_Industry!$F$330:$F$337=0))*'Manual inputs'!$E$88:$E$95)</f>
        <v>3.0555974646004533</v>
      </c>
      <c r="AC23" s="118">
        <f>SUMPRODUCT((Mitigation_Industry!AC330:AC337+Mitigation_Industry!AC352:AC359)*Mitigation_Industry!$I$264:$I$271/(Mitigation_Industry!$F$330:$F$337+(Mitigation_Industry!$F$330:$F$337=0))*'Manual inputs'!$E$88:$E$95)</f>
        <v>3.1228206088216641</v>
      </c>
      <c r="AD23" s="118">
        <f>SUMPRODUCT((Mitigation_Industry!AD330:AD337+Mitigation_Industry!AD352:AD359)*Mitigation_Industry!$I$264:$I$271/(Mitigation_Industry!$F$330:$F$337+(Mitigation_Industry!$F$330:$F$337=0))*'Manual inputs'!$E$88:$E$95)</f>
        <v>3.1915226622157404</v>
      </c>
      <c r="AE23" s="118">
        <f>SUMPRODUCT((Mitigation_Industry!AE330:AE337+Mitigation_Industry!AE352:AE359)*Mitigation_Industry!$I$264:$I$271/(Mitigation_Industry!$F$330:$F$337+(Mitigation_Industry!$F$330:$F$337=0))*'Manual inputs'!$E$88:$E$95)</f>
        <v>3.2617361607844866</v>
      </c>
    </row>
    <row r="24" spans="1:35" x14ac:dyDescent="0.35">
      <c r="B24" s="112" t="s">
        <v>2675</v>
      </c>
      <c r="C24" s="112" t="s">
        <v>3130</v>
      </c>
      <c r="D24" s="112" t="s">
        <v>3172</v>
      </c>
      <c r="E24" s="112" t="s">
        <v>1852</v>
      </c>
      <c r="H24" s="116" t="str">
        <f>Settings!$B$3&amp;".mit.ghg.ipr.blk.1"</f>
        <v>egy.mit.ghg.ipr.blk.1</v>
      </c>
      <c r="L24" s="118">
        <f t="shared" ref="L24:AE24" si="3">L22+L23</f>
        <v>28.908777412760184</v>
      </c>
      <c r="M24" s="118">
        <f t="shared" si="3"/>
        <v>29.851052743477155</v>
      </c>
      <c r="N24" s="118">
        <f t="shared" si="3"/>
        <v>30.824724384</v>
      </c>
      <c r="O24" s="118">
        <f t="shared" si="3"/>
        <v>31.830864793427999</v>
      </c>
      <c r="P24" s="118">
        <f t="shared" si="3"/>
        <v>32.870584215398587</v>
      </c>
      <c r="Q24" s="118">
        <f t="shared" si="3"/>
        <v>33.94503206333497</v>
      </c>
      <c r="R24" s="118">
        <f t="shared" si="3"/>
        <v>35.055398359080293</v>
      </c>
      <c r="S24" s="118">
        <f t="shared" si="3"/>
        <v>36.202915227099894</v>
      </c>
      <c r="T24" s="118">
        <f t="shared" si="3"/>
        <v>37.388858446528005</v>
      </c>
      <c r="U24" s="118">
        <f t="shared" si="3"/>
        <v>38.614549063434509</v>
      </c>
      <c r="V24" s="118">
        <f t="shared" si="3"/>
        <v>39.881355065791084</v>
      </c>
      <c r="W24" s="118">
        <f t="shared" si="3"/>
        <v>41.190693123725012</v>
      </c>
      <c r="X24" s="118">
        <f t="shared" si="3"/>
        <v>42.544030397762036</v>
      </c>
      <c r="Y24" s="118">
        <f t="shared" si="3"/>
        <v>43.942886417879457</v>
      </c>
      <c r="Z24" s="118">
        <f t="shared" si="3"/>
        <v>45.388835036314184</v>
      </c>
      <c r="AA24" s="118">
        <f t="shared" si="3"/>
        <v>46.883506457201968</v>
      </c>
      <c r="AB24" s="118">
        <f t="shared" si="3"/>
        <v>48.428589346259258</v>
      </c>
      <c r="AC24" s="118">
        <f t="shared" si="3"/>
        <v>50.025833023863086</v>
      </c>
      <c r="AD24" s="118">
        <f t="shared" si="3"/>
        <v>51.677049745033294</v>
      </c>
      <c r="AE24" s="118">
        <f t="shared" si="3"/>
        <v>53.384117069978274</v>
      </c>
    </row>
    <row r="25" spans="1:35" x14ac:dyDescent="0.35">
      <c r="B25" s="112" t="s">
        <v>3173</v>
      </c>
      <c r="C25" s="112" t="s">
        <v>3130</v>
      </c>
      <c r="D25" s="112" t="s">
        <v>3174</v>
      </c>
      <c r="E25" s="112" t="s">
        <v>1852</v>
      </c>
      <c r="H25" s="116" t="str">
        <f>Settings!$B$3&amp;".mit.ghg.ipr.oth.1"</f>
        <v>egy.mit.ghg.ipr.oth.1</v>
      </c>
      <c r="I25" s="112" t="s">
        <v>3175</v>
      </c>
      <c r="L25" s="118">
        <f t="shared" ref="L25:AE25" si="4">L19-L24</f>
        <v>23.291572347716414</v>
      </c>
      <c r="M25" s="118">
        <f t="shared" si="4"/>
        <v>27.052378387327124</v>
      </c>
      <c r="N25" s="118">
        <f t="shared" si="4"/>
        <v>35.645693893289213</v>
      </c>
      <c r="O25" s="118">
        <f t="shared" si="4"/>
        <v>42.270122522556754</v>
      </c>
      <c r="P25" s="118">
        <f t="shared" si="4"/>
        <v>39.167469536964141</v>
      </c>
      <c r="Q25" s="118">
        <f t="shared" si="4"/>
        <v>44.620660000285916</v>
      </c>
      <c r="R25" s="118">
        <f t="shared" si="4"/>
        <v>46.664181881228295</v>
      </c>
      <c r="S25" s="118">
        <f t="shared" si="4"/>
        <v>48.571357338381702</v>
      </c>
      <c r="T25" s="118">
        <f t="shared" si="4"/>
        <v>50.27644413601638</v>
      </c>
      <c r="U25" s="118">
        <f t="shared" si="4"/>
        <v>51.98835337985642</v>
      </c>
      <c r="V25" s="118">
        <f t="shared" si="4"/>
        <v>53.67666826466602</v>
      </c>
      <c r="W25" s="118">
        <f t="shared" si="4"/>
        <v>55.378429300866983</v>
      </c>
      <c r="X25" s="118">
        <f t="shared" si="4"/>
        <v>57.091881438104018</v>
      </c>
      <c r="Y25" s="118">
        <f t="shared" si="4"/>
        <v>58.815179771798093</v>
      </c>
      <c r="Z25" s="118">
        <f t="shared" si="4"/>
        <v>60.546386886262347</v>
      </c>
      <c r="AA25" s="118">
        <f t="shared" si="4"/>
        <v>62.283470009014927</v>
      </c>
      <c r="AB25" s="118">
        <f t="shared" si="4"/>
        <v>64.02429796802555</v>
      </c>
      <c r="AC25" s="118">
        <f t="shared" si="4"/>
        <v>65.766637943701738</v>
      </c>
      <c r="AD25" s="118">
        <f t="shared" si="4"/>
        <v>67.508152007480049</v>
      </c>
      <c r="AE25" s="118">
        <f t="shared" si="4"/>
        <v>69.246393438916968</v>
      </c>
    </row>
    <row r="26" spans="1:35" ht="13.9" x14ac:dyDescent="0.4">
      <c r="B26" s="121" t="s">
        <v>110</v>
      </c>
      <c r="C26" s="121" t="s">
        <v>3130</v>
      </c>
      <c r="D26" s="121" t="s">
        <v>3176</v>
      </c>
      <c r="E26" s="121" t="s">
        <v>1852</v>
      </c>
      <c r="F26" s="121"/>
      <c r="G26" s="121"/>
      <c r="H26" s="142" t="str">
        <f>Settings!$B$3&amp;".mit.ghg.iprk.tot.1"</f>
        <v>egy.mit.ghg.iprk.tot.1</v>
      </c>
      <c r="I26" s="121" t="s">
        <v>3177</v>
      </c>
      <c r="J26" s="121"/>
      <c r="K26" s="121"/>
      <c r="L26" s="143">
        <f t="shared" ref="L26:AE26" si="5">L24+L25</f>
        <v>52.200349760476598</v>
      </c>
      <c r="M26" s="143">
        <f t="shared" si="5"/>
        <v>56.903431130804279</v>
      </c>
      <c r="N26" s="143">
        <f t="shared" si="5"/>
        <v>66.470418277289212</v>
      </c>
      <c r="O26" s="143">
        <f t="shared" si="5"/>
        <v>74.100987315984753</v>
      </c>
      <c r="P26" s="143">
        <f t="shared" si="5"/>
        <v>72.038053752362728</v>
      </c>
      <c r="Q26" s="143">
        <f t="shared" si="5"/>
        <v>78.565692063620887</v>
      </c>
      <c r="R26" s="143">
        <f t="shared" si="5"/>
        <v>81.719580240308588</v>
      </c>
      <c r="S26" s="143">
        <f t="shared" si="5"/>
        <v>84.774272565481596</v>
      </c>
      <c r="T26" s="143">
        <f t="shared" si="5"/>
        <v>87.665302582544385</v>
      </c>
      <c r="U26" s="143">
        <f t="shared" si="5"/>
        <v>90.60290244329093</v>
      </c>
      <c r="V26" s="143">
        <f t="shared" si="5"/>
        <v>93.558023330457104</v>
      </c>
      <c r="W26" s="143">
        <f t="shared" si="5"/>
        <v>96.569122424591995</v>
      </c>
      <c r="X26" s="143">
        <f t="shared" si="5"/>
        <v>99.635911835866054</v>
      </c>
      <c r="Y26" s="143">
        <f t="shared" si="5"/>
        <v>102.75806618967755</v>
      </c>
      <c r="Z26" s="143">
        <f t="shared" si="5"/>
        <v>105.93522192257653</v>
      </c>
      <c r="AA26" s="143">
        <f t="shared" si="5"/>
        <v>109.16697646621689</v>
      </c>
      <c r="AB26" s="143">
        <f t="shared" si="5"/>
        <v>112.45288731428481</v>
      </c>
      <c r="AC26" s="143">
        <f t="shared" si="5"/>
        <v>115.79247096756482</v>
      </c>
      <c r="AD26" s="143">
        <f t="shared" si="5"/>
        <v>119.18520175251334</v>
      </c>
      <c r="AE26" s="143">
        <f t="shared" si="5"/>
        <v>122.63051050889524</v>
      </c>
      <c r="AF26" s="121"/>
      <c r="AG26" s="121"/>
      <c r="AH26" s="121"/>
      <c r="AI26" s="121"/>
    </row>
    <row r="27" spans="1:35" x14ac:dyDescent="0.35">
      <c r="B27" s="112" t="s">
        <v>110</v>
      </c>
      <c r="C27" s="112" t="s">
        <v>3130</v>
      </c>
      <c r="D27" s="112" t="s">
        <v>3178</v>
      </c>
      <c r="E27" s="112" t="s">
        <v>1852</v>
      </c>
      <c r="H27" s="116" t="str">
        <f>Settings!$B$3&amp;".mit.ghg.iprdc.tot.1"</f>
        <v>egy.mit.ghg.iprdc.tot.1</v>
      </c>
      <c r="I27" s="112" t="s">
        <v>3179</v>
      </c>
      <c r="L27" s="118">
        <f t="shared" ref="L27:AE27" si="6">L26-L19</f>
        <v>0</v>
      </c>
      <c r="M27" s="118">
        <f t="shared" si="6"/>
        <v>0</v>
      </c>
      <c r="N27" s="118">
        <f t="shared" si="6"/>
        <v>0</v>
      </c>
      <c r="O27" s="118">
        <f t="shared" si="6"/>
        <v>0</v>
      </c>
      <c r="P27" s="118">
        <f t="shared" si="6"/>
        <v>0</v>
      </c>
      <c r="Q27" s="118">
        <f t="shared" si="6"/>
        <v>0</v>
      </c>
      <c r="R27" s="118">
        <f t="shared" si="6"/>
        <v>0</v>
      </c>
      <c r="S27" s="118">
        <f t="shared" si="6"/>
        <v>0</v>
      </c>
      <c r="T27" s="118">
        <f t="shared" si="6"/>
        <v>0</v>
      </c>
      <c r="U27" s="118">
        <f t="shared" si="6"/>
        <v>0</v>
      </c>
      <c r="V27" s="118">
        <f t="shared" si="6"/>
        <v>0</v>
      </c>
      <c r="W27" s="118">
        <f t="shared" si="6"/>
        <v>0</v>
      </c>
      <c r="X27" s="118">
        <f t="shared" si="6"/>
        <v>0</v>
      </c>
      <c r="Y27" s="118">
        <f t="shared" si="6"/>
        <v>0</v>
      </c>
      <c r="Z27" s="118">
        <f t="shared" si="6"/>
        <v>0</v>
      </c>
      <c r="AA27" s="118">
        <f t="shared" si="6"/>
        <v>0</v>
      </c>
      <c r="AB27" s="118">
        <f t="shared" si="6"/>
        <v>0</v>
      </c>
      <c r="AC27" s="118">
        <f t="shared" si="6"/>
        <v>0</v>
      </c>
      <c r="AD27" s="118">
        <f t="shared" si="6"/>
        <v>0</v>
      </c>
      <c r="AE27" s="118">
        <f t="shared" si="6"/>
        <v>0</v>
      </c>
    </row>
    <row r="28" spans="1:35" x14ac:dyDescent="0.35">
      <c r="B28" s="112" t="s">
        <v>3180</v>
      </c>
      <c r="C28" s="112" t="s">
        <v>3130</v>
      </c>
      <c r="D28" s="112" t="s">
        <v>3181</v>
      </c>
      <c r="E28" s="112" t="s">
        <v>79</v>
      </c>
      <c r="H28" s="116" t="str">
        <f>Settings!$B$3&amp;".mit.ghg.iprshb.tot.1"</f>
        <v>egy.mit.ghg.iprshb.tot.1</v>
      </c>
      <c r="L28" s="144">
        <f t="shared" ref="L28:AE28" si="7">IF(L19=0,0,L24/L19)</f>
        <v>0.55380428570707418</v>
      </c>
      <c r="M28" s="144">
        <f t="shared" si="7"/>
        <v>0.52459143763859073</v>
      </c>
      <c r="N28" s="144">
        <f t="shared" si="7"/>
        <v>0.46373597733973954</v>
      </c>
      <c r="O28" s="144">
        <f t="shared" si="7"/>
        <v>0.42956060298756071</v>
      </c>
      <c r="P28" s="144">
        <f t="shared" si="7"/>
        <v>0.45629472901078322</v>
      </c>
      <c r="Q28" s="144">
        <f t="shared" si="7"/>
        <v>0.43205922549306863</v>
      </c>
      <c r="R28" s="144">
        <f t="shared" si="7"/>
        <v>0.42897183583169024</v>
      </c>
      <c r="S28" s="144">
        <f t="shared" si="7"/>
        <v>0.42705073286398215</v>
      </c>
      <c r="T28" s="144">
        <f t="shared" si="7"/>
        <v>0.42649551584360523</v>
      </c>
      <c r="U28" s="144">
        <f t="shared" si="7"/>
        <v>0.4261954972977125</v>
      </c>
      <c r="V28" s="144">
        <f t="shared" si="7"/>
        <v>0.42627402382076635</v>
      </c>
      <c r="W28" s="144">
        <f t="shared" si="7"/>
        <v>0.42654103184886683</v>
      </c>
      <c r="X28" s="144">
        <f t="shared" si="7"/>
        <v>0.42699494202297661</v>
      </c>
      <c r="Y28" s="144">
        <f t="shared" si="7"/>
        <v>0.42763442372267696</v>
      </c>
      <c r="Z28" s="144">
        <f t="shared" si="7"/>
        <v>0.42845839384267226</v>
      </c>
      <c r="AA28" s="144">
        <f t="shared" si="7"/>
        <v>0.4294660159586875</v>
      </c>
      <c r="AB28" s="144">
        <f t="shared" si="7"/>
        <v>0.43065669991122951</v>
      </c>
      <c r="AC28" s="144">
        <f t="shared" si="7"/>
        <v>0.43203010183517077</v>
      </c>
      <c r="AD28" s="144">
        <f t="shared" si="7"/>
        <v>0.43358612466285934</v>
      </c>
      <c r="AE28" s="144">
        <f t="shared" si="7"/>
        <v>0.43532491912855531</v>
      </c>
    </row>
    <row r="31" spans="1:35" customFormat="1" ht="18" customHeight="1" x14ac:dyDescent="0.45">
      <c r="A31" s="8"/>
      <c r="B31" s="9" t="s">
        <v>3182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3" spans="1:35" customFormat="1" ht="14.25" x14ac:dyDescent="0.45">
      <c r="A33" s="11"/>
      <c r="B33" s="6" t="s">
        <v>1488</v>
      </c>
      <c r="C33" s="7" t="s">
        <v>33</v>
      </c>
      <c r="D33" s="6" t="s">
        <v>34</v>
      </c>
      <c r="E33" s="7" t="s">
        <v>35</v>
      </c>
      <c r="F33" s="7" t="s">
        <v>36</v>
      </c>
      <c r="G33" s="7" t="s">
        <v>37</v>
      </c>
      <c r="H33" s="12" t="s">
        <v>38</v>
      </c>
      <c r="I33" s="6" t="s">
        <v>39</v>
      </c>
      <c r="J33" s="48">
        <v>2</v>
      </c>
      <c r="K33" s="6">
        <v>2021</v>
      </c>
      <c r="L33" s="46">
        <v>2022</v>
      </c>
      <c r="M33" s="6">
        <v>2023</v>
      </c>
      <c r="N33" s="6">
        <v>2024</v>
      </c>
      <c r="O33" s="6">
        <v>2025</v>
      </c>
      <c r="P33" s="6">
        <v>2026</v>
      </c>
      <c r="Q33" s="6">
        <v>2027</v>
      </c>
      <c r="R33" s="6">
        <v>2028</v>
      </c>
      <c r="S33" s="6">
        <v>2029</v>
      </c>
      <c r="T33" s="6">
        <v>2030</v>
      </c>
      <c r="U33" s="6">
        <v>2031</v>
      </c>
      <c r="V33" s="6">
        <v>2032</v>
      </c>
      <c r="W33" s="6">
        <v>2033</v>
      </c>
      <c r="X33" s="6">
        <v>2034</v>
      </c>
      <c r="Y33" s="6">
        <v>2035</v>
      </c>
      <c r="Z33" s="6">
        <v>2036</v>
      </c>
      <c r="AA33" s="6">
        <v>2037</v>
      </c>
      <c r="AB33" s="6">
        <v>2038</v>
      </c>
      <c r="AC33" s="6">
        <v>2039</v>
      </c>
      <c r="AD33" s="6">
        <v>2040</v>
      </c>
      <c r="AE33" s="6">
        <v>2041</v>
      </c>
      <c r="AF33" s="6">
        <v>2042</v>
      </c>
      <c r="AG33" s="6">
        <v>2043</v>
      </c>
      <c r="AH33" s="6">
        <v>2044</v>
      </c>
      <c r="AI33" s="6">
        <v>2045</v>
      </c>
    </row>
    <row r="34" spans="1:35" x14ac:dyDescent="0.35">
      <c r="B34" s="112" t="s">
        <v>110</v>
      </c>
      <c r="C34" s="112" t="s">
        <v>3150</v>
      </c>
      <c r="D34" s="112" t="s">
        <v>3151</v>
      </c>
      <c r="E34" s="112" t="s">
        <v>2068</v>
      </c>
      <c r="F34" s="112" t="s">
        <v>3152</v>
      </c>
      <c r="H34" s="116" t="str">
        <f>Settings!$B$3&amp;".mit.eco2.kern.tot.e.2"</f>
        <v>egy.mit.eco2.kern.tot.e.2</v>
      </c>
      <c r="I34" s="112" t="s">
        <v>3153</v>
      </c>
      <c r="L34" s="118">
        <f>Emissions_Industry!L66+Emissions_Industry!L78+Emissions_Industry!L90+Emissions_Industry!L102</f>
        <v>14.019740964534272</v>
      </c>
      <c r="M34" s="118">
        <f>Emissions_Industry!M66+Emissions_Industry!M78+Emissions_Industry!M90+Emissions_Industry!M102</f>
        <v>11.739301230035998</v>
      </c>
      <c r="N34" s="118">
        <f>Emissions_Industry!N66+Emissions_Industry!N78+Emissions_Industry!N90+Emissions_Industry!N102</f>
        <v>13.303124518863104</v>
      </c>
      <c r="O34" s="118">
        <f>Emissions_Industry!O66+Emissions_Industry!O78+Emissions_Industry!O90+Emissions_Industry!O102</f>
        <v>14.156899598427017</v>
      </c>
      <c r="P34" s="118">
        <f>Emissions_Industry!P66+Emissions_Industry!P78+Emissions_Industry!P90+Emissions_Industry!P102</f>
        <v>14.286244741983563</v>
      </c>
      <c r="Q34" s="118">
        <f>Emissions_Industry!Q66+Emissions_Industry!Q78+Emissions_Industry!Q90+Emissions_Industry!Q102</f>
        <v>13.482479789369556</v>
      </c>
      <c r="R34" s="118">
        <f>Emissions_Industry!R66+Emissions_Industry!R78+Emissions_Industry!R90+Emissions_Industry!R102</f>
        <v>12.983250913859607</v>
      </c>
      <c r="S34" s="118">
        <f>Emissions_Industry!S66+Emissions_Industry!S78+Emissions_Industry!S90+Emissions_Industry!S102</f>
        <v>12.560793362152866</v>
      </c>
      <c r="T34" s="118">
        <f>Emissions_Industry!T66+Emissions_Industry!T78+Emissions_Industry!T90+Emissions_Industry!T102</f>
        <v>12.187957412625254</v>
      </c>
      <c r="U34" s="118">
        <f>Emissions_Industry!U66+Emissions_Industry!U78+Emissions_Industry!U90+Emissions_Industry!U102</f>
        <v>11.875632686552137</v>
      </c>
      <c r="V34" s="118">
        <f>Emissions_Industry!V66+Emissions_Industry!V78+Emissions_Industry!V90+Emissions_Industry!V102</f>
        <v>11.602689599741135</v>
      </c>
      <c r="W34" s="118">
        <f>Emissions_Industry!W66+Emissions_Industry!W78+Emissions_Industry!W90+Emissions_Industry!W102</f>
        <v>11.378519970656047</v>
      </c>
      <c r="X34" s="118">
        <f>Emissions_Industry!X66+Emissions_Industry!X78+Emissions_Industry!X90+Emissions_Industry!X102</f>
        <v>11.19706469003696</v>
      </c>
      <c r="Y34" s="118">
        <f>Emissions_Industry!Y66+Emissions_Industry!Y78+Emissions_Industry!Y90+Emissions_Industry!Y102</f>
        <v>11.054589877296367</v>
      </c>
      <c r="Z34" s="118">
        <f>Emissions_Industry!Z66+Emissions_Industry!Z78+Emissions_Industry!Z90+Emissions_Industry!Z102</f>
        <v>10.949977353134972</v>
      </c>
      <c r="AA34" s="118">
        <f>Emissions_Industry!AA66+Emissions_Industry!AA78+Emissions_Industry!AA90+Emissions_Industry!AA102</f>
        <v>10.880837147763879</v>
      </c>
      <c r="AB34" s="118">
        <f>Emissions_Industry!AB66+Emissions_Industry!AB78+Emissions_Industry!AB90+Emissions_Industry!AB102</f>
        <v>10.844737007963213</v>
      </c>
      <c r="AC34" s="118">
        <f>Emissions_Industry!AC66+Emissions_Industry!AC78+Emissions_Industry!AC90+Emissions_Industry!AC102</f>
        <v>10.837962619219041</v>
      </c>
      <c r="AD34" s="118">
        <f>Emissions_Industry!AD66+Emissions_Industry!AD78+Emissions_Industry!AD90+Emissions_Industry!AD102</f>
        <v>10.857412419871189</v>
      </c>
      <c r="AE34" s="118">
        <f>Emissions_Industry!AE66+Emissions_Industry!AE78+Emissions_Industry!AE90+Emissions_Industry!AE102</f>
        <v>10.900735380545399</v>
      </c>
    </row>
    <row r="35" spans="1:35" x14ac:dyDescent="0.35">
      <c r="B35" s="112" t="s">
        <v>110</v>
      </c>
      <c r="C35" s="112" t="s">
        <v>4</v>
      </c>
      <c r="D35" s="112" t="s">
        <v>3154</v>
      </c>
      <c r="E35" s="112" t="s">
        <v>2068</v>
      </c>
      <c r="F35" s="112" t="s">
        <v>3155</v>
      </c>
      <c r="H35" s="116" t="str">
        <f>Settings!$B$3&amp;".mit.co2.ind.k.2"</f>
        <v>egy.mit.co2.ind.k.2</v>
      </c>
      <c r="I35" s="112" t="s">
        <v>3156</v>
      </c>
      <c r="L35" s="118">
        <f t="shared" ref="L35:AE35" si="8">L11+L34-L17</f>
        <v>59.804205879849356</v>
      </c>
      <c r="M35" s="118">
        <f t="shared" si="8"/>
        <v>48.931828957170424</v>
      </c>
      <c r="N35" s="118">
        <f t="shared" si="8"/>
        <v>57.158576789144817</v>
      </c>
      <c r="O35" s="118">
        <f t="shared" si="8"/>
        <v>63.720179343286858</v>
      </c>
      <c r="P35" s="118">
        <f t="shared" si="8"/>
        <v>61.946242160955606</v>
      </c>
      <c r="Q35" s="118">
        <f t="shared" si="8"/>
        <v>66.347776102622248</v>
      </c>
      <c r="R35" s="118">
        <f t="shared" si="8"/>
        <v>67.977762596208194</v>
      </c>
      <c r="S35" s="118">
        <f t="shared" si="8"/>
        <v>69.614967451077348</v>
      </c>
      <c r="T35" s="118">
        <f t="shared" si="8"/>
        <v>71.188330561747961</v>
      </c>
      <c r="U35" s="118">
        <f t="shared" si="8"/>
        <v>72.8538824730432</v>
      </c>
      <c r="V35" s="118">
        <f t="shared" si="8"/>
        <v>74.597446711750393</v>
      </c>
      <c r="W35" s="118">
        <f t="shared" si="8"/>
        <v>76.428238541411474</v>
      </c>
      <c r="X35" s="118">
        <f t="shared" si="8"/>
        <v>78.339997174324651</v>
      </c>
      <c r="Y35" s="118">
        <f t="shared" si="8"/>
        <v>80.32876154931742</v>
      </c>
      <c r="Z35" s="118">
        <f t="shared" si="8"/>
        <v>82.393160352176864</v>
      </c>
      <c r="AA35" s="118">
        <f t="shared" si="8"/>
        <v>84.530523994561648</v>
      </c>
      <c r="AB35" s="118">
        <f t="shared" si="8"/>
        <v>86.738113511233266</v>
      </c>
      <c r="AC35" s="118">
        <f t="shared" si="8"/>
        <v>89.011880088607228</v>
      </c>
      <c r="AD35" s="118">
        <f t="shared" si="8"/>
        <v>91.348359098460875</v>
      </c>
      <c r="AE35" s="118">
        <f t="shared" si="8"/>
        <v>93.74480700710555</v>
      </c>
    </row>
    <row r="36" spans="1:35" x14ac:dyDescent="0.35">
      <c r="B36" s="112" t="s">
        <v>110</v>
      </c>
      <c r="C36" s="112" t="s">
        <v>3130</v>
      </c>
      <c r="D36" s="112" t="s">
        <v>3157</v>
      </c>
      <c r="E36" s="112" t="s">
        <v>1852</v>
      </c>
      <c r="F36" s="112" t="s">
        <v>3158</v>
      </c>
      <c r="H36" s="116" t="str">
        <f>Settings!$B$3&amp;".mit.ghg.iprc.tot.2"</f>
        <v>egy.mit.ghg.iprc.tot.2</v>
      </c>
      <c r="I36" s="112" t="s">
        <v>3159</v>
      </c>
      <c r="L36" s="118">
        <f>L10</f>
        <v>52.200349760476598</v>
      </c>
      <c r="M36" s="118">
        <f>M10</f>
        <v>56.903431130804279</v>
      </c>
      <c r="N36" s="118">
        <f t="shared" ref="N36:AE36" si="9">IF(M35=0,0,M36*N35/M35)</f>
        <v>66.470418277289212</v>
      </c>
      <c r="O36" s="118">
        <f t="shared" si="9"/>
        <v>74.100987315984753</v>
      </c>
      <c r="P36" s="118">
        <f t="shared" si="9"/>
        <v>72.038053752362728</v>
      </c>
      <c r="Q36" s="118">
        <f t="shared" si="9"/>
        <v>77.156652195489656</v>
      </c>
      <c r="R36" s="118">
        <f t="shared" si="9"/>
        <v>79.05218371676375</v>
      </c>
      <c r="S36" s="118">
        <f t="shared" si="9"/>
        <v>80.956109559952836</v>
      </c>
      <c r="T36" s="118">
        <f t="shared" si="9"/>
        <v>82.78579304654717</v>
      </c>
      <c r="U36" s="118">
        <f t="shared" si="9"/>
        <v>84.722684033436792</v>
      </c>
      <c r="V36" s="118">
        <f t="shared" si="9"/>
        <v>86.750296523994834</v>
      </c>
      <c r="W36" s="118">
        <f t="shared" si="9"/>
        <v>88.879347062554189</v>
      </c>
      <c r="X36" s="118">
        <f t="shared" si="9"/>
        <v>91.102554901401064</v>
      </c>
      <c r="Y36" s="118">
        <f t="shared" si="9"/>
        <v>93.415313673341771</v>
      </c>
      <c r="Z36" s="118">
        <f t="shared" si="9"/>
        <v>95.816028660060311</v>
      </c>
      <c r="AA36" s="118">
        <f t="shared" si="9"/>
        <v>98.301595364145371</v>
      </c>
      <c r="AB36" s="118">
        <f t="shared" si="9"/>
        <v>100.86882860893093</v>
      </c>
      <c r="AC36" s="118">
        <f t="shared" si="9"/>
        <v>103.51301997885444</v>
      </c>
      <c r="AD36" s="118">
        <f t="shared" si="9"/>
        <v>106.23014041476027</v>
      </c>
      <c r="AE36" s="118">
        <f t="shared" si="9"/>
        <v>109.01699942727505</v>
      </c>
    </row>
    <row r="37" spans="1:35" x14ac:dyDescent="0.35">
      <c r="B37" s="112" t="s">
        <v>2675</v>
      </c>
      <c r="C37" s="112" t="s">
        <v>3130</v>
      </c>
      <c r="D37" s="112" t="s">
        <v>3160</v>
      </c>
      <c r="E37" s="112" t="s">
        <v>1852</v>
      </c>
      <c r="F37" s="112" t="s">
        <v>3183</v>
      </c>
      <c r="H37" s="116" t="str">
        <f>Settings!$B$3&amp;".mit.ghg.ipr.blknp.2"</f>
        <v>egy.mit.ghg.ipr.blknp.2</v>
      </c>
      <c r="I37" s="112" t="s">
        <v>3184</v>
      </c>
      <c r="L37" s="118">
        <f>Mitigation_Industry!L659</f>
        <v>25.971762885046314</v>
      </c>
      <c r="M37" s="118">
        <f>Mitigation_Industry!M659</f>
        <v>26.842539414672931</v>
      </c>
      <c r="N37" s="118">
        <f>Mitigation_Industry!N659</f>
        <v>27.742760634</v>
      </c>
      <c r="O37" s="118">
        <f>Mitigation_Industry!O659</f>
        <v>28.673435240928001</v>
      </c>
      <c r="P37" s="118">
        <f>Mitigation_Industry!P659</f>
        <v>29.635607169743587</v>
      </c>
      <c r="Q37" s="118">
        <f>Mitigation_Industry!Q659</f>
        <v>30.630356857310563</v>
      </c>
      <c r="R37" s="118">
        <f>Mitigation_Industry!R659</f>
        <v>31.658802556563273</v>
      </c>
      <c r="S37" s="118">
        <f>Mitigation_Industry!S659</f>
        <v>32.722101699159616</v>
      </c>
      <c r="T37" s="118">
        <f>Mitigation_Industry!T659</f>
        <v>33.821452309227929</v>
      </c>
      <c r="U37" s="118">
        <f>Mitigation_Industry!U659</f>
        <v>34.958094470222733</v>
      </c>
      <c r="V37" s="118">
        <f>Mitigation_Industry!V659</f>
        <v>36.133311846988548</v>
      </c>
      <c r="W37" s="118">
        <f>Mitigation_Industry!W659</f>
        <v>37.348433265219015</v>
      </c>
      <c r="X37" s="118">
        <f>Mitigation_Industry!X659</f>
        <v>38.60483435059016</v>
      </c>
      <c r="Y37" s="118">
        <f>Mitigation_Industry!Y659</f>
        <v>39.903939229943205</v>
      </c>
      <c r="Z37" s="118">
        <f>Mitigation_Industry!Z659</f>
        <v>41.247222296991801</v>
      </c>
      <c r="AA37" s="118">
        <f>Mitigation_Industry!AA659</f>
        <v>42.636210045134121</v>
      </c>
      <c r="AB37" s="118">
        <f>Mitigation_Industry!AB659</f>
        <v>44.072482970059113</v>
      </c>
      <c r="AC37" s="118">
        <f>Mitigation_Industry!AC659</f>
        <v>45.557677544951083</v>
      </c>
      <c r="AD37" s="118">
        <f>Mitigation_Industry!AD659</f>
        <v>47.09348827121579</v>
      </c>
      <c r="AE37" s="118">
        <f>Mitigation_Industry!AE659</f>
        <v>48.681669807777041</v>
      </c>
    </row>
    <row r="38" spans="1:35" x14ac:dyDescent="0.35">
      <c r="B38" s="112" t="s">
        <v>2675</v>
      </c>
      <c r="C38" s="112" t="s">
        <v>3130</v>
      </c>
      <c r="D38" s="112" t="s">
        <v>3163</v>
      </c>
      <c r="E38" s="112" t="s">
        <v>1852</v>
      </c>
      <c r="F38" s="112" t="s">
        <v>3185</v>
      </c>
      <c r="H38" s="116" t="str">
        <f>Settings!$B$3&amp;".mit.ghg.ipr.blkno.2"</f>
        <v>egy.mit.ghg.ipr.blkno.2</v>
      </c>
      <c r="I38" s="112" t="s">
        <v>3186</v>
      </c>
      <c r="L38" s="118">
        <f>Mitigation_Industry!L660</f>
        <v>0.77985726154224555</v>
      </c>
      <c r="M38" s="118">
        <f>Mitigation_Industry!M660</f>
        <v>0.80389860277682457</v>
      </c>
      <c r="N38" s="118">
        <f>Mitigation_Industry!N660</f>
        <v>0.82884750000000007</v>
      </c>
      <c r="O38" s="118">
        <f>Mitigation_Industry!O660</f>
        <v>0.85474474500000008</v>
      </c>
      <c r="P38" s="118">
        <f>Mitigation_Industry!P660</f>
        <v>0.88163317238999994</v>
      </c>
      <c r="Q38" s="118">
        <f>Mitigation_Industry!Q660</f>
        <v>0.90955776754758011</v>
      </c>
      <c r="R38" s="118">
        <f>Mitigation_Industry!R660</f>
        <v>0.93856578039370175</v>
      </c>
      <c r="S38" s="118">
        <f>Mitigation_Industry!S660</f>
        <v>0.96870684533024232</v>
      </c>
      <c r="T38" s="118">
        <f>Mitigation_Industry!T660</f>
        <v>1.0000331076726199</v>
      </c>
      <c r="U38" s="118">
        <f>Mitigation_Industry!U660</f>
        <v>1.0325993569325114</v>
      </c>
      <c r="V38" s="118">
        <f>Mitigation_Industry!V660</f>
        <v>1.0664631673251306</v>
      </c>
      <c r="W38" s="118">
        <f>Mitigation_Industry!W660</f>
        <v>1.1016850458960927</v>
      </c>
      <c r="X38" s="118">
        <f>Mitigation_Industry!X660</f>
        <v>1.138328588684556</v>
      </c>
      <c r="Y38" s="118">
        <f>Mitigation_Industry!Y660</f>
        <v>1.1764606453621964</v>
      </c>
      <c r="Z38" s="118">
        <f>Mitigation_Industry!Z660</f>
        <v>1.216151492811707</v>
      </c>
      <c r="AA38" s="118">
        <f>Mitigation_Industry!AA660</f>
        <v>1.2574750181339414</v>
      </c>
      <c r="AB38" s="118">
        <f>Mitigation_Industry!AB660</f>
        <v>1.3005089115996857</v>
      </c>
      <c r="AC38" s="118">
        <f>Mitigation_Industry!AC660</f>
        <v>1.3453348700903502</v>
      </c>
      <c r="AD38" s="118">
        <f>Mitigation_Industry!AD660</f>
        <v>1.3920388116017608</v>
      </c>
      <c r="AE38" s="118">
        <f>Mitigation_Industry!AE660</f>
        <v>1.4407111014167402</v>
      </c>
    </row>
    <row r="39" spans="1:35" x14ac:dyDescent="0.35">
      <c r="B39" s="112" t="s">
        <v>2675</v>
      </c>
      <c r="C39" s="112" t="s">
        <v>3130</v>
      </c>
      <c r="D39" s="112" t="s">
        <v>3166</v>
      </c>
      <c r="E39" s="112" t="s">
        <v>1852</v>
      </c>
      <c r="F39" s="112" t="s">
        <v>3187</v>
      </c>
      <c r="H39" s="116" t="str">
        <f>Settings!$B$3&amp;".mit.ghg.ipr.blkproc.2"</f>
        <v>egy.mit.ghg.ipr.blkproc.2</v>
      </c>
      <c r="I39" s="112" t="s">
        <v>3188</v>
      </c>
      <c r="L39" s="118">
        <f>Mitigation_Industry!L789</f>
        <v>26.751620146588561</v>
      </c>
      <c r="M39" s="118">
        <f>Mitigation_Industry!M789</f>
        <v>27.646438017449757</v>
      </c>
      <c r="N39" s="118">
        <f>Mitigation_Industry!N789</f>
        <v>28.571608133999998</v>
      </c>
      <c r="O39" s="118">
        <f>Mitigation_Industry!O789</f>
        <v>29.528179985927999</v>
      </c>
      <c r="P39" s="118">
        <f>Mitigation_Industry!P789</f>
        <v>30.517240342133586</v>
      </c>
      <c r="Q39" s="118">
        <f>Mitigation_Industry!Q789</f>
        <v>31.539914624858142</v>
      </c>
      <c r="R39" s="118">
        <f>Mitigation_Industry!R789</f>
        <v>32.597368336956976</v>
      </c>
      <c r="S39" s="118">
        <f>Mitigation_Industry!S789</f>
        <v>33.690808544489862</v>
      </c>
      <c r="T39" s="118">
        <f>Mitigation_Industry!T789</f>
        <v>34.821485416900551</v>
      </c>
      <c r="U39" s="118">
        <f>Mitigation_Industry!U789</f>
        <v>35.990693827155248</v>
      </c>
      <c r="V39" s="118">
        <f>Mitigation_Industry!V789</f>
        <v>37.19977501431368</v>
      </c>
      <c r="W39" s="118">
        <f>Mitigation_Industry!W789</f>
        <v>38.450118311115105</v>
      </c>
      <c r="X39" s="118">
        <f>Mitigation_Industry!X789</f>
        <v>39.743162939274711</v>
      </c>
      <c r="Y39" s="118">
        <f>Mitigation_Industry!Y789</f>
        <v>41.08039987530541</v>
      </c>
      <c r="Z39" s="118">
        <f>Mitigation_Industry!Z789</f>
        <v>42.463373789803512</v>
      </c>
      <c r="AA39" s="118">
        <f>Mitigation_Industry!AA789</f>
        <v>43.893685063268059</v>
      </c>
      <c r="AB39" s="118">
        <f>Mitigation_Industry!AB789</f>
        <v>45.372991881658805</v>
      </c>
      <c r="AC39" s="118">
        <f>Mitigation_Industry!AC789</f>
        <v>46.903012415041424</v>
      </c>
      <c r="AD39" s="118">
        <f>Mitigation_Industry!AD789</f>
        <v>48.485527082817555</v>
      </c>
      <c r="AE39" s="118">
        <f>Mitigation_Industry!AE789</f>
        <v>50.122380909193787</v>
      </c>
    </row>
    <row r="40" spans="1:35" x14ac:dyDescent="0.35">
      <c r="B40" s="112" t="s">
        <v>2675</v>
      </c>
      <c r="C40" s="112" t="s">
        <v>3130</v>
      </c>
      <c r="D40" s="112" t="s">
        <v>3169</v>
      </c>
      <c r="E40" s="112" t="s">
        <v>1852</v>
      </c>
      <c r="F40" s="112" t="s">
        <v>3170</v>
      </c>
      <c r="H40" s="116" t="str">
        <f>Settings!$B$3&amp;".mit.ghg.ipr.blkfp.2"</f>
        <v>egy.mit.ghg.ipr.blkfp.2</v>
      </c>
      <c r="I40" s="112" t="s">
        <v>3171</v>
      </c>
      <c r="L40" s="118">
        <f>SUMPRODUCT((Mitigation_Industry!L729:L736+Mitigation_Industry!L751:L758)*Mitigation_Industry!$I$663:$I$670/(Mitigation_Industry!$F$729:$F$736+(Mitigation_Industry!$F$729:$F$736=0))*'Manual inputs'!$E$88:$E$95)</f>
        <v>2.1571572661716218</v>
      </c>
      <c r="M40" s="118">
        <f>SUMPRODUCT((Mitigation_Industry!M729:M736+Mitigation_Industry!M751:M758)*Mitigation_Industry!$I$663:$I$670/(Mitigation_Industry!$F$729:$F$736+(Mitigation_Industry!$F$729:$F$736=0))*'Manual inputs'!$E$88:$E$95)</f>
        <v>2.2046147260273972</v>
      </c>
      <c r="N40" s="118">
        <f>SUMPRODUCT((Mitigation_Industry!N729:N736+Mitigation_Industry!N751:N758)*Mitigation_Industry!$I$663:$I$670/(Mitigation_Industry!$F$729:$F$736+(Mitigation_Industry!$F$729:$F$736=0))*'Manual inputs'!$E$88:$E$95)</f>
        <v>2.2531162500000002</v>
      </c>
      <c r="O40" s="118">
        <f>SUMPRODUCT((Mitigation_Industry!O729:O736+Mitigation_Industry!O751:O758)*Mitigation_Industry!$I$663:$I$670/(Mitigation_Industry!$F$729:$F$736+(Mitigation_Industry!$F$729:$F$736=0))*'Manual inputs'!$E$88:$E$95)</f>
        <v>2.3026848075000004</v>
      </c>
      <c r="P40" s="118">
        <f>SUMPRODUCT((Mitigation_Industry!P729:P736+Mitigation_Industry!P751:P758)*Mitigation_Industry!$I$663:$I$670/(Mitigation_Industry!$F$729:$F$736+(Mitigation_Industry!$F$729:$F$736=0))*'Manual inputs'!$E$88:$E$95)</f>
        <v>2.3533438732650001</v>
      </c>
      <c r="Q40" s="118">
        <f>SUMPRODUCT((Mitigation_Industry!Q729:Q736+Mitigation_Industry!Q751:Q758)*Mitigation_Industry!$I$663:$I$670/(Mitigation_Industry!$F$729:$F$736+(Mitigation_Industry!$F$729:$F$736=0))*'Manual inputs'!$E$88:$E$95)</f>
        <v>2.4051174384768301</v>
      </c>
      <c r="R40" s="118">
        <f>SUMPRODUCT((Mitigation_Industry!R729:R736+Mitigation_Industry!R751:R758)*Mitigation_Industry!$I$663:$I$670/(Mitigation_Industry!$F$729:$F$736+(Mitigation_Industry!$F$729:$F$736=0))*'Manual inputs'!$E$88:$E$95)</f>
        <v>2.45803002212332</v>
      </c>
      <c r="S40" s="118">
        <f>SUMPRODUCT((Mitigation_Industry!S729:S736+Mitigation_Industry!S751:S758)*Mitigation_Industry!$I$663:$I$670/(Mitigation_Industry!$F$729:$F$736+(Mitigation_Industry!$F$729:$F$736=0))*'Manual inputs'!$E$88:$E$95)</f>
        <v>2.5121066826100331</v>
      </c>
      <c r="T40" s="118">
        <f>SUMPRODUCT((Mitigation_Industry!T729:T736+Mitigation_Industry!T751:T758)*Mitigation_Industry!$I$663:$I$670/(Mitigation_Industry!$F$729:$F$736+(Mitigation_Industry!$F$729:$F$736=0))*'Manual inputs'!$E$88:$E$95)</f>
        <v>2.5673730296274542</v>
      </c>
      <c r="U40" s="118">
        <f>SUMPRODUCT((Mitigation_Industry!U729:U736+Mitigation_Industry!U751:U758)*Mitigation_Industry!$I$663:$I$670/(Mitigation_Industry!$F$729:$F$736+(Mitigation_Industry!$F$729:$F$736=0))*'Manual inputs'!$E$88:$E$95)</f>
        <v>2.6238552362792582</v>
      </c>
      <c r="V40" s="118">
        <f>SUMPRODUCT((Mitigation_Industry!V729:V736+Mitigation_Industry!V751:V758)*Mitigation_Industry!$I$663:$I$670/(Mitigation_Industry!$F$729:$F$736+(Mitigation_Industry!$F$729:$F$736=0))*'Manual inputs'!$E$88:$E$95)</f>
        <v>2.6815800514774026</v>
      </c>
      <c r="W40" s="118">
        <f>SUMPRODUCT((Mitigation_Industry!W729:W736+Mitigation_Industry!W751:W758)*Mitigation_Industry!$I$663:$I$670/(Mitigation_Industry!$F$729:$F$736+(Mitigation_Industry!$F$729:$F$736=0))*'Manual inputs'!$E$88:$E$95)</f>
        <v>2.7405748126099048</v>
      </c>
      <c r="X40" s="118">
        <f>SUMPRODUCT((Mitigation_Industry!X729:X736+Mitigation_Industry!X751:X758)*Mitigation_Industry!$I$663:$I$670/(Mitigation_Industry!$F$729:$F$736+(Mitigation_Industry!$F$729:$F$736=0))*'Manual inputs'!$E$88:$E$95)</f>
        <v>2.800867458487323</v>
      </c>
      <c r="Y40" s="118">
        <f>SUMPRODUCT((Mitigation_Industry!Y729:Y736+Mitigation_Industry!Y751:Y758)*Mitigation_Industry!$I$663:$I$670/(Mitigation_Industry!$F$729:$F$736+(Mitigation_Industry!$F$729:$F$736=0))*'Manual inputs'!$E$88:$E$95)</f>
        <v>2.862486542574044</v>
      </c>
      <c r="Z40" s="118">
        <f>SUMPRODUCT((Mitigation_Industry!Z729:Z736+Mitigation_Industry!Z751:Z758)*Mitigation_Industry!$I$663:$I$670/(Mitigation_Industry!$F$729:$F$736+(Mitigation_Industry!$F$729:$F$736=0))*'Manual inputs'!$E$88:$E$95)</f>
        <v>2.9254612465106731</v>
      </c>
      <c r="AA40" s="118">
        <f>SUMPRODUCT((Mitigation_Industry!AA729:AA736+Mitigation_Industry!AA751:AA758)*Mitigation_Industry!$I$663:$I$670/(Mitigation_Industry!$F$729:$F$736+(Mitigation_Industry!$F$729:$F$736=0))*'Manual inputs'!$E$88:$E$95)</f>
        <v>2.9898213939339078</v>
      </c>
      <c r="AB40" s="118">
        <f>SUMPRODUCT((Mitigation_Industry!AB729:AB736+Mitigation_Industry!AB751:AB758)*Mitigation_Industry!$I$663:$I$670/(Mitigation_Industry!$F$729:$F$736+(Mitigation_Industry!$F$729:$F$736=0))*'Manual inputs'!$E$88:$E$95)</f>
        <v>3.0555974646004533</v>
      </c>
      <c r="AC40" s="118">
        <f>SUMPRODUCT((Mitigation_Industry!AC729:AC736+Mitigation_Industry!AC751:AC758)*Mitigation_Industry!$I$663:$I$670/(Mitigation_Industry!$F$729:$F$736+(Mitigation_Industry!$F$729:$F$736=0))*'Manual inputs'!$E$88:$E$95)</f>
        <v>3.1228206088216641</v>
      </c>
      <c r="AD40" s="118">
        <f>SUMPRODUCT((Mitigation_Industry!AD729:AD736+Mitigation_Industry!AD751:AD758)*Mitigation_Industry!$I$663:$I$670/(Mitigation_Industry!$F$729:$F$736+(Mitigation_Industry!$F$729:$F$736=0))*'Manual inputs'!$E$88:$E$95)</f>
        <v>3.1915226622157404</v>
      </c>
      <c r="AE40" s="118">
        <f>SUMPRODUCT((Mitigation_Industry!AE729:AE736+Mitigation_Industry!AE751:AE758)*Mitigation_Industry!$I$663:$I$670/(Mitigation_Industry!$F$729:$F$736+(Mitigation_Industry!$F$729:$F$736=0))*'Manual inputs'!$E$88:$E$95)</f>
        <v>3.2617361607844866</v>
      </c>
    </row>
    <row r="41" spans="1:35" x14ac:dyDescent="0.35">
      <c r="B41" s="112" t="s">
        <v>2675</v>
      </c>
      <c r="C41" s="112" t="s">
        <v>3130</v>
      </c>
      <c r="D41" s="112" t="s">
        <v>3172</v>
      </c>
      <c r="E41" s="112" t="s">
        <v>1852</v>
      </c>
      <c r="H41" s="116" t="str">
        <f>Settings!$B$3&amp;".mit.ghg.ipr.blk.2"</f>
        <v>egy.mit.ghg.ipr.blk.2</v>
      </c>
      <c r="L41" s="118">
        <f t="shared" ref="L41:AE41" si="10">L39+L40</f>
        <v>28.908777412760184</v>
      </c>
      <c r="M41" s="118">
        <f t="shared" si="10"/>
        <v>29.851052743477155</v>
      </c>
      <c r="N41" s="118">
        <f t="shared" si="10"/>
        <v>30.824724384</v>
      </c>
      <c r="O41" s="118">
        <f t="shared" si="10"/>
        <v>31.830864793427999</v>
      </c>
      <c r="P41" s="118">
        <f t="shared" si="10"/>
        <v>32.870584215398587</v>
      </c>
      <c r="Q41" s="118">
        <f t="shared" si="10"/>
        <v>33.94503206333497</v>
      </c>
      <c r="R41" s="118">
        <f t="shared" si="10"/>
        <v>35.055398359080293</v>
      </c>
      <c r="S41" s="118">
        <f t="shared" si="10"/>
        <v>36.202915227099894</v>
      </c>
      <c r="T41" s="118">
        <f t="shared" si="10"/>
        <v>37.388858446528005</v>
      </c>
      <c r="U41" s="118">
        <f t="shared" si="10"/>
        <v>38.614549063434509</v>
      </c>
      <c r="V41" s="118">
        <f t="shared" si="10"/>
        <v>39.881355065791084</v>
      </c>
      <c r="W41" s="118">
        <f t="shared" si="10"/>
        <v>41.190693123725012</v>
      </c>
      <c r="X41" s="118">
        <f t="shared" si="10"/>
        <v>42.544030397762036</v>
      </c>
      <c r="Y41" s="118">
        <f t="shared" si="10"/>
        <v>43.942886417879457</v>
      </c>
      <c r="Z41" s="118">
        <f t="shared" si="10"/>
        <v>45.388835036314184</v>
      </c>
      <c r="AA41" s="118">
        <f t="shared" si="10"/>
        <v>46.883506457201968</v>
      </c>
      <c r="AB41" s="118">
        <f t="shared" si="10"/>
        <v>48.428589346259258</v>
      </c>
      <c r="AC41" s="118">
        <f t="shared" si="10"/>
        <v>50.025833023863086</v>
      </c>
      <c r="AD41" s="118">
        <f t="shared" si="10"/>
        <v>51.677049745033294</v>
      </c>
      <c r="AE41" s="118">
        <f t="shared" si="10"/>
        <v>53.384117069978274</v>
      </c>
    </row>
    <row r="42" spans="1:35" x14ac:dyDescent="0.35">
      <c r="B42" s="112" t="s">
        <v>3173</v>
      </c>
      <c r="C42" s="112" t="s">
        <v>3130</v>
      </c>
      <c r="D42" s="112" t="s">
        <v>3174</v>
      </c>
      <c r="E42" s="112" t="s">
        <v>1852</v>
      </c>
      <c r="H42" s="116" t="str">
        <f>Settings!$B$3&amp;".mit.ghg.ipr.oth.2"</f>
        <v>egy.mit.ghg.ipr.oth.2</v>
      </c>
      <c r="I42" s="112" t="s">
        <v>3189</v>
      </c>
      <c r="L42" s="118">
        <f>IF('Manual inputs'!$E$85="CPAT",IF(L19=0,0,L25*L36/L19),L25)</f>
        <v>23.291572347716414</v>
      </c>
      <c r="M42" s="118">
        <f>IF('Manual inputs'!$E$85="CPAT",IF(M19=0,0,M25*M36/M19),M25)</f>
        <v>27.052378387327124</v>
      </c>
      <c r="N42" s="118">
        <f>IF('Manual inputs'!$E$85="CPAT",IF(N19=0,0,N25*N36/N19),N25)</f>
        <v>35.645693893289213</v>
      </c>
      <c r="O42" s="118">
        <f>IF('Manual inputs'!$E$85="CPAT",IF(O19=0,0,O25*O36/O19),O25)</f>
        <v>42.270122522556754</v>
      </c>
      <c r="P42" s="118">
        <f>IF('Manual inputs'!$E$85="CPAT",IF(P19=0,0,P25*P36/P19),P25)</f>
        <v>39.167469536964141</v>
      </c>
      <c r="Q42" s="118">
        <f>IF('Manual inputs'!$E$85="CPAT",IF(Q19=0,0,Q25*Q36/Q19),Q25)</f>
        <v>44.620660000285916</v>
      </c>
      <c r="R42" s="118">
        <f>IF('Manual inputs'!$E$85="CPAT",IF(R19=0,0,R25*R36/R19),R25)</f>
        <v>46.664181881228295</v>
      </c>
      <c r="S42" s="118">
        <f>IF('Manual inputs'!$E$85="CPAT",IF(S19=0,0,S25*S36/S19),S25)</f>
        <v>48.571357338381702</v>
      </c>
      <c r="T42" s="118">
        <f>IF('Manual inputs'!$E$85="CPAT",IF(T19=0,0,T25*T36/T19),T25)</f>
        <v>50.27644413601638</v>
      </c>
      <c r="U42" s="118">
        <f>IF('Manual inputs'!$E$85="CPAT",IF(U19=0,0,U25*U36/U19),U25)</f>
        <v>51.98835337985642</v>
      </c>
      <c r="V42" s="118">
        <f>IF('Manual inputs'!$E$85="CPAT",IF(V19=0,0,V25*V36/V19),V25)</f>
        <v>53.67666826466602</v>
      </c>
      <c r="W42" s="118">
        <f>IF('Manual inputs'!$E$85="CPAT",IF(W19=0,0,W25*W36/W19),W25)</f>
        <v>55.378429300866983</v>
      </c>
      <c r="X42" s="118">
        <f>IF('Manual inputs'!$E$85="CPAT",IF(X19=0,0,X25*X36/X19),X25)</f>
        <v>57.091881438104018</v>
      </c>
      <c r="Y42" s="118">
        <f>IF('Manual inputs'!$E$85="CPAT",IF(Y19=0,0,Y25*Y36/Y19),Y25)</f>
        <v>58.815179771798093</v>
      </c>
      <c r="Z42" s="118">
        <f>IF('Manual inputs'!$E$85="CPAT",IF(Z19=0,0,Z25*Z36/Z19),Z25)</f>
        <v>60.546386886262347</v>
      </c>
      <c r="AA42" s="118">
        <f>IF('Manual inputs'!$E$85="CPAT",IF(AA19=0,0,AA25*AA36/AA19),AA25)</f>
        <v>62.283470009014927</v>
      </c>
      <c r="AB42" s="118">
        <f>IF('Manual inputs'!$E$85="CPAT",IF(AB19=0,0,AB25*AB36/AB19),AB25)</f>
        <v>64.02429796802555</v>
      </c>
      <c r="AC42" s="118">
        <f>IF('Manual inputs'!$E$85="CPAT",IF(AC19=0,0,AC25*AC36/AC19),AC25)</f>
        <v>65.766637943701738</v>
      </c>
      <c r="AD42" s="118">
        <f>IF('Manual inputs'!$E$85="CPAT",IF(AD19=0,0,AD25*AD36/AD19),AD25)</f>
        <v>67.508152007480049</v>
      </c>
      <c r="AE42" s="118">
        <f>IF('Manual inputs'!$E$85="CPAT",IF(AE19=0,0,AE25*AE36/AE19),AE25)</f>
        <v>69.246393438916968</v>
      </c>
    </row>
    <row r="43" spans="1:35" ht="13.9" x14ac:dyDescent="0.4">
      <c r="B43" s="121" t="s">
        <v>110</v>
      </c>
      <c r="C43" s="121" t="s">
        <v>3130</v>
      </c>
      <c r="D43" s="121" t="s">
        <v>3176</v>
      </c>
      <c r="E43" s="121" t="s">
        <v>1852</v>
      </c>
      <c r="F43" s="121"/>
      <c r="G43" s="121"/>
      <c r="H43" s="142" t="str">
        <f>Settings!$B$3&amp;".mit.ghg.iprk.tot.2"</f>
        <v>egy.mit.ghg.iprk.tot.2</v>
      </c>
      <c r="I43" s="121" t="s">
        <v>3190</v>
      </c>
      <c r="J43" s="121"/>
      <c r="K43" s="121"/>
      <c r="L43" s="143">
        <f t="shared" ref="L43:AE43" si="11">L41+L42</f>
        <v>52.200349760476598</v>
      </c>
      <c r="M43" s="143">
        <f t="shared" si="11"/>
        <v>56.903431130804279</v>
      </c>
      <c r="N43" s="143">
        <f t="shared" si="11"/>
        <v>66.470418277289212</v>
      </c>
      <c r="O43" s="143">
        <f t="shared" si="11"/>
        <v>74.100987315984753</v>
      </c>
      <c r="P43" s="143">
        <f t="shared" si="11"/>
        <v>72.038053752362728</v>
      </c>
      <c r="Q43" s="143">
        <f t="shared" si="11"/>
        <v>78.565692063620887</v>
      </c>
      <c r="R43" s="143">
        <f t="shared" si="11"/>
        <v>81.719580240308588</v>
      </c>
      <c r="S43" s="143">
        <f t="shared" si="11"/>
        <v>84.774272565481596</v>
      </c>
      <c r="T43" s="143">
        <f t="shared" si="11"/>
        <v>87.665302582544385</v>
      </c>
      <c r="U43" s="143">
        <f t="shared" si="11"/>
        <v>90.60290244329093</v>
      </c>
      <c r="V43" s="143">
        <f t="shared" si="11"/>
        <v>93.558023330457104</v>
      </c>
      <c r="W43" s="143">
        <f t="shared" si="11"/>
        <v>96.569122424591995</v>
      </c>
      <c r="X43" s="143">
        <f t="shared" si="11"/>
        <v>99.635911835866054</v>
      </c>
      <c r="Y43" s="143">
        <f t="shared" si="11"/>
        <v>102.75806618967755</v>
      </c>
      <c r="Z43" s="143">
        <f t="shared" si="11"/>
        <v>105.93522192257653</v>
      </c>
      <c r="AA43" s="143">
        <f t="shared" si="11"/>
        <v>109.16697646621689</v>
      </c>
      <c r="AB43" s="143">
        <f t="shared" si="11"/>
        <v>112.45288731428481</v>
      </c>
      <c r="AC43" s="143">
        <f t="shared" si="11"/>
        <v>115.79247096756482</v>
      </c>
      <c r="AD43" s="143">
        <f t="shared" si="11"/>
        <v>119.18520175251334</v>
      </c>
      <c r="AE43" s="143">
        <f t="shared" si="11"/>
        <v>122.63051050889524</v>
      </c>
      <c r="AF43" s="121"/>
      <c r="AG43" s="121"/>
      <c r="AH43" s="121"/>
      <c r="AI43" s="121"/>
    </row>
    <row r="44" spans="1:35" x14ac:dyDescent="0.35">
      <c r="B44" s="112" t="s">
        <v>110</v>
      </c>
      <c r="C44" s="112" t="s">
        <v>3130</v>
      </c>
      <c r="D44" s="112" t="s">
        <v>3178</v>
      </c>
      <c r="E44" s="112" t="s">
        <v>1852</v>
      </c>
      <c r="H44" s="116" t="str">
        <f>Settings!$B$3&amp;".mit.ghg.iprdc.tot.2"</f>
        <v>egy.mit.ghg.iprdc.tot.2</v>
      </c>
      <c r="I44" s="112" t="s">
        <v>3179</v>
      </c>
      <c r="L44" s="118">
        <f t="shared" ref="L44:AE44" si="12">L43-L36</f>
        <v>0</v>
      </c>
      <c r="M44" s="118">
        <f t="shared" si="12"/>
        <v>0</v>
      </c>
      <c r="N44" s="118">
        <f t="shared" si="12"/>
        <v>0</v>
      </c>
      <c r="O44" s="118">
        <f t="shared" si="12"/>
        <v>0</v>
      </c>
      <c r="P44" s="118">
        <f t="shared" si="12"/>
        <v>0</v>
      </c>
      <c r="Q44" s="118">
        <f t="shared" si="12"/>
        <v>1.4090398681312308</v>
      </c>
      <c r="R44" s="118">
        <f t="shared" si="12"/>
        <v>2.6673965235448378</v>
      </c>
      <c r="S44" s="118">
        <f t="shared" si="12"/>
        <v>3.8181630055287599</v>
      </c>
      <c r="T44" s="118">
        <f t="shared" si="12"/>
        <v>4.8795095359972152</v>
      </c>
      <c r="U44" s="118">
        <f t="shared" si="12"/>
        <v>5.8802184098541375</v>
      </c>
      <c r="V44" s="118">
        <f t="shared" si="12"/>
        <v>6.80772680646227</v>
      </c>
      <c r="W44" s="118">
        <f t="shared" si="12"/>
        <v>7.6897753620378069</v>
      </c>
      <c r="X44" s="118">
        <f t="shared" si="12"/>
        <v>8.5333569344649902</v>
      </c>
      <c r="Y44" s="118">
        <f t="shared" si="12"/>
        <v>9.3427525163357785</v>
      </c>
      <c r="Z44" s="118">
        <f t="shared" si="12"/>
        <v>10.11919326251622</v>
      </c>
      <c r="AA44" s="118">
        <f t="shared" si="12"/>
        <v>10.865381102071524</v>
      </c>
      <c r="AB44" s="118">
        <f t="shared" si="12"/>
        <v>11.584058705353883</v>
      </c>
      <c r="AC44" s="118">
        <f t="shared" si="12"/>
        <v>12.27945098871038</v>
      </c>
      <c r="AD44" s="118">
        <f t="shared" si="12"/>
        <v>12.955061337753065</v>
      </c>
      <c r="AE44" s="118">
        <f t="shared" si="12"/>
        <v>13.613511081620189</v>
      </c>
    </row>
    <row r="45" spans="1:35" x14ac:dyDescent="0.35">
      <c r="B45" s="112" t="s">
        <v>3180</v>
      </c>
      <c r="C45" s="112" t="s">
        <v>3130</v>
      </c>
      <c r="D45" s="112" t="s">
        <v>3181</v>
      </c>
      <c r="E45" s="112" t="s">
        <v>79</v>
      </c>
      <c r="H45" s="116" t="str">
        <f>Settings!$B$3&amp;".mit.ghg.iprshb.tot.2"</f>
        <v>egy.mit.ghg.iprshb.tot.2</v>
      </c>
      <c r="L45" s="144">
        <f t="shared" ref="L45:AE45" si="13">IF(L36=0,0,L41/L36)</f>
        <v>0.55380428570707418</v>
      </c>
      <c r="M45" s="144">
        <f t="shared" si="13"/>
        <v>0.52459143763859073</v>
      </c>
      <c r="N45" s="144">
        <f t="shared" si="13"/>
        <v>0.46373597733973954</v>
      </c>
      <c r="O45" s="144">
        <f t="shared" si="13"/>
        <v>0.42956060298756071</v>
      </c>
      <c r="P45" s="144">
        <f t="shared" si="13"/>
        <v>0.45629472901078322</v>
      </c>
      <c r="Q45" s="144">
        <f t="shared" si="13"/>
        <v>0.43994951954796313</v>
      </c>
      <c r="R45" s="144">
        <f t="shared" si="13"/>
        <v>0.44344629978446087</v>
      </c>
      <c r="S45" s="144">
        <f t="shared" si="13"/>
        <v>0.44719188488534606</v>
      </c>
      <c r="T45" s="144">
        <f t="shared" si="13"/>
        <v>0.45163375345701806</v>
      </c>
      <c r="U45" s="144">
        <f t="shared" si="13"/>
        <v>0.45577579964528542</v>
      </c>
      <c r="V45" s="144">
        <f t="shared" si="13"/>
        <v>0.45972586450767966</v>
      </c>
      <c r="W45" s="144">
        <f t="shared" si="13"/>
        <v>0.46344504640357659</v>
      </c>
      <c r="X45" s="144">
        <f t="shared" si="13"/>
        <v>0.46699053000002916</v>
      </c>
      <c r="Y45" s="144">
        <f t="shared" si="13"/>
        <v>0.47040345624209556</v>
      </c>
      <c r="Z45" s="144">
        <f t="shared" si="13"/>
        <v>0.47370816418771006</v>
      </c>
      <c r="AA45" s="144">
        <f t="shared" si="13"/>
        <v>0.47693535678162868</v>
      </c>
      <c r="AB45" s="144">
        <f t="shared" si="13"/>
        <v>0.48011452114723369</v>
      </c>
      <c r="AC45" s="144">
        <f t="shared" si="13"/>
        <v>0.48328058667481949</v>
      </c>
      <c r="AD45" s="144">
        <f t="shared" si="13"/>
        <v>0.4864631595446236</v>
      </c>
      <c r="AE45" s="144">
        <f t="shared" si="13"/>
        <v>0.48968617142678444</v>
      </c>
    </row>
    <row r="48" spans="1:35" customFormat="1" ht="18" customHeight="1" x14ac:dyDescent="0.45">
      <c r="A48" s="8"/>
      <c r="B48" s="9" t="s">
        <v>3191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50" spans="1:35" customFormat="1" ht="14.25" x14ac:dyDescent="0.45">
      <c r="A50" s="11"/>
      <c r="B50" s="6" t="s">
        <v>1488</v>
      </c>
      <c r="C50" s="7" t="s">
        <v>33</v>
      </c>
      <c r="D50" s="6" t="s">
        <v>34</v>
      </c>
      <c r="E50" s="7" t="s">
        <v>35</v>
      </c>
      <c r="F50" s="7" t="s">
        <v>36</v>
      </c>
      <c r="G50" s="7" t="s">
        <v>37</v>
      </c>
      <c r="H50" s="12" t="s">
        <v>38</v>
      </c>
      <c r="I50" s="6" t="s">
        <v>39</v>
      </c>
      <c r="J50" s="48">
        <v>1</v>
      </c>
      <c r="K50" s="6">
        <v>2021</v>
      </c>
      <c r="L50" s="46">
        <v>2022</v>
      </c>
      <c r="M50" s="6">
        <v>2023</v>
      </c>
      <c r="N50" s="6">
        <v>2024</v>
      </c>
      <c r="O50" s="6">
        <v>2025</v>
      </c>
      <c r="P50" s="6">
        <v>2026</v>
      </c>
      <c r="Q50" s="6">
        <v>2027</v>
      </c>
      <c r="R50" s="6">
        <v>2028</v>
      </c>
      <c r="S50" s="6">
        <v>2029</v>
      </c>
      <c r="T50" s="6">
        <v>2030</v>
      </c>
      <c r="U50" s="6">
        <v>2031</v>
      </c>
      <c r="V50" s="6">
        <v>2032</v>
      </c>
      <c r="W50" s="6">
        <v>2033</v>
      </c>
      <c r="X50" s="6">
        <v>2034</v>
      </c>
      <c r="Y50" s="6">
        <v>2035</v>
      </c>
      <c r="Z50" s="6">
        <v>2036</v>
      </c>
      <c r="AA50" s="6">
        <v>2037</v>
      </c>
      <c r="AB50" s="6">
        <v>2038</v>
      </c>
      <c r="AC50" s="6">
        <v>2039</v>
      </c>
      <c r="AD50" s="6">
        <v>2040</v>
      </c>
      <c r="AE50" s="6">
        <v>2041</v>
      </c>
      <c r="AF50" s="6">
        <v>2042</v>
      </c>
      <c r="AG50" s="6">
        <v>2043</v>
      </c>
      <c r="AH50" s="6">
        <v>2044</v>
      </c>
      <c r="AI50" s="6">
        <v>2045</v>
      </c>
    </row>
    <row r="51" spans="1:35" x14ac:dyDescent="0.35">
      <c r="B51" s="112" t="s">
        <v>3192</v>
      </c>
      <c r="C51" s="112" t="s">
        <v>43</v>
      </c>
      <c r="D51" s="112" t="s">
        <v>3193</v>
      </c>
      <c r="E51" s="112" t="s">
        <v>2068</v>
      </c>
      <c r="F51" s="112" t="s">
        <v>3194</v>
      </c>
      <c r="H51" s="116" t="str">
        <f>Settings!$B$3&amp;".mit.eco2.blk.irn.1"</f>
        <v>egy.mit.eco2.blk.irn.1</v>
      </c>
      <c r="I51" s="112" t="s">
        <v>2254</v>
      </c>
      <c r="L51" s="118">
        <f>Mitigation_Industry!L375-SUMPRODUCT((Mitigation_Industry!L330:L332+Mitigation_Industry!L352:L354)*Mitigation_Industry!$I$264:$I$266/(Mitigation_Industry!$F$330:$F$332+(Mitigation_Industry!$F$330:$F$332=0))*'Manual inputs'!$E$88:$E$90)</f>
        <v>2.8694133664728936</v>
      </c>
      <c r="M51" s="118">
        <f>Mitigation_Industry!M375-SUMPRODUCT((Mitigation_Industry!M330:M332+Mitigation_Industry!M352:M354)*Mitigation_Industry!$I$264:$I$266/(Mitigation_Industry!$F$330:$F$332+(Mitigation_Industry!$F$330:$F$332=0))*'Manual inputs'!$E$88:$E$90)</f>
        <v>2.9956675545977007</v>
      </c>
      <c r="N51" s="118">
        <f>Mitigation_Industry!N375-SUMPRODUCT((Mitigation_Industry!N330:N332+Mitigation_Industry!N352:N354)*Mitigation_Industry!$I$264:$I$266/(Mitigation_Industry!$F$330:$F$332+(Mitigation_Industry!$F$330:$F$332=0))*'Manual inputs'!$E$88:$E$90)</f>
        <v>3.1274769269999996</v>
      </c>
      <c r="O51" s="118">
        <f>Mitigation_Industry!O375-SUMPRODUCT((Mitigation_Industry!O330:O332+Mitigation_Industry!O352:O354)*Mitigation_Industry!$I$264:$I$266/(Mitigation_Industry!$F$330:$F$332+(Mitigation_Industry!$F$330:$F$332=0))*'Manual inputs'!$E$88:$E$90)</f>
        <v>3.2650859117880002</v>
      </c>
      <c r="P51" s="118">
        <f>Mitigation_Industry!P375-SUMPRODUCT((Mitigation_Industry!P330:P332+Mitigation_Industry!P352:P354)*Mitigation_Industry!$I$264:$I$266/(Mitigation_Industry!$F$330:$F$332+(Mitigation_Industry!$F$330:$F$332=0))*'Manual inputs'!$E$88:$E$90)</f>
        <v>3.4087496919066722</v>
      </c>
      <c r="Q51" s="118">
        <f>Mitigation_Industry!Q375-SUMPRODUCT((Mitigation_Industry!Q330:Q332+Mitigation_Industry!Q352:Q354)*Mitigation_Industry!$I$264:$I$266/(Mitigation_Industry!$F$330:$F$332+(Mitigation_Industry!$F$330:$F$332=0))*'Manual inputs'!$E$88:$E$90)</f>
        <v>3.5587346783505662</v>
      </c>
      <c r="R51" s="118">
        <f>Mitigation_Industry!R375-SUMPRODUCT((Mitigation_Industry!R330:R332+Mitigation_Industry!R352:R354)*Mitigation_Industry!$I$264:$I$266/(Mitigation_Industry!$F$330:$F$332+(Mitigation_Industry!$F$330:$F$332=0))*'Manual inputs'!$E$88:$E$90)</f>
        <v>3.7153190041979904</v>
      </c>
      <c r="S51" s="118">
        <f>Mitigation_Industry!S375-SUMPRODUCT((Mitigation_Industry!S330:S332+Mitigation_Industry!S352:S354)*Mitigation_Industry!$I$264:$I$266/(Mitigation_Industry!$F$330:$F$332+(Mitigation_Industry!$F$330:$F$332=0))*'Manual inputs'!$E$88:$E$90)</f>
        <v>3.8787930403827025</v>
      </c>
      <c r="T51" s="118">
        <f>Mitigation_Industry!T375-SUMPRODUCT((Mitigation_Industry!T330:T332+Mitigation_Industry!T352:T354)*Mitigation_Industry!$I$264:$I$266/(Mitigation_Industry!$F$330:$F$332+(Mitigation_Industry!$F$330:$F$332=0))*'Manual inputs'!$E$88:$E$90)</f>
        <v>4.0494599341595423</v>
      </c>
      <c r="U51" s="118">
        <f>Mitigation_Industry!U375-SUMPRODUCT((Mitigation_Industry!U330:U332+Mitigation_Industry!U352:U354)*Mitigation_Industry!$I$264:$I$266/(Mitigation_Industry!$F$330:$F$332+(Mitigation_Industry!$F$330:$F$332=0))*'Manual inputs'!$E$88:$E$90)</f>
        <v>4.2276361712625619</v>
      </c>
      <c r="V51" s="118">
        <f>Mitigation_Industry!V375-SUMPRODUCT((Mitigation_Industry!V330:V332+Mitigation_Industry!V352:V354)*Mitigation_Industry!$I$264:$I$266/(Mitigation_Industry!$F$330:$F$332+(Mitigation_Industry!$F$330:$F$332=0))*'Manual inputs'!$E$88:$E$90)</f>
        <v>4.4136521627981145</v>
      </c>
      <c r="W51" s="118">
        <f>Mitigation_Industry!W375-SUMPRODUCT((Mitigation_Industry!W330:W332+Mitigation_Industry!W352:W354)*Mitigation_Industry!$I$264:$I$266/(Mitigation_Industry!$F$330:$F$332+(Mitigation_Industry!$F$330:$F$332=0))*'Manual inputs'!$E$88:$E$90)</f>
        <v>4.6078528579612303</v>
      </c>
      <c r="X51" s="118">
        <f>Mitigation_Industry!X375-SUMPRODUCT((Mitigation_Industry!X330:X332+Mitigation_Industry!X352:X354)*Mitigation_Industry!$I$264:$I$266/(Mitigation_Industry!$F$330:$F$332+(Mitigation_Industry!$F$330:$F$332=0))*'Manual inputs'!$E$88:$E$90)</f>
        <v>4.8105983837115254</v>
      </c>
      <c r="Y51" s="118">
        <f>Mitigation_Industry!Y375-SUMPRODUCT((Mitigation_Industry!Y330:Y332+Mitigation_Industry!Y352:Y354)*Mitigation_Industry!$I$264:$I$266/(Mitigation_Industry!$F$330:$F$332+(Mitigation_Industry!$F$330:$F$332=0))*'Manual inputs'!$E$88:$E$90)</f>
        <v>5.0222647125948336</v>
      </c>
      <c r="Z51" s="118">
        <f>Mitigation_Industry!Z375-SUMPRODUCT((Mitigation_Industry!Z330:Z332+Mitigation_Industry!Z352:Z354)*Mitigation_Industry!$I$264:$I$266/(Mitigation_Industry!$F$330:$F$332+(Mitigation_Industry!$F$330:$F$332=0))*'Manual inputs'!$E$88:$E$90)</f>
        <v>5.2432443599490046</v>
      </c>
      <c r="AA51" s="118">
        <f>Mitigation_Industry!AA375-SUMPRODUCT((Mitigation_Industry!AA330:AA332+Mitigation_Industry!AA352:AA354)*Mitigation_Industry!$I$264:$I$266/(Mitigation_Industry!$F$330:$F$332+(Mitigation_Industry!$F$330:$F$332=0))*'Manual inputs'!$E$88:$E$90)</f>
        <v>5.4739471117867611</v>
      </c>
      <c r="AB51" s="118">
        <f>Mitigation_Industry!AB375-SUMPRODUCT((Mitigation_Industry!AB330:AB332+Mitigation_Industry!AB352:AB354)*Mitigation_Industry!$I$264:$I$266/(Mitigation_Industry!$F$330:$F$332+(Mitigation_Industry!$F$330:$F$332=0))*'Manual inputs'!$E$88:$E$90)</f>
        <v>5.714800784705381</v>
      </c>
      <c r="AC51" s="118">
        <f>Mitigation_Industry!AC375-SUMPRODUCT((Mitigation_Industry!AC330:AC332+Mitigation_Industry!AC352:AC354)*Mitigation_Industry!$I$264:$I$266/(Mitigation_Industry!$F$330:$F$332+(Mitigation_Industry!$F$330:$F$332=0))*'Manual inputs'!$E$88:$E$90)</f>
        <v>5.9662520192324164</v>
      </c>
      <c r="AD51" s="118">
        <f>Mitigation_Industry!AD375-SUMPRODUCT((Mitigation_Industry!AD330:AD332+Mitigation_Industry!AD352:AD354)*Mitigation_Industry!$I$264:$I$266/(Mitigation_Industry!$F$330:$F$332+(Mitigation_Industry!$F$330:$F$332=0))*'Manual inputs'!$E$88:$E$90)</f>
        <v>6.2287671080786424</v>
      </c>
      <c r="AE51" s="118">
        <f>Mitigation_Industry!AE375-SUMPRODUCT((Mitigation_Industry!AE330:AE332+Mitigation_Industry!AE352:AE354)*Mitigation_Industry!$I$264:$I$266/(Mitigation_Industry!$F$330:$F$332+(Mitigation_Industry!$F$330:$F$332=0))*'Manual inputs'!$E$88:$E$90)</f>
        <v>6.5028328608341015</v>
      </c>
    </row>
    <row r="52" spans="1:35" x14ac:dyDescent="0.35">
      <c r="B52" s="112" t="s">
        <v>110</v>
      </c>
      <c r="C52" s="112" t="s">
        <v>43</v>
      </c>
      <c r="D52" s="112" t="s">
        <v>3195</v>
      </c>
      <c r="E52" s="112" t="s">
        <v>2068</v>
      </c>
      <c r="F52" s="112" t="s">
        <v>3196</v>
      </c>
      <c r="I52" s="112" t="s">
        <v>2157</v>
      </c>
      <c r="L52" s="118">
        <f>Emissions_Industry!L15</f>
        <v>4.5303835184019645</v>
      </c>
      <c r="M52" s="118">
        <f>Emissions_Industry!M15</f>
        <v>3.8469033618625206</v>
      </c>
      <c r="N52" s="118">
        <f>Emissions_Industry!N15</f>
        <v>4.3290746208215198</v>
      </c>
      <c r="O52" s="118">
        <f>Emissions_Industry!O15</f>
        <v>4.5451606543512009</v>
      </c>
      <c r="P52" s="118">
        <f>Emissions_Industry!P15</f>
        <v>4.6606527233890995</v>
      </c>
      <c r="Q52" s="118">
        <f>Emissions_Industry!Q15</f>
        <v>4.8330795942744347</v>
      </c>
      <c r="R52" s="118">
        <f>Emissions_Industry!R15</f>
        <v>5.0529306123252606</v>
      </c>
      <c r="S52" s="118">
        <f>Emissions_Industry!S15</f>
        <v>5.2667916999615381</v>
      </c>
      <c r="T52" s="118">
        <f>Emissions_Industry!T15</f>
        <v>5.4699790897750464</v>
      </c>
      <c r="U52" s="118">
        <f>Emissions_Industry!U15</f>
        <v>5.6771103604276671</v>
      </c>
      <c r="V52" s="118">
        <f>Emissions_Industry!V15</f>
        <v>5.8842858461533165</v>
      </c>
      <c r="W52" s="118">
        <f>Emissions_Industry!W15</f>
        <v>6.0960674143926461</v>
      </c>
      <c r="X52" s="118">
        <f>Emissions_Industry!X15</f>
        <v>6.3124466882788575</v>
      </c>
      <c r="Y52" s="118">
        <f>Emissions_Industry!Y15</f>
        <v>6.5334118787127196</v>
      </c>
      <c r="Z52" s="118">
        <f>Emissions_Industry!Z15</f>
        <v>6.7589477212745512</v>
      </c>
      <c r="AA52" s="118">
        <f>Emissions_Industry!AA15</f>
        <v>6.9890354050403589</v>
      </c>
      <c r="AB52" s="118">
        <f>Emissions_Industry!AB15</f>
        <v>7.2236524927720804</v>
      </c>
      <c r="AC52" s="118">
        <f>Emissions_Industry!AC15</f>
        <v>7.4627728319721847</v>
      </c>
      <c r="AD52" s="118">
        <f>Emissions_Industry!AD15</f>
        <v>7.7063664563130869</v>
      </c>
      <c r="AE52" s="118">
        <f>Emissions_Industry!AE15</f>
        <v>7.9543994769708668</v>
      </c>
    </row>
    <row r="53" spans="1:35" x14ac:dyDescent="0.35">
      <c r="B53" s="112" t="s">
        <v>3197</v>
      </c>
      <c r="C53" s="112" t="s">
        <v>43</v>
      </c>
      <c r="D53" s="112" t="s">
        <v>3198</v>
      </c>
      <c r="E53" s="112" t="s">
        <v>2068</v>
      </c>
      <c r="H53" s="116" t="str">
        <f>Settings!$B$3&amp;".mit.eco2.gap.irn.1"</f>
        <v>egy.mit.eco2.gap.irn.1</v>
      </c>
      <c r="I53" s="112" t="s">
        <v>3199</v>
      </c>
      <c r="L53" s="118">
        <f t="shared" ref="L53:AE53" si="14">L52-L51</f>
        <v>1.6609701519290709</v>
      </c>
      <c r="M53" s="118">
        <f t="shared" si="14"/>
        <v>0.85123580726481984</v>
      </c>
      <c r="N53" s="118">
        <f t="shared" si="14"/>
        <v>1.2015976938215203</v>
      </c>
      <c r="O53" s="118">
        <f t="shared" si="14"/>
        <v>1.2800747425632006</v>
      </c>
      <c r="P53" s="118">
        <f t="shared" si="14"/>
        <v>1.2519030314824273</v>
      </c>
      <c r="Q53" s="118">
        <f t="shared" si="14"/>
        <v>1.2743449159238684</v>
      </c>
      <c r="R53" s="118">
        <f t="shared" si="14"/>
        <v>1.3376116081272702</v>
      </c>
      <c r="S53" s="118">
        <f t="shared" si="14"/>
        <v>1.3879986595788356</v>
      </c>
      <c r="T53" s="118">
        <f t="shared" si="14"/>
        <v>1.4205191556155041</v>
      </c>
      <c r="U53" s="118">
        <f t="shared" si="14"/>
        <v>1.4494741891651053</v>
      </c>
      <c r="V53" s="118">
        <f t="shared" si="14"/>
        <v>1.4706336833552021</v>
      </c>
      <c r="W53" s="118">
        <f t="shared" si="14"/>
        <v>1.4882145564314158</v>
      </c>
      <c r="X53" s="118">
        <f t="shared" si="14"/>
        <v>1.5018483045673321</v>
      </c>
      <c r="Y53" s="118">
        <f t="shared" si="14"/>
        <v>1.5111471661178859</v>
      </c>
      <c r="Z53" s="118">
        <f t="shared" si="14"/>
        <v>1.5157033613255466</v>
      </c>
      <c r="AA53" s="118">
        <f t="shared" si="14"/>
        <v>1.5150882932535978</v>
      </c>
      <c r="AB53" s="118">
        <f t="shared" si="14"/>
        <v>1.5088517080666994</v>
      </c>
      <c r="AC53" s="118">
        <f t="shared" si="14"/>
        <v>1.4965208127397682</v>
      </c>
      <c r="AD53" s="118">
        <f t="shared" si="14"/>
        <v>1.4775993482344445</v>
      </c>
      <c r="AE53" s="118">
        <f t="shared" si="14"/>
        <v>1.4515666161367653</v>
      </c>
    </row>
    <row r="54" spans="1:35" x14ac:dyDescent="0.35">
      <c r="B54" s="112" t="s">
        <v>3200</v>
      </c>
      <c r="C54" s="112" t="s">
        <v>43</v>
      </c>
      <c r="D54" s="112" t="s">
        <v>3201</v>
      </c>
      <c r="E54" s="112" t="s">
        <v>87</v>
      </c>
      <c r="H54" s="116" t="str">
        <f>Settings!$B$3&amp;".mit.eco2.rblk.irn.1"</f>
        <v>egy.mit.eco2.rblk.irn.1</v>
      </c>
      <c r="I54" s="112" t="s">
        <v>3202</v>
      </c>
      <c r="L54" s="144">
        <f t="shared" ref="L54:AE54" si="15">IF(L52=0,0,L51/L52)</f>
        <v>0.63337096182202313</v>
      </c>
      <c r="M54" s="144">
        <f t="shared" si="15"/>
        <v>0.77872181149549735</v>
      </c>
      <c r="N54" s="144">
        <f t="shared" si="15"/>
        <v>0.72243543965673307</v>
      </c>
      <c r="O54" s="144">
        <f t="shared" si="15"/>
        <v>0.71836534725395207</v>
      </c>
      <c r="P54" s="144">
        <f t="shared" si="15"/>
        <v>0.73138890499181464</v>
      </c>
      <c r="Q54" s="144">
        <f t="shared" si="15"/>
        <v>0.73632858903595622</v>
      </c>
      <c r="R54" s="144">
        <f t="shared" si="15"/>
        <v>0.73528003632891226</v>
      </c>
      <c r="S54" s="144">
        <f t="shared" si="15"/>
        <v>0.73646220723159195</v>
      </c>
      <c r="T54" s="144">
        <f t="shared" si="15"/>
        <v>0.74030629143155957</v>
      </c>
      <c r="U54" s="144">
        <f t="shared" si="15"/>
        <v>0.744680991359852</v>
      </c>
      <c r="V54" s="144">
        <f t="shared" si="15"/>
        <v>0.75007439784445773</v>
      </c>
      <c r="W54" s="144">
        <f t="shared" si="15"/>
        <v>0.75587301529543749</v>
      </c>
      <c r="X54" s="144">
        <f t="shared" si="15"/>
        <v>0.76208142757767605</v>
      </c>
      <c r="Y54" s="144">
        <f t="shared" si="15"/>
        <v>0.76870474505954034</v>
      </c>
      <c r="Z54" s="144">
        <f t="shared" si="15"/>
        <v>0.7757486188930417</v>
      </c>
      <c r="AA54" s="144">
        <f t="shared" si="15"/>
        <v>0.78321925624229272</v>
      </c>
      <c r="AB54" s="144">
        <f t="shared" si="15"/>
        <v>0.79112343657499551</v>
      </c>
      <c r="AC54" s="144">
        <f t="shared" si="15"/>
        <v>0.79946852913325472</v>
      </c>
      <c r="AD54" s="144">
        <f t="shared" si="15"/>
        <v>0.80826251170238739</v>
      </c>
      <c r="AE54" s="144">
        <f t="shared" si="15"/>
        <v>0.8175139907997756</v>
      </c>
    </row>
    <row r="56" spans="1:35" x14ac:dyDescent="0.35">
      <c r="B56" s="112" t="s">
        <v>3192</v>
      </c>
      <c r="C56" s="112" t="s">
        <v>113</v>
      </c>
      <c r="D56" s="112" t="s">
        <v>3203</v>
      </c>
      <c r="E56" s="112" t="s">
        <v>2068</v>
      </c>
      <c r="F56" s="112" t="s">
        <v>3204</v>
      </c>
      <c r="H56" s="116" t="str">
        <f>Settings!$B$3&amp;".mit.eco2.blk.cem.1"</f>
        <v>egy.mit.eco2.blk.cem.1</v>
      </c>
      <c r="I56" s="112" t="s">
        <v>2279</v>
      </c>
      <c r="L56" s="118">
        <f>Mitigation_Industry!L378-SUMPRODUCT((Mitigation_Industry!L333:L333+Mitigation_Industry!L355:L355)*Mitigation_Industry!$I$267:$I$267/(Mitigation_Industry!$F$333:$F$333+(Mitigation_Industry!$F$333:$F$333=0))*'Manual inputs'!$E$91:$E$91)</f>
        <v>14.692706044200628</v>
      </c>
      <c r="M56" s="118">
        <f>Mitigation_Industry!M378-SUMPRODUCT((Mitigation_Industry!M333:M333+Mitigation_Industry!M355:M355)*Mitigation_Industry!$I$267:$I$267/(Mitigation_Industry!$F$333:$F$333+(Mitigation_Industry!$F$333:$F$333=0))*'Manual inputs'!$E$91:$E$91)</f>
        <v>15.177565343659246</v>
      </c>
      <c r="N56" s="118">
        <f>Mitigation_Industry!N378-SUMPRODUCT((Mitigation_Industry!N333:N333+Mitigation_Industry!N355:N355)*Mitigation_Industry!$I$267:$I$267/(Mitigation_Industry!$F$333:$F$333+(Mitigation_Industry!$F$333:$F$333=0))*'Manual inputs'!$E$91:$E$91)</f>
        <v>15.678424999999999</v>
      </c>
      <c r="O56" s="118">
        <f>Mitigation_Industry!O378-SUMPRODUCT((Mitigation_Industry!O333:O333+Mitigation_Industry!O355:O355)*Mitigation_Industry!$I$267:$I$267/(Mitigation_Industry!$F$333:$F$333+(Mitigation_Industry!$F$333:$F$333=0))*'Manual inputs'!$E$91:$E$91)</f>
        <v>16.195813024999996</v>
      </c>
      <c r="P56" s="118">
        <f>Mitigation_Industry!P378-SUMPRODUCT((Mitigation_Industry!P333:P333+Mitigation_Industry!P355:P355)*Mitigation_Industry!$I$267:$I$267/(Mitigation_Industry!$F$333:$F$333+(Mitigation_Industry!$F$333:$F$333=0))*'Manual inputs'!$E$91:$E$91)</f>
        <v>16.730274854824994</v>
      </c>
      <c r="Q56" s="118">
        <f>Mitigation_Industry!Q378-SUMPRODUCT((Mitigation_Industry!Q333:Q333+Mitigation_Industry!Q355:Q355)*Mitigation_Industry!$I$267:$I$267/(Mitigation_Industry!$F$333:$F$333+(Mitigation_Industry!$F$333:$F$333=0))*'Manual inputs'!$E$91:$E$91)</f>
        <v>17.282373925034218</v>
      </c>
      <c r="R56" s="118">
        <f>Mitigation_Industry!R378-SUMPRODUCT((Mitigation_Industry!R333:R333+Mitigation_Industry!R355:R355)*Mitigation_Industry!$I$267:$I$267/(Mitigation_Industry!$F$333:$F$333+(Mitigation_Industry!$F$333:$F$333=0))*'Manual inputs'!$E$91:$E$91)</f>
        <v>17.852692264560343</v>
      </c>
      <c r="S56" s="118">
        <f>Mitigation_Industry!S378-SUMPRODUCT((Mitigation_Industry!S333:S333+Mitigation_Industry!S355:S355)*Mitigation_Industry!$I$267:$I$267/(Mitigation_Industry!$F$333:$F$333+(Mitigation_Industry!$F$333:$F$333=0))*'Manual inputs'!$E$91:$E$91)</f>
        <v>18.441831109290838</v>
      </c>
      <c r="T56" s="118">
        <f>Mitigation_Industry!T378-SUMPRODUCT((Mitigation_Industry!T333:T333+Mitigation_Industry!T355:T355)*Mitigation_Industry!$I$267:$I$267/(Mitigation_Industry!$F$333:$F$333+(Mitigation_Industry!$F$333:$F$333=0))*'Manual inputs'!$E$91:$E$91)</f>
        <v>19.050411535897432</v>
      </c>
      <c r="U56" s="118">
        <f>Mitigation_Industry!U378-SUMPRODUCT((Mitigation_Industry!U333:U333+Mitigation_Industry!U355:U355)*Mitigation_Industry!$I$267:$I$267/(Mitigation_Industry!$F$333:$F$333+(Mitigation_Industry!$F$333:$F$333=0))*'Manual inputs'!$E$91:$E$91)</f>
        <v>19.679075116582045</v>
      </c>
      <c r="V56" s="118">
        <f>Mitigation_Industry!V378-SUMPRODUCT((Mitigation_Industry!V333:V333+Mitigation_Industry!V355:V355)*Mitigation_Industry!$I$267:$I$267/(Mitigation_Industry!$F$333:$F$333+(Mitigation_Industry!$F$333:$F$333=0))*'Manual inputs'!$E$91:$E$91)</f>
        <v>20.328484595429249</v>
      </c>
      <c r="W56" s="118">
        <f>Mitigation_Industry!W378-SUMPRODUCT((Mitigation_Industry!W333:W333+Mitigation_Industry!W355:W355)*Mitigation_Industry!$I$267:$I$267/(Mitigation_Industry!$F$333:$F$333+(Mitigation_Industry!$F$333:$F$333=0))*'Manual inputs'!$E$91:$E$91)</f>
        <v>20.999324587078412</v>
      </c>
      <c r="X56" s="118">
        <f>Mitigation_Industry!X378-SUMPRODUCT((Mitigation_Industry!X333:X333+Mitigation_Industry!X355:X355)*Mitigation_Industry!$I$267:$I$267/(Mitigation_Industry!$F$333:$F$333+(Mitigation_Industry!$F$333:$F$333=0))*'Manual inputs'!$E$91:$E$91)</f>
        <v>21.692302298451992</v>
      </c>
      <c r="Y56" s="118">
        <f>Mitigation_Industry!Y378-SUMPRODUCT((Mitigation_Industry!Y333:Y333+Mitigation_Industry!Y355:Y355)*Mitigation_Industry!$I$267:$I$267/(Mitigation_Industry!$F$333:$F$333+(Mitigation_Industry!$F$333:$F$333=0))*'Manual inputs'!$E$91:$E$91)</f>
        <v>22.40814827430091</v>
      </c>
      <c r="Z56" s="118">
        <f>Mitigation_Industry!Z378-SUMPRODUCT((Mitigation_Industry!Z333:Z333+Mitigation_Industry!Z355:Z355)*Mitigation_Industry!$I$267:$I$267/(Mitigation_Industry!$F$333:$F$333+(Mitigation_Industry!$F$333:$F$333=0))*'Manual inputs'!$E$91:$E$91)</f>
        <v>23.147617167352838</v>
      </c>
      <c r="AA56" s="118">
        <f>Mitigation_Industry!AA378-SUMPRODUCT((Mitigation_Industry!AA333:AA333+Mitigation_Industry!AA355:AA355)*Mitigation_Industry!$I$267:$I$267/(Mitigation_Industry!$F$333:$F$333+(Mitigation_Industry!$F$333:$F$333=0))*'Manual inputs'!$E$91:$E$91)</f>
        <v>23.911488533875481</v>
      </c>
      <c r="AB56" s="118">
        <f>Mitigation_Industry!AB378-SUMPRODUCT((Mitigation_Industry!AB333:AB333+Mitigation_Industry!AB355:AB355)*Mitigation_Industry!$I$267:$I$267/(Mitigation_Industry!$F$333:$F$333+(Mitigation_Industry!$F$333:$F$333=0))*'Manual inputs'!$E$91:$E$91)</f>
        <v>24.700567655493362</v>
      </c>
      <c r="AC56" s="118">
        <f>Mitigation_Industry!AC378-SUMPRODUCT((Mitigation_Industry!AC333:AC333+Mitigation_Industry!AC355:AC355)*Mitigation_Industry!$I$267:$I$267/(Mitigation_Industry!$F$333:$F$333+(Mitigation_Industry!$F$333:$F$333=0))*'Manual inputs'!$E$91:$E$91)</f>
        <v>25.515686388124642</v>
      </c>
      <c r="AD56" s="118">
        <f>Mitigation_Industry!AD378-SUMPRODUCT((Mitigation_Industry!AD333:AD333+Mitigation_Industry!AD355:AD355)*Mitigation_Industry!$I$267:$I$267/(Mitigation_Industry!$F$333:$F$333+(Mitigation_Industry!$F$333:$F$333=0))*'Manual inputs'!$E$91:$E$91)</f>
        <v>26.357704038932756</v>
      </c>
      <c r="AE56" s="118">
        <f>Mitigation_Industry!AE378-SUMPRODUCT((Mitigation_Industry!AE333:AE333+Mitigation_Industry!AE355:AE355)*Mitigation_Industry!$I$267:$I$267/(Mitigation_Industry!$F$333:$F$333+(Mitigation_Industry!$F$333:$F$333=0))*'Manual inputs'!$E$91:$E$91)</f>
        <v>27.227508272217527</v>
      </c>
    </row>
    <row r="57" spans="1:35" x14ac:dyDescent="0.35">
      <c r="B57" s="112" t="s">
        <v>110</v>
      </c>
      <c r="C57" s="112" t="s">
        <v>113</v>
      </c>
      <c r="D57" s="112" t="s">
        <v>3205</v>
      </c>
      <c r="E57" s="112" t="s">
        <v>2068</v>
      </c>
      <c r="F57" s="112" t="s">
        <v>3206</v>
      </c>
      <c r="I57" s="112" t="s">
        <v>2160</v>
      </c>
      <c r="L57" s="118">
        <f>Emissions_Industry!L27</f>
        <v>9.4893574461323063</v>
      </c>
      <c r="M57" s="118">
        <f>Emissions_Industry!M27</f>
        <v>7.892397868173477</v>
      </c>
      <c r="N57" s="118">
        <f>Emissions_Industry!N27</f>
        <v>8.974049898041585</v>
      </c>
      <c r="O57" s="118">
        <f>Emissions_Industry!O27</f>
        <v>9.6117389440758174</v>
      </c>
      <c r="P57" s="118">
        <f>Emissions_Industry!P27</f>
        <v>9.6255920185944621</v>
      </c>
      <c r="Q57" s="118">
        <f>Emissions_Industry!Q27</f>
        <v>9.8610476555574511</v>
      </c>
      <c r="R57" s="118">
        <f>Emissions_Industry!R27</f>
        <v>10.224041222352259</v>
      </c>
      <c r="S57" s="118">
        <f>Emissions_Industry!S27</f>
        <v>10.577278178288619</v>
      </c>
      <c r="T57" s="118">
        <f>Emissions_Industry!T27</f>
        <v>10.913917324515168</v>
      </c>
      <c r="U57" s="118">
        <f>Emissions_Industry!U27</f>
        <v>11.254980886600027</v>
      </c>
      <c r="V57" s="118">
        <f>Emissions_Industry!V27</f>
        <v>11.572436051134584</v>
      </c>
      <c r="W57" s="118">
        <f>Emissions_Industry!W27</f>
        <v>11.894967219383652</v>
      </c>
      <c r="X57" s="118">
        <f>Emissions_Industry!X27</f>
        <v>12.222536887315171</v>
      </c>
      <c r="Y57" s="118">
        <f>Emissions_Industry!Y27</f>
        <v>12.55510423174249</v>
      </c>
      <c r="Z57" s="118">
        <f>Emissions_Industry!Z27</f>
        <v>12.892625020155874</v>
      </c>
      <c r="AA57" s="118">
        <f>Emissions_Industry!AA27</f>
        <v>13.235051509488891</v>
      </c>
      <c r="AB57" s="118">
        <f>Emissions_Industry!AB27</f>
        <v>13.582332333397812</v>
      </c>
      <c r="AC57" s="118">
        <f>Emissions_Industry!AC27</f>
        <v>13.934412377644653</v>
      </c>
      <c r="AD57" s="118">
        <f>Emissions_Industry!AD27</f>
        <v>14.291232643187328</v>
      </c>
      <c r="AE57" s="118">
        <f>Emissions_Industry!AE27</f>
        <v>14.652730096591428</v>
      </c>
    </row>
    <row r="58" spans="1:35" x14ac:dyDescent="0.35">
      <c r="B58" s="112" t="s">
        <v>3197</v>
      </c>
      <c r="C58" s="112" t="s">
        <v>113</v>
      </c>
      <c r="D58" s="112" t="s">
        <v>3207</v>
      </c>
      <c r="E58" s="112" t="s">
        <v>2068</v>
      </c>
      <c r="H58" s="116" t="str">
        <f>Settings!$B$3&amp;".mit.eco2.gap.cem.1"</f>
        <v>egy.mit.eco2.gap.cem.1</v>
      </c>
      <c r="I58" s="112" t="s">
        <v>3199</v>
      </c>
      <c r="L58" s="118">
        <f t="shared" ref="L58:AE58" si="16">L57-L56</f>
        <v>-5.2033485980683221</v>
      </c>
      <c r="M58" s="118">
        <f t="shared" si="16"/>
        <v>-7.2851674754857694</v>
      </c>
      <c r="N58" s="118">
        <f t="shared" si="16"/>
        <v>-6.7043751019584139</v>
      </c>
      <c r="O58" s="118">
        <f t="shared" si="16"/>
        <v>-6.5840740809241787</v>
      </c>
      <c r="P58" s="118">
        <f t="shared" si="16"/>
        <v>-7.1046828362305323</v>
      </c>
      <c r="Q58" s="118">
        <f t="shared" si="16"/>
        <v>-7.4213262694767668</v>
      </c>
      <c r="R58" s="118">
        <f t="shared" si="16"/>
        <v>-7.6286510422080838</v>
      </c>
      <c r="S58" s="118">
        <f t="shared" si="16"/>
        <v>-7.8645529310022191</v>
      </c>
      <c r="T58" s="118">
        <f t="shared" si="16"/>
        <v>-8.1364942113822636</v>
      </c>
      <c r="U58" s="118">
        <f t="shared" si="16"/>
        <v>-8.4240942299820176</v>
      </c>
      <c r="V58" s="118">
        <f t="shared" si="16"/>
        <v>-8.7560485442946643</v>
      </c>
      <c r="W58" s="118">
        <f t="shared" si="16"/>
        <v>-9.1043573676947602</v>
      </c>
      <c r="X58" s="118">
        <f t="shared" si="16"/>
        <v>-9.4697654111368212</v>
      </c>
      <c r="Y58" s="118">
        <f t="shared" si="16"/>
        <v>-9.8530440425584196</v>
      </c>
      <c r="Z58" s="118">
        <f t="shared" si="16"/>
        <v>-10.254992147196964</v>
      </c>
      <c r="AA58" s="118">
        <f t="shared" si="16"/>
        <v>-10.67643702438659</v>
      </c>
      <c r="AB58" s="118">
        <f t="shared" si="16"/>
        <v>-11.118235322095551</v>
      </c>
      <c r="AC58" s="118">
        <f t="shared" si="16"/>
        <v>-11.581274010479989</v>
      </c>
      <c r="AD58" s="118">
        <f t="shared" si="16"/>
        <v>-12.066471395745427</v>
      </c>
      <c r="AE58" s="118">
        <f t="shared" si="16"/>
        <v>-12.574778175626099</v>
      </c>
    </row>
    <row r="59" spans="1:35" x14ac:dyDescent="0.35">
      <c r="B59" s="112" t="s">
        <v>3200</v>
      </c>
      <c r="C59" s="112" t="s">
        <v>113</v>
      </c>
      <c r="D59" s="112" t="s">
        <v>3208</v>
      </c>
      <c r="E59" s="112" t="s">
        <v>87</v>
      </c>
      <c r="H59" s="116" t="str">
        <f>Settings!$B$3&amp;".mit.eco2.rblk.cem.1"</f>
        <v>egy.mit.eco2.rblk.cem.1</v>
      </c>
      <c r="I59" s="112" t="s">
        <v>3202</v>
      </c>
      <c r="L59" s="144">
        <f t="shared" ref="L59:AE59" si="17">IF(L57=0,0,L56/L57)</f>
        <v>1.5483351878781966</v>
      </c>
      <c r="M59" s="144">
        <f t="shared" si="17"/>
        <v>1.9230613556449812</v>
      </c>
      <c r="N59" s="144">
        <f t="shared" si="17"/>
        <v>1.7470846694781044</v>
      </c>
      <c r="O59" s="144">
        <f t="shared" si="17"/>
        <v>1.6850034233381113</v>
      </c>
      <c r="P59" s="144">
        <f t="shared" si="17"/>
        <v>1.7381034665198665</v>
      </c>
      <c r="Q59" s="144">
        <f t="shared" si="17"/>
        <v>1.7525900420219838</v>
      </c>
      <c r="R59" s="144">
        <f t="shared" si="17"/>
        <v>1.7461483063595229</v>
      </c>
      <c r="S59" s="144">
        <f t="shared" si="17"/>
        <v>1.743532768869154</v>
      </c>
      <c r="T59" s="144">
        <f t="shared" si="17"/>
        <v>1.745515470701416</v>
      </c>
      <c r="U59" s="144">
        <f t="shared" si="17"/>
        <v>1.74847699119699</v>
      </c>
      <c r="V59" s="144">
        <f t="shared" si="17"/>
        <v>1.756629676379694</v>
      </c>
      <c r="W59" s="144">
        <f t="shared" si="17"/>
        <v>1.7653957509742939</v>
      </c>
      <c r="X59" s="144">
        <f t="shared" si="17"/>
        <v>1.7747790412450921</v>
      </c>
      <c r="Y59" s="144">
        <f t="shared" si="17"/>
        <v>1.7847839301602471</v>
      </c>
      <c r="Z59" s="144">
        <f t="shared" si="17"/>
        <v>1.795415373608142</v>
      </c>
      <c r="AA59" s="144">
        <f t="shared" si="17"/>
        <v>1.8066789174739595</v>
      </c>
      <c r="AB59" s="144">
        <f t="shared" si="17"/>
        <v>1.8185807156814111</v>
      </c>
      <c r="AC59" s="144">
        <f t="shared" si="17"/>
        <v>1.831127549308081</v>
      </c>
      <c r="AD59" s="144">
        <f t="shared" si="17"/>
        <v>1.8443268468866154</v>
      </c>
      <c r="AE59" s="144">
        <f t="shared" si="17"/>
        <v>1.8581867060085471</v>
      </c>
    </row>
    <row r="61" spans="1:35" x14ac:dyDescent="0.35">
      <c r="B61" s="112" t="s">
        <v>3192</v>
      </c>
      <c r="C61" s="112" t="s">
        <v>115</v>
      </c>
      <c r="D61" s="112" t="s">
        <v>3209</v>
      </c>
      <c r="E61" s="112" t="s">
        <v>2068</v>
      </c>
      <c r="F61" s="112" t="s">
        <v>3210</v>
      </c>
      <c r="H61" s="116" t="str">
        <f>Settings!$B$3&amp;".mit.eco2.blk.nfm.1"</f>
        <v>egy.mit.eco2.blk.nfm.1</v>
      </c>
      <c r="I61" s="112" t="s">
        <v>2289</v>
      </c>
      <c r="L61" s="118">
        <f>Mitigation_Industry!L376-SUMPRODUCT((Mitigation_Industry!L337:L337+Mitigation_Industry!L359:L359)*Mitigation_Industry!$I$271:$I$271/(Mitigation_Industry!$F$337:$F$337+(Mitigation_Industry!$F$337:$F$337=0))*'Manual inputs'!$E$95:$E$95)</f>
        <v>3.3266099144224071E-2</v>
      </c>
      <c r="M61" s="118">
        <f>Mitigation_Industry!M376-SUMPRODUCT((Mitigation_Industry!M337:M337+Mitigation_Industry!M359:M359)*Mitigation_Industry!$I$271:$I$271/(Mitigation_Industry!$F$337:$F$337+(Mitigation_Industry!$F$337:$F$337=0))*'Manual inputs'!$E$95:$E$95)</f>
        <v>3.5095734597156404E-2</v>
      </c>
      <c r="N61" s="118">
        <f>Mitigation_Industry!N376-SUMPRODUCT((Mitigation_Industry!N337:N337+Mitigation_Industry!N359:N359)*Mitigation_Industry!$I$271:$I$271/(Mitigation_Industry!$F$337:$F$337+(Mitigation_Industry!$F$337:$F$337=0))*'Manual inputs'!$E$95:$E$95)</f>
        <v>3.7026000000000003E-2</v>
      </c>
      <c r="O61" s="118">
        <f>Mitigation_Industry!O376-SUMPRODUCT((Mitigation_Industry!O337:O337+Mitigation_Industry!O359:O359)*Mitigation_Industry!$I$271:$I$271/(Mitigation_Industry!$F$337:$F$337+(Mitigation_Industry!$F$337:$F$337=0))*'Manual inputs'!$E$95:$E$95)</f>
        <v>3.9062430000000002E-2</v>
      </c>
      <c r="P61" s="118">
        <f>Mitigation_Industry!P376-SUMPRODUCT((Mitigation_Industry!P337:P337+Mitigation_Industry!P359:P359)*Mitigation_Industry!$I$271:$I$271/(Mitigation_Industry!$F$337:$F$337+(Mitigation_Industry!$F$337:$F$337=0))*'Manual inputs'!$E$95:$E$95)</f>
        <v>4.1210863649999999E-2</v>
      </c>
      <c r="Q61" s="118">
        <f>Mitigation_Industry!Q376-SUMPRODUCT((Mitigation_Industry!Q337:Q337+Mitigation_Industry!Q359:Q359)*Mitigation_Industry!$I$271:$I$271/(Mitigation_Industry!$F$337:$F$337+(Mitigation_Industry!$F$337:$F$337=0))*'Manual inputs'!$E$95:$E$95)</f>
        <v>4.3477461150749991E-2</v>
      </c>
      <c r="R61" s="118">
        <f>Mitigation_Industry!R376-SUMPRODUCT((Mitigation_Industry!R337:R337+Mitigation_Industry!R359:R359)*Mitigation_Industry!$I$271:$I$271/(Mitigation_Industry!$F$337:$F$337+(Mitigation_Industry!$F$337:$F$337=0))*'Manual inputs'!$E$95:$E$95)</f>
        <v>4.5868721514041248E-2</v>
      </c>
      <c r="S61" s="118">
        <f>Mitigation_Industry!S376-SUMPRODUCT((Mitigation_Industry!S337:S337+Mitigation_Industry!S359:S359)*Mitigation_Industry!$I$271:$I$271/(Mitigation_Industry!$F$337:$F$337+(Mitigation_Industry!$F$337:$F$337=0))*'Manual inputs'!$E$95:$E$95)</f>
        <v>4.8391501197313509E-2</v>
      </c>
      <c r="T61" s="118">
        <f>Mitigation_Industry!T376-SUMPRODUCT((Mitigation_Industry!T337:T337+Mitigation_Industry!T359:T359)*Mitigation_Industry!$I$271:$I$271/(Mitigation_Industry!$F$337:$F$337+(Mitigation_Industry!$F$337:$F$337=0))*'Manual inputs'!$E$95:$E$95)</f>
        <v>5.105303376316575E-2</v>
      </c>
      <c r="U61" s="118">
        <f>Mitigation_Industry!U376-SUMPRODUCT((Mitigation_Industry!U337:U337+Mitigation_Industry!U359:U359)*Mitigation_Industry!$I$271:$I$271/(Mitigation_Industry!$F$337:$F$337+(Mitigation_Industry!$F$337:$F$337=0))*'Manual inputs'!$E$95:$E$95)</f>
        <v>5.3860950620139861E-2</v>
      </c>
      <c r="V61" s="118">
        <f>Mitigation_Industry!V376-SUMPRODUCT((Mitigation_Industry!V337:V337+Mitigation_Industry!V359:V359)*Mitigation_Industry!$I$271:$I$271/(Mitigation_Industry!$F$337:$F$337+(Mitigation_Industry!$F$337:$F$337=0))*'Manual inputs'!$E$95:$E$95)</f>
        <v>5.6823302904247558E-2</v>
      </c>
      <c r="W61" s="118">
        <f>Mitigation_Industry!W376-SUMPRODUCT((Mitigation_Industry!W337:W337+Mitigation_Industry!W359:W359)*Mitigation_Industry!$I$271:$I$271/(Mitigation_Industry!$F$337:$F$337+(Mitigation_Industry!$F$337:$F$337=0))*'Manual inputs'!$E$95:$E$95)</f>
        <v>5.9948584563981173E-2</v>
      </c>
      <c r="X61" s="118">
        <f>Mitigation_Industry!X376-SUMPRODUCT((Mitigation_Industry!X337:X337+Mitigation_Industry!X359:X359)*Mitigation_Industry!$I$271:$I$271/(Mitigation_Industry!$F$337:$F$337+(Mitigation_Industry!$F$337:$F$337=0))*'Manual inputs'!$E$95:$E$95)</f>
        <v>6.3245756715000129E-2</v>
      </c>
      <c r="Y61" s="118">
        <f>Mitigation_Industry!Y376-SUMPRODUCT((Mitigation_Industry!Y337:Y337+Mitigation_Industry!Y359:Y359)*Mitigation_Industry!$I$271:$I$271/(Mitigation_Industry!$F$337:$F$337+(Mitigation_Industry!$F$337:$F$337=0))*'Manual inputs'!$E$95:$E$95)</f>
        <v>6.6724273334325138E-2</v>
      </c>
      <c r="Z61" s="118">
        <f>Mitigation_Industry!Z376-SUMPRODUCT((Mitigation_Industry!Z337:Z337+Mitigation_Industry!Z359:Z359)*Mitigation_Industry!$I$271:$I$271/(Mitigation_Industry!$F$337:$F$337+(Mitigation_Industry!$F$337:$F$337=0))*'Manual inputs'!$E$95:$E$95)</f>
        <v>7.039410836771301E-2</v>
      </c>
      <c r="AA61" s="118">
        <f>Mitigation_Industry!AA376-SUMPRODUCT((Mitigation_Industry!AA337:AA337+Mitigation_Industry!AA359:AA359)*Mitigation_Industry!$I$271:$I$271/(Mitigation_Industry!$F$337:$F$337+(Mitigation_Industry!$F$337:$F$337=0))*'Manual inputs'!$E$95:$E$95)</f>
        <v>7.426578432793722E-2</v>
      </c>
      <c r="AB61" s="118">
        <f>Mitigation_Industry!AB376-SUMPRODUCT((Mitigation_Industry!AB337:AB337+Mitigation_Industry!AB359:AB359)*Mitigation_Industry!$I$271:$I$271/(Mitigation_Industry!$F$337:$F$337+(Mitigation_Industry!$F$337:$F$337=0))*'Manual inputs'!$E$95:$E$95)</f>
        <v>7.8350402465973787E-2</v>
      </c>
      <c r="AC61" s="118">
        <f>Mitigation_Industry!AC376-SUMPRODUCT((Mitigation_Industry!AC337:AC337+Mitigation_Industry!AC359:AC359)*Mitigation_Industry!$I$271:$I$271/(Mitigation_Industry!$F$337:$F$337+(Mitigation_Industry!$F$337:$F$337=0))*'Manual inputs'!$E$95:$E$95)</f>
        <v>8.2659674601602312E-2</v>
      </c>
      <c r="AD61" s="118">
        <f>Mitigation_Industry!AD376-SUMPRODUCT((Mitigation_Industry!AD337:AD337+Mitigation_Industry!AD359:AD359)*Mitigation_Industry!$I$271:$I$271/(Mitigation_Industry!$F$337:$F$337+(Mitigation_Industry!$F$337:$F$337=0))*'Manual inputs'!$E$95:$E$95)</f>
        <v>8.7205956704690446E-2</v>
      </c>
      <c r="AE61" s="118">
        <f>Mitigation_Industry!AE376-SUMPRODUCT((Mitigation_Industry!AE337:AE337+Mitigation_Industry!AE359:AE359)*Mitigation_Industry!$I$271:$I$271/(Mitigation_Industry!$F$337:$F$337+(Mitigation_Industry!$F$337:$F$337=0))*'Manual inputs'!$E$95:$E$95)</f>
        <v>9.2002284323448424E-2</v>
      </c>
    </row>
    <row r="62" spans="1:35" x14ac:dyDescent="0.35">
      <c r="B62" s="112" t="s">
        <v>110</v>
      </c>
      <c r="C62" s="112" t="s">
        <v>115</v>
      </c>
      <c r="D62" s="112" t="s">
        <v>3211</v>
      </c>
      <c r="E62" s="112" t="s">
        <v>2068</v>
      </c>
      <c r="F62" s="112" t="s">
        <v>3212</v>
      </c>
      <c r="I62" s="112" t="s">
        <v>2163</v>
      </c>
      <c r="L62" s="118">
        <f>Emissions_Industry!L39</f>
        <v>0</v>
      </c>
      <c r="M62" s="118">
        <f>Emissions_Industry!M39</f>
        <v>0</v>
      </c>
      <c r="N62" s="118">
        <f>Emissions_Industry!N39</f>
        <v>0</v>
      </c>
      <c r="O62" s="118">
        <f>Emissions_Industry!O39</f>
        <v>0</v>
      </c>
      <c r="P62" s="118">
        <f>Emissions_Industry!P39</f>
        <v>0</v>
      </c>
      <c r="Q62" s="118">
        <f>Emissions_Industry!Q39</f>
        <v>0</v>
      </c>
      <c r="R62" s="118">
        <f>Emissions_Industry!R39</f>
        <v>0</v>
      </c>
      <c r="S62" s="118">
        <f>Emissions_Industry!S39</f>
        <v>0</v>
      </c>
      <c r="T62" s="118">
        <f>Emissions_Industry!T39</f>
        <v>0</v>
      </c>
      <c r="U62" s="118">
        <f>Emissions_Industry!U39</f>
        <v>0</v>
      </c>
      <c r="V62" s="118">
        <f>Emissions_Industry!V39</f>
        <v>0</v>
      </c>
      <c r="W62" s="118">
        <f>Emissions_Industry!W39</f>
        <v>0</v>
      </c>
      <c r="X62" s="118">
        <f>Emissions_Industry!X39</f>
        <v>0</v>
      </c>
      <c r="Y62" s="118">
        <f>Emissions_Industry!Y39</f>
        <v>0</v>
      </c>
      <c r="Z62" s="118">
        <f>Emissions_Industry!Z39</f>
        <v>0</v>
      </c>
      <c r="AA62" s="118">
        <f>Emissions_Industry!AA39</f>
        <v>0</v>
      </c>
      <c r="AB62" s="118">
        <f>Emissions_Industry!AB39</f>
        <v>0</v>
      </c>
      <c r="AC62" s="118">
        <f>Emissions_Industry!AC39</f>
        <v>0</v>
      </c>
      <c r="AD62" s="118">
        <f>Emissions_Industry!AD39</f>
        <v>0</v>
      </c>
      <c r="AE62" s="118">
        <f>Emissions_Industry!AE39</f>
        <v>0</v>
      </c>
    </row>
    <row r="63" spans="1:35" x14ac:dyDescent="0.35">
      <c r="B63" s="112" t="s">
        <v>3197</v>
      </c>
      <c r="C63" s="112" t="s">
        <v>115</v>
      </c>
      <c r="D63" s="112" t="s">
        <v>3213</v>
      </c>
      <c r="E63" s="112" t="s">
        <v>2068</v>
      </c>
      <c r="H63" s="116" t="str">
        <f>Settings!$B$3&amp;".mit.eco2.gap.nfm.1"</f>
        <v>egy.mit.eco2.gap.nfm.1</v>
      </c>
      <c r="I63" s="112" t="s">
        <v>3199</v>
      </c>
      <c r="L63" s="118">
        <f t="shared" ref="L63:AE63" si="18">L62-L61</f>
        <v>-3.3266099144224071E-2</v>
      </c>
      <c r="M63" s="118">
        <f t="shared" si="18"/>
        <v>-3.5095734597156404E-2</v>
      </c>
      <c r="N63" s="118">
        <f t="shared" si="18"/>
        <v>-3.7026000000000003E-2</v>
      </c>
      <c r="O63" s="118">
        <f t="shared" si="18"/>
        <v>-3.9062430000000002E-2</v>
      </c>
      <c r="P63" s="118">
        <f t="shared" si="18"/>
        <v>-4.1210863649999999E-2</v>
      </c>
      <c r="Q63" s="118">
        <f t="shared" si="18"/>
        <v>-4.3477461150749991E-2</v>
      </c>
      <c r="R63" s="118">
        <f t="shared" si="18"/>
        <v>-4.5868721514041248E-2</v>
      </c>
      <c r="S63" s="118">
        <f t="shared" si="18"/>
        <v>-4.8391501197313509E-2</v>
      </c>
      <c r="T63" s="118">
        <f t="shared" si="18"/>
        <v>-5.105303376316575E-2</v>
      </c>
      <c r="U63" s="118">
        <f t="shared" si="18"/>
        <v>-5.3860950620139861E-2</v>
      </c>
      <c r="V63" s="118">
        <f t="shared" si="18"/>
        <v>-5.6823302904247558E-2</v>
      </c>
      <c r="W63" s="118">
        <f t="shared" si="18"/>
        <v>-5.9948584563981173E-2</v>
      </c>
      <c r="X63" s="118">
        <f t="shared" si="18"/>
        <v>-6.3245756715000129E-2</v>
      </c>
      <c r="Y63" s="118">
        <f t="shared" si="18"/>
        <v>-6.6724273334325138E-2</v>
      </c>
      <c r="Z63" s="118">
        <f t="shared" si="18"/>
        <v>-7.039410836771301E-2</v>
      </c>
      <c r="AA63" s="118">
        <f t="shared" si="18"/>
        <v>-7.426578432793722E-2</v>
      </c>
      <c r="AB63" s="118">
        <f t="shared" si="18"/>
        <v>-7.8350402465973787E-2</v>
      </c>
      <c r="AC63" s="118">
        <f t="shared" si="18"/>
        <v>-8.2659674601602312E-2</v>
      </c>
      <c r="AD63" s="118">
        <f t="shared" si="18"/>
        <v>-8.7205956704690446E-2</v>
      </c>
      <c r="AE63" s="118">
        <f t="shared" si="18"/>
        <v>-9.2002284323448424E-2</v>
      </c>
    </row>
    <row r="64" spans="1:35" x14ac:dyDescent="0.35">
      <c r="B64" s="112" t="s">
        <v>3200</v>
      </c>
      <c r="C64" s="112" t="s">
        <v>115</v>
      </c>
      <c r="D64" s="112" t="s">
        <v>3214</v>
      </c>
      <c r="E64" s="112" t="s">
        <v>87</v>
      </c>
      <c r="H64" s="116" t="str">
        <f>Settings!$B$3&amp;".mit.eco2.rblk.nfm.1"</f>
        <v>egy.mit.eco2.rblk.nfm.1</v>
      </c>
      <c r="I64" s="112" t="s">
        <v>3202</v>
      </c>
      <c r="L64" s="144">
        <f t="shared" ref="L64:AE64" si="19">IF(L62=0,0,L61/L62)</f>
        <v>0</v>
      </c>
      <c r="M64" s="144">
        <f t="shared" si="19"/>
        <v>0</v>
      </c>
      <c r="N64" s="144">
        <f t="shared" si="19"/>
        <v>0</v>
      </c>
      <c r="O64" s="144">
        <f t="shared" si="19"/>
        <v>0</v>
      </c>
      <c r="P64" s="144">
        <f t="shared" si="19"/>
        <v>0</v>
      </c>
      <c r="Q64" s="144">
        <f t="shared" si="19"/>
        <v>0</v>
      </c>
      <c r="R64" s="144">
        <f t="shared" si="19"/>
        <v>0</v>
      </c>
      <c r="S64" s="144">
        <f t="shared" si="19"/>
        <v>0</v>
      </c>
      <c r="T64" s="144">
        <f t="shared" si="19"/>
        <v>0</v>
      </c>
      <c r="U64" s="144">
        <f t="shared" si="19"/>
        <v>0</v>
      </c>
      <c r="V64" s="144">
        <f t="shared" si="19"/>
        <v>0</v>
      </c>
      <c r="W64" s="144">
        <f t="shared" si="19"/>
        <v>0</v>
      </c>
      <c r="X64" s="144">
        <f t="shared" si="19"/>
        <v>0</v>
      </c>
      <c r="Y64" s="144">
        <f t="shared" si="19"/>
        <v>0</v>
      </c>
      <c r="Z64" s="144">
        <f t="shared" si="19"/>
        <v>0</v>
      </c>
      <c r="AA64" s="144">
        <f t="shared" si="19"/>
        <v>0</v>
      </c>
      <c r="AB64" s="144">
        <f t="shared" si="19"/>
        <v>0</v>
      </c>
      <c r="AC64" s="144">
        <f t="shared" si="19"/>
        <v>0</v>
      </c>
      <c r="AD64" s="144">
        <f t="shared" si="19"/>
        <v>0</v>
      </c>
      <c r="AE64" s="144">
        <f t="shared" si="19"/>
        <v>0</v>
      </c>
    </row>
    <row r="66" spans="1:35" x14ac:dyDescent="0.35">
      <c r="B66" s="112" t="s">
        <v>3192</v>
      </c>
      <c r="C66" s="112" t="s">
        <v>117</v>
      </c>
      <c r="D66" s="112" t="s">
        <v>3215</v>
      </c>
      <c r="E66" s="112" t="s">
        <v>2068</v>
      </c>
      <c r="F66" s="112" t="s">
        <v>3216</v>
      </c>
      <c r="H66" s="116" t="str">
        <f>Settings!$B$3&amp;".mit.eco2.blk.mch.1"</f>
        <v>egy.mit.eco2.blk.mch.1</v>
      </c>
      <c r="I66" s="112" t="s">
        <v>2299</v>
      </c>
      <c r="L66" s="118">
        <f>Mitigation_Industry!L374-SUMPRODUCT((Mitigation_Industry!L334:L336+Mitigation_Industry!L356:L358)*Mitigation_Industry!$I$268:$I$270/(Mitigation_Industry!$F$334:$F$336+(Mitigation_Industry!$F$334:$F$336=0))*'Manual inputs'!$E$92:$E$94)</f>
        <v>1.5828284109665627</v>
      </c>
      <c r="M66" s="118">
        <f>Mitigation_Industry!M374-SUMPRODUCT((Mitigation_Industry!M334:M336+Mitigation_Industry!M356:M358)*Mitigation_Industry!$I$268:$I$270/(Mitigation_Industry!$F$334:$F$336+(Mitigation_Industry!$F$334:$F$336=0))*'Manual inputs'!$E$92:$E$94)</f>
        <v>1.6176506360078275</v>
      </c>
      <c r="N66" s="118">
        <f>Mitigation_Industry!N374-SUMPRODUCT((Mitigation_Industry!N334:N336+Mitigation_Industry!N356:N358)*Mitigation_Industry!$I$268:$I$270/(Mitigation_Industry!$F$334:$F$336+(Mitigation_Industry!$F$334:$F$336=0))*'Manual inputs'!$E$92:$E$94)</f>
        <v>1.6532389499999995</v>
      </c>
      <c r="O66" s="118">
        <f>Mitigation_Industry!O374-SUMPRODUCT((Mitigation_Industry!O334:O336+Mitigation_Industry!O356:O358)*Mitigation_Industry!$I$268:$I$270/(Mitigation_Industry!$F$334:$F$336+(Mitigation_Industry!$F$334:$F$336=0))*'Manual inputs'!$E$92:$E$94)</f>
        <v>1.6896102068999994</v>
      </c>
      <c r="P66" s="118">
        <f>Mitigation_Industry!P374-SUMPRODUCT((Mitigation_Industry!P334:P336+Mitigation_Industry!P356:P358)*Mitigation_Industry!$I$268:$I$270/(Mitigation_Industry!$F$334:$F$336+(Mitigation_Industry!$F$334:$F$336=0))*'Manual inputs'!$E$92:$E$94)</f>
        <v>1.7267816314518005</v>
      </c>
      <c r="Q66" s="118">
        <f>Mitigation_Industry!Q374-SUMPRODUCT((Mitigation_Industry!Q334:Q336+Mitigation_Industry!Q356:Q358)*Mitigation_Industry!$I$268:$I$270/(Mitigation_Industry!$F$334:$F$336+(Mitigation_Industry!$F$334:$F$336=0))*'Manual inputs'!$E$92:$E$94)</f>
        <v>1.7647708273437392</v>
      </c>
      <c r="R66" s="118">
        <f>Mitigation_Industry!R374-SUMPRODUCT((Mitigation_Industry!R334:R336+Mitigation_Industry!R356:R358)*Mitigation_Industry!$I$268:$I$270/(Mitigation_Industry!$F$334:$F$336+(Mitigation_Industry!$F$334:$F$336=0))*'Manual inputs'!$E$92:$E$94)</f>
        <v>1.8035957855453022</v>
      </c>
      <c r="S66" s="118">
        <f>Mitigation_Industry!S374-SUMPRODUCT((Mitigation_Industry!S334:S336+Mitigation_Industry!S356:S358)*Mitigation_Industry!$I$268:$I$270/(Mitigation_Industry!$F$334:$F$336+(Mitigation_Industry!$F$334:$F$336=0))*'Manual inputs'!$E$92:$E$94)</f>
        <v>1.843274892827298</v>
      </c>
      <c r="T66" s="118">
        <f>Mitigation_Industry!T374-SUMPRODUCT((Mitigation_Industry!T334:T336+Mitigation_Industry!T356:T358)*Mitigation_Industry!$I$268:$I$270/(Mitigation_Industry!$F$334:$F$336+(Mitigation_Industry!$F$334:$F$336=0))*'Manual inputs'!$E$92:$E$94)</f>
        <v>1.8838269404694987</v>
      </c>
      <c r="U66" s="118">
        <f>Mitigation_Industry!U374-SUMPRODUCT((Mitigation_Industry!U334:U336+Mitigation_Industry!U356:U358)*Mitigation_Industry!$I$268:$I$270/(Mitigation_Industry!$F$334:$F$336+(Mitigation_Industry!$F$334:$F$336=0))*'Manual inputs'!$E$92:$E$94)</f>
        <v>1.9252711331598276</v>
      </c>
      <c r="V66" s="118">
        <f>Mitigation_Industry!V374-SUMPRODUCT((Mitigation_Industry!V334:V336+Mitigation_Industry!V356:V358)*Mitigation_Industry!$I$268:$I$270/(Mitigation_Industry!$F$334:$F$336+(Mitigation_Industry!$F$334:$F$336=0))*'Manual inputs'!$E$92:$E$94)</f>
        <v>1.9676270980893444</v>
      </c>
      <c r="W66" s="118">
        <f>Mitigation_Industry!W374-SUMPRODUCT((Mitigation_Industry!W334:W336+Mitigation_Industry!W356:W358)*Mitigation_Industry!$I$268:$I$270/(Mitigation_Industry!$F$334:$F$336+(Mitigation_Industry!$F$334:$F$336=0))*'Manual inputs'!$E$92:$E$94)</f>
        <v>2.0109148942473092</v>
      </c>
      <c r="X66" s="118">
        <f>Mitigation_Industry!X374-SUMPRODUCT((Mitigation_Industry!X334:X336+Mitigation_Industry!X356:X358)*Mitigation_Industry!$I$268:$I$270/(Mitigation_Industry!$F$334:$F$336+(Mitigation_Industry!$F$334:$F$336=0))*'Manual inputs'!$E$92:$E$94)</f>
        <v>2.0551550219207506</v>
      </c>
      <c r="Y66" s="118">
        <f>Mitigation_Industry!Y374-SUMPRODUCT((Mitigation_Industry!Y334:Y336+Mitigation_Industry!Y356:Y358)*Mitigation_Industry!$I$268:$I$270/(Mitigation_Industry!$F$334:$F$336+(Mitigation_Industry!$F$334:$F$336=0))*'Manual inputs'!$E$92:$E$94)</f>
        <v>2.1003684324030072</v>
      </c>
      <c r="Z66" s="118">
        <f>Mitigation_Industry!Z374-SUMPRODUCT((Mitigation_Industry!Z334:Z336+Mitigation_Industry!Z356:Z358)*Mitigation_Industry!$I$268:$I$270/(Mitigation_Industry!$F$334:$F$336+(Mitigation_Industry!$F$334:$F$336=0))*'Manual inputs'!$E$92:$E$94)</f>
        <v>2.1465765379158737</v>
      </c>
      <c r="AA66" s="118">
        <f>Mitigation_Industry!AA374-SUMPRODUCT((Mitigation_Industry!AA334:AA336+Mitigation_Industry!AA356:AA358)*Mitigation_Industry!$I$268:$I$270/(Mitigation_Industry!$F$334:$F$336+(Mitigation_Industry!$F$334:$F$336=0))*'Manual inputs'!$E$92:$E$94)</f>
        <v>2.1938012217500225</v>
      </c>
      <c r="AB66" s="118">
        <f>Mitigation_Industry!AB374-SUMPRODUCT((Mitigation_Industry!AB334:AB336+Mitigation_Industry!AB356:AB358)*Mitigation_Industry!$I$268:$I$270/(Mitigation_Industry!$F$334:$F$336+(Mitigation_Industry!$F$334:$F$336=0))*'Manual inputs'!$E$92:$E$94)</f>
        <v>2.2420648486285226</v>
      </c>
      <c r="AC66" s="118">
        <f>Mitigation_Industry!AC374-SUMPRODUCT((Mitigation_Industry!AC334:AC336+Mitigation_Industry!AC356:AC358)*Mitigation_Industry!$I$268:$I$270/(Mitigation_Industry!$F$334:$F$336+(Mitigation_Industry!$F$334:$F$336=0))*'Manual inputs'!$E$92:$E$94)</f>
        <v>2.2913902752983502</v>
      </c>
      <c r="AD66" s="118">
        <f>Mitigation_Industry!AD374-SUMPRODUCT((Mitigation_Industry!AD334:AD336+Mitigation_Industry!AD356:AD358)*Mitigation_Industry!$I$268:$I$270/(Mitigation_Industry!$F$334:$F$336+(Mitigation_Industry!$F$334:$F$336=0))*'Manual inputs'!$E$92:$E$94)</f>
        <v>2.3418008613549151</v>
      </c>
      <c r="AE66" s="118">
        <f>Mitigation_Industry!AE374-SUMPRODUCT((Mitigation_Industry!AE334:AE336+Mitigation_Industry!AE356:AE358)*Mitigation_Industry!$I$268:$I$270/(Mitigation_Industry!$F$334:$F$336+(Mitigation_Industry!$F$334:$F$336=0))*'Manual inputs'!$E$92:$E$94)</f>
        <v>2.3933204803047228</v>
      </c>
    </row>
    <row r="67" spans="1:35" x14ac:dyDescent="0.35">
      <c r="B67" s="112" t="s">
        <v>110</v>
      </c>
      <c r="C67" s="112" t="s">
        <v>117</v>
      </c>
      <c r="D67" s="112" t="s">
        <v>3217</v>
      </c>
      <c r="E67" s="112" t="s">
        <v>2068</v>
      </c>
      <c r="F67" s="112" t="s">
        <v>3218</v>
      </c>
      <c r="I67" s="112" t="s">
        <v>2166</v>
      </c>
      <c r="L67" s="118">
        <f>Emissions_Industry!L51</f>
        <v>0</v>
      </c>
      <c r="M67" s="118">
        <f>Emissions_Industry!M51</f>
        <v>0</v>
      </c>
      <c r="N67" s="118">
        <f>Emissions_Industry!N51</f>
        <v>0</v>
      </c>
      <c r="O67" s="118">
        <f>Emissions_Industry!O51</f>
        <v>0</v>
      </c>
      <c r="P67" s="118">
        <f>Emissions_Industry!P51</f>
        <v>0</v>
      </c>
      <c r="Q67" s="118">
        <f>Emissions_Industry!Q51</f>
        <v>0</v>
      </c>
      <c r="R67" s="118">
        <f>Emissions_Industry!R51</f>
        <v>0</v>
      </c>
      <c r="S67" s="118">
        <f>Emissions_Industry!S51</f>
        <v>0</v>
      </c>
      <c r="T67" s="118">
        <f>Emissions_Industry!T51</f>
        <v>0</v>
      </c>
      <c r="U67" s="118">
        <f>Emissions_Industry!U51</f>
        <v>0</v>
      </c>
      <c r="V67" s="118">
        <f>Emissions_Industry!V51</f>
        <v>0</v>
      </c>
      <c r="W67" s="118">
        <f>Emissions_Industry!W51</f>
        <v>0</v>
      </c>
      <c r="X67" s="118">
        <f>Emissions_Industry!X51</f>
        <v>0</v>
      </c>
      <c r="Y67" s="118">
        <f>Emissions_Industry!Y51</f>
        <v>0</v>
      </c>
      <c r="Z67" s="118">
        <f>Emissions_Industry!Z51</f>
        <v>0</v>
      </c>
      <c r="AA67" s="118">
        <f>Emissions_Industry!AA51</f>
        <v>0</v>
      </c>
      <c r="AB67" s="118">
        <f>Emissions_Industry!AB51</f>
        <v>0</v>
      </c>
      <c r="AC67" s="118">
        <f>Emissions_Industry!AC51</f>
        <v>0</v>
      </c>
      <c r="AD67" s="118">
        <f>Emissions_Industry!AD51</f>
        <v>0</v>
      </c>
      <c r="AE67" s="118">
        <f>Emissions_Industry!AE51</f>
        <v>0</v>
      </c>
    </row>
    <row r="68" spans="1:35" x14ac:dyDescent="0.35">
      <c r="B68" s="112" t="s">
        <v>3197</v>
      </c>
      <c r="C68" s="112" t="s">
        <v>117</v>
      </c>
      <c r="D68" s="112" t="s">
        <v>3219</v>
      </c>
      <c r="E68" s="112" t="s">
        <v>2068</v>
      </c>
      <c r="H68" s="116" t="str">
        <f>Settings!$B$3&amp;".mit.eco2.gap.mch.1"</f>
        <v>egy.mit.eco2.gap.mch.1</v>
      </c>
      <c r="I68" s="112" t="s">
        <v>3199</v>
      </c>
      <c r="L68" s="118">
        <f t="shared" ref="L68:AE68" si="20">L67-L66</f>
        <v>-1.5828284109665627</v>
      </c>
      <c r="M68" s="118">
        <f t="shared" si="20"/>
        <v>-1.6176506360078275</v>
      </c>
      <c r="N68" s="118">
        <f t="shared" si="20"/>
        <v>-1.6532389499999995</v>
      </c>
      <c r="O68" s="118">
        <f t="shared" si="20"/>
        <v>-1.6896102068999994</v>
      </c>
      <c r="P68" s="118">
        <f t="shared" si="20"/>
        <v>-1.7267816314518005</v>
      </c>
      <c r="Q68" s="118">
        <f t="shared" si="20"/>
        <v>-1.7647708273437392</v>
      </c>
      <c r="R68" s="118">
        <f t="shared" si="20"/>
        <v>-1.8035957855453022</v>
      </c>
      <c r="S68" s="118">
        <f t="shared" si="20"/>
        <v>-1.843274892827298</v>
      </c>
      <c r="T68" s="118">
        <f t="shared" si="20"/>
        <v>-1.8838269404694987</v>
      </c>
      <c r="U68" s="118">
        <f t="shared" si="20"/>
        <v>-1.9252711331598276</v>
      </c>
      <c r="V68" s="118">
        <f t="shared" si="20"/>
        <v>-1.9676270980893444</v>
      </c>
      <c r="W68" s="118">
        <f t="shared" si="20"/>
        <v>-2.0109148942473092</v>
      </c>
      <c r="X68" s="118">
        <f t="shared" si="20"/>
        <v>-2.0551550219207506</v>
      </c>
      <c r="Y68" s="118">
        <f t="shared" si="20"/>
        <v>-2.1003684324030072</v>
      </c>
      <c r="Z68" s="118">
        <f t="shared" si="20"/>
        <v>-2.1465765379158737</v>
      </c>
      <c r="AA68" s="118">
        <f t="shared" si="20"/>
        <v>-2.1938012217500225</v>
      </c>
      <c r="AB68" s="118">
        <f t="shared" si="20"/>
        <v>-2.2420648486285226</v>
      </c>
      <c r="AC68" s="118">
        <f t="shared" si="20"/>
        <v>-2.2913902752983502</v>
      </c>
      <c r="AD68" s="118">
        <f t="shared" si="20"/>
        <v>-2.3418008613549151</v>
      </c>
      <c r="AE68" s="118">
        <f t="shared" si="20"/>
        <v>-2.3933204803047228</v>
      </c>
    </row>
    <row r="69" spans="1:35" x14ac:dyDescent="0.35">
      <c r="B69" s="112" t="s">
        <v>3200</v>
      </c>
      <c r="C69" s="112" t="s">
        <v>117</v>
      </c>
      <c r="D69" s="112" t="s">
        <v>3220</v>
      </c>
      <c r="E69" s="112" t="s">
        <v>87</v>
      </c>
      <c r="H69" s="116" t="str">
        <f>Settings!$B$3&amp;".mit.eco2.rblk.mch.1"</f>
        <v>egy.mit.eco2.rblk.mch.1</v>
      </c>
      <c r="I69" s="112" t="s">
        <v>3202</v>
      </c>
      <c r="L69" s="144">
        <f t="shared" ref="L69:AE69" si="21">IF(L67=0,0,L66/L67)</f>
        <v>0</v>
      </c>
      <c r="M69" s="144">
        <f t="shared" si="21"/>
        <v>0</v>
      </c>
      <c r="N69" s="144">
        <f t="shared" si="21"/>
        <v>0</v>
      </c>
      <c r="O69" s="144">
        <f t="shared" si="21"/>
        <v>0</v>
      </c>
      <c r="P69" s="144">
        <f t="shared" si="21"/>
        <v>0</v>
      </c>
      <c r="Q69" s="144">
        <f t="shared" si="21"/>
        <v>0</v>
      </c>
      <c r="R69" s="144">
        <f t="shared" si="21"/>
        <v>0</v>
      </c>
      <c r="S69" s="144">
        <f t="shared" si="21"/>
        <v>0</v>
      </c>
      <c r="T69" s="144">
        <f t="shared" si="21"/>
        <v>0</v>
      </c>
      <c r="U69" s="144">
        <f t="shared" si="21"/>
        <v>0</v>
      </c>
      <c r="V69" s="144">
        <f t="shared" si="21"/>
        <v>0</v>
      </c>
      <c r="W69" s="144">
        <f t="shared" si="21"/>
        <v>0</v>
      </c>
      <c r="X69" s="144">
        <f t="shared" si="21"/>
        <v>0</v>
      </c>
      <c r="Y69" s="144">
        <f t="shared" si="21"/>
        <v>0</v>
      </c>
      <c r="Z69" s="144">
        <f t="shared" si="21"/>
        <v>0</v>
      </c>
      <c r="AA69" s="144">
        <f t="shared" si="21"/>
        <v>0</v>
      </c>
      <c r="AB69" s="144">
        <f t="shared" si="21"/>
        <v>0</v>
      </c>
      <c r="AC69" s="144">
        <f t="shared" si="21"/>
        <v>0</v>
      </c>
      <c r="AD69" s="144">
        <f t="shared" si="21"/>
        <v>0</v>
      </c>
      <c r="AE69" s="144">
        <f t="shared" si="21"/>
        <v>0</v>
      </c>
    </row>
    <row r="72" spans="1:35" customFormat="1" ht="18" customHeight="1" x14ac:dyDescent="0.45">
      <c r="A72" s="8"/>
      <c r="B72" s="9" t="s">
        <v>3221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4" spans="1:35" customFormat="1" ht="14.25" x14ac:dyDescent="0.45">
      <c r="A74" s="11"/>
      <c r="B74" s="6" t="s">
        <v>1488</v>
      </c>
      <c r="C74" s="7" t="s">
        <v>33</v>
      </c>
      <c r="D74" s="6" t="s">
        <v>34</v>
      </c>
      <c r="E74" s="7" t="s">
        <v>35</v>
      </c>
      <c r="F74" s="7" t="s">
        <v>36</v>
      </c>
      <c r="G74" s="7" t="s">
        <v>37</v>
      </c>
      <c r="H74" s="12" t="s">
        <v>38</v>
      </c>
      <c r="I74" s="6" t="s">
        <v>39</v>
      </c>
      <c r="J74" s="48">
        <v>2</v>
      </c>
      <c r="K74" s="6">
        <v>2021</v>
      </c>
      <c r="L74" s="46">
        <v>2022</v>
      </c>
      <c r="M74" s="6">
        <v>2023</v>
      </c>
      <c r="N74" s="6">
        <v>2024</v>
      </c>
      <c r="O74" s="6">
        <v>2025</v>
      </c>
      <c r="P74" s="6">
        <v>2026</v>
      </c>
      <c r="Q74" s="6">
        <v>2027</v>
      </c>
      <c r="R74" s="6">
        <v>2028</v>
      </c>
      <c r="S74" s="6">
        <v>2029</v>
      </c>
      <c r="T74" s="6">
        <v>2030</v>
      </c>
      <c r="U74" s="6">
        <v>2031</v>
      </c>
      <c r="V74" s="6">
        <v>2032</v>
      </c>
      <c r="W74" s="6">
        <v>2033</v>
      </c>
      <c r="X74" s="6">
        <v>2034</v>
      </c>
      <c r="Y74" s="6">
        <v>2035</v>
      </c>
      <c r="Z74" s="6">
        <v>2036</v>
      </c>
      <c r="AA74" s="6">
        <v>2037</v>
      </c>
      <c r="AB74" s="6">
        <v>2038</v>
      </c>
      <c r="AC74" s="6">
        <v>2039</v>
      </c>
      <c r="AD74" s="6">
        <v>2040</v>
      </c>
      <c r="AE74" s="6">
        <v>2041</v>
      </c>
      <c r="AF74" s="6">
        <v>2042</v>
      </c>
      <c r="AG74" s="6">
        <v>2043</v>
      </c>
      <c r="AH74" s="6">
        <v>2044</v>
      </c>
      <c r="AI74" s="6">
        <v>2045</v>
      </c>
    </row>
    <row r="75" spans="1:35" x14ac:dyDescent="0.35">
      <c r="B75" s="112" t="s">
        <v>3192</v>
      </c>
      <c r="C75" s="112" t="s">
        <v>43</v>
      </c>
      <c r="D75" s="112" t="s">
        <v>3193</v>
      </c>
      <c r="E75" s="112" t="s">
        <v>2068</v>
      </c>
      <c r="F75" s="112" t="s">
        <v>3222</v>
      </c>
      <c r="H75" s="116" t="str">
        <f>Settings!$B$3&amp;".mit.eco2.blk.irn.2"</f>
        <v>egy.mit.eco2.blk.irn.2</v>
      </c>
      <c r="I75" s="112" t="s">
        <v>2254</v>
      </c>
      <c r="L75" s="118">
        <f>Mitigation_Industry!L774-SUMPRODUCT((Mitigation_Industry!L729:L731+Mitigation_Industry!L751:L753)*Mitigation_Industry!$I$663:$I$665/(Mitigation_Industry!$F$729:$F$731+(Mitigation_Industry!$F$729:$F$731=0))*'Manual inputs'!$E$88:$E$90)</f>
        <v>2.8694133664728936</v>
      </c>
      <c r="M75" s="118">
        <f>Mitigation_Industry!M774-SUMPRODUCT((Mitigation_Industry!M729:M731+Mitigation_Industry!M751:M753)*Mitigation_Industry!$I$663:$I$665/(Mitigation_Industry!$F$729:$F$731+(Mitigation_Industry!$F$729:$F$731=0))*'Manual inputs'!$E$88:$E$90)</f>
        <v>2.9956675545977007</v>
      </c>
      <c r="N75" s="118">
        <f>Mitigation_Industry!N774-SUMPRODUCT((Mitigation_Industry!N729:N731+Mitigation_Industry!N751:N753)*Mitigation_Industry!$I$663:$I$665/(Mitigation_Industry!$F$729:$F$731+(Mitigation_Industry!$F$729:$F$731=0))*'Manual inputs'!$E$88:$E$90)</f>
        <v>3.1274769269999996</v>
      </c>
      <c r="O75" s="118">
        <f>Mitigation_Industry!O774-SUMPRODUCT((Mitigation_Industry!O729:O731+Mitigation_Industry!O751:O753)*Mitigation_Industry!$I$663:$I$665/(Mitigation_Industry!$F$729:$F$731+(Mitigation_Industry!$F$729:$F$731=0))*'Manual inputs'!$E$88:$E$90)</f>
        <v>3.2650859117880002</v>
      </c>
      <c r="P75" s="118">
        <f>Mitigation_Industry!P774-SUMPRODUCT((Mitigation_Industry!P729:P731+Mitigation_Industry!P751:P753)*Mitigation_Industry!$I$663:$I$665/(Mitigation_Industry!$F$729:$F$731+(Mitigation_Industry!$F$729:$F$731=0))*'Manual inputs'!$E$88:$E$90)</f>
        <v>3.4087496919066722</v>
      </c>
      <c r="Q75" s="118">
        <f>Mitigation_Industry!Q774-SUMPRODUCT((Mitigation_Industry!Q729:Q731+Mitigation_Industry!Q751:Q753)*Mitigation_Industry!$I$663:$I$665/(Mitigation_Industry!$F$729:$F$731+(Mitigation_Industry!$F$729:$F$731=0))*'Manual inputs'!$E$88:$E$90)</f>
        <v>3.5587346783505662</v>
      </c>
      <c r="R75" s="118">
        <f>Mitigation_Industry!R774-SUMPRODUCT((Mitigation_Industry!R729:R731+Mitigation_Industry!R751:R753)*Mitigation_Industry!$I$663:$I$665/(Mitigation_Industry!$F$729:$F$731+(Mitigation_Industry!$F$729:$F$731=0))*'Manual inputs'!$E$88:$E$90)</f>
        <v>3.7153190041979904</v>
      </c>
      <c r="S75" s="118">
        <f>Mitigation_Industry!S774-SUMPRODUCT((Mitigation_Industry!S729:S731+Mitigation_Industry!S751:S753)*Mitigation_Industry!$I$663:$I$665/(Mitigation_Industry!$F$729:$F$731+(Mitigation_Industry!$F$729:$F$731=0))*'Manual inputs'!$E$88:$E$90)</f>
        <v>3.8787930403827025</v>
      </c>
      <c r="T75" s="118">
        <f>Mitigation_Industry!T774-SUMPRODUCT((Mitigation_Industry!T729:T731+Mitigation_Industry!T751:T753)*Mitigation_Industry!$I$663:$I$665/(Mitigation_Industry!$F$729:$F$731+(Mitigation_Industry!$F$729:$F$731=0))*'Manual inputs'!$E$88:$E$90)</f>
        <v>4.0494599341595423</v>
      </c>
      <c r="U75" s="118">
        <f>Mitigation_Industry!U774-SUMPRODUCT((Mitigation_Industry!U729:U731+Mitigation_Industry!U751:U753)*Mitigation_Industry!$I$663:$I$665/(Mitigation_Industry!$F$729:$F$731+(Mitigation_Industry!$F$729:$F$731=0))*'Manual inputs'!$E$88:$E$90)</f>
        <v>4.2276361712625619</v>
      </c>
      <c r="V75" s="118">
        <f>Mitigation_Industry!V774-SUMPRODUCT((Mitigation_Industry!V729:V731+Mitigation_Industry!V751:V753)*Mitigation_Industry!$I$663:$I$665/(Mitigation_Industry!$F$729:$F$731+(Mitigation_Industry!$F$729:$F$731=0))*'Manual inputs'!$E$88:$E$90)</f>
        <v>4.4136521627981145</v>
      </c>
      <c r="W75" s="118">
        <f>Mitigation_Industry!W774-SUMPRODUCT((Mitigation_Industry!W729:W731+Mitigation_Industry!W751:W753)*Mitigation_Industry!$I$663:$I$665/(Mitigation_Industry!$F$729:$F$731+(Mitigation_Industry!$F$729:$F$731=0))*'Manual inputs'!$E$88:$E$90)</f>
        <v>4.6078528579612303</v>
      </c>
      <c r="X75" s="118">
        <f>Mitigation_Industry!X774-SUMPRODUCT((Mitigation_Industry!X729:X731+Mitigation_Industry!X751:X753)*Mitigation_Industry!$I$663:$I$665/(Mitigation_Industry!$F$729:$F$731+(Mitigation_Industry!$F$729:$F$731=0))*'Manual inputs'!$E$88:$E$90)</f>
        <v>4.8105983837115254</v>
      </c>
      <c r="Y75" s="118">
        <f>Mitigation_Industry!Y774-SUMPRODUCT((Mitigation_Industry!Y729:Y731+Mitigation_Industry!Y751:Y753)*Mitigation_Industry!$I$663:$I$665/(Mitigation_Industry!$F$729:$F$731+(Mitigation_Industry!$F$729:$F$731=0))*'Manual inputs'!$E$88:$E$90)</f>
        <v>5.0222647125948336</v>
      </c>
      <c r="Z75" s="118">
        <f>Mitigation_Industry!Z774-SUMPRODUCT((Mitigation_Industry!Z729:Z731+Mitigation_Industry!Z751:Z753)*Mitigation_Industry!$I$663:$I$665/(Mitigation_Industry!$F$729:$F$731+(Mitigation_Industry!$F$729:$F$731=0))*'Manual inputs'!$E$88:$E$90)</f>
        <v>5.2432443599490046</v>
      </c>
      <c r="AA75" s="118">
        <f>Mitigation_Industry!AA774-SUMPRODUCT((Mitigation_Industry!AA729:AA731+Mitigation_Industry!AA751:AA753)*Mitigation_Industry!$I$663:$I$665/(Mitigation_Industry!$F$729:$F$731+(Mitigation_Industry!$F$729:$F$731=0))*'Manual inputs'!$E$88:$E$90)</f>
        <v>5.4739471117867611</v>
      </c>
      <c r="AB75" s="118">
        <f>Mitigation_Industry!AB774-SUMPRODUCT((Mitigation_Industry!AB729:AB731+Mitigation_Industry!AB751:AB753)*Mitigation_Industry!$I$663:$I$665/(Mitigation_Industry!$F$729:$F$731+(Mitigation_Industry!$F$729:$F$731=0))*'Manual inputs'!$E$88:$E$90)</f>
        <v>5.714800784705381</v>
      </c>
      <c r="AC75" s="118">
        <f>Mitigation_Industry!AC774-SUMPRODUCT((Mitigation_Industry!AC729:AC731+Mitigation_Industry!AC751:AC753)*Mitigation_Industry!$I$663:$I$665/(Mitigation_Industry!$F$729:$F$731+(Mitigation_Industry!$F$729:$F$731=0))*'Manual inputs'!$E$88:$E$90)</f>
        <v>5.9662520192324164</v>
      </c>
      <c r="AD75" s="118">
        <f>Mitigation_Industry!AD774-SUMPRODUCT((Mitigation_Industry!AD729:AD731+Mitigation_Industry!AD751:AD753)*Mitigation_Industry!$I$663:$I$665/(Mitigation_Industry!$F$729:$F$731+(Mitigation_Industry!$F$729:$F$731=0))*'Manual inputs'!$E$88:$E$90)</f>
        <v>6.2287671080786424</v>
      </c>
      <c r="AE75" s="118">
        <f>Mitigation_Industry!AE774-SUMPRODUCT((Mitigation_Industry!AE729:AE731+Mitigation_Industry!AE751:AE753)*Mitigation_Industry!$I$663:$I$665/(Mitigation_Industry!$F$729:$F$731+(Mitigation_Industry!$F$729:$F$731=0))*'Manual inputs'!$E$88:$E$90)</f>
        <v>6.5028328608341015</v>
      </c>
    </row>
    <row r="76" spans="1:35" x14ac:dyDescent="0.35">
      <c r="B76" s="112" t="s">
        <v>110</v>
      </c>
      <c r="C76" s="112" t="s">
        <v>43</v>
      </c>
      <c r="D76" s="112" t="s">
        <v>3195</v>
      </c>
      <c r="E76" s="112" t="s">
        <v>2068</v>
      </c>
      <c r="F76" s="112" t="s">
        <v>3223</v>
      </c>
      <c r="I76" s="112" t="s">
        <v>3224</v>
      </c>
      <c r="L76" s="118">
        <f>Emissions_Industry!L66</f>
        <v>4.5303835184019645</v>
      </c>
      <c r="M76" s="118">
        <f>Emissions_Industry!M66</f>
        <v>3.8469033618625206</v>
      </c>
      <c r="N76" s="118">
        <f>Emissions_Industry!N66</f>
        <v>4.3290746208215198</v>
      </c>
      <c r="O76" s="118">
        <f>Emissions_Industry!O66</f>
        <v>4.5451606543512009</v>
      </c>
      <c r="P76" s="118">
        <f>Emissions_Industry!P66</f>
        <v>4.6606527233890995</v>
      </c>
      <c r="Q76" s="118">
        <f>Emissions_Industry!Q66</f>
        <v>4.4078296144020142</v>
      </c>
      <c r="R76" s="118">
        <f>Emissions_Industry!R66</f>
        <v>4.246993475594202</v>
      </c>
      <c r="S76" s="118">
        <f>Emissions_Industry!S66</f>
        <v>4.1117536252780678</v>
      </c>
      <c r="T76" s="118">
        <f>Emissions_Industry!T66</f>
        <v>3.9924395556502268</v>
      </c>
      <c r="U76" s="118">
        <f>Emissions_Industry!U66</f>
        <v>3.8941902155876629</v>
      </c>
      <c r="V76" s="118">
        <f>Emissions_Industry!V66</f>
        <v>3.8124028190221151</v>
      </c>
      <c r="W76" s="118">
        <f>Emissions_Industry!W66</f>
        <v>3.7471168511266315</v>
      </c>
      <c r="X76" s="118">
        <f>Emissions_Industry!X66</f>
        <v>3.6964075936068812</v>
      </c>
      <c r="Y76" s="118">
        <f>Emissions_Industry!Y66</f>
        <v>3.6591659054499268</v>
      </c>
      <c r="Z76" s="118">
        <f>Emissions_Industry!Z66</f>
        <v>3.6352380271397982</v>
      </c>
      <c r="AA76" s="118">
        <f>Emissions_Industry!AA66</f>
        <v>3.623938569338653</v>
      </c>
      <c r="AB76" s="118">
        <f>Emissions_Industry!AB66</f>
        <v>3.6245334840846737</v>
      </c>
      <c r="AC76" s="118">
        <f>Emissions_Industry!AC66</f>
        <v>3.6357614325971319</v>
      </c>
      <c r="AD76" s="118">
        <f>Emissions_Industry!AD66</f>
        <v>3.656572990259491</v>
      </c>
      <c r="AE76" s="118">
        <f>Emissions_Industry!AE66</f>
        <v>3.686189977104291</v>
      </c>
    </row>
    <row r="77" spans="1:35" x14ac:dyDescent="0.35">
      <c r="B77" s="112" t="s">
        <v>3197</v>
      </c>
      <c r="C77" s="112" t="s">
        <v>43</v>
      </c>
      <c r="D77" s="112" t="s">
        <v>3198</v>
      </c>
      <c r="E77" s="112" t="s">
        <v>2068</v>
      </c>
      <c r="H77" s="116" t="str">
        <f>Settings!$B$3&amp;".mit.eco2.gap.irn.2"</f>
        <v>egy.mit.eco2.gap.irn.2</v>
      </c>
      <c r="I77" s="112" t="s">
        <v>3199</v>
      </c>
      <c r="L77" s="118">
        <f t="shared" ref="L77:AE77" si="22">L76-L75</f>
        <v>1.6609701519290709</v>
      </c>
      <c r="M77" s="118">
        <f t="shared" si="22"/>
        <v>0.85123580726481984</v>
      </c>
      <c r="N77" s="118">
        <f t="shared" si="22"/>
        <v>1.2015976938215203</v>
      </c>
      <c r="O77" s="118">
        <f t="shared" si="22"/>
        <v>1.2800747425632006</v>
      </c>
      <c r="P77" s="118">
        <f t="shared" si="22"/>
        <v>1.2519030314824273</v>
      </c>
      <c r="Q77" s="118">
        <f t="shared" si="22"/>
        <v>0.84909493605144792</v>
      </c>
      <c r="R77" s="118">
        <f t="shared" si="22"/>
        <v>0.5316744713962116</v>
      </c>
      <c r="S77" s="118">
        <f t="shared" si="22"/>
        <v>0.23296058489536531</v>
      </c>
      <c r="T77" s="118">
        <f t="shared" si="22"/>
        <v>-5.7020378509315517E-2</v>
      </c>
      <c r="U77" s="118">
        <f t="shared" si="22"/>
        <v>-0.33344595567489899</v>
      </c>
      <c r="V77" s="118">
        <f t="shared" si="22"/>
        <v>-0.60124934377599937</v>
      </c>
      <c r="W77" s="118">
        <f t="shared" si="22"/>
        <v>-0.86073600683459883</v>
      </c>
      <c r="X77" s="118">
        <f t="shared" si="22"/>
        <v>-1.1141907901046442</v>
      </c>
      <c r="Y77" s="118">
        <f t="shared" si="22"/>
        <v>-1.3630988071449068</v>
      </c>
      <c r="Z77" s="118">
        <f t="shared" si="22"/>
        <v>-1.6080063328092065</v>
      </c>
      <c r="AA77" s="118">
        <f t="shared" si="22"/>
        <v>-1.8500085424481081</v>
      </c>
      <c r="AB77" s="118">
        <f t="shared" si="22"/>
        <v>-2.0902673006207073</v>
      </c>
      <c r="AC77" s="118">
        <f t="shared" si="22"/>
        <v>-2.3304905866352845</v>
      </c>
      <c r="AD77" s="118">
        <f t="shared" si="22"/>
        <v>-2.5721941178191514</v>
      </c>
      <c r="AE77" s="118">
        <f t="shared" si="22"/>
        <v>-2.8166428837298105</v>
      </c>
    </row>
    <row r="78" spans="1:35" x14ac:dyDescent="0.35">
      <c r="B78" s="112" t="s">
        <v>3200</v>
      </c>
      <c r="C78" s="112" t="s">
        <v>43</v>
      </c>
      <c r="D78" s="112" t="s">
        <v>3201</v>
      </c>
      <c r="E78" s="112" t="s">
        <v>87</v>
      </c>
      <c r="H78" s="116" t="str">
        <f>Settings!$B$3&amp;".mit.eco2.rblk.irn.2"</f>
        <v>egy.mit.eco2.rblk.irn.2</v>
      </c>
      <c r="I78" s="112" t="s">
        <v>3202</v>
      </c>
      <c r="L78" s="144">
        <f t="shared" ref="L78:AE78" si="23">IF(L76=0,0,L75/L76)</f>
        <v>0.63337096182202313</v>
      </c>
      <c r="M78" s="144">
        <f t="shared" si="23"/>
        <v>0.77872181149549735</v>
      </c>
      <c r="N78" s="144">
        <f t="shared" si="23"/>
        <v>0.72243543965673307</v>
      </c>
      <c r="O78" s="144">
        <f t="shared" si="23"/>
        <v>0.71836534725395207</v>
      </c>
      <c r="P78" s="144">
        <f t="shared" si="23"/>
        <v>0.73138890499181464</v>
      </c>
      <c r="Q78" s="144">
        <f t="shared" si="23"/>
        <v>0.80736666107121291</v>
      </c>
      <c r="R78" s="144">
        <f t="shared" si="23"/>
        <v>0.87481156388595005</v>
      </c>
      <c r="S78" s="144">
        <f t="shared" si="23"/>
        <v>0.94334276658426708</v>
      </c>
      <c r="T78" s="144">
        <f t="shared" si="23"/>
        <v>1.0142820893627853</v>
      </c>
      <c r="U78" s="144">
        <f t="shared" si="23"/>
        <v>1.0856265198192379</v>
      </c>
      <c r="V78" s="144">
        <f t="shared" si="23"/>
        <v>1.1577087659194996</v>
      </c>
      <c r="W78" s="144">
        <f t="shared" si="23"/>
        <v>1.2297062090753335</v>
      </c>
      <c r="X78" s="144">
        <f t="shared" si="23"/>
        <v>1.3014253060273147</v>
      </c>
      <c r="Y78" s="144">
        <f t="shared" si="23"/>
        <v>1.3725162625489926</v>
      </c>
      <c r="Z78" s="144">
        <f t="shared" si="23"/>
        <v>1.4423386641546507</v>
      </c>
      <c r="AA78" s="144">
        <f t="shared" si="23"/>
        <v>1.5104966618641451</v>
      </c>
      <c r="AB78" s="144">
        <f t="shared" si="23"/>
        <v>1.5766996800551218</v>
      </c>
      <c r="AC78" s="144">
        <f t="shared" si="23"/>
        <v>1.6409910633136746</v>
      </c>
      <c r="AD78" s="144">
        <f t="shared" si="23"/>
        <v>1.7034439418195817</v>
      </c>
      <c r="AE78" s="144">
        <f t="shared" si="23"/>
        <v>1.7641068152278037</v>
      </c>
    </row>
    <row r="80" spans="1:35" x14ac:dyDescent="0.35">
      <c r="B80" s="112" t="s">
        <v>3192</v>
      </c>
      <c r="C80" s="112" t="s">
        <v>113</v>
      </c>
      <c r="D80" s="112" t="s">
        <v>3203</v>
      </c>
      <c r="E80" s="112" t="s">
        <v>2068</v>
      </c>
      <c r="F80" s="112" t="s">
        <v>3225</v>
      </c>
      <c r="H80" s="116" t="str">
        <f>Settings!$B$3&amp;".mit.eco2.blk.cem.2"</f>
        <v>egy.mit.eco2.blk.cem.2</v>
      </c>
      <c r="I80" s="112" t="s">
        <v>2279</v>
      </c>
      <c r="L80" s="118">
        <f>Mitigation_Industry!L777-SUMPRODUCT((Mitigation_Industry!L732:L732+Mitigation_Industry!L754:L754)*Mitigation_Industry!$I$666:$I$666/(Mitigation_Industry!$F$732:$F$732+(Mitigation_Industry!$F$732:$F$732=0))*'Manual inputs'!$E$91:$E$91)</f>
        <v>14.692706044200628</v>
      </c>
      <c r="M80" s="118">
        <f>Mitigation_Industry!M777-SUMPRODUCT((Mitigation_Industry!M732:M732+Mitigation_Industry!M754:M754)*Mitigation_Industry!$I$666:$I$666/(Mitigation_Industry!$F$732:$F$732+(Mitigation_Industry!$F$732:$F$732=0))*'Manual inputs'!$E$91:$E$91)</f>
        <v>15.177565343659246</v>
      </c>
      <c r="N80" s="118">
        <f>Mitigation_Industry!N777-SUMPRODUCT((Mitigation_Industry!N732:N732+Mitigation_Industry!N754:N754)*Mitigation_Industry!$I$666:$I$666/(Mitigation_Industry!$F$732:$F$732+(Mitigation_Industry!$F$732:$F$732=0))*'Manual inputs'!$E$91:$E$91)</f>
        <v>15.678424999999999</v>
      </c>
      <c r="O80" s="118">
        <f>Mitigation_Industry!O777-SUMPRODUCT((Mitigation_Industry!O732:O732+Mitigation_Industry!O754:O754)*Mitigation_Industry!$I$666:$I$666/(Mitigation_Industry!$F$732:$F$732+(Mitigation_Industry!$F$732:$F$732=0))*'Manual inputs'!$E$91:$E$91)</f>
        <v>16.195813024999996</v>
      </c>
      <c r="P80" s="118">
        <f>Mitigation_Industry!P777-SUMPRODUCT((Mitigation_Industry!P732:P732+Mitigation_Industry!P754:P754)*Mitigation_Industry!$I$666:$I$666/(Mitigation_Industry!$F$732:$F$732+(Mitigation_Industry!$F$732:$F$732=0))*'Manual inputs'!$E$91:$E$91)</f>
        <v>16.730274854824994</v>
      </c>
      <c r="Q80" s="118">
        <f>Mitigation_Industry!Q777-SUMPRODUCT((Mitigation_Industry!Q732:Q732+Mitigation_Industry!Q754:Q754)*Mitigation_Industry!$I$666:$I$666/(Mitigation_Industry!$F$732:$F$732+(Mitigation_Industry!$F$732:$F$732=0))*'Manual inputs'!$E$91:$E$91)</f>
        <v>17.282373925034218</v>
      </c>
      <c r="R80" s="118">
        <f>Mitigation_Industry!R777-SUMPRODUCT((Mitigation_Industry!R732:R732+Mitigation_Industry!R754:R754)*Mitigation_Industry!$I$666:$I$666/(Mitigation_Industry!$F$732:$F$732+(Mitigation_Industry!$F$732:$F$732=0))*'Manual inputs'!$E$91:$E$91)</f>
        <v>17.852692264560343</v>
      </c>
      <c r="S80" s="118">
        <f>Mitigation_Industry!S777-SUMPRODUCT((Mitigation_Industry!S732:S732+Mitigation_Industry!S754:S754)*Mitigation_Industry!$I$666:$I$666/(Mitigation_Industry!$F$732:$F$732+(Mitigation_Industry!$F$732:$F$732=0))*'Manual inputs'!$E$91:$E$91)</f>
        <v>18.441831109290838</v>
      </c>
      <c r="T80" s="118">
        <f>Mitigation_Industry!T777-SUMPRODUCT((Mitigation_Industry!T732:T732+Mitigation_Industry!T754:T754)*Mitigation_Industry!$I$666:$I$666/(Mitigation_Industry!$F$732:$F$732+(Mitigation_Industry!$F$732:$F$732=0))*'Manual inputs'!$E$91:$E$91)</f>
        <v>19.050411535897432</v>
      </c>
      <c r="U80" s="118">
        <f>Mitigation_Industry!U777-SUMPRODUCT((Mitigation_Industry!U732:U732+Mitigation_Industry!U754:U754)*Mitigation_Industry!$I$666:$I$666/(Mitigation_Industry!$F$732:$F$732+(Mitigation_Industry!$F$732:$F$732=0))*'Manual inputs'!$E$91:$E$91)</f>
        <v>19.679075116582045</v>
      </c>
      <c r="V80" s="118">
        <f>Mitigation_Industry!V777-SUMPRODUCT((Mitigation_Industry!V732:V732+Mitigation_Industry!V754:V754)*Mitigation_Industry!$I$666:$I$666/(Mitigation_Industry!$F$732:$F$732+(Mitigation_Industry!$F$732:$F$732=0))*'Manual inputs'!$E$91:$E$91)</f>
        <v>20.328484595429249</v>
      </c>
      <c r="W80" s="118">
        <f>Mitigation_Industry!W777-SUMPRODUCT((Mitigation_Industry!W732:W732+Mitigation_Industry!W754:W754)*Mitigation_Industry!$I$666:$I$666/(Mitigation_Industry!$F$732:$F$732+(Mitigation_Industry!$F$732:$F$732=0))*'Manual inputs'!$E$91:$E$91)</f>
        <v>20.999324587078412</v>
      </c>
      <c r="X80" s="118">
        <f>Mitigation_Industry!X777-SUMPRODUCT((Mitigation_Industry!X732:X732+Mitigation_Industry!X754:X754)*Mitigation_Industry!$I$666:$I$666/(Mitigation_Industry!$F$732:$F$732+(Mitigation_Industry!$F$732:$F$732=0))*'Manual inputs'!$E$91:$E$91)</f>
        <v>21.692302298451992</v>
      </c>
      <c r="Y80" s="118">
        <f>Mitigation_Industry!Y777-SUMPRODUCT((Mitigation_Industry!Y732:Y732+Mitigation_Industry!Y754:Y754)*Mitigation_Industry!$I$666:$I$666/(Mitigation_Industry!$F$732:$F$732+(Mitigation_Industry!$F$732:$F$732=0))*'Manual inputs'!$E$91:$E$91)</f>
        <v>22.40814827430091</v>
      </c>
      <c r="Z80" s="118">
        <f>Mitigation_Industry!Z777-SUMPRODUCT((Mitigation_Industry!Z732:Z732+Mitigation_Industry!Z754:Z754)*Mitigation_Industry!$I$666:$I$666/(Mitigation_Industry!$F$732:$F$732+(Mitigation_Industry!$F$732:$F$732=0))*'Manual inputs'!$E$91:$E$91)</f>
        <v>23.147617167352838</v>
      </c>
      <c r="AA80" s="118">
        <f>Mitigation_Industry!AA777-SUMPRODUCT((Mitigation_Industry!AA732:AA732+Mitigation_Industry!AA754:AA754)*Mitigation_Industry!$I$666:$I$666/(Mitigation_Industry!$F$732:$F$732+(Mitigation_Industry!$F$732:$F$732=0))*'Manual inputs'!$E$91:$E$91)</f>
        <v>23.911488533875481</v>
      </c>
      <c r="AB80" s="118">
        <f>Mitigation_Industry!AB777-SUMPRODUCT((Mitigation_Industry!AB732:AB732+Mitigation_Industry!AB754:AB754)*Mitigation_Industry!$I$666:$I$666/(Mitigation_Industry!$F$732:$F$732+(Mitigation_Industry!$F$732:$F$732=0))*'Manual inputs'!$E$91:$E$91)</f>
        <v>24.700567655493362</v>
      </c>
      <c r="AC80" s="118">
        <f>Mitigation_Industry!AC777-SUMPRODUCT((Mitigation_Industry!AC732:AC732+Mitigation_Industry!AC754:AC754)*Mitigation_Industry!$I$666:$I$666/(Mitigation_Industry!$F$732:$F$732+(Mitigation_Industry!$F$732:$F$732=0))*'Manual inputs'!$E$91:$E$91)</f>
        <v>25.515686388124642</v>
      </c>
      <c r="AD80" s="118">
        <f>Mitigation_Industry!AD777-SUMPRODUCT((Mitigation_Industry!AD732:AD732+Mitigation_Industry!AD754:AD754)*Mitigation_Industry!$I$666:$I$666/(Mitigation_Industry!$F$732:$F$732+(Mitigation_Industry!$F$732:$F$732=0))*'Manual inputs'!$E$91:$E$91)</f>
        <v>26.357704038932756</v>
      </c>
      <c r="AE80" s="118">
        <f>Mitigation_Industry!AE777-SUMPRODUCT((Mitigation_Industry!AE732:AE732+Mitigation_Industry!AE754:AE754)*Mitigation_Industry!$I$666:$I$666/(Mitigation_Industry!$F$732:$F$732+(Mitigation_Industry!$F$732:$F$732=0))*'Manual inputs'!$E$91:$E$91)</f>
        <v>27.227508272217527</v>
      </c>
    </row>
    <row r="81" spans="2:31" x14ac:dyDescent="0.35">
      <c r="B81" s="112" t="s">
        <v>110</v>
      </c>
      <c r="C81" s="112" t="s">
        <v>113</v>
      </c>
      <c r="D81" s="112" t="s">
        <v>3205</v>
      </c>
      <c r="E81" s="112" t="s">
        <v>2068</v>
      </c>
      <c r="F81" s="112" t="s">
        <v>3226</v>
      </c>
      <c r="I81" s="112" t="s">
        <v>3227</v>
      </c>
      <c r="L81" s="118">
        <f>Emissions_Industry!L78</f>
        <v>9.4893574461323063</v>
      </c>
      <c r="M81" s="118">
        <f>Emissions_Industry!M78</f>
        <v>7.892397868173477</v>
      </c>
      <c r="N81" s="118">
        <f>Emissions_Industry!N78</f>
        <v>8.974049898041585</v>
      </c>
      <c r="O81" s="118">
        <f>Emissions_Industry!O78</f>
        <v>9.6117389440758174</v>
      </c>
      <c r="P81" s="118">
        <f>Emissions_Industry!P78</f>
        <v>9.6255920185944621</v>
      </c>
      <c r="Q81" s="118">
        <f>Emissions_Industry!Q78</f>
        <v>9.0746501749675428</v>
      </c>
      <c r="R81" s="118">
        <f>Emissions_Industry!R78</f>
        <v>8.7362574382654046</v>
      </c>
      <c r="S81" s="118">
        <f>Emissions_Industry!S78</f>
        <v>8.4490397368747985</v>
      </c>
      <c r="T81" s="118">
        <f>Emissions_Industry!T78</f>
        <v>8.1955178569750267</v>
      </c>
      <c r="U81" s="118">
        <f>Emissions_Industry!U78</f>
        <v>7.9814424709644749</v>
      </c>
      <c r="V81" s="118">
        <f>Emissions_Industry!V78</f>
        <v>7.7902867807190201</v>
      </c>
      <c r="W81" s="118">
        <f>Emissions_Industry!W78</f>
        <v>7.6314031195294163</v>
      </c>
      <c r="X81" s="118">
        <f>Emissions_Industry!X78</f>
        <v>7.5006570964300785</v>
      </c>
      <c r="Y81" s="118">
        <f>Emissions_Industry!Y78</f>
        <v>7.3954239718464407</v>
      </c>
      <c r="Z81" s="118">
        <f>Emissions_Industry!Z78</f>
        <v>7.3147393259951752</v>
      </c>
      <c r="AA81" s="118">
        <f>Emissions_Industry!AA78</f>
        <v>7.2568985784252265</v>
      </c>
      <c r="AB81" s="118">
        <f>Emissions_Industry!AB78</f>
        <v>7.2202035238785385</v>
      </c>
      <c r="AC81" s="118">
        <f>Emissions_Industry!AC78</f>
        <v>7.2022011866219096</v>
      </c>
      <c r="AD81" s="118">
        <f>Emissions_Industry!AD78</f>
        <v>7.2008394296116975</v>
      </c>
      <c r="AE81" s="118">
        <f>Emissions_Industry!AE78</f>
        <v>7.2145454034411083</v>
      </c>
    </row>
    <row r="82" spans="2:31" x14ac:dyDescent="0.35">
      <c r="B82" s="112" t="s">
        <v>3197</v>
      </c>
      <c r="C82" s="112" t="s">
        <v>113</v>
      </c>
      <c r="D82" s="112" t="s">
        <v>3207</v>
      </c>
      <c r="E82" s="112" t="s">
        <v>2068</v>
      </c>
      <c r="H82" s="116" t="str">
        <f>Settings!$B$3&amp;".mit.eco2.gap.cem.2"</f>
        <v>egy.mit.eco2.gap.cem.2</v>
      </c>
      <c r="I82" s="112" t="s">
        <v>3199</v>
      </c>
      <c r="L82" s="118">
        <f t="shared" ref="L82:AE82" si="24">L81-L80</f>
        <v>-5.2033485980683221</v>
      </c>
      <c r="M82" s="118">
        <f t="shared" si="24"/>
        <v>-7.2851674754857694</v>
      </c>
      <c r="N82" s="118">
        <f t="shared" si="24"/>
        <v>-6.7043751019584139</v>
      </c>
      <c r="O82" s="118">
        <f t="shared" si="24"/>
        <v>-6.5840740809241787</v>
      </c>
      <c r="P82" s="118">
        <f t="shared" si="24"/>
        <v>-7.1046828362305323</v>
      </c>
      <c r="Q82" s="118">
        <f t="shared" si="24"/>
        <v>-8.2077237500666751</v>
      </c>
      <c r="R82" s="118">
        <f t="shared" si="24"/>
        <v>-9.1164348262949382</v>
      </c>
      <c r="S82" s="118">
        <f t="shared" si="24"/>
        <v>-9.9927913724160398</v>
      </c>
      <c r="T82" s="118">
        <f t="shared" si="24"/>
        <v>-10.854893678922405</v>
      </c>
      <c r="U82" s="118">
        <f t="shared" si="24"/>
        <v>-11.697632645617571</v>
      </c>
      <c r="V82" s="118">
        <f t="shared" si="24"/>
        <v>-12.538197814710228</v>
      </c>
      <c r="W82" s="118">
        <f t="shared" si="24"/>
        <v>-13.367921467548996</v>
      </c>
      <c r="X82" s="118">
        <f t="shared" si="24"/>
        <v>-14.191645202021913</v>
      </c>
      <c r="Y82" s="118">
        <f t="shared" si="24"/>
        <v>-15.012724302454469</v>
      </c>
      <c r="Z82" s="118">
        <f t="shared" si="24"/>
        <v>-15.832877841357663</v>
      </c>
      <c r="AA82" s="118">
        <f t="shared" si="24"/>
        <v>-16.654589955450255</v>
      </c>
      <c r="AB82" s="118">
        <f t="shared" si="24"/>
        <v>-17.480364131614824</v>
      </c>
      <c r="AC82" s="118">
        <f t="shared" si="24"/>
        <v>-18.313485201502733</v>
      </c>
      <c r="AD82" s="118">
        <f t="shared" si="24"/>
        <v>-19.156864609321058</v>
      </c>
      <c r="AE82" s="118">
        <f t="shared" si="24"/>
        <v>-20.01296286877642</v>
      </c>
    </row>
    <row r="83" spans="2:31" x14ac:dyDescent="0.35">
      <c r="B83" s="112" t="s">
        <v>3200</v>
      </c>
      <c r="C83" s="112" t="s">
        <v>113</v>
      </c>
      <c r="D83" s="112" t="s">
        <v>3208</v>
      </c>
      <c r="E83" s="112" t="s">
        <v>87</v>
      </c>
      <c r="H83" s="116" t="str">
        <f>Settings!$B$3&amp;".mit.eco2.rblk.cem.2"</f>
        <v>egy.mit.eco2.rblk.cem.2</v>
      </c>
      <c r="I83" s="112" t="s">
        <v>3202</v>
      </c>
      <c r="L83" s="144">
        <f t="shared" ref="L83:AE83" si="25">IF(L81=0,0,L80/L81)</f>
        <v>1.5483351878781966</v>
      </c>
      <c r="M83" s="144">
        <f t="shared" si="25"/>
        <v>1.9230613556449812</v>
      </c>
      <c r="N83" s="144">
        <f t="shared" si="25"/>
        <v>1.7470846694781044</v>
      </c>
      <c r="O83" s="144">
        <f t="shared" si="25"/>
        <v>1.6850034233381113</v>
      </c>
      <c r="P83" s="144">
        <f t="shared" si="25"/>
        <v>1.7381034665198665</v>
      </c>
      <c r="Q83" s="144">
        <f t="shared" si="25"/>
        <v>1.9044672347489175</v>
      </c>
      <c r="R83" s="144">
        <f t="shared" si="25"/>
        <v>2.0435171915109014</v>
      </c>
      <c r="S83" s="144">
        <f t="shared" si="25"/>
        <v>2.1827132648937284</v>
      </c>
      <c r="T83" s="144">
        <f t="shared" si="25"/>
        <v>2.3244914925887254</v>
      </c>
      <c r="U83" s="144">
        <f t="shared" si="25"/>
        <v>2.4656038289033777</v>
      </c>
      <c r="V83" s="144">
        <f t="shared" si="25"/>
        <v>2.6094655007749266</v>
      </c>
      <c r="W83" s="144">
        <f t="shared" si="25"/>
        <v>2.7516990333454325</v>
      </c>
      <c r="X83" s="144">
        <f t="shared" si="25"/>
        <v>2.8920535920481414</v>
      </c>
      <c r="Y83" s="144">
        <f t="shared" si="25"/>
        <v>3.0300018443305272</v>
      </c>
      <c r="Z83" s="144">
        <f t="shared" si="25"/>
        <v>3.164517030031496</v>
      </c>
      <c r="AA83" s="144">
        <f t="shared" si="25"/>
        <v>3.295001063534825</v>
      </c>
      <c r="AB83" s="144">
        <f t="shared" si="25"/>
        <v>3.4210348190053161</v>
      </c>
      <c r="AC83" s="144">
        <f t="shared" si="25"/>
        <v>3.5427622371227336</v>
      </c>
      <c r="AD83" s="144">
        <f t="shared" si="25"/>
        <v>3.6603654749671435</v>
      </c>
      <c r="AE83" s="144">
        <f t="shared" si="25"/>
        <v>3.773974207609931</v>
      </c>
    </row>
    <row r="85" spans="2:31" x14ac:dyDescent="0.35">
      <c r="B85" s="112" t="s">
        <v>3192</v>
      </c>
      <c r="C85" s="112" t="s">
        <v>115</v>
      </c>
      <c r="D85" s="112" t="s">
        <v>3209</v>
      </c>
      <c r="E85" s="112" t="s">
        <v>2068</v>
      </c>
      <c r="F85" s="112" t="s">
        <v>3228</v>
      </c>
      <c r="H85" s="116" t="str">
        <f>Settings!$B$3&amp;".mit.eco2.blk.nfm.2"</f>
        <v>egy.mit.eco2.blk.nfm.2</v>
      </c>
      <c r="I85" s="112" t="s">
        <v>2289</v>
      </c>
      <c r="L85" s="118">
        <f>Mitigation_Industry!L775-SUMPRODUCT((Mitigation_Industry!L736:L736+Mitigation_Industry!L758:L758)*Mitigation_Industry!$I$670:$I$670/(Mitigation_Industry!$F$736:$F$736+(Mitigation_Industry!$F$736:$F$736=0))*'Manual inputs'!$E$95:$E$95)</f>
        <v>3.3266099144224071E-2</v>
      </c>
      <c r="M85" s="118">
        <f>Mitigation_Industry!M775-SUMPRODUCT((Mitigation_Industry!M736:M736+Mitigation_Industry!M758:M758)*Mitigation_Industry!$I$670:$I$670/(Mitigation_Industry!$F$736:$F$736+(Mitigation_Industry!$F$736:$F$736=0))*'Manual inputs'!$E$95:$E$95)</f>
        <v>3.5095734597156404E-2</v>
      </c>
      <c r="N85" s="118">
        <f>Mitigation_Industry!N775-SUMPRODUCT((Mitigation_Industry!N736:N736+Mitigation_Industry!N758:N758)*Mitigation_Industry!$I$670:$I$670/(Mitigation_Industry!$F$736:$F$736+(Mitigation_Industry!$F$736:$F$736=0))*'Manual inputs'!$E$95:$E$95)</f>
        <v>3.7026000000000003E-2</v>
      </c>
      <c r="O85" s="118">
        <f>Mitigation_Industry!O775-SUMPRODUCT((Mitigation_Industry!O736:O736+Mitigation_Industry!O758:O758)*Mitigation_Industry!$I$670:$I$670/(Mitigation_Industry!$F$736:$F$736+(Mitigation_Industry!$F$736:$F$736=0))*'Manual inputs'!$E$95:$E$95)</f>
        <v>3.9062430000000002E-2</v>
      </c>
      <c r="P85" s="118">
        <f>Mitigation_Industry!P775-SUMPRODUCT((Mitigation_Industry!P736:P736+Mitigation_Industry!P758:P758)*Mitigation_Industry!$I$670:$I$670/(Mitigation_Industry!$F$736:$F$736+(Mitigation_Industry!$F$736:$F$736=0))*'Manual inputs'!$E$95:$E$95)</f>
        <v>4.1210863649999999E-2</v>
      </c>
      <c r="Q85" s="118">
        <f>Mitigation_Industry!Q775-SUMPRODUCT((Mitigation_Industry!Q736:Q736+Mitigation_Industry!Q758:Q758)*Mitigation_Industry!$I$670:$I$670/(Mitigation_Industry!$F$736:$F$736+(Mitigation_Industry!$F$736:$F$736=0))*'Manual inputs'!$E$95:$E$95)</f>
        <v>4.3477461150749991E-2</v>
      </c>
      <c r="R85" s="118">
        <f>Mitigation_Industry!R775-SUMPRODUCT((Mitigation_Industry!R736:R736+Mitigation_Industry!R758:R758)*Mitigation_Industry!$I$670:$I$670/(Mitigation_Industry!$F$736:$F$736+(Mitigation_Industry!$F$736:$F$736=0))*'Manual inputs'!$E$95:$E$95)</f>
        <v>4.5868721514041248E-2</v>
      </c>
      <c r="S85" s="118">
        <f>Mitigation_Industry!S775-SUMPRODUCT((Mitigation_Industry!S736:S736+Mitigation_Industry!S758:S758)*Mitigation_Industry!$I$670:$I$670/(Mitigation_Industry!$F$736:$F$736+(Mitigation_Industry!$F$736:$F$736=0))*'Manual inputs'!$E$95:$E$95)</f>
        <v>4.8391501197313509E-2</v>
      </c>
      <c r="T85" s="118">
        <f>Mitigation_Industry!T775-SUMPRODUCT((Mitigation_Industry!T736:T736+Mitigation_Industry!T758:T758)*Mitigation_Industry!$I$670:$I$670/(Mitigation_Industry!$F$736:$F$736+(Mitigation_Industry!$F$736:$F$736=0))*'Manual inputs'!$E$95:$E$95)</f>
        <v>5.105303376316575E-2</v>
      </c>
      <c r="U85" s="118">
        <f>Mitigation_Industry!U775-SUMPRODUCT((Mitigation_Industry!U736:U736+Mitigation_Industry!U758:U758)*Mitigation_Industry!$I$670:$I$670/(Mitigation_Industry!$F$736:$F$736+(Mitigation_Industry!$F$736:$F$736=0))*'Manual inputs'!$E$95:$E$95)</f>
        <v>5.3860950620139861E-2</v>
      </c>
      <c r="V85" s="118">
        <f>Mitigation_Industry!V775-SUMPRODUCT((Mitigation_Industry!V736:V736+Mitigation_Industry!V758:V758)*Mitigation_Industry!$I$670:$I$670/(Mitigation_Industry!$F$736:$F$736+(Mitigation_Industry!$F$736:$F$736=0))*'Manual inputs'!$E$95:$E$95)</f>
        <v>5.6823302904247558E-2</v>
      </c>
      <c r="W85" s="118">
        <f>Mitigation_Industry!W775-SUMPRODUCT((Mitigation_Industry!W736:W736+Mitigation_Industry!W758:W758)*Mitigation_Industry!$I$670:$I$670/(Mitigation_Industry!$F$736:$F$736+(Mitigation_Industry!$F$736:$F$736=0))*'Manual inputs'!$E$95:$E$95)</f>
        <v>5.9948584563981173E-2</v>
      </c>
      <c r="X85" s="118">
        <f>Mitigation_Industry!X775-SUMPRODUCT((Mitigation_Industry!X736:X736+Mitigation_Industry!X758:X758)*Mitigation_Industry!$I$670:$I$670/(Mitigation_Industry!$F$736:$F$736+(Mitigation_Industry!$F$736:$F$736=0))*'Manual inputs'!$E$95:$E$95)</f>
        <v>6.3245756715000129E-2</v>
      </c>
      <c r="Y85" s="118">
        <f>Mitigation_Industry!Y775-SUMPRODUCT((Mitigation_Industry!Y736:Y736+Mitigation_Industry!Y758:Y758)*Mitigation_Industry!$I$670:$I$670/(Mitigation_Industry!$F$736:$F$736+(Mitigation_Industry!$F$736:$F$736=0))*'Manual inputs'!$E$95:$E$95)</f>
        <v>6.6724273334325138E-2</v>
      </c>
      <c r="Z85" s="118">
        <f>Mitigation_Industry!Z775-SUMPRODUCT((Mitigation_Industry!Z736:Z736+Mitigation_Industry!Z758:Z758)*Mitigation_Industry!$I$670:$I$670/(Mitigation_Industry!$F$736:$F$736+(Mitigation_Industry!$F$736:$F$736=0))*'Manual inputs'!$E$95:$E$95)</f>
        <v>7.039410836771301E-2</v>
      </c>
      <c r="AA85" s="118">
        <f>Mitigation_Industry!AA775-SUMPRODUCT((Mitigation_Industry!AA736:AA736+Mitigation_Industry!AA758:AA758)*Mitigation_Industry!$I$670:$I$670/(Mitigation_Industry!$F$736:$F$736+(Mitigation_Industry!$F$736:$F$736=0))*'Manual inputs'!$E$95:$E$95)</f>
        <v>7.426578432793722E-2</v>
      </c>
      <c r="AB85" s="118">
        <f>Mitigation_Industry!AB775-SUMPRODUCT((Mitigation_Industry!AB736:AB736+Mitigation_Industry!AB758:AB758)*Mitigation_Industry!$I$670:$I$670/(Mitigation_Industry!$F$736:$F$736+(Mitigation_Industry!$F$736:$F$736=0))*'Manual inputs'!$E$95:$E$95)</f>
        <v>7.8350402465973787E-2</v>
      </c>
      <c r="AC85" s="118">
        <f>Mitigation_Industry!AC775-SUMPRODUCT((Mitigation_Industry!AC736:AC736+Mitigation_Industry!AC758:AC758)*Mitigation_Industry!$I$670:$I$670/(Mitigation_Industry!$F$736:$F$736+(Mitigation_Industry!$F$736:$F$736=0))*'Manual inputs'!$E$95:$E$95)</f>
        <v>8.2659674601602312E-2</v>
      </c>
      <c r="AD85" s="118">
        <f>Mitigation_Industry!AD775-SUMPRODUCT((Mitigation_Industry!AD736:AD736+Mitigation_Industry!AD758:AD758)*Mitigation_Industry!$I$670:$I$670/(Mitigation_Industry!$F$736:$F$736+(Mitigation_Industry!$F$736:$F$736=0))*'Manual inputs'!$E$95:$E$95)</f>
        <v>8.7205956704690446E-2</v>
      </c>
      <c r="AE85" s="118">
        <f>Mitigation_Industry!AE775-SUMPRODUCT((Mitigation_Industry!AE736:AE736+Mitigation_Industry!AE758:AE758)*Mitigation_Industry!$I$670:$I$670/(Mitigation_Industry!$F$736:$F$736+(Mitigation_Industry!$F$736:$F$736=0))*'Manual inputs'!$E$95:$E$95)</f>
        <v>9.2002284323448424E-2</v>
      </c>
    </row>
    <row r="86" spans="2:31" x14ac:dyDescent="0.35">
      <c r="B86" s="112" t="s">
        <v>110</v>
      </c>
      <c r="C86" s="112" t="s">
        <v>115</v>
      </c>
      <c r="D86" s="112" t="s">
        <v>3211</v>
      </c>
      <c r="E86" s="112" t="s">
        <v>2068</v>
      </c>
      <c r="F86" s="112" t="s">
        <v>3229</v>
      </c>
      <c r="I86" s="112" t="s">
        <v>3230</v>
      </c>
      <c r="L86" s="118">
        <f>Emissions_Industry!L90</f>
        <v>0</v>
      </c>
      <c r="M86" s="118">
        <f>Emissions_Industry!M90</f>
        <v>0</v>
      </c>
      <c r="N86" s="118">
        <f>Emissions_Industry!N90</f>
        <v>0</v>
      </c>
      <c r="O86" s="118">
        <f>Emissions_Industry!O90</f>
        <v>0</v>
      </c>
      <c r="P86" s="118">
        <f>Emissions_Industry!P90</f>
        <v>0</v>
      </c>
      <c r="Q86" s="118">
        <f>Emissions_Industry!Q90</f>
        <v>0</v>
      </c>
      <c r="R86" s="118">
        <f>Emissions_Industry!R90</f>
        <v>0</v>
      </c>
      <c r="S86" s="118">
        <f>Emissions_Industry!S90</f>
        <v>0</v>
      </c>
      <c r="T86" s="118">
        <f>Emissions_Industry!T90</f>
        <v>0</v>
      </c>
      <c r="U86" s="118">
        <f>Emissions_Industry!U90</f>
        <v>0</v>
      </c>
      <c r="V86" s="118">
        <f>Emissions_Industry!V90</f>
        <v>0</v>
      </c>
      <c r="W86" s="118">
        <f>Emissions_Industry!W90</f>
        <v>0</v>
      </c>
      <c r="X86" s="118">
        <f>Emissions_Industry!X90</f>
        <v>0</v>
      </c>
      <c r="Y86" s="118">
        <f>Emissions_Industry!Y90</f>
        <v>0</v>
      </c>
      <c r="Z86" s="118">
        <f>Emissions_Industry!Z90</f>
        <v>0</v>
      </c>
      <c r="AA86" s="118">
        <f>Emissions_Industry!AA90</f>
        <v>0</v>
      </c>
      <c r="AB86" s="118">
        <f>Emissions_Industry!AB90</f>
        <v>0</v>
      </c>
      <c r="AC86" s="118">
        <f>Emissions_Industry!AC90</f>
        <v>0</v>
      </c>
      <c r="AD86" s="118">
        <f>Emissions_Industry!AD90</f>
        <v>0</v>
      </c>
      <c r="AE86" s="118">
        <f>Emissions_Industry!AE90</f>
        <v>0</v>
      </c>
    </row>
    <row r="87" spans="2:31" x14ac:dyDescent="0.35">
      <c r="B87" s="112" t="s">
        <v>3197</v>
      </c>
      <c r="C87" s="112" t="s">
        <v>115</v>
      </c>
      <c r="D87" s="112" t="s">
        <v>3213</v>
      </c>
      <c r="E87" s="112" t="s">
        <v>2068</v>
      </c>
      <c r="H87" s="116" t="str">
        <f>Settings!$B$3&amp;".mit.eco2.gap.nfm.2"</f>
        <v>egy.mit.eco2.gap.nfm.2</v>
      </c>
      <c r="I87" s="112" t="s">
        <v>3199</v>
      </c>
      <c r="L87" s="118">
        <f t="shared" ref="L87:AE87" si="26">L86-L85</f>
        <v>-3.3266099144224071E-2</v>
      </c>
      <c r="M87" s="118">
        <f t="shared" si="26"/>
        <v>-3.5095734597156404E-2</v>
      </c>
      <c r="N87" s="118">
        <f t="shared" si="26"/>
        <v>-3.7026000000000003E-2</v>
      </c>
      <c r="O87" s="118">
        <f t="shared" si="26"/>
        <v>-3.9062430000000002E-2</v>
      </c>
      <c r="P87" s="118">
        <f t="shared" si="26"/>
        <v>-4.1210863649999999E-2</v>
      </c>
      <c r="Q87" s="118">
        <f t="shared" si="26"/>
        <v>-4.3477461150749991E-2</v>
      </c>
      <c r="R87" s="118">
        <f t="shared" si="26"/>
        <v>-4.5868721514041248E-2</v>
      </c>
      <c r="S87" s="118">
        <f t="shared" si="26"/>
        <v>-4.8391501197313509E-2</v>
      </c>
      <c r="T87" s="118">
        <f t="shared" si="26"/>
        <v>-5.105303376316575E-2</v>
      </c>
      <c r="U87" s="118">
        <f t="shared" si="26"/>
        <v>-5.3860950620139861E-2</v>
      </c>
      <c r="V87" s="118">
        <f t="shared" si="26"/>
        <v>-5.6823302904247558E-2</v>
      </c>
      <c r="W87" s="118">
        <f t="shared" si="26"/>
        <v>-5.9948584563981173E-2</v>
      </c>
      <c r="X87" s="118">
        <f t="shared" si="26"/>
        <v>-6.3245756715000129E-2</v>
      </c>
      <c r="Y87" s="118">
        <f t="shared" si="26"/>
        <v>-6.6724273334325138E-2</v>
      </c>
      <c r="Z87" s="118">
        <f t="shared" si="26"/>
        <v>-7.039410836771301E-2</v>
      </c>
      <c r="AA87" s="118">
        <f t="shared" si="26"/>
        <v>-7.426578432793722E-2</v>
      </c>
      <c r="AB87" s="118">
        <f t="shared" si="26"/>
        <v>-7.8350402465973787E-2</v>
      </c>
      <c r="AC87" s="118">
        <f t="shared" si="26"/>
        <v>-8.2659674601602312E-2</v>
      </c>
      <c r="AD87" s="118">
        <f t="shared" si="26"/>
        <v>-8.7205956704690446E-2</v>
      </c>
      <c r="AE87" s="118">
        <f t="shared" si="26"/>
        <v>-9.2002284323448424E-2</v>
      </c>
    </row>
    <row r="88" spans="2:31" x14ac:dyDescent="0.35">
      <c r="B88" s="112" t="s">
        <v>3200</v>
      </c>
      <c r="C88" s="112" t="s">
        <v>115</v>
      </c>
      <c r="D88" s="112" t="s">
        <v>3214</v>
      </c>
      <c r="E88" s="112" t="s">
        <v>87</v>
      </c>
      <c r="H88" s="116" t="str">
        <f>Settings!$B$3&amp;".mit.eco2.rblk.nfm.2"</f>
        <v>egy.mit.eco2.rblk.nfm.2</v>
      </c>
      <c r="I88" s="112" t="s">
        <v>3202</v>
      </c>
      <c r="L88" s="144">
        <f t="shared" ref="L88:AE88" si="27">IF(L86=0,0,L85/L86)</f>
        <v>0</v>
      </c>
      <c r="M88" s="144">
        <f t="shared" si="27"/>
        <v>0</v>
      </c>
      <c r="N88" s="144">
        <f t="shared" si="27"/>
        <v>0</v>
      </c>
      <c r="O88" s="144">
        <f t="shared" si="27"/>
        <v>0</v>
      </c>
      <c r="P88" s="144">
        <f t="shared" si="27"/>
        <v>0</v>
      </c>
      <c r="Q88" s="144">
        <f t="shared" si="27"/>
        <v>0</v>
      </c>
      <c r="R88" s="144">
        <f t="shared" si="27"/>
        <v>0</v>
      </c>
      <c r="S88" s="144">
        <f t="shared" si="27"/>
        <v>0</v>
      </c>
      <c r="T88" s="144">
        <f t="shared" si="27"/>
        <v>0</v>
      </c>
      <c r="U88" s="144">
        <f t="shared" si="27"/>
        <v>0</v>
      </c>
      <c r="V88" s="144">
        <f t="shared" si="27"/>
        <v>0</v>
      </c>
      <c r="W88" s="144">
        <f t="shared" si="27"/>
        <v>0</v>
      </c>
      <c r="X88" s="144">
        <f t="shared" si="27"/>
        <v>0</v>
      </c>
      <c r="Y88" s="144">
        <f t="shared" si="27"/>
        <v>0</v>
      </c>
      <c r="Z88" s="144">
        <f t="shared" si="27"/>
        <v>0</v>
      </c>
      <c r="AA88" s="144">
        <f t="shared" si="27"/>
        <v>0</v>
      </c>
      <c r="AB88" s="144">
        <f t="shared" si="27"/>
        <v>0</v>
      </c>
      <c r="AC88" s="144">
        <f t="shared" si="27"/>
        <v>0</v>
      </c>
      <c r="AD88" s="144">
        <f t="shared" si="27"/>
        <v>0</v>
      </c>
      <c r="AE88" s="144">
        <f t="shared" si="27"/>
        <v>0</v>
      </c>
    </row>
    <row r="90" spans="2:31" x14ac:dyDescent="0.35">
      <c r="B90" s="112" t="s">
        <v>3192</v>
      </c>
      <c r="C90" s="112" t="s">
        <v>117</v>
      </c>
      <c r="D90" s="112" t="s">
        <v>3215</v>
      </c>
      <c r="E90" s="112" t="s">
        <v>2068</v>
      </c>
      <c r="F90" s="112" t="s">
        <v>3231</v>
      </c>
      <c r="H90" s="116" t="str">
        <f>Settings!$B$3&amp;".mit.eco2.blk.mch.2"</f>
        <v>egy.mit.eco2.blk.mch.2</v>
      </c>
      <c r="I90" s="112" t="s">
        <v>2299</v>
      </c>
      <c r="L90" s="118">
        <f>Mitigation_Industry!L773-SUMPRODUCT((Mitigation_Industry!L733:L735+Mitigation_Industry!L755:L757)*Mitigation_Industry!$I$667:$I$669/(Mitigation_Industry!$F$733:$F$735+(Mitigation_Industry!$F$733:$F$735=0))*'Manual inputs'!$E$92:$E$94)</f>
        <v>1.5828284109665627</v>
      </c>
      <c r="M90" s="118">
        <f>Mitigation_Industry!M773-SUMPRODUCT((Mitigation_Industry!M733:M735+Mitigation_Industry!M755:M757)*Mitigation_Industry!$I$667:$I$669/(Mitigation_Industry!$F$733:$F$735+(Mitigation_Industry!$F$733:$F$735=0))*'Manual inputs'!$E$92:$E$94)</f>
        <v>1.6176506360078275</v>
      </c>
      <c r="N90" s="118">
        <f>Mitigation_Industry!N773-SUMPRODUCT((Mitigation_Industry!N733:N735+Mitigation_Industry!N755:N757)*Mitigation_Industry!$I$667:$I$669/(Mitigation_Industry!$F$733:$F$735+(Mitigation_Industry!$F$733:$F$735=0))*'Manual inputs'!$E$92:$E$94)</f>
        <v>1.6532389499999995</v>
      </c>
      <c r="O90" s="118">
        <f>Mitigation_Industry!O773-SUMPRODUCT((Mitigation_Industry!O733:O735+Mitigation_Industry!O755:O757)*Mitigation_Industry!$I$667:$I$669/(Mitigation_Industry!$F$733:$F$735+(Mitigation_Industry!$F$733:$F$735=0))*'Manual inputs'!$E$92:$E$94)</f>
        <v>1.6896102068999994</v>
      </c>
      <c r="P90" s="118">
        <f>Mitigation_Industry!P773-SUMPRODUCT((Mitigation_Industry!P733:P735+Mitigation_Industry!P755:P757)*Mitigation_Industry!$I$667:$I$669/(Mitigation_Industry!$F$733:$F$735+(Mitigation_Industry!$F$733:$F$735=0))*'Manual inputs'!$E$92:$E$94)</f>
        <v>1.7267816314518005</v>
      </c>
      <c r="Q90" s="118">
        <f>Mitigation_Industry!Q773-SUMPRODUCT((Mitigation_Industry!Q733:Q735+Mitigation_Industry!Q755:Q757)*Mitigation_Industry!$I$667:$I$669/(Mitigation_Industry!$F$733:$F$735+(Mitigation_Industry!$F$733:$F$735=0))*'Manual inputs'!$E$92:$E$94)</f>
        <v>1.7647708273437392</v>
      </c>
      <c r="R90" s="118">
        <f>Mitigation_Industry!R773-SUMPRODUCT((Mitigation_Industry!R733:R735+Mitigation_Industry!R755:R757)*Mitigation_Industry!$I$667:$I$669/(Mitigation_Industry!$F$733:$F$735+(Mitigation_Industry!$F$733:$F$735=0))*'Manual inputs'!$E$92:$E$94)</f>
        <v>1.8035957855453022</v>
      </c>
      <c r="S90" s="118">
        <f>Mitigation_Industry!S773-SUMPRODUCT((Mitigation_Industry!S733:S735+Mitigation_Industry!S755:S757)*Mitigation_Industry!$I$667:$I$669/(Mitigation_Industry!$F$733:$F$735+(Mitigation_Industry!$F$733:$F$735=0))*'Manual inputs'!$E$92:$E$94)</f>
        <v>1.843274892827298</v>
      </c>
      <c r="T90" s="118">
        <f>Mitigation_Industry!T773-SUMPRODUCT((Mitigation_Industry!T733:T735+Mitigation_Industry!T755:T757)*Mitigation_Industry!$I$667:$I$669/(Mitigation_Industry!$F$733:$F$735+(Mitigation_Industry!$F$733:$F$735=0))*'Manual inputs'!$E$92:$E$94)</f>
        <v>1.8838269404694987</v>
      </c>
      <c r="U90" s="118">
        <f>Mitigation_Industry!U773-SUMPRODUCT((Mitigation_Industry!U733:U735+Mitigation_Industry!U755:U757)*Mitigation_Industry!$I$667:$I$669/(Mitigation_Industry!$F$733:$F$735+(Mitigation_Industry!$F$733:$F$735=0))*'Manual inputs'!$E$92:$E$94)</f>
        <v>1.9252711331598276</v>
      </c>
      <c r="V90" s="118">
        <f>Mitigation_Industry!V773-SUMPRODUCT((Mitigation_Industry!V733:V735+Mitigation_Industry!V755:V757)*Mitigation_Industry!$I$667:$I$669/(Mitigation_Industry!$F$733:$F$735+(Mitigation_Industry!$F$733:$F$735=0))*'Manual inputs'!$E$92:$E$94)</f>
        <v>1.9676270980893444</v>
      </c>
      <c r="W90" s="118">
        <f>Mitigation_Industry!W773-SUMPRODUCT((Mitigation_Industry!W733:W735+Mitigation_Industry!W755:W757)*Mitigation_Industry!$I$667:$I$669/(Mitigation_Industry!$F$733:$F$735+(Mitigation_Industry!$F$733:$F$735=0))*'Manual inputs'!$E$92:$E$94)</f>
        <v>2.0109148942473092</v>
      </c>
      <c r="X90" s="118">
        <f>Mitigation_Industry!X773-SUMPRODUCT((Mitigation_Industry!X733:X735+Mitigation_Industry!X755:X757)*Mitigation_Industry!$I$667:$I$669/(Mitigation_Industry!$F$733:$F$735+(Mitigation_Industry!$F$733:$F$735=0))*'Manual inputs'!$E$92:$E$94)</f>
        <v>2.0551550219207506</v>
      </c>
      <c r="Y90" s="118">
        <f>Mitigation_Industry!Y773-SUMPRODUCT((Mitigation_Industry!Y733:Y735+Mitigation_Industry!Y755:Y757)*Mitigation_Industry!$I$667:$I$669/(Mitigation_Industry!$F$733:$F$735+(Mitigation_Industry!$F$733:$F$735=0))*'Manual inputs'!$E$92:$E$94)</f>
        <v>2.1003684324030072</v>
      </c>
      <c r="Z90" s="118">
        <f>Mitigation_Industry!Z773-SUMPRODUCT((Mitigation_Industry!Z733:Z735+Mitigation_Industry!Z755:Z757)*Mitigation_Industry!$I$667:$I$669/(Mitigation_Industry!$F$733:$F$735+(Mitigation_Industry!$F$733:$F$735=0))*'Manual inputs'!$E$92:$E$94)</f>
        <v>2.1465765379158737</v>
      </c>
      <c r="AA90" s="118">
        <f>Mitigation_Industry!AA773-SUMPRODUCT((Mitigation_Industry!AA733:AA735+Mitigation_Industry!AA755:AA757)*Mitigation_Industry!$I$667:$I$669/(Mitigation_Industry!$F$733:$F$735+(Mitigation_Industry!$F$733:$F$735=0))*'Manual inputs'!$E$92:$E$94)</f>
        <v>2.1938012217500225</v>
      </c>
      <c r="AB90" s="118">
        <f>Mitigation_Industry!AB773-SUMPRODUCT((Mitigation_Industry!AB733:AB735+Mitigation_Industry!AB755:AB757)*Mitigation_Industry!$I$667:$I$669/(Mitigation_Industry!$F$733:$F$735+(Mitigation_Industry!$F$733:$F$735=0))*'Manual inputs'!$E$92:$E$94)</f>
        <v>2.2420648486285226</v>
      </c>
      <c r="AC90" s="118">
        <f>Mitigation_Industry!AC773-SUMPRODUCT((Mitigation_Industry!AC733:AC735+Mitigation_Industry!AC755:AC757)*Mitigation_Industry!$I$667:$I$669/(Mitigation_Industry!$F$733:$F$735+(Mitigation_Industry!$F$733:$F$735=0))*'Manual inputs'!$E$92:$E$94)</f>
        <v>2.2913902752983502</v>
      </c>
      <c r="AD90" s="118">
        <f>Mitigation_Industry!AD773-SUMPRODUCT((Mitigation_Industry!AD733:AD735+Mitigation_Industry!AD755:AD757)*Mitigation_Industry!$I$667:$I$669/(Mitigation_Industry!$F$733:$F$735+(Mitigation_Industry!$F$733:$F$735=0))*'Manual inputs'!$E$92:$E$94)</f>
        <v>2.3418008613549151</v>
      </c>
      <c r="AE90" s="118">
        <f>Mitigation_Industry!AE773-SUMPRODUCT((Mitigation_Industry!AE733:AE735+Mitigation_Industry!AE755:AE757)*Mitigation_Industry!$I$667:$I$669/(Mitigation_Industry!$F$733:$F$735+(Mitigation_Industry!$F$733:$F$735=0))*'Manual inputs'!$E$92:$E$94)</f>
        <v>2.3933204803047228</v>
      </c>
    </row>
    <row r="91" spans="2:31" x14ac:dyDescent="0.35">
      <c r="B91" s="112" t="s">
        <v>110</v>
      </c>
      <c r="C91" s="112" t="s">
        <v>117</v>
      </c>
      <c r="D91" s="112" t="s">
        <v>3217</v>
      </c>
      <c r="E91" s="112" t="s">
        <v>2068</v>
      </c>
      <c r="F91" s="112" t="s">
        <v>3232</v>
      </c>
      <c r="I91" s="112" t="s">
        <v>3233</v>
      </c>
      <c r="L91" s="118">
        <f>Emissions_Industry!L102</f>
        <v>0</v>
      </c>
      <c r="M91" s="118">
        <f>Emissions_Industry!M102</f>
        <v>0</v>
      </c>
      <c r="N91" s="118">
        <f>Emissions_Industry!N102</f>
        <v>0</v>
      </c>
      <c r="O91" s="118">
        <f>Emissions_Industry!O102</f>
        <v>0</v>
      </c>
      <c r="P91" s="118">
        <f>Emissions_Industry!P102</f>
        <v>0</v>
      </c>
      <c r="Q91" s="118">
        <f>Emissions_Industry!Q102</f>
        <v>0</v>
      </c>
      <c r="R91" s="118">
        <f>Emissions_Industry!R102</f>
        <v>0</v>
      </c>
      <c r="S91" s="118">
        <f>Emissions_Industry!S102</f>
        <v>0</v>
      </c>
      <c r="T91" s="118">
        <f>Emissions_Industry!T102</f>
        <v>0</v>
      </c>
      <c r="U91" s="118">
        <f>Emissions_Industry!U102</f>
        <v>0</v>
      </c>
      <c r="V91" s="118">
        <f>Emissions_Industry!V102</f>
        <v>0</v>
      </c>
      <c r="W91" s="118">
        <f>Emissions_Industry!W102</f>
        <v>0</v>
      </c>
      <c r="X91" s="118">
        <f>Emissions_Industry!X102</f>
        <v>0</v>
      </c>
      <c r="Y91" s="118">
        <f>Emissions_Industry!Y102</f>
        <v>0</v>
      </c>
      <c r="Z91" s="118">
        <f>Emissions_Industry!Z102</f>
        <v>0</v>
      </c>
      <c r="AA91" s="118">
        <f>Emissions_Industry!AA102</f>
        <v>0</v>
      </c>
      <c r="AB91" s="118">
        <f>Emissions_Industry!AB102</f>
        <v>0</v>
      </c>
      <c r="AC91" s="118">
        <f>Emissions_Industry!AC102</f>
        <v>0</v>
      </c>
      <c r="AD91" s="118">
        <f>Emissions_Industry!AD102</f>
        <v>0</v>
      </c>
      <c r="AE91" s="118">
        <f>Emissions_Industry!AE102</f>
        <v>0</v>
      </c>
    </row>
    <row r="92" spans="2:31" x14ac:dyDescent="0.35">
      <c r="B92" s="112" t="s">
        <v>3197</v>
      </c>
      <c r="C92" s="112" t="s">
        <v>117</v>
      </c>
      <c r="D92" s="112" t="s">
        <v>3219</v>
      </c>
      <c r="E92" s="112" t="s">
        <v>2068</v>
      </c>
      <c r="H92" s="116" t="str">
        <f>Settings!$B$3&amp;".mit.eco2.gap.mch.2"</f>
        <v>egy.mit.eco2.gap.mch.2</v>
      </c>
      <c r="I92" s="112" t="s">
        <v>3199</v>
      </c>
      <c r="L92" s="118">
        <f t="shared" ref="L92:AE92" si="28">L91-L90</f>
        <v>-1.5828284109665627</v>
      </c>
      <c r="M92" s="118">
        <f t="shared" si="28"/>
        <v>-1.6176506360078275</v>
      </c>
      <c r="N92" s="118">
        <f t="shared" si="28"/>
        <v>-1.6532389499999995</v>
      </c>
      <c r="O92" s="118">
        <f t="shared" si="28"/>
        <v>-1.6896102068999994</v>
      </c>
      <c r="P92" s="118">
        <f t="shared" si="28"/>
        <v>-1.7267816314518005</v>
      </c>
      <c r="Q92" s="118">
        <f t="shared" si="28"/>
        <v>-1.7647708273437392</v>
      </c>
      <c r="R92" s="118">
        <f t="shared" si="28"/>
        <v>-1.8035957855453022</v>
      </c>
      <c r="S92" s="118">
        <f t="shared" si="28"/>
        <v>-1.843274892827298</v>
      </c>
      <c r="T92" s="118">
        <f t="shared" si="28"/>
        <v>-1.8838269404694987</v>
      </c>
      <c r="U92" s="118">
        <f t="shared" si="28"/>
        <v>-1.9252711331598276</v>
      </c>
      <c r="V92" s="118">
        <f t="shared" si="28"/>
        <v>-1.9676270980893444</v>
      </c>
      <c r="W92" s="118">
        <f t="shared" si="28"/>
        <v>-2.0109148942473092</v>
      </c>
      <c r="X92" s="118">
        <f t="shared" si="28"/>
        <v>-2.0551550219207506</v>
      </c>
      <c r="Y92" s="118">
        <f t="shared" si="28"/>
        <v>-2.1003684324030072</v>
      </c>
      <c r="Z92" s="118">
        <f t="shared" si="28"/>
        <v>-2.1465765379158737</v>
      </c>
      <c r="AA92" s="118">
        <f t="shared" si="28"/>
        <v>-2.1938012217500225</v>
      </c>
      <c r="AB92" s="118">
        <f t="shared" si="28"/>
        <v>-2.2420648486285226</v>
      </c>
      <c r="AC92" s="118">
        <f t="shared" si="28"/>
        <v>-2.2913902752983502</v>
      </c>
      <c r="AD92" s="118">
        <f t="shared" si="28"/>
        <v>-2.3418008613549151</v>
      </c>
      <c r="AE92" s="118">
        <f t="shared" si="28"/>
        <v>-2.3933204803047228</v>
      </c>
    </row>
    <row r="93" spans="2:31" x14ac:dyDescent="0.35">
      <c r="B93" s="112" t="s">
        <v>3200</v>
      </c>
      <c r="C93" s="112" t="s">
        <v>117</v>
      </c>
      <c r="D93" s="112" t="s">
        <v>3220</v>
      </c>
      <c r="E93" s="112" t="s">
        <v>87</v>
      </c>
      <c r="H93" s="116" t="str">
        <f>Settings!$B$3&amp;".mit.eco2.rblk.mch.2"</f>
        <v>egy.mit.eco2.rblk.mch.2</v>
      </c>
      <c r="I93" s="112" t="s">
        <v>3202</v>
      </c>
      <c r="L93" s="144">
        <f t="shared" ref="L93:AE93" si="29">IF(L91=0,0,L90/L91)</f>
        <v>0</v>
      </c>
      <c r="M93" s="144">
        <f t="shared" si="29"/>
        <v>0</v>
      </c>
      <c r="N93" s="144">
        <f t="shared" si="29"/>
        <v>0</v>
      </c>
      <c r="O93" s="144">
        <f t="shared" si="29"/>
        <v>0</v>
      </c>
      <c r="P93" s="144">
        <f t="shared" si="29"/>
        <v>0</v>
      </c>
      <c r="Q93" s="144">
        <f t="shared" si="29"/>
        <v>0</v>
      </c>
      <c r="R93" s="144">
        <f t="shared" si="29"/>
        <v>0</v>
      </c>
      <c r="S93" s="144">
        <f t="shared" si="29"/>
        <v>0</v>
      </c>
      <c r="T93" s="144">
        <f t="shared" si="29"/>
        <v>0</v>
      </c>
      <c r="U93" s="144">
        <f t="shared" si="29"/>
        <v>0</v>
      </c>
      <c r="V93" s="144">
        <f t="shared" si="29"/>
        <v>0</v>
      </c>
      <c r="W93" s="144">
        <f t="shared" si="29"/>
        <v>0</v>
      </c>
      <c r="X93" s="144">
        <f t="shared" si="29"/>
        <v>0</v>
      </c>
      <c r="Y93" s="144">
        <f t="shared" si="29"/>
        <v>0</v>
      </c>
      <c r="Z93" s="144">
        <f t="shared" si="29"/>
        <v>0</v>
      </c>
      <c r="AA93" s="144">
        <f t="shared" si="29"/>
        <v>0</v>
      </c>
      <c r="AB93" s="144">
        <f t="shared" si="29"/>
        <v>0</v>
      </c>
      <c r="AC93" s="144">
        <f t="shared" si="29"/>
        <v>0</v>
      </c>
      <c r="AD93" s="144">
        <f t="shared" si="29"/>
        <v>0</v>
      </c>
      <c r="AE93" s="144">
        <f t="shared" si="2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B66-841B-4FAA-876A-7592F057C883}">
  <dimension ref="A1:AI135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3255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3256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3257</v>
      </c>
      <c r="C5" s="7" t="s">
        <v>3258</v>
      </c>
      <c r="D5" s="6" t="s">
        <v>34</v>
      </c>
      <c r="E5" s="7" t="s">
        <v>35</v>
      </c>
      <c r="F5" s="7" t="s">
        <v>36</v>
      </c>
      <c r="G5" s="7"/>
      <c r="H5" s="12" t="s">
        <v>877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2" t="s">
        <v>3259</v>
      </c>
      <c r="C6" s="112" t="s">
        <v>3260</v>
      </c>
      <c r="D6" s="112" t="s">
        <v>3261</v>
      </c>
      <c r="E6" s="112" t="s">
        <v>3262</v>
      </c>
      <c r="F6" s="112" t="s">
        <v>3263</v>
      </c>
      <c r="H6" s="116" t="s">
        <v>3264</v>
      </c>
      <c r="L6" s="146">
        <v>0</v>
      </c>
      <c r="M6" s="146">
        <v>-1</v>
      </c>
      <c r="N6" s="146">
        <v>-1</v>
      </c>
      <c r="O6" s="146">
        <v>-1</v>
      </c>
      <c r="P6" s="146">
        <v>0</v>
      </c>
      <c r="Q6" s="146">
        <v>-6</v>
      </c>
      <c r="R6" s="146">
        <v>490</v>
      </c>
      <c r="S6" s="146">
        <v>520</v>
      </c>
      <c r="T6" s="146">
        <v>525</v>
      </c>
      <c r="U6" s="146">
        <v>486</v>
      </c>
      <c r="V6" s="146">
        <v>510</v>
      </c>
      <c r="W6" s="146">
        <v>599</v>
      </c>
      <c r="X6" s="146">
        <v>496</v>
      </c>
      <c r="Y6" s="146">
        <v>546</v>
      </c>
      <c r="Z6" s="146">
        <v>415</v>
      </c>
      <c r="AA6" s="146">
        <v>424</v>
      </c>
      <c r="AB6" s="146">
        <v>395</v>
      </c>
      <c r="AC6" s="146">
        <v>367</v>
      </c>
      <c r="AD6" s="146">
        <v>311</v>
      </c>
      <c r="AE6" s="146">
        <v>0</v>
      </c>
    </row>
    <row r="7" spans="1:35" x14ac:dyDescent="0.35">
      <c r="B7" s="112" t="s">
        <v>3265</v>
      </c>
      <c r="C7" s="112" t="s">
        <v>3266</v>
      </c>
      <c r="D7" s="112" t="s">
        <v>3261</v>
      </c>
      <c r="E7" s="112" t="s">
        <v>3262</v>
      </c>
      <c r="F7" s="112" t="s">
        <v>3267</v>
      </c>
      <c r="H7" s="116" t="s">
        <v>3264</v>
      </c>
      <c r="L7" s="146">
        <v>0</v>
      </c>
      <c r="M7" s="146">
        <v>-1</v>
      </c>
      <c r="N7" s="146">
        <v>-1</v>
      </c>
      <c r="O7" s="146">
        <v>-1</v>
      </c>
      <c r="P7" s="146">
        <v>0</v>
      </c>
      <c r="Q7" s="146">
        <v>-6</v>
      </c>
      <c r="R7" s="146">
        <v>490</v>
      </c>
      <c r="S7" s="146">
        <v>531</v>
      </c>
      <c r="T7" s="146">
        <v>547</v>
      </c>
      <c r="U7" s="146">
        <v>579</v>
      </c>
      <c r="V7" s="146">
        <v>616</v>
      </c>
      <c r="W7" s="146">
        <v>714</v>
      </c>
      <c r="X7" s="146">
        <v>589</v>
      </c>
      <c r="Y7" s="146">
        <v>654</v>
      </c>
      <c r="Z7" s="146">
        <v>541</v>
      </c>
      <c r="AA7" s="146">
        <v>519</v>
      </c>
      <c r="AB7" s="146">
        <v>509</v>
      </c>
      <c r="AC7" s="146">
        <v>465</v>
      </c>
      <c r="AD7" s="146">
        <v>411</v>
      </c>
      <c r="AE7" s="146">
        <v>0</v>
      </c>
    </row>
    <row r="8" spans="1:35" x14ac:dyDescent="0.35">
      <c r="B8" s="112" t="s">
        <v>3268</v>
      </c>
      <c r="C8" s="112" t="s">
        <v>3269</v>
      </c>
      <c r="D8" s="112" t="s">
        <v>3261</v>
      </c>
      <c r="E8" s="112" t="s">
        <v>3262</v>
      </c>
      <c r="F8" s="112" t="s">
        <v>3270</v>
      </c>
      <c r="H8" s="116" t="s">
        <v>3264</v>
      </c>
      <c r="L8" s="146">
        <v>0</v>
      </c>
      <c r="M8" s="146">
        <v>1</v>
      </c>
      <c r="N8" s="146">
        <v>1</v>
      </c>
      <c r="O8" s="146">
        <v>1</v>
      </c>
      <c r="P8" s="146">
        <v>1</v>
      </c>
      <c r="Q8" s="146">
        <v>4</v>
      </c>
      <c r="R8" s="146">
        <v>43</v>
      </c>
      <c r="S8" s="146">
        <v>108</v>
      </c>
      <c r="T8" s="146">
        <v>182</v>
      </c>
      <c r="U8" s="146">
        <v>373</v>
      </c>
      <c r="V8" s="146">
        <v>560</v>
      </c>
      <c r="W8" s="146">
        <v>806</v>
      </c>
      <c r="X8" s="146">
        <v>755</v>
      </c>
      <c r="Y8" s="146">
        <v>921</v>
      </c>
      <c r="Z8" s="146">
        <v>911</v>
      </c>
      <c r="AA8" s="146">
        <v>845</v>
      </c>
      <c r="AB8" s="146">
        <v>913</v>
      </c>
      <c r="AC8" s="146">
        <v>844</v>
      </c>
      <c r="AD8" s="146">
        <v>858</v>
      </c>
      <c r="AE8" s="146">
        <v>0</v>
      </c>
    </row>
    <row r="9" spans="1:35" x14ac:dyDescent="0.35">
      <c r="B9" s="112" t="s">
        <v>3271</v>
      </c>
      <c r="C9" s="112" t="s">
        <v>3272</v>
      </c>
      <c r="D9" s="112" t="s">
        <v>3261</v>
      </c>
      <c r="E9" s="112" t="s">
        <v>3262</v>
      </c>
      <c r="F9" s="112" t="s">
        <v>3273</v>
      </c>
      <c r="H9" s="116" t="s">
        <v>3264</v>
      </c>
      <c r="L9" s="146">
        <v>0</v>
      </c>
      <c r="M9" s="146">
        <v>0</v>
      </c>
      <c r="N9" s="146">
        <v>0</v>
      </c>
      <c r="O9" s="146">
        <v>0</v>
      </c>
      <c r="P9" s="146">
        <v>0</v>
      </c>
      <c r="Q9" s="146">
        <v>0</v>
      </c>
      <c r="R9" s="146">
        <v>0</v>
      </c>
      <c r="S9" s="146">
        <v>37</v>
      </c>
      <c r="T9" s="146">
        <v>71</v>
      </c>
      <c r="U9" s="146">
        <v>113</v>
      </c>
      <c r="V9" s="146">
        <v>766</v>
      </c>
      <c r="W9" s="146">
        <v>812</v>
      </c>
      <c r="X9" s="146">
        <v>695</v>
      </c>
      <c r="Y9" s="146">
        <v>817</v>
      </c>
      <c r="Z9" s="146">
        <v>781</v>
      </c>
      <c r="AA9" s="146">
        <v>736</v>
      </c>
      <c r="AB9" s="146">
        <v>799</v>
      </c>
      <c r="AC9" s="146">
        <v>748</v>
      </c>
      <c r="AD9" s="146">
        <v>763</v>
      </c>
      <c r="AE9" s="146">
        <v>0</v>
      </c>
    </row>
    <row r="10" spans="1:35" x14ac:dyDescent="0.35">
      <c r="B10" s="112" t="s">
        <v>3274</v>
      </c>
      <c r="C10" s="112" t="s">
        <v>3260</v>
      </c>
      <c r="D10" s="112" t="s">
        <v>3275</v>
      </c>
      <c r="E10" s="112" t="s">
        <v>3262</v>
      </c>
      <c r="F10" s="112" t="s">
        <v>3263</v>
      </c>
      <c r="H10" s="116" t="s">
        <v>3276</v>
      </c>
      <c r="L10" s="146">
        <v>0</v>
      </c>
      <c r="M10" s="146">
        <v>-1</v>
      </c>
      <c r="N10" s="146">
        <v>-1</v>
      </c>
      <c r="O10" s="146">
        <v>-1</v>
      </c>
      <c r="P10" s="146">
        <v>-1</v>
      </c>
      <c r="Q10" s="146">
        <v>-10</v>
      </c>
      <c r="R10" s="146">
        <v>894</v>
      </c>
      <c r="S10" s="146">
        <v>951</v>
      </c>
      <c r="T10" s="146">
        <v>960</v>
      </c>
      <c r="U10" s="146">
        <v>893</v>
      </c>
      <c r="V10" s="146">
        <v>937</v>
      </c>
      <c r="W10" s="146">
        <v>1109</v>
      </c>
      <c r="X10" s="146">
        <v>956</v>
      </c>
      <c r="Y10" s="146">
        <v>1053</v>
      </c>
      <c r="Z10" s="146">
        <v>838</v>
      </c>
      <c r="AA10" s="146">
        <v>863</v>
      </c>
      <c r="AB10" s="146">
        <v>821</v>
      </c>
      <c r="AC10" s="146">
        <v>777</v>
      </c>
      <c r="AD10" s="146">
        <v>670</v>
      </c>
      <c r="AE10" s="146">
        <v>0</v>
      </c>
    </row>
    <row r="11" spans="1:35" x14ac:dyDescent="0.35">
      <c r="B11" s="112" t="s">
        <v>3277</v>
      </c>
      <c r="C11" s="112" t="s">
        <v>3266</v>
      </c>
      <c r="D11" s="112" t="s">
        <v>3275</v>
      </c>
      <c r="E11" s="112" t="s">
        <v>3262</v>
      </c>
      <c r="F11" s="112" t="s">
        <v>3267</v>
      </c>
      <c r="H11" s="116" t="s">
        <v>3276</v>
      </c>
      <c r="L11" s="146">
        <v>0</v>
      </c>
      <c r="M11" s="146">
        <v>-1</v>
      </c>
      <c r="N11" s="146">
        <v>-1</v>
      </c>
      <c r="O11" s="146">
        <v>-1</v>
      </c>
      <c r="P11" s="146">
        <v>-1</v>
      </c>
      <c r="Q11" s="146">
        <v>-10</v>
      </c>
      <c r="R11" s="146">
        <v>894</v>
      </c>
      <c r="S11" s="146">
        <v>972</v>
      </c>
      <c r="T11" s="146">
        <v>1002</v>
      </c>
      <c r="U11" s="146">
        <v>1061</v>
      </c>
      <c r="V11" s="146">
        <v>1129</v>
      </c>
      <c r="W11" s="146">
        <v>1318</v>
      </c>
      <c r="X11" s="146">
        <v>1132</v>
      </c>
      <c r="Y11" s="146">
        <v>1258</v>
      </c>
      <c r="Z11" s="146">
        <v>1077</v>
      </c>
      <c r="AA11" s="146">
        <v>1054</v>
      </c>
      <c r="AB11" s="146">
        <v>1047</v>
      </c>
      <c r="AC11" s="146">
        <v>980</v>
      </c>
      <c r="AD11" s="146">
        <v>878</v>
      </c>
      <c r="AE11" s="146">
        <v>0</v>
      </c>
    </row>
    <row r="12" spans="1:35" x14ac:dyDescent="0.35">
      <c r="B12" s="112" t="s">
        <v>3278</v>
      </c>
      <c r="C12" s="112" t="s">
        <v>3269</v>
      </c>
      <c r="D12" s="112" t="s">
        <v>3275</v>
      </c>
      <c r="E12" s="112" t="s">
        <v>3262</v>
      </c>
      <c r="F12" s="112" t="s">
        <v>3270</v>
      </c>
      <c r="H12" s="116" t="s">
        <v>3276</v>
      </c>
      <c r="L12" s="146">
        <v>0</v>
      </c>
      <c r="M12" s="146">
        <v>1</v>
      </c>
      <c r="N12" s="146">
        <v>2</v>
      </c>
      <c r="O12" s="146">
        <v>2</v>
      </c>
      <c r="P12" s="146">
        <v>1</v>
      </c>
      <c r="Q12" s="146">
        <v>8</v>
      </c>
      <c r="R12" s="146">
        <v>80</v>
      </c>
      <c r="S12" s="146">
        <v>201</v>
      </c>
      <c r="T12" s="146">
        <v>338</v>
      </c>
      <c r="U12" s="146">
        <v>689</v>
      </c>
      <c r="V12" s="146">
        <v>1031</v>
      </c>
      <c r="W12" s="146">
        <v>1493</v>
      </c>
      <c r="X12" s="146">
        <v>1458</v>
      </c>
      <c r="Y12" s="146">
        <v>1780</v>
      </c>
      <c r="Z12" s="146">
        <v>1801</v>
      </c>
      <c r="AA12" s="146">
        <v>1729</v>
      </c>
      <c r="AB12" s="146">
        <v>1884</v>
      </c>
      <c r="AC12" s="146">
        <v>1796</v>
      </c>
      <c r="AD12" s="146">
        <v>1844</v>
      </c>
      <c r="AE12" s="146">
        <v>0</v>
      </c>
    </row>
    <row r="13" spans="1:35" x14ac:dyDescent="0.35">
      <c r="B13" s="112" t="s">
        <v>3279</v>
      </c>
      <c r="C13" s="112" t="s">
        <v>3272</v>
      </c>
      <c r="D13" s="112" t="s">
        <v>3275</v>
      </c>
      <c r="E13" s="112" t="s">
        <v>3262</v>
      </c>
      <c r="F13" s="112" t="s">
        <v>3273</v>
      </c>
      <c r="H13" s="116" t="s">
        <v>3276</v>
      </c>
      <c r="L13" s="146">
        <v>0</v>
      </c>
      <c r="M13" s="146">
        <v>0</v>
      </c>
      <c r="N13" s="146">
        <v>0</v>
      </c>
      <c r="O13" s="146">
        <v>0</v>
      </c>
      <c r="P13" s="146">
        <v>0</v>
      </c>
      <c r="Q13" s="146">
        <v>0</v>
      </c>
      <c r="R13" s="146">
        <v>0</v>
      </c>
      <c r="S13" s="146">
        <v>69</v>
      </c>
      <c r="T13" s="146">
        <v>132</v>
      </c>
      <c r="U13" s="146">
        <v>208</v>
      </c>
      <c r="V13" s="146">
        <v>1393</v>
      </c>
      <c r="W13" s="146">
        <v>1485</v>
      </c>
      <c r="X13" s="146">
        <v>1327</v>
      </c>
      <c r="Y13" s="146">
        <v>1564</v>
      </c>
      <c r="Z13" s="146">
        <v>1533</v>
      </c>
      <c r="AA13" s="146">
        <v>1491</v>
      </c>
      <c r="AB13" s="146">
        <v>1636</v>
      </c>
      <c r="AC13" s="146">
        <v>1581</v>
      </c>
      <c r="AD13" s="146">
        <v>1630</v>
      </c>
      <c r="AE13" s="146">
        <v>0</v>
      </c>
    </row>
    <row r="14" spans="1:35" x14ac:dyDescent="0.35">
      <c r="B14" s="112" t="s">
        <v>3280</v>
      </c>
      <c r="C14" s="112" t="s">
        <v>3260</v>
      </c>
      <c r="D14" s="112" t="s">
        <v>3281</v>
      </c>
      <c r="E14" s="112" t="s">
        <v>3262</v>
      </c>
      <c r="F14" s="112" t="s">
        <v>3263</v>
      </c>
      <c r="H14" s="116" t="s">
        <v>3282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-1</v>
      </c>
      <c r="R14" s="146">
        <v>74</v>
      </c>
      <c r="S14" s="146">
        <v>78</v>
      </c>
      <c r="T14" s="146">
        <v>79</v>
      </c>
      <c r="U14" s="146">
        <v>72</v>
      </c>
      <c r="V14" s="146">
        <v>76</v>
      </c>
      <c r="W14" s="146">
        <v>88</v>
      </c>
      <c r="X14" s="146">
        <v>70</v>
      </c>
      <c r="Y14" s="146">
        <v>77</v>
      </c>
      <c r="Z14" s="146">
        <v>56</v>
      </c>
      <c r="AA14" s="146">
        <v>56</v>
      </c>
      <c r="AB14" s="146">
        <v>52</v>
      </c>
      <c r="AC14" s="146">
        <v>48</v>
      </c>
      <c r="AD14" s="146">
        <v>49</v>
      </c>
      <c r="AE14" s="146">
        <v>0</v>
      </c>
    </row>
    <row r="15" spans="1:35" x14ac:dyDescent="0.35">
      <c r="B15" s="112" t="s">
        <v>3283</v>
      </c>
      <c r="C15" s="112" t="s">
        <v>3266</v>
      </c>
      <c r="D15" s="112" t="s">
        <v>3281</v>
      </c>
      <c r="E15" s="112" t="s">
        <v>3262</v>
      </c>
      <c r="F15" s="112" t="s">
        <v>3267</v>
      </c>
      <c r="H15" s="116" t="s">
        <v>3282</v>
      </c>
      <c r="L15" s="146">
        <v>0</v>
      </c>
      <c r="M15" s="146">
        <v>0</v>
      </c>
      <c r="N15" s="146">
        <v>0</v>
      </c>
      <c r="O15" s="146">
        <v>0</v>
      </c>
      <c r="P15" s="146">
        <v>0</v>
      </c>
      <c r="Q15" s="146">
        <v>-1</v>
      </c>
      <c r="R15" s="146">
        <v>74</v>
      </c>
      <c r="S15" s="146">
        <v>80</v>
      </c>
      <c r="T15" s="146">
        <v>82</v>
      </c>
      <c r="U15" s="146">
        <v>87</v>
      </c>
      <c r="V15" s="146">
        <v>92</v>
      </c>
      <c r="W15" s="146">
        <v>106</v>
      </c>
      <c r="X15" s="146">
        <v>84</v>
      </c>
      <c r="Y15" s="146">
        <v>93</v>
      </c>
      <c r="Z15" s="146">
        <v>75</v>
      </c>
      <c r="AA15" s="146">
        <v>70</v>
      </c>
      <c r="AB15" s="146">
        <v>69</v>
      </c>
      <c r="AC15" s="146">
        <v>63</v>
      </c>
      <c r="AD15" s="146">
        <v>66</v>
      </c>
      <c r="AE15" s="146">
        <v>0</v>
      </c>
    </row>
    <row r="16" spans="1:35" x14ac:dyDescent="0.35">
      <c r="B16" s="112" t="s">
        <v>3284</v>
      </c>
      <c r="C16" s="112" t="s">
        <v>3269</v>
      </c>
      <c r="D16" s="112" t="s">
        <v>3281</v>
      </c>
      <c r="E16" s="112" t="s">
        <v>3262</v>
      </c>
      <c r="F16" s="112" t="s">
        <v>3270</v>
      </c>
      <c r="H16" s="116" t="s">
        <v>3282</v>
      </c>
      <c r="L16" s="146">
        <v>0</v>
      </c>
      <c r="M16" s="146">
        <v>0</v>
      </c>
      <c r="N16" s="146">
        <v>0</v>
      </c>
      <c r="O16" s="146">
        <v>0</v>
      </c>
      <c r="P16" s="146">
        <v>0</v>
      </c>
      <c r="Q16" s="146">
        <v>1</v>
      </c>
      <c r="R16" s="146">
        <v>6</v>
      </c>
      <c r="S16" s="146">
        <v>16</v>
      </c>
      <c r="T16" s="146">
        <v>26</v>
      </c>
      <c r="U16" s="146">
        <v>55</v>
      </c>
      <c r="V16" s="146">
        <v>83</v>
      </c>
      <c r="W16" s="146">
        <v>118</v>
      </c>
      <c r="X16" s="146">
        <v>106</v>
      </c>
      <c r="Y16" s="146">
        <v>129</v>
      </c>
      <c r="Z16" s="146">
        <v>124</v>
      </c>
      <c r="AA16" s="146">
        <v>111</v>
      </c>
      <c r="AB16" s="146">
        <v>118</v>
      </c>
      <c r="AC16" s="146">
        <v>108</v>
      </c>
      <c r="AD16" s="146">
        <v>118</v>
      </c>
      <c r="AE16" s="146">
        <v>0</v>
      </c>
    </row>
    <row r="17" spans="2:31" x14ac:dyDescent="0.35">
      <c r="B17" s="112" t="s">
        <v>3285</v>
      </c>
      <c r="C17" s="112" t="s">
        <v>3272</v>
      </c>
      <c r="D17" s="112" t="s">
        <v>3281</v>
      </c>
      <c r="E17" s="112" t="s">
        <v>3262</v>
      </c>
      <c r="F17" s="112" t="s">
        <v>3273</v>
      </c>
      <c r="H17" s="116" t="s">
        <v>3282</v>
      </c>
      <c r="L17" s="146">
        <v>0</v>
      </c>
      <c r="M17" s="146">
        <v>0</v>
      </c>
      <c r="N17" s="146">
        <v>0</v>
      </c>
      <c r="O17" s="146">
        <v>0</v>
      </c>
      <c r="P17" s="146">
        <v>0</v>
      </c>
      <c r="Q17" s="146">
        <v>0</v>
      </c>
      <c r="R17" s="146">
        <v>0</v>
      </c>
      <c r="S17" s="146">
        <v>5</v>
      </c>
      <c r="T17" s="146">
        <v>10</v>
      </c>
      <c r="U17" s="146">
        <v>16</v>
      </c>
      <c r="V17" s="146">
        <v>117</v>
      </c>
      <c r="W17" s="146">
        <v>123</v>
      </c>
      <c r="X17" s="146">
        <v>102</v>
      </c>
      <c r="Y17" s="146">
        <v>119</v>
      </c>
      <c r="Z17" s="146">
        <v>111</v>
      </c>
      <c r="AA17" s="146">
        <v>101</v>
      </c>
      <c r="AB17" s="146">
        <v>108</v>
      </c>
      <c r="AC17" s="146">
        <v>100</v>
      </c>
      <c r="AD17" s="146">
        <v>110</v>
      </c>
      <c r="AE17" s="146">
        <v>0</v>
      </c>
    </row>
    <row r="18" spans="2:31" x14ac:dyDescent="0.35">
      <c r="B18" s="112" t="s">
        <v>3286</v>
      </c>
      <c r="C18" s="112" t="s">
        <v>3260</v>
      </c>
      <c r="D18" s="112" t="s">
        <v>3287</v>
      </c>
      <c r="E18" s="112" t="s">
        <v>3288</v>
      </c>
      <c r="F18" s="112" t="s">
        <v>3263</v>
      </c>
      <c r="H18" s="116" t="s">
        <v>3289</v>
      </c>
      <c r="L18" s="146">
        <v>0</v>
      </c>
      <c r="M18" s="146">
        <v>-2</v>
      </c>
      <c r="N18" s="146">
        <v>-4</v>
      </c>
      <c r="O18" s="146">
        <v>-5</v>
      </c>
      <c r="P18" s="146">
        <v>-6</v>
      </c>
      <c r="Q18" s="146">
        <v>-23</v>
      </c>
      <c r="R18" s="146">
        <v>1435</v>
      </c>
      <c r="S18" s="146">
        <v>2985</v>
      </c>
      <c r="T18" s="146">
        <v>4549</v>
      </c>
      <c r="U18" s="146">
        <v>6001</v>
      </c>
      <c r="V18" s="146">
        <v>7524</v>
      </c>
      <c r="W18" s="146">
        <v>9319</v>
      </c>
      <c r="X18" s="146">
        <v>10842</v>
      </c>
      <c r="Y18" s="146">
        <v>12518</v>
      </c>
      <c r="Z18" s="146">
        <v>13827</v>
      </c>
      <c r="AA18" s="146">
        <v>15170</v>
      </c>
      <c r="AB18" s="146">
        <v>16438</v>
      </c>
      <c r="AC18" s="146">
        <v>17630</v>
      </c>
      <c r="AD18" s="146">
        <v>18660</v>
      </c>
      <c r="AE18" s="146">
        <v>0</v>
      </c>
    </row>
    <row r="19" spans="2:31" x14ac:dyDescent="0.35">
      <c r="B19" s="112" t="s">
        <v>3290</v>
      </c>
      <c r="C19" s="112" t="s">
        <v>3266</v>
      </c>
      <c r="D19" s="112" t="s">
        <v>3287</v>
      </c>
      <c r="E19" s="112" t="s">
        <v>3288</v>
      </c>
      <c r="F19" s="112" t="s">
        <v>3267</v>
      </c>
      <c r="H19" s="116" t="s">
        <v>3289</v>
      </c>
      <c r="L19" s="146">
        <v>0</v>
      </c>
      <c r="M19" s="146">
        <v>-2</v>
      </c>
      <c r="N19" s="146">
        <v>-4</v>
      </c>
      <c r="O19" s="146">
        <v>-5</v>
      </c>
      <c r="P19" s="146">
        <v>-6</v>
      </c>
      <c r="Q19" s="146">
        <v>-23</v>
      </c>
      <c r="R19" s="146">
        <v>1435</v>
      </c>
      <c r="S19" s="146">
        <v>3018</v>
      </c>
      <c r="T19" s="146">
        <v>4650</v>
      </c>
      <c r="U19" s="146">
        <v>6375</v>
      </c>
      <c r="V19" s="146">
        <v>8212</v>
      </c>
      <c r="W19" s="146">
        <v>10350</v>
      </c>
      <c r="X19" s="146">
        <v>12156</v>
      </c>
      <c r="Y19" s="146">
        <v>14162</v>
      </c>
      <c r="Z19" s="146">
        <v>15856</v>
      </c>
      <c r="AA19" s="146">
        <v>17499</v>
      </c>
      <c r="AB19" s="146">
        <v>19123</v>
      </c>
      <c r="AC19" s="146">
        <v>20631</v>
      </c>
      <c r="AD19" s="146">
        <v>21986</v>
      </c>
      <c r="AE19" s="146">
        <v>0</v>
      </c>
    </row>
    <row r="20" spans="2:31" x14ac:dyDescent="0.35">
      <c r="B20" s="112" t="s">
        <v>3291</v>
      </c>
      <c r="C20" s="112" t="s">
        <v>3269</v>
      </c>
      <c r="D20" s="112" t="s">
        <v>3287</v>
      </c>
      <c r="E20" s="112" t="s">
        <v>3288</v>
      </c>
      <c r="F20" s="112" t="s">
        <v>3270</v>
      </c>
      <c r="H20" s="116" t="s">
        <v>3289</v>
      </c>
      <c r="L20" s="146">
        <v>0</v>
      </c>
      <c r="M20" s="146">
        <v>2</v>
      </c>
      <c r="N20" s="146">
        <v>5</v>
      </c>
      <c r="O20" s="146">
        <v>7</v>
      </c>
      <c r="P20" s="146">
        <v>9</v>
      </c>
      <c r="Q20" s="146">
        <v>22</v>
      </c>
      <c r="R20" s="146">
        <v>152</v>
      </c>
      <c r="S20" s="146">
        <v>477</v>
      </c>
      <c r="T20" s="146">
        <v>1023</v>
      </c>
      <c r="U20" s="146">
        <v>2140</v>
      </c>
      <c r="V20" s="146">
        <v>3814</v>
      </c>
      <c r="W20" s="146">
        <v>6231</v>
      </c>
      <c r="X20" s="146">
        <v>8551</v>
      </c>
      <c r="Y20" s="146">
        <v>11381</v>
      </c>
      <c r="Z20" s="146">
        <v>14218</v>
      </c>
      <c r="AA20" s="146">
        <v>16902</v>
      </c>
      <c r="AB20" s="146">
        <v>19818</v>
      </c>
      <c r="AC20" s="146">
        <v>22565</v>
      </c>
      <c r="AD20" s="146">
        <v>25384</v>
      </c>
      <c r="AE20" s="146">
        <v>0</v>
      </c>
    </row>
    <row r="21" spans="2:31" x14ac:dyDescent="0.35">
      <c r="B21" s="112" t="s">
        <v>3292</v>
      </c>
      <c r="C21" s="112" t="s">
        <v>3272</v>
      </c>
      <c r="D21" s="112" t="s">
        <v>3287</v>
      </c>
      <c r="E21" s="112" t="s">
        <v>3288</v>
      </c>
      <c r="F21" s="112" t="s">
        <v>3273</v>
      </c>
      <c r="H21" s="116" t="s">
        <v>3289</v>
      </c>
      <c r="L21" s="146">
        <v>0</v>
      </c>
      <c r="M21" s="146">
        <v>0</v>
      </c>
      <c r="N21" s="146">
        <v>0</v>
      </c>
      <c r="O21" s="146">
        <v>0</v>
      </c>
      <c r="P21" s="146">
        <v>0</v>
      </c>
      <c r="Q21" s="146">
        <v>0</v>
      </c>
      <c r="R21" s="146">
        <v>0</v>
      </c>
      <c r="S21" s="146">
        <v>112</v>
      </c>
      <c r="T21" s="146">
        <v>326</v>
      </c>
      <c r="U21" s="146">
        <v>663</v>
      </c>
      <c r="V21" s="146">
        <v>2939</v>
      </c>
      <c r="W21" s="146">
        <v>5359</v>
      </c>
      <c r="X21" s="146">
        <v>7484</v>
      </c>
      <c r="Y21" s="146">
        <v>9984</v>
      </c>
      <c r="Z21" s="146">
        <v>12409</v>
      </c>
      <c r="AA21" s="146">
        <v>14737</v>
      </c>
      <c r="AB21" s="146">
        <v>17281</v>
      </c>
      <c r="AC21" s="146">
        <v>19710</v>
      </c>
      <c r="AD21" s="146">
        <v>22213</v>
      </c>
      <c r="AE21" s="146">
        <v>0</v>
      </c>
    </row>
    <row r="22" spans="2:31" x14ac:dyDescent="0.35">
      <c r="B22" s="112" t="s">
        <v>3293</v>
      </c>
      <c r="C22" s="112" t="s">
        <v>3260</v>
      </c>
      <c r="D22" s="112" t="s">
        <v>3294</v>
      </c>
      <c r="E22" s="112" t="s">
        <v>3262</v>
      </c>
      <c r="F22" s="112" t="s">
        <v>3263</v>
      </c>
      <c r="H22" s="116" t="s">
        <v>3295</v>
      </c>
      <c r="L22" s="146">
        <v>64271.06</v>
      </c>
      <c r="M22" s="146">
        <v>65359.22</v>
      </c>
      <c r="N22" s="146">
        <v>68207.960000000006</v>
      </c>
      <c r="O22" s="146">
        <v>72071.63</v>
      </c>
      <c r="P22" s="146">
        <v>74237.56</v>
      </c>
      <c r="Q22" s="146">
        <v>76020.81</v>
      </c>
      <c r="R22" s="146">
        <v>78006.45</v>
      </c>
      <c r="S22" s="146">
        <v>80189.13</v>
      </c>
      <c r="T22" s="146">
        <v>82651</v>
      </c>
      <c r="U22" s="146">
        <v>85545.69</v>
      </c>
      <c r="V22" s="146">
        <v>90724.49</v>
      </c>
      <c r="W22" s="146">
        <v>96340.32</v>
      </c>
      <c r="X22" s="146">
        <v>101167.06</v>
      </c>
      <c r="Y22" s="146">
        <v>106485.14</v>
      </c>
      <c r="Z22" s="146">
        <v>111793.99</v>
      </c>
      <c r="AA22" s="146">
        <v>116629.68</v>
      </c>
      <c r="AB22" s="146">
        <v>121707.95</v>
      </c>
      <c r="AC22" s="146">
        <v>126478.09</v>
      </c>
      <c r="AD22" s="146">
        <v>131348.4</v>
      </c>
      <c r="AE22" s="146">
        <v>0</v>
      </c>
    </row>
    <row r="23" spans="2:31" x14ac:dyDescent="0.35">
      <c r="B23" s="112" t="s">
        <v>3296</v>
      </c>
      <c r="C23" s="112" t="s">
        <v>3266</v>
      </c>
      <c r="D23" s="112" t="s">
        <v>3294</v>
      </c>
      <c r="E23" s="112" t="s">
        <v>3262</v>
      </c>
      <c r="F23" s="112" t="s">
        <v>3267</v>
      </c>
      <c r="H23" s="116" t="s">
        <v>3295</v>
      </c>
      <c r="L23" s="146">
        <v>64271.06</v>
      </c>
      <c r="M23" s="146">
        <v>65359.22</v>
      </c>
      <c r="N23" s="146">
        <v>68207.960000000006</v>
      </c>
      <c r="O23" s="146">
        <v>72071.63</v>
      </c>
      <c r="P23" s="146">
        <v>74237.56</v>
      </c>
      <c r="Q23" s="146">
        <v>76020.81</v>
      </c>
      <c r="R23" s="146">
        <v>78006.45</v>
      </c>
      <c r="S23" s="146">
        <v>80189.13</v>
      </c>
      <c r="T23" s="146">
        <v>82651</v>
      </c>
      <c r="U23" s="146">
        <v>85545.69</v>
      </c>
      <c r="V23" s="146">
        <v>90724.49</v>
      </c>
      <c r="W23" s="146">
        <v>96340.32</v>
      </c>
      <c r="X23" s="146">
        <v>101167.06</v>
      </c>
      <c r="Y23" s="146">
        <v>106485.14</v>
      </c>
      <c r="Z23" s="146">
        <v>111793.99</v>
      </c>
      <c r="AA23" s="146">
        <v>116629.68</v>
      </c>
      <c r="AB23" s="146">
        <v>121707.95</v>
      </c>
      <c r="AC23" s="146">
        <v>126478.09</v>
      </c>
      <c r="AD23" s="146">
        <v>131348.4</v>
      </c>
      <c r="AE23" s="146">
        <v>0</v>
      </c>
    </row>
    <row r="24" spans="2:31" x14ac:dyDescent="0.35">
      <c r="B24" s="112" t="s">
        <v>3297</v>
      </c>
      <c r="C24" s="112" t="s">
        <v>3269</v>
      </c>
      <c r="D24" s="112" t="s">
        <v>3294</v>
      </c>
      <c r="E24" s="112" t="s">
        <v>3262</v>
      </c>
      <c r="F24" s="112" t="s">
        <v>3270</v>
      </c>
      <c r="H24" s="116" t="s">
        <v>3295</v>
      </c>
      <c r="L24" s="146">
        <v>64271.06</v>
      </c>
      <c r="M24" s="146">
        <v>65359.22</v>
      </c>
      <c r="N24" s="146">
        <v>68207.960000000006</v>
      </c>
      <c r="O24" s="146">
        <v>72071.63</v>
      </c>
      <c r="P24" s="146">
        <v>74237.56</v>
      </c>
      <c r="Q24" s="146">
        <v>76020.81</v>
      </c>
      <c r="R24" s="146">
        <v>78006.45</v>
      </c>
      <c r="S24" s="146">
        <v>80189.13</v>
      </c>
      <c r="T24" s="146">
        <v>82651</v>
      </c>
      <c r="U24" s="146">
        <v>85545.69</v>
      </c>
      <c r="V24" s="146">
        <v>90724.49</v>
      </c>
      <c r="W24" s="146">
        <v>96340.32</v>
      </c>
      <c r="X24" s="146">
        <v>101167.06</v>
      </c>
      <c r="Y24" s="146">
        <v>106485.14</v>
      </c>
      <c r="Z24" s="146">
        <v>111793.99</v>
      </c>
      <c r="AA24" s="146">
        <v>116629.68</v>
      </c>
      <c r="AB24" s="146">
        <v>121707.95</v>
      </c>
      <c r="AC24" s="146">
        <v>126478.09</v>
      </c>
      <c r="AD24" s="146">
        <v>131348.4</v>
      </c>
      <c r="AE24" s="146">
        <v>0</v>
      </c>
    </row>
    <row r="25" spans="2:31" x14ac:dyDescent="0.35">
      <c r="B25" s="112" t="s">
        <v>3298</v>
      </c>
      <c r="C25" s="112" t="s">
        <v>3272</v>
      </c>
      <c r="D25" s="112" t="s">
        <v>3294</v>
      </c>
      <c r="E25" s="112" t="s">
        <v>3262</v>
      </c>
      <c r="F25" s="112" t="s">
        <v>3273</v>
      </c>
      <c r="H25" s="116" t="s">
        <v>3295</v>
      </c>
      <c r="L25" s="146">
        <v>64271.06</v>
      </c>
      <c r="M25" s="146">
        <v>65359.22</v>
      </c>
      <c r="N25" s="146">
        <v>68207.960000000006</v>
      </c>
      <c r="O25" s="146">
        <v>72071.63</v>
      </c>
      <c r="P25" s="146">
        <v>74237.56</v>
      </c>
      <c r="Q25" s="146">
        <v>76020.81</v>
      </c>
      <c r="R25" s="146">
        <v>78006.45</v>
      </c>
      <c r="S25" s="146">
        <v>80189.13</v>
      </c>
      <c r="T25" s="146">
        <v>82651</v>
      </c>
      <c r="U25" s="146">
        <v>85545.69</v>
      </c>
      <c r="V25" s="146">
        <v>90724.49</v>
      </c>
      <c r="W25" s="146">
        <v>96340.32</v>
      </c>
      <c r="X25" s="146">
        <v>101167.06</v>
      </c>
      <c r="Y25" s="146">
        <v>106485.14</v>
      </c>
      <c r="Z25" s="146">
        <v>111793.99</v>
      </c>
      <c r="AA25" s="146">
        <v>116629.68</v>
      </c>
      <c r="AB25" s="146">
        <v>121707.95</v>
      </c>
      <c r="AC25" s="146">
        <v>126478.09</v>
      </c>
      <c r="AD25" s="146">
        <v>131348.4</v>
      </c>
      <c r="AE25" s="146">
        <v>0</v>
      </c>
    </row>
    <row r="26" spans="2:31" x14ac:dyDescent="0.35">
      <c r="B26" s="112" t="s">
        <v>3299</v>
      </c>
      <c r="C26" s="112" t="s">
        <v>3260</v>
      </c>
      <c r="D26" s="112" t="s">
        <v>3300</v>
      </c>
      <c r="E26" s="112" t="s">
        <v>2068</v>
      </c>
      <c r="F26" s="112" t="s">
        <v>3263</v>
      </c>
      <c r="H26" s="116" t="s">
        <v>3301</v>
      </c>
      <c r="L26" s="146">
        <v>210.916</v>
      </c>
      <c r="M26" s="146">
        <v>212.84399999999999</v>
      </c>
      <c r="N26" s="146">
        <v>232.29599999999999</v>
      </c>
      <c r="O26" s="146">
        <v>248.97399999999999</v>
      </c>
      <c r="P26" s="146">
        <v>258.928</v>
      </c>
      <c r="Q26" s="146">
        <v>272.54899999999998</v>
      </c>
      <c r="R26" s="146">
        <v>290.72500000000002</v>
      </c>
      <c r="S26" s="146">
        <v>313.33499999999998</v>
      </c>
      <c r="T26" s="146">
        <v>340.66</v>
      </c>
      <c r="U26" s="146">
        <v>377.47399999999999</v>
      </c>
      <c r="V26" s="146">
        <v>432.851</v>
      </c>
      <c r="W26" s="146">
        <v>493.45400000000001</v>
      </c>
      <c r="X26" s="146">
        <v>546.70600000000002</v>
      </c>
      <c r="Y26" s="146">
        <v>606.58500000000004</v>
      </c>
      <c r="Z26" s="146">
        <v>672.81</v>
      </c>
      <c r="AA26" s="146">
        <v>745.99599999999998</v>
      </c>
      <c r="AB26" s="146">
        <v>826.61500000000001</v>
      </c>
      <c r="AC26" s="146">
        <v>915.12199999999996</v>
      </c>
      <c r="AD26" s="146">
        <v>1012.028</v>
      </c>
      <c r="AE26" s="146">
        <v>1116.913</v>
      </c>
    </row>
    <row r="27" spans="2:31" x14ac:dyDescent="0.35">
      <c r="B27" s="112" t="s">
        <v>3302</v>
      </c>
      <c r="C27" s="112" t="s">
        <v>3266</v>
      </c>
      <c r="D27" s="112" t="s">
        <v>3300</v>
      </c>
      <c r="E27" s="112" t="s">
        <v>2068</v>
      </c>
      <c r="F27" s="112" t="s">
        <v>3267</v>
      </c>
      <c r="H27" s="116" t="s">
        <v>3301</v>
      </c>
      <c r="L27" s="146">
        <v>210.916</v>
      </c>
      <c r="M27" s="146">
        <v>212.84399999999999</v>
      </c>
      <c r="N27" s="146">
        <v>232.29599999999999</v>
      </c>
      <c r="O27" s="146">
        <v>248.97399999999999</v>
      </c>
      <c r="P27" s="146">
        <v>258.928</v>
      </c>
      <c r="Q27" s="146">
        <v>272.54899999999998</v>
      </c>
      <c r="R27" s="146">
        <v>290.72500000000002</v>
      </c>
      <c r="S27" s="146">
        <v>313.33499999999998</v>
      </c>
      <c r="T27" s="146">
        <v>340.66</v>
      </c>
      <c r="U27" s="146">
        <v>377.47399999999999</v>
      </c>
      <c r="V27" s="146">
        <v>432.851</v>
      </c>
      <c r="W27" s="146">
        <v>493.45400000000001</v>
      </c>
      <c r="X27" s="146">
        <v>546.70600000000002</v>
      </c>
      <c r="Y27" s="146">
        <v>606.58500000000004</v>
      </c>
      <c r="Z27" s="146">
        <v>672.81</v>
      </c>
      <c r="AA27" s="146">
        <v>745.99599999999998</v>
      </c>
      <c r="AB27" s="146">
        <v>826.61500000000001</v>
      </c>
      <c r="AC27" s="146">
        <v>915.12199999999996</v>
      </c>
      <c r="AD27" s="146">
        <v>1012.028</v>
      </c>
      <c r="AE27" s="146">
        <v>1116.913</v>
      </c>
    </row>
    <row r="28" spans="2:31" x14ac:dyDescent="0.35">
      <c r="B28" s="112" t="s">
        <v>3303</v>
      </c>
      <c r="C28" s="112" t="s">
        <v>3269</v>
      </c>
      <c r="D28" s="112" t="s">
        <v>3300</v>
      </c>
      <c r="E28" s="112" t="s">
        <v>2068</v>
      </c>
      <c r="F28" s="112" t="s">
        <v>3270</v>
      </c>
      <c r="H28" s="116" t="s">
        <v>3301</v>
      </c>
      <c r="L28" s="146">
        <v>210.916</v>
      </c>
      <c r="M28" s="146">
        <v>212.84399999999999</v>
      </c>
      <c r="N28" s="146">
        <v>232.29599999999999</v>
      </c>
      <c r="O28" s="146">
        <v>248.97399999999999</v>
      </c>
      <c r="P28" s="146">
        <v>258.928</v>
      </c>
      <c r="Q28" s="146">
        <v>272.54899999999998</v>
      </c>
      <c r="R28" s="146">
        <v>290.72500000000002</v>
      </c>
      <c r="S28" s="146">
        <v>313.33499999999998</v>
      </c>
      <c r="T28" s="146">
        <v>340.66</v>
      </c>
      <c r="U28" s="146">
        <v>377.47399999999999</v>
      </c>
      <c r="V28" s="146">
        <v>432.851</v>
      </c>
      <c r="W28" s="146">
        <v>493.45400000000001</v>
      </c>
      <c r="X28" s="146">
        <v>546.70600000000002</v>
      </c>
      <c r="Y28" s="146">
        <v>606.58500000000004</v>
      </c>
      <c r="Z28" s="146">
        <v>672.81</v>
      </c>
      <c r="AA28" s="146">
        <v>745.99599999999998</v>
      </c>
      <c r="AB28" s="146">
        <v>826.61500000000001</v>
      </c>
      <c r="AC28" s="146">
        <v>915.12199999999996</v>
      </c>
      <c r="AD28" s="146">
        <v>1012.028</v>
      </c>
      <c r="AE28" s="146">
        <v>1116.913</v>
      </c>
    </row>
    <row r="29" spans="2:31" x14ac:dyDescent="0.35">
      <c r="B29" s="112" t="s">
        <v>3304</v>
      </c>
      <c r="C29" s="112" t="s">
        <v>3272</v>
      </c>
      <c r="D29" s="112" t="s">
        <v>3300</v>
      </c>
      <c r="E29" s="112" t="s">
        <v>2068</v>
      </c>
      <c r="F29" s="112" t="s">
        <v>3273</v>
      </c>
      <c r="H29" s="116" t="s">
        <v>3301</v>
      </c>
      <c r="L29" s="146">
        <v>210.916</v>
      </c>
      <c r="M29" s="146">
        <v>212.84399999999999</v>
      </c>
      <c r="N29" s="146">
        <v>232.29599999999999</v>
      </c>
      <c r="O29" s="146">
        <v>248.97399999999999</v>
      </c>
      <c r="P29" s="146">
        <v>258.928</v>
      </c>
      <c r="Q29" s="146">
        <v>272.54899999999998</v>
      </c>
      <c r="R29" s="146">
        <v>290.72500000000002</v>
      </c>
      <c r="S29" s="146">
        <v>313.33499999999998</v>
      </c>
      <c r="T29" s="146">
        <v>340.66</v>
      </c>
      <c r="U29" s="146">
        <v>377.47399999999999</v>
      </c>
      <c r="V29" s="146">
        <v>432.851</v>
      </c>
      <c r="W29" s="146">
        <v>493.45400000000001</v>
      </c>
      <c r="X29" s="146">
        <v>546.70600000000002</v>
      </c>
      <c r="Y29" s="146">
        <v>606.58500000000004</v>
      </c>
      <c r="Z29" s="146">
        <v>672.81</v>
      </c>
      <c r="AA29" s="146">
        <v>745.99599999999998</v>
      </c>
      <c r="AB29" s="146">
        <v>826.61500000000001</v>
      </c>
      <c r="AC29" s="146">
        <v>915.12199999999996</v>
      </c>
      <c r="AD29" s="146">
        <v>1012.028</v>
      </c>
      <c r="AE29" s="146">
        <v>1116.913</v>
      </c>
    </row>
    <row r="30" spans="2:31" x14ac:dyDescent="0.35">
      <c r="B30" s="112" t="s">
        <v>3305</v>
      </c>
      <c r="C30" s="112" t="s">
        <v>3260</v>
      </c>
      <c r="D30" s="112" t="s">
        <v>3306</v>
      </c>
      <c r="E30" s="112" t="s">
        <v>2068</v>
      </c>
      <c r="F30" s="112" t="s">
        <v>3263</v>
      </c>
      <c r="H30" s="116" t="s">
        <v>3307</v>
      </c>
      <c r="L30" s="146">
        <v>210.916</v>
      </c>
      <c r="M30" s="146">
        <v>212.745</v>
      </c>
      <c r="N30" s="146">
        <v>232.18199999999999</v>
      </c>
      <c r="O30" s="146">
        <v>248.863</v>
      </c>
      <c r="P30" s="146">
        <v>258.81900000000002</v>
      </c>
      <c r="Q30" s="146">
        <v>272.37200000000001</v>
      </c>
      <c r="R30" s="146">
        <v>268.24799999999999</v>
      </c>
      <c r="S30" s="146">
        <v>282.64400000000001</v>
      </c>
      <c r="T30" s="146">
        <v>313.86500000000001</v>
      </c>
      <c r="U30" s="146">
        <v>350.29700000000003</v>
      </c>
      <c r="V30" s="146">
        <v>411.05</v>
      </c>
      <c r="W30" s="146">
        <v>457.202</v>
      </c>
      <c r="X30" s="146">
        <v>508.70600000000002</v>
      </c>
      <c r="Y30" s="146">
        <v>566.58399999999995</v>
      </c>
      <c r="Z30" s="146">
        <v>631.125</v>
      </c>
      <c r="AA30" s="146">
        <v>702.74900000000002</v>
      </c>
      <c r="AB30" s="146">
        <v>781.96699999999998</v>
      </c>
      <c r="AC30" s="146">
        <v>869.24</v>
      </c>
      <c r="AD30" s="146">
        <v>965.01</v>
      </c>
      <c r="AE30" s="146">
        <v>1068.8430000000001</v>
      </c>
    </row>
    <row r="31" spans="2:31" x14ac:dyDescent="0.35">
      <c r="B31" s="112" t="s">
        <v>3308</v>
      </c>
      <c r="C31" s="112" t="s">
        <v>3266</v>
      </c>
      <c r="D31" s="112" t="s">
        <v>3306</v>
      </c>
      <c r="E31" s="112" t="s">
        <v>2068</v>
      </c>
      <c r="F31" s="112" t="s">
        <v>3267</v>
      </c>
      <c r="H31" s="116" t="s">
        <v>3307</v>
      </c>
      <c r="L31" s="146">
        <v>210.916</v>
      </c>
      <c r="M31" s="146">
        <v>212.745</v>
      </c>
      <c r="N31" s="146">
        <v>232.18199999999999</v>
      </c>
      <c r="O31" s="146">
        <v>248.863</v>
      </c>
      <c r="P31" s="146">
        <v>258.81900000000002</v>
      </c>
      <c r="Q31" s="146">
        <v>272.37200000000001</v>
      </c>
      <c r="R31" s="146">
        <v>268.24799999999999</v>
      </c>
      <c r="S31" s="146">
        <v>281.81299999999999</v>
      </c>
      <c r="T31" s="146">
        <v>312.39600000000002</v>
      </c>
      <c r="U31" s="146">
        <v>347.87400000000002</v>
      </c>
      <c r="V31" s="146">
        <v>407.839</v>
      </c>
      <c r="W31" s="146">
        <v>454.24799999999999</v>
      </c>
      <c r="X31" s="146">
        <v>505.08100000000002</v>
      </c>
      <c r="Y31" s="146">
        <v>562.17100000000005</v>
      </c>
      <c r="Z31" s="146">
        <v>625.77700000000004</v>
      </c>
      <c r="AA31" s="146">
        <v>696.22400000000005</v>
      </c>
      <c r="AB31" s="146">
        <v>774.00599999999997</v>
      </c>
      <c r="AC31" s="146">
        <v>859.59199999999998</v>
      </c>
      <c r="AD31" s="146">
        <v>953.47299999999996</v>
      </c>
      <c r="AE31" s="146">
        <v>1055.258</v>
      </c>
    </row>
    <row r="32" spans="2:31" x14ac:dyDescent="0.35">
      <c r="B32" s="112" t="s">
        <v>3309</v>
      </c>
      <c r="C32" s="112" t="s">
        <v>3269</v>
      </c>
      <c r="D32" s="112" t="s">
        <v>3306</v>
      </c>
      <c r="E32" s="112" t="s">
        <v>2068</v>
      </c>
      <c r="F32" s="112" t="s">
        <v>3270</v>
      </c>
      <c r="H32" s="116" t="s">
        <v>3307</v>
      </c>
      <c r="L32" s="146">
        <v>210.916</v>
      </c>
      <c r="M32" s="146">
        <v>212.84</v>
      </c>
      <c r="N32" s="146">
        <v>232.291</v>
      </c>
      <c r="O32" s="146">
        <v>248.97</v>
      </c>
      <c r="P32" s="146">
        <v>258.92399999999998</v>
      </c>
      <c r="Q32" s="146">
        <v>272.51</v>
      </c>
      <c r="R32" s="146">
        <v>287.22500000000002</v>
      </c>
      <c r="S32" s="146">
        <v>304.67500000000001</v>
      </c>
      <c r="T32" s="146">
        <v>327.45299999999997</v>
      </c>
      <c r="U32" s="146">
        <v>359.86900000000003</v>
      </c>
      <c r="V32" s="146">
        <v>415.78300000000002</v>
      </c>
      <c r="W32" s="146">
        <v>455.00599999999997</v>
      </c>
      <c r="X32" s="146">
        <v>499.99299999999999</v>
      </c>
      <c r="Y32" s="146">
        <v>550.89800000000002</v>
      </c>
      <c r="Z32" s="146">
        <v>608.03700000000003</v>
      </c>
      <c r="AA32" s="146">
        <v>671.65599999999995</v>
      </c>
      <c r="AB32" s="146">
        <v>742.31700000000001</v>
      </c>
      <c r="AC32" s="146">
        <v>820.52099999999996</v>
      </c>
      <c r="AD32" s="146">
        <v>906.79499999999996</v>
      </c>
      <c r="AE32" s="146">
        <v>1000.808</v>
      </c>
    </row>
    <row r="33" spans="2:31" x14ac:dyDescent="0.35">
      <c r="B33" s="112" t="s">
        <v>3310</v>
      </c>
      <c r="C33" s="112" t="s">
        <v>3272</v>
      </c>
      <c r="D33" s="112" t="s">
        <v>3306</v>
      </c>
      <c r="E33" s="112" t="s">
        <v>2068</v>
      </c>
      <c r="F33" s="112" t="s">
        <v>3273</v>
      </c>
      <c r="H33" s="116" t="s">
        <v>3307</v>
      </c>
      <c r="L33" s="146">
        <v>210.916</v>
      </c>
      <c r="M33" s="146">
        <v>212.84399999999999</v>
      </c>
      <c r="N33" s="146">
        <v>232.29599999999999</v>
      </c>
      <c r="O33" s="146">
        <v>248.97399999999999</v>
      </c>
      <c r="P33" s="146">
        <v>258.928</v>
      </c>
      <c r="Q33" s="146">
        <v>272.54899999999998</v>
      </c>
      <c r="R33" s="146">
        <v>290.72500000000002</v>
      </c>
      <c r="S33" s="146">
        <v>306.86500000000001</v>
      </c>
      <c r="T33" s="146">
        <v>330.99</v>
      </c>
      <c r="U33" s="146">
        <v>364.77699999999999</v>
      </c>
      <c r="V33" s="146">
        <v>410.34800000000001</v>
      </c>
      <c r="W33" s="146">
        <v>473.58</v>
      </c>
      <c r="X33" s="146">
        <v>522.28200000000004</v>
      </c>
      <c r="Y33" s="146">
        <v>576.55700000000002</v>
      </c>
      <c r="Z33" s="146">
        <v>636.44600000000003</v>
      </c>
      <c r="AA33" s="146">
        <v>702.58100000000002</v>
      </c>
      <c r="AB33" s="146">
        <v>775.63699999999994</v>
      </c>
      <c r="AC33" s="146">
        <v>856.42899999999997</v>
      </c>
      <c r="AD33" s="146">
        <v>946.00400000000002</v>
      </c>
      <c r="AE33" s="146">
        <v>1041.741</v>
      </c>
    </row>
    <row r="34" spans="2:31" x14ac:dyDescent="0.35">
      <c r="B34" s="112" t="s">
        <v>3311</v>
      </c>
      <c r="C34" s="112" t="s">
        <v>3260</v>
      </c>
      <c r="D34" s="112" t="s">
        <v>3312</v>
      </c>
      <c r="E34" s="112" t="s">
        <v>2068</v>
      </c>
      <c r="F34" s="112" t="s">
        <v>3263</v>
      </c>
      <c r="H34" s="116" t="s">
        <v>3313</v>
      </c>
      <c r="L34" s="146">
        <v>59.633000000000003</v>
      </c>
      <c r="M34" s="146">
        <v>58.890999999999998</v>
      </c>
      <c r="N34" s="146">
        <v>69.841999999999999</v>
      </c>
      <c r="O34" s="146">
        <v>75.484999999999999</v>
      </c>
      <c r="P34" s="146">
        <v>77.64</v>
      </c>
      <c r="Q34" s="146">
        <v>80.161000000000001</v>
      </c>
      <c r="R34" s="146">
        <v>83.221000000000004</v>
      </c>
      <c r="S34" s="146">
        <v>86.179000000000002</v>
      </c>
      <c r="T34" s="146">
        <v>88.972999999999999</v>
      </c>
      <c r="U34" s="146">
        <v>91.808000000000007</v>
      </c>
      <c r="V34" s="146">
        <v>94.674000000000007</v>
      </c>
      <c r="W34" s="146">
        <v>97.59</v>
      </c>
      <c r="X34" s="146">
        <v>100.55800000000001</v>
      </c>
      <c r="Y34" s="146">
        <v>103.575</v>
      </c>
      <c r="Z34" s="146">
        <v>106.643</v>
      </c>
      <c r="AA34" s="146">
        <v>109.76</v>
      </c>
      <c r="AB34" s="146">
        <v>112.926</v>
      </c>
      <c r="AC34" s="146">
        <v>116.14100000000001</v>
      </c>
      <c r="AD34" s="146">
        <v>119.404</v>
      </c>
      <c r="AE34" s="146">
        <v>122.714</v>
      </c>
    </row>
    <row r="35" spans="2:31" x14ac:dyDescent="0.35">
      <c r="B35" s="112" t="s">
        <v>3314</v>
      </c>
      <c r="C35" s="112" t="s">
        <v>3266</v>
      </c>
      <c r="D35" s="112" t="s">
        <v>3312</v>
      </c>
      <c r="E35" s="112" t="s">
        <v>2068</v>
      </c>
      <c r="F35" s="112" t="s">
        <v>3267</v>
      </c>
      <c r="H35" s="116" t="s">
        <v>3313</v>
      </c>
      <c r="L35" s="146">
        <v>59.633000000000003</v>
      </c>
      <c r="M35" s="146">
        <v>58.890999999999998</v>
      </c>
      <c r="N35" s="146">
        <v>69.841999999999999</v>
      </c>
      <c r="O35" s="146">
        <v>75.484999999999999</v>
      </c>
      <c r="P35" s="146">
        <v>77.64</v>
      </c>
      <c r="Q35" s="146">
        <v>80.161000000000001</v>
      </c>
      <c r="R35" s="146">
        <v>83.221000000000004</v>
      </c>
      <c r="S35" s="146">
        <v>86.179000000000002</v>
      </c>
      <c r="T35" s="146">
        <v>88.972999999999999</v>
      </c>
      <c r="U35" s="146">
        <v>91.808000000000007</v>
      </c>
      <c r="V35" s="146">
        <v>94.674000000000007</v>
      </c>
      <c r="W35" s="146">
        <v>97.59</v>
      </c>
      <c r="X35" s="146">
        <v>100.55800000000001</v>
      </c>
      <c r="Y35" s="146">
        <v>103.575</v>
      </c>
      <c r="Z35" s="146">
        <v>106.643</v>
      </c>
      <c r="AA35" s="146">
        <v>109.76</v>
      </c>
      <c r="AB35" s="146">
        <v>112.926</v>
      </c>
      <c r="AC35" s="146">
        <v>116.14100000000001</v>
      </c>
      <c r="AD35" s="146">
        <v>119.404</v>
      </c>
      <c r="AE35" s="146">
        <v>122.714</v>
      </c>
    </row>
    <row r="36" spans="2:31" x14ac:dyDescent="0.35">
      <c r="B36" s="112" t="s">
        <v>3315</v>
      </c>
      <c r="C36" s="112" t="s">
        <v>3269</v>
      </c>
      <c r="D36" s="112" t="s">
        <v>3312</v>
      </c>
      <c r="E36" s="112" t="s">
        <v>2068</v>
      </c>
      <c r="F36" s="112" t="s">
        <v>3270</v>
      </c>
      <c r="H36" s="116" t="s">
        <v>3313</v>
      </c>
      <c r="L36" s="146">
        <v>59.633000000000003</v>
      </c>
      <c r="M36" s="146">
        <v>58.890999999999998</v>
      </c>
      <c r="N36" s="146">
        <v>69.841999999999999</v>
      </c>
      <c r="O36" s="146">
        <v>75.484999999999999</v>
      </c>
      <c r="P36" s="146">
        <v>77.64</v>
      </c>
      <c r="Q36" s="146">
        <v>80.161000000000001</v>
      </c>
      <c r="R36" s="146">
        <v>83.221000000000004</v>
      </c>
      <c r="S36" s="146">
        <v>86.179000000000002</v>
      </c>
      <c r="T36" s="146">
        <v>88.972999999999999</v>
      </c>
      <c r="U36" s="146">
        <v>91.808000000000007</v>
      </c>
      <c r="V36" s="146">
        <v>94.674000000000007</v>
      </c>
      <c r="W36" s="146">
        <v>97.59</v>
      </c>
      <c r="X36" s="146">
        <v>100.55800000000001</v>
      </c>
      <c r="Y36" s="146">
        <v>103.575</v>
      </c>
      <c r="Z36" s="146">
        <v>106.643</v>
      </c>
      <c r="AA36" s="146">
        <v>109.76</v>
      </c>
      <c r="AB36" s="146">
        <v>112.926</v>
      </c>
      <c r="AC36" s="146">
        <v>116.14100000000001</v>
      </c>
      <c r="AD36" s="146">
        <v>119.404</v>
      </c>
      <c r="AE36" s="146">
        <v>122.714</v>
      </c>
    </row>
    <row r="37" spans="2:31" x14ac:dyDescent="0.35">
      <c r="B37" s="112" t="s">
        <v>3316</v>
      </c>
      <c r="C37" s="112" t="s">
        <v>3272</v>
      </c>
      <c r="D37" s="112" t="s">
        <v>3312</v>
      </c>
      <c r="E37" s="112" t="s">
        <v>2068</v>
      </c>
      <c r="F37" s="112" t="s">
        <v>3273</v>
      </c>
      <c r="H37" s="116" t="s">
        <v>3313</v>
      </c>
      <c r="L37" s="146">
        <v>59.633000000000003</v>
      </c>
      <c r="M37" s="146">
        <v>58.890999999999998</v>
      </c>
      <c r="N37" s="146">
        <v>69.841999999999999</v>
      </c>
      <c r="O37" s="146">
        <v>75.484999999999999</v>
      </c>
      <c r="P37" s="146">
        <v>77.64</v>
      </c>
      <c r="Q37" s="146">
        <v>80.161000000000001</v>
      </c>
      <c r="R37" s="146">
        <v>83.221000000000004</v>
      </c>
      <c r="S37" s="146">
        <v>86.179000000000002</v>
      </c>
      <c r="T37" s="146">
        <v>88.972999999999999</v>
      </c>
      <c r="U37" s="146">
        <v>91.808000000000007</v>
      </c>
      <c r="V37" s="146">
        <v>94.674000000000007</v>
      </c>
      <c r="W37" s="146">
        <v>97.59</v>
      </c>
      <c r="X37" s="146">
        <v>100.55800000000001</v>
      </c>
      <c r="Y37" s="146">
        <v>103.575</v>
      </c>
      <c r="Z37" s="146">
        <v>106.643</v>
      </c>
      <c r="AA37" s="146">
        <v>109.76</v>
      </c>
      <c r="AB37" s="146">
        <v>112.926</v>
      </c>
      <c r="AC37" s="146">
        <v>116.14100000000001</v>
      </c>
      <c r="AD37" s="146">
        <v>119.404</v>
      </c>
      <c r="AE37" s="146">
        <v>122.714</v>
      </c>
    </row>
    <row r="38" spans="2:31" x14ac:dyDescent="0.35">
      <c r="B38" s="112" t="s">
        <v>3317</v>
      </c>
      <c r="C38" s="112" t="s">
        <v>3260</v>
      </c>
      <c r="D38" s="112" t="s">
        <v>3318</v>
      </c>
      <c r="E38" s="112" t="s">
        <v>2068</v>
      </c>
      <c r="F38" s="112" t="s">
        <v>3263</v>
      </c>
      <c r="H38" s="116" t="s">
        <v>3319</v>
      </c>
      <c r="L38" s="146">
        <v>59.633000000000003</v>
      </c>
      <c r="M38" s="146">
        <v>58.890999999999998</v>
      </c>
      <c r="N38" s="146">
        <v>69.841999999999999</v>
      </c>
      <c r="O38" s="146">
        <v>75.484999999999999</v>
      </c>
      <c r="P38" s="146">
        <v>77.64</v>
      </c>
      <c r="Q38" s="146">
        <v>80.161000000000001</v>
      </c>
      <c r="R38" s="146">
        <v>70.804000000000002</v>
      </c>
      <c r="S38" s="146">
        <v>73.956000000000003</v>
      </c>
      <c r="T38" s="146">
        <v>76.599999999999994</v>
      </c>
      <c r="U38" s="146">
        <v>79.183000000000007</v>
      </c>
      <c r="V38" s="146">
        <v>81.760999999999996</v>
      </c>
      <c r="W38" s="146">
        <v>84.451999999999998</v>
      </c>
      <c r="X38" s="146">
        <v>87.32</v>
      </c>
      <c r="Y38" s="146">
        <v>90.337000000000003</v>
      </c>
      <c r="Z38" s="146">
        <v>93.534000000000006</v>
      </c>
      <c r="AA38" s="146">
        <v>96.991</v>
      </c>
      <c r="AB38" s="146">
        <v>100.696</v>
      </c>
      <c r="AC38" s="146">
        <v>104.649</v>
      </c>
      <c r="AD38" s="146">
        <v>108.792</v>
      </c>
      <c r="AE38" s="146">
        <v>113.107</v>
      </c>
    </row>
    <row r="39" spans="2:31" x14ac:dyDescent="0.35">
      <c r="B39" s="112" t="s">
        <v>3320</v>
      </c>
      <c r="C39" s="112" t="s">
        <v>3266</v>
      </c>
      <c r="D39" s="112" t="s">
        <v>3318</v>
      </c>
      <c r="E39" s="112" t="s">
        <v>2068</v>
      </c>
      <c r="F39" s="112" t="s">
        <v>3267</v>
      </c>
      <c r="H39" s="116" t="s">
        <v>3319</v>
      </c>
      <c r="L39" s="146">
        <v>59.633000000000003</v>
      </c>
      <c r="M39" s="146">
        <v>58.890999999999998</v>
      </c>
      <c r="N39" s="146">
        <v>69.841999999999999</v>
      </c>
      <c r="O39" s="146">
        <v>75.484999999999999</v>
      </c>
      <c r="P39" s="146">
        <v>77.64</v>
      </c>
      <c r="Q39" s="146">
        <v>80.161000000000001</v>
      </c>
      <c r="R39" s="146">
        <v>70.804000000000002</v>
      </c>
      <c r="S39" s="146">
        <v>73.650999999999996</v>
      </c>
      <c r="T39" s="146">
        <v>75.971000000000004</v>
      </c>
      <c r="U39" s="146">
        <v>78.260999999999996</v>
      </c>
      <c r="V39" s="146">
        <v>80.557000000000002</v>
      </c>
      <c r="W39" s="146">
        <v>82.918999999999997</v>
      </c>
      <c r="X39" s="146">
        <v>85.331999999999994</v>
      </c>
      <c r="Y39" s="146">
        <v>87.792000000000002</v>
      </c>
      <c r="Z39" s="146">
        <v>90.325999999999993</v>
      </c>
      <c r="AA39" s="146">
        <v>92.942999999999998</v>
      </c>
      <c r="AB39" s="146">
        <v>95.608999999999995</v>
      </c>
      <c r="AC39" s="146">
        <v>98.332999999999998</v>
      </c>
      <c r="AD39" s="146">
        <v>101.10299999999999</v>
      </c>
      <c r="AE39" s="146">
        <v>103.938</v>
      </c>
    </row>
    <row r="40" spans="2:31" x14ac:dyDescent="0.35">
      <c r="B40" s="112" t="s">
        <v>3321</v>
      </c>
      <c r="C40" s="112" t="s">
        <v>3269</v>
      </c>
      <c r="D40" s="112" t="s">
        <v>3318</v>
      </c>
      <c r="E40" s="112" t="s">
        <v>2068</v>
      </c>
      <c r="F40" s="112" t="s">
        <v>3270</v>
      </c>
      <c r="H40" s="116" t="s">
        <v>3319</v>
      </c>
      <c r="L40" s="146">
        <v>59.633000000000003</v>
      </c>
      <c r="M40" s="146">
        <v>58.890999999999998</v>
      </c>
      <c r="N40" s="146">
        <v>69.841999999999999</v>
      </c>
      <c r="O40" s="146">
        <v>75.484999999999999</v>
      </c>
      <c r="P40" s="146">
        <v>77.64</v>
      </c>
      <c r="Q40" s="146">
        <v>80.161000000000001</v>
      </c>
      <c r="R40" s="146">
        <v>80.869</v>
      </c>
      <c r="S40" s="146">
        <v>80.591999999999999</v>
      </c>
      <c r="T40" s="146">
        <v>80.421999999999997</v>
      </c>
      <c r="U40" s="146">
        <v>79.105999999999995</v>
      </c>
      <c r="V40" s="146">
        <v>77.641000000000005</v>
      </c>
      <c r="W40" s="146">
        <v>76.646000000000001</v>
      </c>
      <c r="X40" s="146">
        <v>76</v>
      </c>
      <c r="Y40" s="146">
        <v>75.599999999999994</v>
      </c>
      <c r="Z40" s="146">
        <v>75.415000000000006</v>
      </c>
      <c r="AA40" s="146">
        <v>75.397999999999996</v>
      </c>
      <c r="AB40" s="146">
        <v>75.537000000000006</v>
      </c>
      <c r="AC40" s="146">
        <v>75.813999999999993</v>
      </c>
      <c r="AD40" s="146">
        <v>76.204999999999998</v>
      </c>
      <c r="AE40" s="146">
        <v>76.695999999999998</v>
      </c>
    </row>
    <row r="41" spans="2:31" x14ac:dyDescent="0.35">
      <c r="B41" s="112" t="s">
        <v>3322</v>
      </c>
      <c r="C41" s="112" t="s">
        <v>3272</v>
      </c>
      <c r="D41" s="112" t="s">
        <v>3318</v>
      </c>
      <c r="E41" s="112" t="s">
        <v>2068</v>
      </c>
      <c r="F41" s="112" t="s">
        <v>3273</v>
      </c>
      <c r="H41" s="116" t="s">
        <v>3319</v>
      </c>
      <c r="L41" s="146">
        <v>59.633000000000003</v>
      </c>
      <c r="M41" s="146">
        <v>58.890999999999998</v>
      </c>
      <c r="N41" s="146">
        <v>69.841999999999999</v>
      </c>
      <c r="O41" s="146">
        <v>75.484999999999999</v>
      </c>
      <c r="P41" s="146">
        <v>77.64</v>
      </c>
      <c r="Q41" s="146">
        <v>80.161000000000001</v>
      </c>
      <c r="R41" s="146">
        <v>83.221000000000004</v>
      </c>
      <c r="S41" s="146">
        <v>86.213999999999999</v>
      </c>
      <c r="T41" s="146">
        <v>89.084000000000003</v>
      </c>
      <c r="U41" s="146">
        <v>92.027000000000001</v>
      </c>
      <c r="V41" s="146">
        <v>95.037999999999997</v>
      </c>
      <c r="W41" s="146">
        <v>98.183999999999997</v>
      </c>
      <c r="X41" s="146">
        <v>101.495</v>
      </c>
      <c r="Y41" s="146">
        <v>105.11</v>
      </c>
      <c r="Z41" s="146">
        <v>109.17100000000001</v>
      </c>
      <c r="AA41" s="146">
        <v>113.929</v>
      </c>
      <c r="AB41" s="146">
        <v>119.69499999999999</v>
      </c>
      <c r="AC41" s="146">
        <v>126.896</v>
      </c>
      <c r="AD41" s="146">
        <v>136.14500000000001</v>
      </c>
      <c r="AE41" s="146">
        <v>145.66</v>
      </c>
    </row>
    <row r="42" spans="2:31" x14ac:dyDescent="0.35">
      <c r="B42" s="112" t="s">
        <v>3323</v>
      </c>
      <c r="C42" s="112" t="s">
        <v>3260</v>
      </c>
      <c r="D42" s="112" t="s">
        <v>3324</v>
      </c>
      <c r="E42" s="112" t="s">
        <v>2068</v>
      </c>
      <c r="F42" s="112" t="s">
        <v>3263</v>
      </c>
      <c r="H42" s="116" t="s">
        <v>3325</v>
      </c>
      <c r="L42" s="146">
        <v>82.215000000000003</v>
      </c>
      <c r="M42" s="146">
        <v>78.986000000000004</v>
      </c>
      <c r="N42" s="146">
        <v>91.822999999999993</v>
      </c>
      <c r="O42" s="146">
        <v>97.046000000000006</v>
      </c>
      <c r="P42" s="146">
        <v>95.462000000000003</v>
      </c>
      <c r="Q42" s="146">
        <v>95.796999999999997</v>
      </c>
      <c r="R42" s="146">
        <v>98.438999999999993</v>
      </c>
      <c r="S42" s="146">
        <v>103.59699999999999</v>
      </c>
      <c r="T42" s="146">
        <v>110.247</v>
      </c>
      <c r="U42" s="146">
        <v>121.81699999999999</v>
      </c>
      <c r="V42" s="146">
        <v>147.38800000000001</v>
      </c>
      <c r="W42" s="146">
        <v>174.428</v>
      </c>
      <c r="X42" s="146">
        <v>190.286</v>
      </c>
      <c r="Y42" s="146">
        <v>208.51400000000001</v>
      </c>
      <c r="Z42" s="146">
        <v>229.43600000000001</v>
      </c>
      <c r="AA42" s="146">
        <v>253.41900000000001</v>
      </c>
      <c r="AB42" s="146">
        <v>280.88400000000001</v>
      </c>
      <c r="AC42" s="146">
        <v>312.30799999999999</v>
      </c>
      <c r="AD42" s="146">
        <v>348.23500000000001</v>
      </c>
      <c r="AE42" s="146">
        <v>389.28500000000003</v>
      </c>
    </row>
    <row r="43" spans="2:31" x14ac:dyDescent="0.35">
      <c r="B43" s="112" t="s">
        <v>3326</v>
      </c>
      <c r="C43" s="112" t="s">
        <v>3266</v>
      </c>
      <c r="D43" s="112" t="s">
        <v>3324</v>
      </c>
      <c r="E43" s="112" t="s">
        <v>2068</v>
      </c>
      <c r="F43" s="112" t="s">
        <v>3267</v>
      </c>
      <c r="H43" s="116" t="s">
        <v>3325</v>
      </c>
      <c r="L43" s="146">
        <v>82.215000000000003</v>
      </c>
      <c r="M43" s="146">
        <v>78.986000000000004</v>
      </c>
      <c r="N43" s="146">
        <v>91.822999999999993</v>
      </c>
      <c r="O43" s="146">
        <v>97.046000000000006</v>
      </c>
      <c r="P43" s="146">
        <v>95.462000000000003</v>
      </c>
      <c r="Q43" s="146">
        <v>95.796999999999997</v>
      </c>
      <c r="R43" s="146">
        <v>98.438999999999993</v>
      </c>
      <c r="S43" s="146">
        <v>103.59699999999999</v>
      </c>
      <c r="T43" s="146">
        <v>110.247</v>
      </c>
      <c r="U43" s="146">
        <v>121.81699999999999</v>
      </c>
      <c r="V43" s="146">
        <v>147.38800000000001</v>
      </c>
      <c r="W43" s="146">
        <v>174.428</v>
      </c>
      <c r="X43" s="146">
        <v>190.286</v>
      </c>
      <c r="Y43" s="146">
        <v>208.51400000000001</v>
      </c>
      <c r="Z43" s="146">
        <v>229.43600000000001</v>
      </c>
      <c r="AA43" s="146">
        <v>253.41900000000001</v>
      </c>
      <c r="AB43" s="146">
        <v>280.88400000000001</v>
      </c>
      <c r="AC43" s="146">
        <v>312.30799999999999</v>
      </c>
      <c r="AD43" s="146">
        <v>348.23500000000001</v>
      </c>
      <c r="AE43" s="146">
        <v>389.28500000000003</v>
      </c>
    </row>
    <row r="44" spans="2:31" x14ac:dyDescent="0.35">
      <c r="B44" s="112" t="s">
        <v>3327</v>
      </c>
      <c r="C44" s="112" t="s">
        <v>3269</v>
      </c>
      <c r="D44" s="112" t="s">
        <v>3324</v>
      </c>
      <c r="E44" s="112" t="s">
        <v>2068</v>
      </c>
      <c r="F44" s="112" t="s">
        <v>3270</v>
      </c>
      <c r="H44" s="116" t="s">
        <v>3325</v>
      </c>
      <c r="L44" s="146">
        <v>82.215000000000003</v>
      </c>
      <c r="M44" s="146">
        <v>78.986000000000004</v>
      </c>
      <c r="N44" s="146">
        <v>91.822999999999993</v>
      </c>
      <c r="O44" s="146">
        <v>97.046000000000006</v>
      </c>
      <c r="P44" s="146">
        <v>95.462000000000003</v>
      </c>
      <c r="Q44" s="146">
        <v>95.796999999999997</v>
      </c>
      <c r="R44" s="146">
        <v>98.438999999999993</v>
      </c>
      <c r="S44" s="146">
        <v>103.59699999999999</v>
      </c>
      <c r="T44" s="146">
        <v>110.247</v>
      </c>
      <c r="U44" s="146">
        <v>121.81699999999999</v>
      </c>
      <c r="V44" s="146">
        <v>147.38800000000001</v>
      </c>
      <c r="W44" s="146">
        <v>174.428</v>
      </c>
      <c r="X44" s="146">
        <v>190.286</v>
      </c>
      <c r="Y44" s="146">
        <v>208.51400000000001</v>
      </c>
      <c r="Z44" s="146">
        <v>229.43600000000001</v>
      </c>
      <c r="AA44" s="146">
        <v>253.41900000000001</v>
      </c>
      <c r="AB44" s="146">
        <v>280.88400000000001</v>
      </c>
      <c r="AC44" s="146">
        <v>312.30799999999999</v>
      </c>
      <c r="AD44" s="146">
        <v>348.23500000000001</v>
      </c>
      <c r="AE44" s="146">
        <v>389.28500000000003</v>
      </c>
    </row>
    <row r="45" spans="2:31" x14ac:dyDescent="0.35">
      <c r="B45" s="112" t="s">
        <v>3328</v>
      </c>
      <c r="C45" s="112" t="s">
        <v>3272</v>
      </c>
      <c r="D45" s="112" t="s">
        <v>3324</v>
      </c>
      <c r="E45" s="112" t="s">
        <v>2068</v>
      </c>
      <c r="F45" s="112" t="s">
        <v>3273</v>
      </c>
      <c r="H45" s="116" t="s">
        <v>3325</v>
      </c>
      <c r="L45" s="146">
        <v>82.215000000000003</v>
      </c>
      <c r="M45" s="146">
        <v>78.986000000000004</v>
      </c>
      <c r="N45" s="146">
        <v>91.822999999999993</v>
      </c>
      <c r="O45" s="146">
        <v>97.046000000000006</v>
      </c>
      <c r="P45" s="146">
        <v>95.462000000000003</v>
      </c>
      <c r="Q45" s="146">
        <v>95.796999999999997</v>
      </c>
      <c r="R45" s="146">
        <v>98.438999999999993</v>
      </c>
      <c r="S45" s="146">
        <v>103.59699999999999</v>
      </c>
      <c r="T45" s="146">
        <v>110.247</v>
      </c>
      <c r="U45" s="146">
        <v>121.81699999999999</v>
      </c>
      <c r="V45" s="146">
        <v>147.38800000000001</v>
      </c>
      <c r="W45" s="146">
        <v>174.428</v>
      </c>
      <c r="X45" s="146">
        <v>190.286</v>
      </c>
      <c r="Y45" s="146">
        <v>208.51400000000001</v>
      </c>
      <c r="Z45" s="146">
        <v>229.43600000000001</v>
      </c>
      <c r="AA45" s="146">
        <v>253.41900000000001</v>
      </c>
      <c r="AB45" s="146">
        <v>280.88400000000001</v>
      </c>
      <c r="AC45" s="146">
        <v>312.30799999999999</v>
      </c>
      <c r="AD45" s="146">
        <v>348.23500000000001</v>
      </c>
      <c r="AE45" s="146">
        <v>389.28500000000003</v>
      </c>
    </row>
    <row r="46" spans="2:31" x14ac:dyDescent="0.35">
      <c r="B46" s="112" t="s">
        <v>3329</v>
      </c>
      <c r="C46" s="112" t="s">
        <v>3260</v>
      </c>
      <c r="D46" s="112" t="s">
        <v>3330</v>
      </c>
      <c r="E46" s="112" t="s">
        <v>2068</v>
      </c>
      <c r="F46" s="112" t="s">
        <v>3263</v>
      </c>
      <c r="H46" s="116" t="s">
        <v>3331</v>
      </c>
      <c r="L46" s="146">
        <v>82.215000000000003</v>
      </c>
      <c r="M46" s="146">
        <v>78.887</v>
      </c>
      <c r="N46" s="146">
        <v>91.709000000000003</v>
      </c>
      <c r="O46" s="146">
        <v>96.935000000000002</v>
      </c>
      <c r="P46" s="146">
        <v>95.352000000000004</v>
      </c>
      <c r="Q46" s="146">
        <v>95.62</v>
      </c>
      <c r="R46" s="146">
        <v>98.668999999999997</v>
      </c>
      <c r="S46" s="146">
        <v>96.745000000000005</v>
      </c>
      <c r="T46" s="146">
        <v>108.517</v>
      </c>
      <c r="U46" s="146">
        <v>121.313</v>
      </c>
      <c r="V46" s="146">
        <v>153.834</v>
      </c>
      <c r="W46" s="146">
        <v>168.22</v>
      </c>
      <c r="X46" s="146">
        <v>183.80699999999999</v>
      </c>
      <c r="Y46" s="146">
        <v>201.71700000000001</v>
      </c>
      <c r="Z46" s="146">
        <v>222.27</v>
      </c>
      <c r="AA46" s="146">
        <v>245.82599999999999</v>
      </c>
      <c r="AB46" s="146">
        <v>272.79700000000003</v>
      </c>
      <c r="AC46" s="146">
        <v>303.65100000000001</v>
      </c>
      <c r="AD46" s="146">
        <v>338.92200000000003</v>
      </c>
      <c r="AE46" s="146">
        <v>379.21800000000002</v>
      </c>
    </row>
    <row r="47" spans="2:31" x14ac:dyDescent="0.35">
      <c r="B47" s="112" t="s">
        <v>3332</v>
      </c>
      <c r="C47" s="112" t="s">
        <v>3266</v>
      </c>
      <c r="D47" s="112" t="s">
        <v>3330</v>
      </c>
      <c r="E47" s="112" t="s">
        <v>2068</v>
      </c>
      <c r="F47" s="112" t="s">
        <v>3267</v>
      </c>
      <c r="H47" s="116" t="s">
        <v>3331</v>
      </c>
      <c r="L47" s="146">
        <v>82.215000000000003</v>
      </c>
      <c r="M47" s="146">
        <v>78.887</v>
      </c>
      <c r="N47" s="146">
        <v>91.709000000000003</v>
      </c>
      <c r="O47" s="146">
        <v>96.935000000000002</v>
      </c>
      <c r="P47" s="146">
        <v>95.352000000000004</v>
      </c>
      <c r="Q47" s="146">
        <v>95.62</v>
      </c>
      <c r="R47" s="146">
        <v>98.668999999999997</v>
      </c>
      <c r="S47" s="146">
        <v>96.284000000000006</v>
      </c>
      <c r="T47" s="146">
        <v>107.81100000000001</v>
      </c>
      <c r="U47" s="146">
        <v>120.015</v>
      </c>
      <c r="V47" s="146">
        <v>152.09100000000001</v>
      </c>
      <c r="W47" s="146">
        <v>167.113</v>
      </c>
      <c r="X47" s="146">
        <v>182.58799999999999</v>
      </c>
      <c r="Y47" s="146">
        <v>200.37200000000001</v>
      </c>
      <c r="Z47" s="146">
        <v>220.779</v>
      </c>
      <c r="AA47" s="146">
        <v>244.16900000000001</v>
      </c>
      <c r="AB47" s="146">
        <v>270.94900000000001</v>
      </c>
      <c r="AC47" s="146">
        <v>301.58600000000001</v>
      </c>
      <c r="AD47" s="146">
        <v>336.61</v>
      </c>
      <c r="AE47" s="146">
        <v>376.62299999999999</v>
      </c>
    </row>
    <row r="48" spans="2:31" x14ac:dyDescent="0.35">
      <c r="B48" s="112" t="s">
        <v>3333</v>
      </c>
      <c r="C48" s="112" t="s">
        <v>3269</v>
      </c>
      <c r="D48" s="112" t="s">
        <v>3330</v>
      </c>
      <c r="E48" s="112" t="s">
        <v>2068</v>
      </c>
      <c r="F48" s="112" t="s">
        <v>3270</v>
      </c>
      <c r="H48" s="116" t="s">
        <v>3331</v>
      </c>
      <c r="L48" s="146">
        <v>82.215000000000003</v>
      </c>
      <c r="M48" s="146">
        <v>78.981999999999999</v>
      </c>
      <c r="N48" s="146">
        <v>91.817999999999998</v>
      </c>
      <c r="O48" s="146">
        <v>97.042000000000002</v>
      </c>
      <c r="P48" s="146">
        <v>95.456999999999994</v>
      </c>
      <c r="Q48" s="146">
        <v>95.757999999999996</v>
      </c>
      <c r="R48" s="146">
        <v>98.605000000000004</v>
      </c>
      <c r="S48" s="146">
        <v>104.102</v>
      </c>
      <c r="T48" s="146">
        <v>111.871</v>
      </c>
      <c r="U48" s="146">
        <v>126.583</v>
      </c>
      <c r="V48" s="146">
        <v>160.98099999999999</v>
      </c>
      <c r="W48" s="146">
        <v>175.06299999999999</v>
      </c>
      <c r="X48" s="146">
        <v>191.27099999999999</v>
      </c>
      <c r="Y48" s="146">
        <v>209.89400000000001</v>
      </c>
      <c r="Z48" s="146">
        <v>231.262</v>
      </c>
      <c r="AA48" s="146">
        <v>255.751</v>
      </c>
      <c r="AB48" s="146">
        <v>283.78899999999999</v>
      </c>
      <c r="AC48" s="146">
        <v>315.86099999999999</v>
      </c>
      <c r="AD48" s="146">
        <v>352.524</v>
      </c>
      <c r="AE48" s="146">
        <v>394.40800000000002</v>
      </c>
    </row>
    <row r="49" spans="2:31" x14ac:dyDescent="0.35">
      <c r="B49" s="112" t="s">
        <v>3334</v>
      </c>
      <c r="C49" s="112" t="s">
        <v>3272</v>
      </c>
      <c r="D49" s="112" t="s">
        <v>3330</v>
      </c>
      <c r="E49" s="112" t="s">
        <v>2068</v>
      </c>
      <c r="F49" s="112" t="s">
        <v>3273</v>
      </c>
      <c r="H49" s="116" t="s">
        <v>3331</v>
      </c>
      <c r="L49" s="146">
        <v>82.215000000000003</v>
      </c>
      <c r="M49" s="146">
        <v>78.986000000000004</v>
      </c>
      <c r="N49" s="146">
        <v>91.822999999999993</v>
      </c>
      <c r="O49" s="146">
        <v>97.046000000000006</v>
      </c>
      <c r="P49" s="146">
        <v>95.462000000000003</v>
      </c>
      <c r="Q49" s="146">
        <v>95.796999999999997</v>
      </c>
      <c r="R49" s="146">
        <v>98.438999999999993</v>
      </c>
      <c r="S49" s="146">
        <v>97.522000000000006</v>
      </c>
      <c r="T49" s="146">
        <v>101.613</v>
      </c>
      <c r="U49" s="146">
        <v>111.252</v>
      </c>
      <c r="V49" s="146">
        <v>128.58699999999999</v>
      </c>
      <c r="W49" s="146">
        <v>160.40899999999999</v>
      </c>
      <c r="X49" s="146">
        <v>174.399</v>
      </c>
      <c r="Y49" s="146">
        <v>190.501</v>
      </c>
      <c r="Z49" s="146">
        <v>209.00200000000001</v>
      </c>
      <c r="AA49" s="146">
        <v>230.22800000000001</v>
      </c>
      <c r="AB49" s="146">
        <v>254.554</v>
      </c>
      <c r="AC49" s="146">
        <v>282.404</v>
      </c>
      <c r="AD49" s="146">
        <v>314.262</v>
      </c>
      <c r="AE49" s="146">
        <v>350.67899999999997</v>
      </c>
    </row>
    <row r="50" spans="2:31" x14ac:dyDescent="0.35">
      <c r="B50" s="112" t="s">
        <v>3335</v>
      </c>
      <c r="C50" s="112" t="s">
        <v>3260</v>
      </c>
      <c r="D50" s="112" t="s">
        <v>3336</v>
      </c>
      <c r="E50" s="112" t="s">
        <v>2068</v>
      </c>
      <c r="F50" s="112" t="s">
        <v>3263</v>
      </c>
      <c r="H50" s="116" t="s">
        <v>3337</v>
      </c>
      <c r="L50" s="146">
        <v>15.803000000000001</v>
      </c>
      <c r="M50" s="146">
        <v>17.442</v>
      </c>
      <c r="N50" s="146">
        <v>22.260999999999999</v>
      </c>
      <c r="O50" s="146">
        <v>22.611999999999998</v>
      </c>
      <c r="P50" s="146">
        <v>22.949000000000002</v>
      </c>
      <c r="Q50" s="146">
        <v>23.347999999999999</v>
      </c>
      <c r="R50" s="146">
        <v>23.82</v>
      </c>
      <c r="S50" s="146">
        <v>24.265999999999998</v>
      </c>
      <c r="T50" s="146">
        <v>24.675000000000001</v>
      </c>
      <c r="U50" s="146">
        <v>25.082999999999998</v>
      </c>
      <c r="V50" s="146">
        <v>25.492000000000001</v>
      </c>
      <c r="W50" s="146">
        <v>25.901</v>
      </c>
      <c r="X50" s="146">
        <v>26.311</v>
      </c>
      <c r="Y50" s="146">
        <v>26.72</v>
      </c>
      <c r="Z50" s="146">
        <v>27.13</v>
      </c>
      <c r="AA50" s="146">
        <v>27.54</v>
      </c>
      <c r="AB50" s="146">
        <v>27.95</v>
      </c>
      <c r="AC50" s="146">
        <v>28.36</v>
      </c>
      <c r="AD50" s="146">
        <v>28.768999999999998</v>
      </c>
      <c r="AE50" s="146">
        <v>29.178000000000001</v>
      </c>
    </row>
    <row r="51" spans="2:31" x14ac:dyDescent="0.35">
      <c r="B51" s="112" t="s">
        <v>3338</v>
      </c>
      <c r="C51" s="112" t="s">
        <v>3266</v>
      </c>
      <c r="D51" s="112" t="s">
        <v>3336</v>
      </c>
      <c r="E51" s="112" t="s">
        <v>2068</v>
      </c>
      <c r="F51" s="112" t="s">
        <v>3267</v>
      </c>
      <c r="H51" s="116" t="s">
        <v>3337</v>
      </c>
      <c r="L51" s="146">
        <v>15.803000000000001</v>
      </c>
      <c r="M51" s="146">
        <v>17.442</v>
      </c>
      <c r="N51" s="146">
        <v>22.260999999999999</v>
      </c>
      <c r="O51" s="146">
        <v>22.611999999999998</v>
      </c>
      <c r="P51" s="146">
        <v>22.949000000000002</v>
      </c>
      <c r="Q51" s="146">
        <v>23.347999999999999</v>
      </c>
      <c r="R51" s="146">
        <v>23.82</v>
      </c>
      <c r="S51" s="146">
        <v>24.265999999999998</v>
      </c>
      <c r="T51" s="146">
        <v>24.675000000000001</v>
      </c>
      <c r="U51" s="146">
        <v>25.082999999999998</v>
      </c>
      <c r="V51" s="146">
        <v>25.492000000000001</v>
      </c>
      <c r="W51" s="146">
        <v>25.901</v>
      </c>
      <c r="X51" s="146">
        <v>26.311</v>
      </c>
      <c r="Y51" s="146">
        <v>26.72</v>
      </c>
      <c r="Z51" s="146">
        <v>27.13</v>
      </c>
      <c r="AA51" s="146">
        <v>27.54</v>
      </c>
      <c r="AB51" s="146">
        <v>27.95</v>
      </c>
      <c r="AC51" s="146">
        <v>28.36</v>
      </c>
      <c r="AD51" s="146">
        <v>28.768999999999998</v>
      </c>
      <c r="AE51" s="146">
        <v>29.178000000000001</v>
      </c>
    </row>
    <row r="52" spans="2:31" x14ac:dyDescent="0.35">
      <c r="B52" s="112" t="s">
        <v>3339</v>
      </c>
      <c r="C52" s="112" t="s">
        <v>3269</v>
      </c>
      <c r="D52" s="112" t="s">
        <v>3336</v>
      </c>
      <c r="E52" s="112" t="s">
        <v>2068</v>
      </c>
      <c r="F52" s="112" t="s">
        <v>3270</v>
      </c>
      <c r="H52" s="116" t="s">
        <v>3337</v>
      </c>
      <c r="L52" s="146">
        <v>15.803000000000001</v>
      </c>
      <c r="M52" s="146">
        <v>17.442</v>
      </c>
      <c r="N52" s="146">
        <v>22.260999999999999</v>
      </c>
      <c r="O52" s="146">
        <v>22.611999999999998</v>
      </c>
      <c r="P52" s="146">
        <v>22.949000000000002</v>
      </c>
      <c r="Q52" s="146">
        <v>23.347999999999999</v>
      </c>
      <c r="R52" s="146">
        <v>23.82</v>
      </c>
      <c r="S52" s="146">
        <v>24.265999999999998</v>
      </c>
      <c r="T52" s="146">
        <v>24.675000000000001</v>
      </c>
      <c r="U52" s="146">
        <v>25.082999999999998</v>
      </c>
      <c r="V52" s="146">
        <v>25.492000000000001</v>
      </c>
      <c r="W52" s="146">
        <v>25.901</v>
      </c>
      <c r="X52" s="146">
        <v>26.311</v>
      </c>
      <c r="Y52" s="146">
        <v>26.72</v>
      </c>
      <c r="Z52" s="146">
        <v>27.13</v>
      </c>
      <c r="AA52" s="146">
        <v>27.54</v>
      </c>
      <c r="AB52" s="146">
        <v>27.95</v>
      </c>
      <c r="AC52" s="146">
        <v>28.36</v>
      </c>
      <c r="AD52" s="146">
        <v>28.768999999999998</v>
      </c>
      <c r="AE52" s="146">
        <v>29.178000000000001</v>
      </c>
    </row>
    <row r="53" spans="2:31" x14ac:dyDescent="0.35">
      <c r="B53" s="112" t="s">
        <v>3340</v>
      </c>
      <c r="C53" s="112" t="s">
        <v>3272</v>
      </c>
      <c r="D53" s="112" t="s">
        <v>3336</v>
      </c>
      <c r="E53" s="112" t="s">
        <v>2068</v>
      </c>
      <c r="F53" s="112" t="s">
        <v>3273</v>
      </c>
      <c r="H53" s="116" t="s">
        <v>3337</v>
      </c>
      <c r="L53" s="146">
        <v>15.803000000000001</v>
      </c>
      <c r="M53" s="146">
        <v>17.442</v>
      </c>
      <c r="N53" s="146">
        <v>22.260999999999999</v>
      </c>
      <c r="O53" s="146">
        <v>22.611999999999998</v>
      </c>
      <c r="P53" s="146">
        <v>22.949000000000002</v>
      </c>
      <c r="Q53" s="146">
        <v>23.347999999999999</v>
      </c>
      <c r="R53" s="146">
        <v>23.82</v>
      </c>
      <c r="S53" s="146">
        <v>24.265999999999998</v>
      </c>
      <c r="T53" s="146">
        <v>24.675000000000001</v>
      </c>
      <c r="U53" s="146">
        <v>25.082999999999998</v>
      </c>
      <c r="V53" s="146">
        <v>25.492000000000001</v>
      </c>
      <c r="W53" s="146">
        <v>25.901</v>
      </c>
      <c r="X53" s="146">
        <v>26.311</v>
      </c>
      <c r="Y53" s="146">
        <v>26.72</v>
      </c>
      <c r="Z53" s="146">
        <v>27.13</v>
      </c>
      <c r="AA53" s="146">
        <v>27.54</v>
      </c>
      <c r="AB53" s="146">
        <v>27.95</v>
      </c>
      <c r="AC53" s="146">
        <v>28.36</v>
      </c>
      <c r="AD53" s="146">
        <v>28.768999999999998</v>
      </c>
      <c r="AE53" s="146">
        <v>29.178000000000001</v>
      </c>
    </row>
    <row r="54" spans="2:31" x14ac:dyDescent="0.35">
      <c r="B54" s="112" t="s">
        <v>3341</v>
      </c>
      <c r="C54" s="112" t="s">
        <v>3260</v>
      </c>
      <c r="D54" s="112" t="s">
        <v>3342</v>
      </c>
      <c r="E54" s="112" t="s">
        <v>2068</v>
      </c>
      <c r="F54" s="112" t="s">
        <v>3263</v>
      </c>
      <c r="H54" s="116" t="s">
        <v>3343</v>
      </c>
      <c r="L54" s="146">
        <v>15.803000000000001</v>
      </c>
      <c r="M54" s="146">
        <v>17.442</v>
      </c>
      <c r="N54" s="146">
        <v>22.260999999999999</v>
      </c>
      <c r="O54" s="146">
        <v>22.611999999999998</v>
      </c>
      <c r="P54" s="146">
        <v>22.949000000000002</v>
      </c>
      <c r="Q54" s="146">
        <v>23.347999999999999</v>
      </c>
      <c r="R54" s="146">
        <v>18.696000000000002</v>
      </c>
      <c r="S54" s="146">
        <v>19.045999999999999</v>
      </c>
      <c r="T54" s="146">
        <v>19.359000000000002</v>
      </c>
      <c r="U54" s="146">
        <v>19.670999999999999</v>
      </c>
      <c r="V54" s="146">
        <v>19.977</v>
      </c>
      <c r="W54" s="146">
        <v>20.291</v>
      </c>
      <c r="X54" s="146">
        <v>20.620999999999999</v>
      </c>
      <c r="Y54" s="146">
        <v>20.997</v>
      </c>
      <c r="Z54" s="146">
        <v>21.388999999999999</v>
      </c>
      <c r="AA54" s="146">
        <v>21.806999999999999</v>
      </c>
      <c r="AB54" s="146">
        <v>22.248999999999999</v>
      </c>
      <c r="AC54" s="146">
        <v>22.712</v>
      </c>
      <c r="AD54" s="146">
        <v>23.189</v>
      </c>
      <c r="AE54" s="146">
        <v>23.675999999999998</v>
      </c>
    </row>
    <row r="55" spans="2:31" x14ac:dyDescent="0.35">
      <c r="B55" s="112" t="s">
        <v>3344</v>
      </c>
      <c r="C55" s="112" t="s">
        <v>3266</v>
      </c>
      <c r="D55" s="112" t="s">
        <v>3342</v>
      </c>
      <c r="E55" s="112" t="s">
        <v>2068</v>
      </c>
      <c r="F55" s="112" t="s">
        <v>3267</v>
      </c>
      <c r="H55" s="116" t="s">
        <v>3343</v>
      </c>
      <c r="L55" s="146">
        <v>15.803000000000001</v>
      </c>
      <c r="M55" s="146">
        <v>17.442</v>
      </c>
      <c r="N55" s="146">
        <v>22.260999999999999</v>
      </c>
      <c r="O55" s="146">
        <v>22.611999999999998</v>
      </c>
      <c r="P55" s="146">
        <v>22.949000000000002</v>
      </c>
      <c r="Q55" s="146">
        <v>23.347999999999999</v>
      </c>
      <c r="R55" s="146">
        <v>18.696000000000002</v>
      </c>
      <c r="S55" s="146">
        <v>19</v>
      </c>
      <c r="T55" s="146">
        <v>19.265999999999998</v>
      </c>
      <c r="U55" s="146">
        <v>19.536999999999999</v>
      </c>
      <c r="V55" s="146">
        <v>19.805</v>
      </c>
      <c r="W55" s="146">
        <v>20.074999999999999</v>
      </c>
      <c r="X55" s="146">
        <v>20.346</v>
      </c>
      <c r="Y55" s="146">
        <v>20.651</v>
      </c>
      <c r="Z55" s="146">
        <v>20.96</v>
      </c>
      <c r="AA55" s="146">
        <v>21.274999999999999</v>
      </c>
      <c r="AB55" s="146">
        <v>21.59</v>
      </c>
      <c r="AC55" s="146">
        <v>21.908000000000001</v>
      </c>
      <c r="AD55" s="146">
        <v>22.227</v>
      </c>
      <c r="AE55" s="146">
        <v>22.547999999999998</v>
      </c>
    </row>
    <row r="56" spans="2:31" x14ac:dyDescent="0.35">
      <c r="B56" s="112" t="s">
        <v>3345</v>
      </c>
      <c r="C56" s="112" t="s">
        <v>3269</v>
      </c>
      <c r="D56" s="112" t="s">
        <v>3342</v>
      </c>
      <c r="E56" s="112" t="s">
        <v>2068</v>
      </c>
      <c r="F56" s="112" t="s">
        <v>3270</v>
      </c>
      <c r="H56" s="116" t="s">
        <v>3343</v>
      </c>
      <c r="L56" s="146">
        <v>15.803000000000001</v>
      </c>
      <c r="M56" s="146">
        <v>17.442</v>
      </c>
      <c r="N56" s="146">
        <v>22.260999999999999</v>
      </c>
      <c r="O56" s="146">
        <v>22.611999999999998</v>
      </c>
      <c r="P56" s="146">
        <v>22.949000000000002</v>
      </c>
      <c r="Q56" s="146">
        <v>23.347999999999999</v>
      </c>
      <c r="R56" s="146">
        <v>23.82</v>
      </c>
      <c r="S56" s="146">
        <v>24.265999999999998</v>
      </c>
      <c r="T56" s="146">
        <v>24.675000000000001</v>
      </c>
      <c r="U56" s="146">
        <v>25.082999999999998</v>
      </c>
      <c r="V56" s="146">
        <v>25.49</v>
      </c>
      <c r="W56" s="146">
        <v>25.896999999999998</v>
      </c>
      <c r="X56" s="146">
        <v>26.306999999999999</v>
      </c>
      <c r="Y56" s="146">
        <v>26.716000000000001</v>
      </c>
      <c r="Z56" s="146">
        <v>27.131</v>
      </c>
      <c r="AA56" s="146">
        <v>27.547999999999998</v>
      </c>
      <c r="AB56" s="146">
        <v>27.972000000000001</v>
      </c>
      <c r="AC56" s="146">
        <v>28.402999999999999</v>
      </c>
      <c r="AD56" s="146">
        <v>28.841000000000001</v>
      </c>
      <c r="AE56" s="146">
        <v>29.283999999999999</v>
      </c>
    </row>
    <row r="57" spans="2:31" x14ac:dyDescent="0.35">
      <c r="B57" s="112" t="s">
        <v>3346</v>
      </c>
      <c r="C57" s="112" t="s">
        <v>3272</v>
      </c>
      <c r="D57" s="112" t="s">
        <v>3342</v>
      </c>
      <c r="E57" s="112" t="s">
        <v>2068</v>
      </c>
      <c r="F57" s="112" t="s">
        <v>3273</v>
      </c>
      <c r="H57" s="116" t="s">
        <v>3343</v>
      </c>
      <c r="L57" s="146">
        <v>15.803000000000001</v>
      </c>
      <c r="M57" s="146">
        <v>17.442</v>
      </c>
      <c r="N57" s="146">
        <v>22.260999999999999</v>
      </c>
      <c r="O57" s="146">
        <v>22.611999999999998</v>
      </c>
      <c r="P57" s="146">
        <v>22.949000000000002</v>
      </c>
      <c r="Q57" s="146">
        <v>23.347999999999999</v>
      </c>
      <c r="R57" s="146">
        <v>23.82</v>
      </c>
      <c r="S57" s="146">
        <v>24.271000000000001</v>
      </c>
      <c r="T57" s="146">
        <v>24.693000000000001</v>
      </c>
      <c r="U57" s="146">
        <v>25.117999999999999</v>
      </c>
      <c r="V57" s="146">
        <v>25.548999999999999</v>
      </c>
      <c r="W57" s="146">
        <v>25.992999999999999</v>
      </c>
      <c r="X57" s="146">
        <v>26.452999999999999</v>
      </c>
      <c r="Y57" s="146">
        <v>26.95</v>
      </c>
      <c r="Z57" s="146">
        <v>27.501999999999999</v>
      </c>
      <c r="AA57" s="146">
        <v>28.141999999999999</v>
      </c>
      <c r="AB57" s="146">
        <v>28.908999999999999</v>
      </c>
      <c r="AC57" s="146">
        <v>29.85</v>
      </c>
      <c r="AD57" s="146">
        <v>31.032</v>
      </c>
      <c r="AE57" s="146">
        <v>32.204999999999998</v>
      </c>
    </row>
    <row r="58" spans="2:31" x14ac:dyDescent="0.35">
      <c r="B58" s="112" t="s">
        <v>3347</v>
      </c>
      <c r="C58" s="112" t="s">
        <v>3260</v>
      </c>
      <c r="D58" s="112" t="s">
        <v>3348</v>
      </c>
      <c r="E58" s="112" t="s">
        <v>2068</v>
      </c>
      <c r="F58" s="112" t="s">
        <v>3263</v>
      </c>
      <c r="H58" s="116" t="s">
        <v>3349</v>
      </c>
      <c r="L58" s="146">
        <v>307.637</v>
      </c>
      <c r="M58" s="146">
        <v>321.39699999999999</v>
      </c>
      <c r="N58" s="146">
        <v>349.911</v>
      </c>
      <c r="O58" s="146">
        <v>371.78399999999999</v>
      </c>
      <c r="P58" s="146">
        <v>384.22899999999998</v>
      </c>
      <c r="Q58" s="146">
        <v>400.54599999999999</v>
      </c>
      <c r="R58" s="146">
        <v>422.363</v>
      </c>
      <c r="S58" s="146">
        <v>448.56900000000002</v>
      </c>
      <c r="T58" s="146">
        <v>479.39600000000002</v>
      </c>
      <c r="U58" s="146">
        <v>519.76700000000005</v>
      </c>
      <c r="V58" s="146">
        <v>579.49199999999996</v>
      </c>
      <c r="W58" s="146">
        <v>645.31100000000004</v>
      </c>
      <c r="X58" s="146">
        <v>703.93799999999999</v>
      </c>
      <c r="Y58" s="146">
        <v>769.35699999999997</v>
      </c>
      <c r="Z58" s="146">
        <v>841.29100000000005</v>
      </c>
      <c r="AA58" s="146">
        <v>920.35900000000004</v>
      </c>
      <c r="AB58" s="146">
        <v>1007.04</v>
      </c>
      <c r="AC58" s="146">
        <v>1101.7919999999999</v>
      </c>
      <c r="AD58" s="146">
        <v>1205.134</v>
      </c>
      <c r="AE58" s="146">
        <v>1316.65</v>
      </c>
    </row>
    <row r="59" spans="2:31" x14ac:dyDescent="0.35">
      <c r="B59" s="112" t="s">
        <v>3350</v>
      </c>
      <c r="C59" s="112" t="s">
        <v>3266</v>
      </c>
      <c r="D59" s="112" t="s">
        <v>3348</v>
      </c>
      <c r="E59" s="112" t="s">
        <v>2068</v>
      </c>
      <c r="F59" s="112" t="s">
        <v>3267</v>
      </c>
      <c r="H59" s="116" t="s">
        <v>3349</v>
      </c>
      <c r="L59" s="146">
        <v>307.637</v>
      </c>
      <c r="M59" s="146">
        <v>321.39699999999999</v>
      </c>
      <c r="N59" s="146">
        <v>349.911</v>
      </c>
      <c r="O59" s="146">
        <v>371.78399999999999</v>
      </c>
      <c r="P59" s="146">
        <v>384.22899999999998</v>
      </c>
      <c r="Q59" s="146">
        <v>400.54599999999999</v>
      </c>
      <c r="R59" s="146">
        <v>422.363</v>
      </c>
      <c r="S59" s="146">
        <v>448.56900000000002</v>
      </c>
      <c r="T59" s="146">
        <v>479.39600000000002</v>
      </c>
      <c r="U59" s="146">
        <v>519.76700000000005</v>
      </c>
      <c r="V59" s="146">
        <v>579.49199999999996</v>
      </c>
      <c r="W59" s="146">
        <v>645.31100000000004</v>
      </c>
      <c r="X59" s="146">
        <v>703.93799999999999</v>
      </c>
      <c r="Y59" s="146">
        <v>769.35699999999997</v>
      </c>
      <c r="Z59" s="146">
        <v>841.29100000000005</v>
      </c>
      <c r="AA59" s="146">
        <v>920.35900000000004</v>
      </c>
      <c r="AB59" s="146">
        <v>1007.04</v>
      </c>
      <c r="AC59" s="146">
        <v>1101.7919999999999</v>
      </c>
      <c r="AD59" s="146">
        <v>1205.134</v>
      </c>
      <c r="AE59" s="146">
        <v>1316.65</v>
      </c>
    </row>
    <row r="60" spans="2:31" x14ac:dyDescent="0.35">
      <c r="B60" s="112" t="s">
        <v>3351</v>
      </c>
      <c r="C60" s="112" t="s">
        <v>3269</v>
      </c>
      <c r="D60" s="112" t="s">
        <v>3348</v>
      </c>
      <c r="E60" s="112" t="s">
        <v>2068</v>
      </c>
      <c r="F60" s="112" t="s">
        <v>3270</v>
      </c>
      <c r="H60" s="116" t="s">
        <v>3349</v>
      </c>
      <c r="L60" s="146">
        <v>307.637</v>
      </c>
      <c r="M60" s="146">
        <v>321.39699999999999</v>
      </c>
      <c r="N60" s="146">
        <v>349.911</v>
      </c>
      <c r="O60" s="146">
        <v>371.78399999999999</v>
      </c>
      <c r="P60" s="146">
        <v>384.22899999999998</v>
      </c>
      <c r="Q60" s="146">
        <v>400.54599999999999</v>
      </c>
      <c r="R60" s="146">
        <v>422.363</v>
      </c>
      <c r="S60" s="146">
        <v>448.56900000000002</v>
      </c>
      <c r="T60" s="146">
        <v>479.39600000000002</v>
      </c>
      <c r="U60" s="146">
        <v>519.76700000000005</v>
      </c>
      <c r="V60" s="146">
        <v>579.49199999999996</v>
      </c>
      <c r="W60" s="146">
        <v>645.31100000000004</v>
      </c>
      <c r="X60" s="146">
        <v>703.93799999999999</v>
      </c>
      <c r="Y60" s="146">
        <v>769.35699999999997</v>
      </c>
      <c r="Z60" s="146">
        <v>841.29100000000005</v>
      </c>
      <c r="AA60" s="146">
        <v>920.35900000000004</v>
      </c>
      <c r="AB60" s="146">
        <v>1007.04</v>
      </c>
      <c r="AC60" s="146">
        <v>1101.7919999999999</v>
      </c>
      <c r="AD60" s="146">
        <v>1205.134</v>
      </c>
      <c r="AE60" s="146">
        <v>1316.65</v>
      </c>
    </row>
    <row r="61" spans="2:31" x14ac:dyDescent="0.35">
      <c r="B61" s="112" t="s">
        <v>3352</v>
      </c>
      <c r="C61" s="112" t="s">
        <v>3272</v>
      </c>
      <c r="D61" s="112" t="s">
        <v>3348</v>
      </c>
      <c r="E61" s="112" t="s">
        <v>2068</v>
      </c>
      <c r="F61" s="112" t="s">
        <v>3273</v>
      </c>
      <c r="H61" s="116" t="s">
        <v>3349</v>
      </c>
      <c r="L61" s="146">
        <v>307.637</v>
      </c>
      <c r="M61" s="146">
        <v>321.39699999999999</v>
      </c>
      <c r="N61" s="146">
        <v>349.911</v>
      </c>
      <c r="O61" s="146">
        <v>371.78399999999999</v>
      </c>
      <c r="P61" s="146">
        <v>384.22899999999998</v>
      </c>
      <c r="Q61" s="146">
        <v>400.54599999999999</v>
      </c>
      <c r="R61" s="146">
        <v>422.363</v>
      </c>
      <c r="S61" s="146">
        <v>448.56900000000002</v>
      </c>
      <c r="T61" s="146">
        <v>479.39600000000002</v>
      </c>
      <c r="U61" s="146">
        <v>519.76700000000005</v>
      </c>
      <c r="V61" s="146">
        <v>579.49199999999996</v>
      </c>
      <c r="W61" s="146">
        <v>645.31100000000004</v>
      </c>
      <c r="X61" s="146">
        <v>703.93799999999999</v>
      </c>
      <c r="Y61" s="146">
        <v>769.35699999999997</v>
      </c>
      <c r="Z61" s="146">
        <v>841.29100000000005</v>
      </c>
      <c r="AA61" s="146">
        <v>920.35900000000004</v>
      </c>
      <c r="AB61" s="146">
        <v>1007.04</v>
      </c>
      <c r="AC61" s="146">
        <v>1101.7919999999999</v>
      </c>
      <c r="AD61" s="146">
        <v>1205.134</v>
      </c>
      <c r="AE61" s="146">
        <v>1316.65</v>
      </c>
    </row>
    <row r="62" spans="2:31" x14ac:dyDescent="0.35">
      <c r="B62" s="112" t="s">
        <v>3353</v>
      </c>
      <c r="C62" s="112" t="s">
        <v>3260</v>
      </c>
      <c r="D62" s="112" t="s">
        <v>3354</v>
      </c>
      <c r="E62" s="112" t="s">
        <v>2068</v>
      </c>
      <c r="F62" s="112" t="s">
        <v>3263</v>
      </c>
      <c r="H62" s="116" t="s">
        <v>3355</v>
      </c>
      <c r="L62" s="146">
        <v>307.637</v>
      </c>
      <c r="M62" s="146">
        <v>321.298</v>
      </c>
      <c r="N62" s="146">
        <v>349.79700000000003</v>
      </c>
      <c r="O62" s="146">
        <v>371.673</v>
      </c>
      <c r="P62" s="146">
        <v>384.11900000000003</v>
      </c>
      <c r="Q62" s="146">
        <v>400.36900000000003</v>
      </c>
      <c r="R62" s="146">
        <v>390.697</v>
      </c>
      <c r="S62" s="146">
        <v>408.83199999999999</v>
      </c>
      <c r="T62" s="146">
        <v>443.44299999999998</v>
      </c>
      <c r="U62" s="146">
        <v>483.24599999999998</v>
      </c>
      <c r="V62" s="146">
        <v>548.13499999999999</v>
      </c>
      <c r="W62" s="146">
        <v>599.33500000000004</v>
      </c>
      <c r="X62" s="146">
        <v>656.14200000000005</v>
      </c>
      <c r="Y62" s="146">
        <v>719.56</v>
      </c>
      <c r="Z62" s="146">
        <v>789.90599999999995</v>
      </c>
      <c r="AA62" s="146">
        <v>867.66399999999999</v>
      </c>
      <c r="AB62" s="146">
        <v>953.34299999999996</v>
      </c>
      <c r="AC62" s="146">
        <v>1047.4090000000001</v>
      </c>
      <c r="AD62" s="146">
        <v>1150.2670000000001</v>
      </c>
      <c r="AE62" s="146">
        <v>1261.4749999999999</v>
      </c>
    </row>
    <row r="63" spans="2:31" x14ac:dyDescent="0.35">
      <c r="B63" s="112" t="s">
        <v>3356</v>
      </c>
      <c r="C63" s="112" t="s">
        <v>3266</v>
      </c>
      <c r="D63" s="112" t="s">
        <v>3354</v>
      </c>
      <c r="E63" s="112" t="s">
        <v>2068</v>
      </c>
      <c r="F63" s="112" t="s">
        <v>3267</v>
      </c>
      <c r="H63" s="116" t="s">
        <v>3355</v>
      </c>
      <c r="L63" s="146">
        <v>307.637</v>
      </c>
      <c r="M63" s="146">
        <v>321.298</v>
      </c>
      <c r="N63" s="146">
        <v>349.79700000000003</v>
      </c>
      <c r="O63" s="146">
        <v>371.673</v>
      </c>
      <c r="P63" s="146">
        <v>384.11900000000003</v>
      </c>
      <c r="Q63" s="146">
        <v>400.36900000000003</v>
      </c>
      <c r="R63" s="146">
        <v>390.697</v>
      </c>
      <c r="S63" s="146">
        <v>407.77499999999998</v>
      </c>
      <c r="T63" s="146">
        <v>441.50799999999998</v>
      </c>
      <c r="U63" s="146">
        <v>480.14</v>
      </c>
      <c r="V63" s="146">
        <v>544.03099999999995</v>
      </c>
      <c r="W63" s="146">
        <v>595.245</v>
      </c>
      <c r="X63" s="146">
        <v>651.04499999999996</v>
      </c>
      <c r="Y63" s="146">
        <v>713.26099999999997</v>
      </c>
      <c r="Z63" s="146">
        <v>782.18100000000004</v>
      </c>
      <c r="AA63" s="146">
        <v>858.14099999999996</v>
      </c>
      <c r="AB63" s="146">
        <v>941.61400000000003</v>
      </c>
      <c r="AC63" s="146">
        <v>1033.0820000000001</v>
      </c>
      <c r="AD63" s="146">
        <v>1133.0340000000001</v>
      </c>
      <c r="AE63" s="146">
        <v>1241.098</v>
      </c>
    </row>
    <row r="64" spans="2:31" x14ac:dyDescent="0.35">
      <c r="B64" s="112" t="s">
        <v>3357</v>
      </c>
      <c r="C64" s="112" t="s">
        <v>3269</v>
      </c>
      <c r="D64" s="112" t="s">
        <v>3354</v>
      </c>
      <c r="E64" s="112" t="s">
        <v>2068</v>
      </c>
      <c r="F64" s="112" t="s">
        <v>3270</v>
      </c>
      <c r="H64" s="116" t="s">
        <v>3355</v>
      </c>
      <c r="L64" s="146">
        <v>307.637</v>
      </c>
      <c r="M64" s="146">
        <v>321.39299999999997</v>
      </c>
      <c r="N64" s="146">
        <v>349.90699999999998</v>
      </c>
      <c r="O64" s="146">
        <v>371.78</v>
      </c>
      <c r="P64" s="146">
        <v>384.22399999999999</v>
      </c>
      <c r="Q64" s="146">
        <v>400.50700000000001</v>
      </c>
      <c r="R64" s="146">
        <v>417.12299999999999</v>
      </c>
      <c r="S64" s="146">
        <v>435.774</v>
      </c>
      <c r="T64" s="146">
        <v>459.85899999999998</v>
      </c>
      <c r="U64" s="146">
        <v>492.76</v>
      </c>
      <c r="V64" s="146">
        <v>549.81799999999998</v>
      </c>
      <c r="W64" s="146">
        <v>591.36199999999997</v>
      </c>
      <c r="X64" s="146">
        <v>639.05100000000004</v>
      </c>
      <c r="Y64" s="146">
        <v>692.96600000000001</v>
      </c>
      <c r="Z64" s="146">
        <v>753.40599999999995</v>
      </c>
      <c r="AA64" s="146">
        <v>820.58799999999997</v>
      </c>
      <c r="AB64" s="146">
        <v>895.07</v>
      </c>
      <c r="AC64" s="146">
        <v>977.34500000000003</v>
      </c>
      <c r="AD64" s="146">
        <v>1067.93</v>
      </c>
      <c r="AE64" s="146">
        <v>1166.4870000000001</v>
      </c>
    </row>
    <row r="65" spans="2:31" x14ac:dyDescent="0.35">
      <c r="B65" s="112" t="s">
        <v>3358</v>
      </c>
      <c r="C65" s="112" t="s">
        <v>3272</v>
      </c>
      <c r="D65" s="112" t="s">
        <v>3354</v>
      </c>
      <c r="E65" s="112" t="s">
        <v>2068</v>
      </c>
      <c r="F65" s="112" t="s">
        <v>3273</v>
      </c>
      <c r="H65" s="116" t="s">
        <v>3355</v>
      </c>
      <c r="L65" s="146">
        <v>307.637</v>
      </c>
      <c r="M65" s="146">
        <v>321.39699999999999</v>
      </c>
      <c r="N65" s="146">
        <v>349.911</v>
      </c>
      <c r="O65" s="146">
        <v>371.78399999999999</v>
      </c>
      <c r="P65" s="146">
        <v>384.22899999999998</v>
      </c>
      <c r="Q65" s="146">
        <v>400.54599999999999</v>
      </c>
      <c r="R65" s="146">
        <v>422.363</v>
      </c>
      <c r="S65" s="146">
        <v>442.125</v>
      </c>
      <c r="T65" s="146">
        <v>469.80700000000002</v>
      </c>
      <c r="U65" s="146">
        <v>507.23200000000003</v>
      </c>
      <c r="V65" s="146">
        <v>557.25800000000004</v>
      </c>
      <c r="W65" s="146">
        <v>625.87699999999995</v>
      </c>
      <c r="X65" s="146">
        <v>680.21</v>
      </c>
      <c r="Y65" s="146">
        <v>740.46600000000001</v>
      </c>
      <c r="Z65" s="146">
        <v>806.8</v>
      </c>
      <c r="AA65" s="146">
        <v>880.03399999999999</v>
      </c>
      <c r="AB65" s="146">
        <v>961.077</v>
      </c>
      <c r="AC65" s="146">
        <v>1051.069</v>
      </c>
      <c r="AD65" s="146">
        <v>1151.5139999999999</v>
      </c>
      <c r="AE65" s="146">
        <v>1258.481</v>
      </c>
    </row>
    <row r="66" spans="2:31" x14ac:dyDescent="0.35">
      <c r="B66" s="112" t="s">
        <v>3359</v>
      </c>
      <c r="C66" s="112" t="s">
        <v>3260</v>
      </c>
      <c r="D66" s="112" t="s">
        <v>3360</v>
      </c>
      <c r="E66" s="112" t="s">
        <v>2068</v>
      </c>
      <c r="F66" s="112" t="s">
        <v>3263</v>
      </c>
      <c r="H66" s="116" t="s">
        <v>3361</v>
      </c>
      <c r="L66" s="146">
        <v>52.970999999999997</v>
      </c>
      <c r="M66" s="146">
        <v>57.256</v>
      </c>
      <c r="N66" s="146">
        <v>48.052999999999997</v>
      </c>
      <c r="O66" s="146">
        <v>53.412999999999997</v>
      </c>
      <c r="P66" s="146">
        <v>62.460999999999999</v>
      </c>
      <c r="Q66" s="146">
        <v>72.828999999999994</v>
      </c>
      <c r="R66" s="146">
        <v>84.831000000000003</v>
      </c>
      <c r="S66" s="146">
        <v>98.88</v>
      </c>
      <c r="T66" s="146">
        <v>116.354</v>
      </c>
      <c r="U66" s="146">
        <v>138.35599999999999</v>
      </c>
      <c r="V66" s="146">
        <v>164.88900000000001</v>
      </c>
      <c r="W66" s="146">
        <v>195.12700000000001</v>
      </c>
      <c r="X66" s="146">
        <v>229.14500000000001</v>
      </c>
      <c r="Y66" s="146">
        <v>267.37</v>
      </c>
      <c r="Z66" s="146">
        <v>309.197</v>
      </c>
      <c r="AA66" s="146">
        <v>354.87400000000002</v>
      </c>
      <c r="AB66" s="146">
        <v>404.45299999999997</v>
      </c>
      <c r="AC66" s="146">
        <v>457.91300000000001</v>
      </c>
      <c r="AD66" s="146">
        <v>515.221</v>
      </c>
      <c r="AE66" s="146">
        <v>575.33799999999997</v>
      </c>
    </row>
    <row r="67" spans="2:31" x14ac:dyDescent="0.35">
      <c r="B67" s="112" t="s">
        <v>3362</v>
      </c>
      <c r="C67" s="112" t="s">
        <v>3266</v>
      </c>
      <c r="D67" s="112" t="s">
        <v>3360</v>
      </c>
      <c r="E67" s="112" t="s">
        <v>2068</v>
      </c>
      <c r="F67" s="112" t="s">
        <v>3267</v>
      </c>
      <c r="H67" s="116" t="s">
        <v>3361</v>
      </c>
      <c r="L67" s="146">
        <v>52.970999999999997</v>
      </c>
      <c r="M67" s="146">
        <v>57.256</v>
      </c>
      <c r="N67" s="146">
        <v>48.052999999999997</v>
      </c>
      <c r="O67" s="146">
        <v>53.412999999999997</v>
      </c>
      <c r="P67" s="146">
        <v>62.460999999999999</v>
      </c>
      <c r="Q67" s="146">
        <v>72.828999999999994</v>
      </c>
      <c r="R67" s="146">
        <v>84.831000000000003</v>
      </c>
      <c r="S67" s="146">
        <v>98.88</v>
      </c>
      <c r="T67" s="146">
        <v>116.354</v>
      </c>
      <c r="U67" s="146">
        <v>138.35599999999999</v>
      </c>
      <c r="V67" s="146">
        <v>164.88900000000001</v>
      </c>
      <c r="W67" s="146">
        <v>195.12700000000001</v>
      </c>
      <c r="X67" s="146">
        <v>229.14500000000001</v>
      </c>
      <c r="Y67" s="146">
        <v>267.37</v>
      </c>
      <c r="Z67" s="146">
        <v>309.197</v>
      </c>
      <c r="AA67" s="146">
        <v>354.87400000000002</v>
      </c>
      <c r="AB67" s="146">
        <v>404.45299999999997</v>
      </c>
      <c r="AC67" s="146">
        <v>457.91300000000001</v>
      </c>
      <c r="AD67" s="146">
        <v>515.221</v>
      </c>
      <c r="AE67" s="146">
        <v>575.33799999999997</v>
      </c>
    </row>
    <row r="68" spans="2:31" x14ac:dyDescent="0.35">
      <c r="B68" s="112" t="s">
        <v>3363</v>
      </c>
      <c r="C68" s="112" t="s">
        <v>3269</v>
      </c>
      <c r="D68" s="112" t="s">
        <v>3360</v>
      </c>
      <c r="E68" s="112" t="s">
        <v>2068</v>
      </c>
      <c r="F68" s="112" t="s">
        <v>3270</v>
      </c>
      <c r="H68" s="116" t="s">
        <v>3361</v>
      </c>
      <c r="L68" s="146">
        <v>52.970999999999997</v>
      </c>
      <c r="M68" s="146">
        <v>57.256</v>
      </c>
      <c r="N68" s="146">
        <v>48.052999999999997</v>
      </c>
      <c r="O68" s="146">
        <v>53.412999999999997</v>
      </c>
      <c r="P68" s="146">
        <v>62.460999999999999</v>
      </c>
      <c r="Q68" s="146">
        <v>72.828999999999994</v>
      </c>
      <c r="R68" s="146">
        <v>84.831000000000003</v>
      </c>
      <c r="S68" s="146">
        <v>98.88</v>
      </c>
      <c r="T68" s="146">
        <v>116.354</v>
      </c>
      <c r="U68" s="146">
        <v>138.35599999999999</v>
      </c>
      <c r="V68" s="146">
        <v>164.88900000000001</v>
      </c>
      <c r="W68" s="146">
        <v>195.12700000000001</v>
      </c>
      <c r="X68" s="146">
        <v>229.14500000000001</v>
      </c>
      <c r="Y68" s="146">
        <v>267.37</v>
      </c>
      <c r="Z68" s="146">
        <v>309.197</v>
      </c>
      <c r="AA68" s="146">
        <v>354.87400000000002</v>
      </c>
      <c r="AB68" s="146">
        <v>404.45299999999997</v>
      </c>
      <c r="AC68" s="146">
        <v>457.91300000000001</v>
      </c>
      <c r="AD68" s="146">
        <v>515.221</v>
      </c>
      <c r="AE68" s="146">
        <v>575.33799999999997</v>
      </c>
    </row>
    <row r="69" spans="2:31" x14ac:dyDescent="0.35">
      <c r="B69" s="112" t="s">
        <v>3364</v>
      </c>
      <c r="C69" s="112" t="s">
        <v>3272</v>
      </c>
      <c r="D69" s="112" t="s">
        <v>3360</v>
      </c>
      <c r="E69" s="112" t="s">
        <v>2068</v>
      </c>
      <c r="F69" s="112" t="s">
        <v>3273</v>
      </c>
      <c r="H69" s="116" t="s">
        <v>3361</v>
      </c>
      <c r="L69" s="146">
        <v>52.970999999999997</v>
      </c>
      <c r="M69" s="146">
        <v>57.256</v>
      </c>
      <c r="N69" s="146">
        <v>48.052999999999997</v>
      </c>
      <c r="O69" s="146">
        <v>53.412999999999997</v>
      </c>
      <c r="P69" s="146">
        <v>62.460999999999999</v>
      </c>
      <c r="Q69" s="146">
        <v>72.828999999999994</v>
      </c>
      <c r="R69" s="146">
        <v>84.831000000000003</v>
      </c>
      <c r="S69" s="146">
        <v>98.88</v>
      </c>
      <c r="T69" s="146">
        <v>116.354</v>
      </c>
      <c r="U69" s="146">
        <v>138.35599999999999</v>
      </c>
      <c r="V69" s="146">
        <v>164.88900000000001</v>
      </c>
      <c r="W69" s="146">
        <v>195.12700000000001</v>
      </c>
      <c r="X69" s="146">
        <v>229.14500000000001</v>
      </c>
      <c r="Y69" s="146">
        <v>267.37</v>
      </c>
      <c r="Z69" s="146">
        <v>309.197</v>
      </c>
      <c r="AA69" s="146">
        <v>354.87400000000002</v>
      </c>
      <c r="AB69" s="146">
        <v>404.45299999999997</v>
      </c>
      <c r="AC69" s="146">
        <v>457.91300000000001</v>
      </c>
      <c r="AD69" s="146">
        <v>515.221</v>
      </c>
      <c r="AE69" s="146">
        <v>575.33799999999997</v>
      </c>
    </row>
    <row r="70" spans="2:31" x14ac:dyDescent="0.35">
      <c r="B70" s="112" t="s">
        <v>3365</v>
      </c>
      <c r="C70" s="112" t="s">
        <v>3260</v>
      </c>
      <c r="D70" s="112" t="s">
        <v>3366</v>
      </c>
      <c r="E70" s="112" t="s">
        <v>2068</v>
      </c>
      <c r="F70" s="112" t="s">
        <v>3263</v>
      </c>
      <c r="H70" s="116" t="s">
        <v>3367</v>
      </c>
      <c r="L70" s="146">
        <v>52.970999999999997</v>
      </c>
      <c r="M70" s="146">
        <v>57.256</v>
      </c>
      <c r="N70" s="146">
        <v>48.052999999999997</v>
      </c>
      <c r="O70" s="146">
        <v>53.412999999999997</v>
      </c>
      <c r="P70" s="146">
        <v>62.460999999999999</v>
      </c>
      <c r="Q70" s="146">
        <v>72.828999999999994</v>
      </c>
      <c r="R70" s="146">
        <v>79.682000000000002</v>
      </c>
      <c r="S70" s="146">
        <v>92.488</v>
      </c>
      <c r="T70" s="146">
        <v>108.97799999999999</v>
      </c>
      <c r="U70" s="146">
        <v>129.72</v>
      </c>
      <c r="V70" s="146">
        <v>155.06899999999999</v>
      </c>
      <c r="W70" s="146">
        <v>183.83099999999999</v>
      </c>
      <c r="X70" s="146">
        <v>216.55099999999999</v>
      </c>
      <c r="Y70" s="146">
        <v>253.12899999999999</v>
      </c>
      <c r="Z70" s="146">
        <v>293.52800000000002</v>
      </c>
      <c r="AA70" s="146">
        <v>337.721</v>
      </c>
      <c r="AB70" s="146">
        <v>385.82400000000001</v>
      </c>
      <c r="AC70" s="146">
        <v>437.82799999999997</v>
      </c>
      <c r="AD70" s="146">
        <v>493.70800000000003</v>
      </c>
      <c r="AE70" s="146">
        <v>552.44399999999996</v>
      </c>
    </row>
    <row r="71" spans="2:31" x14ac:dyDescent="0.35">
      <c r="B71" s="112" t="s">
        <v>3368</v>
      </c>
      <c r="C71" s="112" t="s">
        <v>3266</v>
      </c>
      <c r="D71" s="112" t="s">
        <v>3366</v>
      </c>
      <c r="E71" s="112" t="s">
        <v>2068</v>
      </c>
      <c r="F71" s="112" t="s">
        <v>3267</v>
      </c>
      <c r="H71" s="116" t="s">
        <v>3367</v>
      </c>
      <c r="L71" s="146">
        <v>52.970999999999997</v>
      </c>
      <c r="M71" s="146">
        <v>57.256</v>
      </c>
      <c r="N71" s="146">
        <v>48.052999999999997</v>
      </c>
      <c r="O71" s="146">
        <v>53.412999999999997</v>
      </c>
      <c r="P71" s="146">
        <v>62.460999999999999</v>
      </c>
      <c r="Q71" s="146">
        <v>72.828999999999994</v>
      </c>
      <c r="R71" s="146">
        <v>79.682000000000002</v>
      </c>
      <c r="S71" s="146">
        <v>92.468999999999994</v>
      </c>
      <c r="T71" s="146">
        <v>108.937</v>
      </c>
      <c r="U71" s="146">
        <v>129.65100000000001</v>
      </c>
      <c r="V71" s="146">
        <v>154.977</v>
      </c>
      <c r="W71" s="146">
        <v>183.73400000000001</v>
      </c>
      <c r="X71" s="146">
        <v>216.40899999999999</v>
      </c>
      <c r="Y71" s="146">
        <v>252.95099999999999</v>
      </c>
      <c r="Z71" s="146">
        <v>293.30799999999999</v>
      </c>
      <c r="AA71" s="146">
        <v>337.435</v>
      </c>
      <c r="AB71" s="146">
        <v>385.45600000000002</v>
      </c>
      <c r="AC71" s="146">
        <v>437.36399999999998</v>
      </c>
      <c r="AD71" s="146">
        <v>493.13499999999999</v>
      </c>
      <c r="AE71" s="146">
        <v>551.75</v>
      </c>
    </row>
    <row r="72" spans="2:31" x14ac:dyDescent="0.35">
      <c r="B72" s="112" t="s">
        <v>3369</v>
      </c>
      <c r="C72" s="112" t="s">
        <v>3269</v>
      </c>
      <c r="D72" s="112" t="s">
        <v>3366</v>
      </c>
      <c r="E72" s="112" t="s">
        <v>2068</v>
      </c>
      <c r="F72" s="112" t="s">
        <v>3270</v>
      </c>
      <c r="H72" s="116" t="s">
        <v>3367</v>
      </c>
      <c r="L72" s="146">
        <v>52.970999999999997</v>
      </c>
      <c r="M72" s="146">
        <v>57.256</v>
      </c>
      <c r="N72" s="146">
        <v>48.052999999999997</v>
      </c>
      <c r="O72" s="146">
        <v>53.412999999999997</v>
      </c>
      <c r="P72" s="146">
        <v>62.460999999999999</v>
      </c>
      <c r="Q72" s="146">
        <v>72.828999999999994</v>
      </c>
      <c r="R72" s="146">
        <v>83.516999999999996</v>
      </c>
      <c r="S72" s="146">
        <v>95.302999999999997</v>
      </c>
      <c r="T72" s="146">
        <v>110.074</v>
      </c>
      <c r="U72" s="146">
        <v>128.72399999999999</v>
      </c>
      <c r="V72" s="146">
        <v>151.34</v>
      </c>
      <c r="W72" s="146">
        <v>177.101</v>
      </c>
      <c r="X72" s="146">
        <v>206.142</v>
      </c>
      <c r="Y72" s="146">
        <v>238.434</v>
      </c>
      <c r="Z72" s="146">
        <v>273.99299999999999</v>
      </c>
      <c r="AA72" s="146">
        <v>312.738</v>
      </c>
      <c r="AB72" s="146">
        <v>354.81099999999998</v>
      </c>
      <c r="AC72" s="146">
        <v>400.24599999999998</v>
      </c>
      <c r="AD72" s="146">
        <v>449.03800000000001</v>
      </c>
      <c r="AE72" s="146">
        <v>500.24200000000002</v>
      </c>
    </row>
    <row r="73" spans="2:31" x14ac:dyDescent="0.35">
      <c r="B73" s="112" t="s">
        <v>3370</v>
      </c>
      <c r="C73" s="112" t="s">
        <v>3272</v>
      </c>
      <c r="D73" s="112" t="s">
        <v>3366</v>
      </c>
      <c r="E73" s="112" t="s">
        <v>2068</v>
      </c>
      <c r="F73" s="112" t="s">
        <v>3273</v>
      </c>
      <c r="H73" s="116" t="s">
        <v>3367</v>
      </c>
      <c r="L73" s="146">
        <v>52.970999999999997</v>
      </c>
      <c r="M73" s="146">
        <v>57.256</v>
      </c>
      <c r="N73" s="146">
        <v>48.052999999999997</v>
      </c>
      <c r="O73" s="146">
        <v>53.412999999999997</v>
      </c>
      <c r="P73" s="146">
        <v>62.460999999999999</v>
      </c>
      <c r="Q73" s="146">
        <v>72.828999999999994</v>
      </c>
      <c r="R73" s="146">
        <v>84.831000000000003</v>
      </c>
      <c r="S73" s="146">
        <v>98.444999999999993</v>
      </c>
      <c r="T73" s="146">
        <v>115.18899999999999</v>
      </c>
      <c r="U73" s="146">
        <v>135.97</v>
      </c>
      <c r="V73" s="146">
        <v>160.76499999999999</v>
      </c>
      <c r="W73" s="146">
        <v>188.58699999999999</v>
      </c>
      <c r="X73" s="146">
        <v>219.52799999999999</v>
      </c>
      <c r="Y73" s="146">
        <v>253.59100000000001</v>
      </c>
      <c r="Z73" s="146">
        <v>290.36799999999999</v>
      </c>
      <c r="AA73" s="146">
        <v>329.87799999999999</v>
      </c>
      <c r="AB73" s="146">
        <v>372.077</v>
      </c>
      <c r="AC73" s="146">
        <v>416.87900000000002</v>
      </c>
      <c r="AD73" s="146">
        <v>464.166</v>
      </c>
      <c r="AE73" s="146">
        <v>512.798</v>
      </c>
    </row>
    <row r="74" spans="2:31" x14ac:dyDescent="0.35">
      <c r="B74" s="112" t="s">
        <v>3371</v>
      </c>
      <c r="C74" s="112" t="s">
        <v>3260</v>
      </c>
      <c r="D74" s="112" t="s">
        <v>3372</v>
      </c>
      <c r="E74" s="112" t="s">
        <v>16</v>
      </c>
      <c r="F74" s="112" t="s">
        <v>3263</v>
      </c>
      <c r="H74" s="116" t="s">
        <v>1403</v>
      </c>
      <c r="L74" s="146">
        <v>0</v>
      </c>
      <c r="M74" s="146">
        <v>0</v>
      </c>
      <c r="N74" s="146">
        <v>0</v>
      </c>
      <c r="O74" s="146">
        <v>0</v>
      </c>
      <c r="P74" s="146">
        <v>0</v>
      </c>
      <c r="Q74" s="146">
        <v>0</v>
      </c>
      <c r="R74" s="146">
        <v>20</v>
      </c>
      <c r="S74" s="146">
        <v>20</v>
      </c>
      <c r="T74" s="146">
        <v>20</v>
      </c>
      <c r="U74" s="146">
        <v>20</v>
      </c>
      <c r="V74" s="146">
        <v>20</v>
      </c>
      <c r="W74" s="146">
        <v>20</v>
      </c>
      <c r="X74" s="146">
        <v>20</v>
      </c>
      <c r="Y74" s="146">
        <v>20</v>
      </c>
      <c r="Z74" s="146">
        <v>20</v>
      </c>
      <c r="AA74" s="146">
        <v>20</v>
      </c>
      <c r="AB74" s="146">
        <v>20</v>
      </c>
      <c r="AC74" s="146">
        <v>20</v>
      </c>
      <c r="AD74" s="146">
        <v>20</v>
      </c>
      <c r="AE74" s="146">
        <v>20</v>
      </c>
    </row>
    <row r="75" spans="2:31" x14ac:dyDescent="0.35">
      <c r="B75" s="112" t="s">
        <v>3373</v>
      </c>
      <c r="C75" s="112" t="s">
        <v>3266</v>
      </c>
      <c r="D75" s="112" t="s">
        <v>3372</v>
      </c>
      <c r="E75" s="112" t="s">
        <v>16</v>
      </c>
      <c r="F75" s="112" t="s">
        <v>3267</v>
      </c>
      <c r="H75" s="116" t="s">
        <v>1403</v>
      </c>
      <c r="L75" s="146">
        <v>0</v>
      </c>
      <c r="M75" s="146">
        <v>0</v>
      </c>
      <c r="N75" s="146">
        <v>0</v>
      </c>
      <c r="O75" s="146">
        <v>0</v>
      </c>
      <c r="P75" s="146">
        <v>0</v>
      </c>
      <c r="Q75" s="146">
        <v>0</v>
      </c>
      <c r="R75" s="146">
        <v>20</v>
      </c>
      <c r="S75" s="146">
        <v>20</v>
      </c>
      <c r="T75" s="146">
        <v>20</v>
      </c>
      <c r="U75" s="146">
        <v>20</v>
      </c>
      <c r="V75" s="146">
        <v>20</v>
      </c>
      <c r="W75" s="146">
        <v>20</v>
      </c>
      <c r="X75" s="146">
        <v>20</v>
      </c>
      <c r="Y75" s="146">
        <v>20</v>
      </c>
      <c r="Z75" s="146">
        <v>20</v>
      </c>
      <c r="AA75" s="146">
        <v>20</v>
      </c>
      <c r="AB75" s="146">
        <v>20</v>
      </c>
      <c r="AC75" s="146">
        <v>20</v>
      </c>
      <c r="AD75" s="146">
        <v>20</v>
      </c>
      <c r="AE75" s="146">
        <v>20</v>
      </c>
    </row>
    <row r="76" spans="2:31" x14ac:dyDescent="0.35">
      <c r="B76" s="112" t="s">
        <v>3374</v>
      </c>
      <c r="C76" s="112" t="s">
        <v>3269</v>
      </c>
      <c r="D76" s="112" t="s">
        <v>3372</v>
      </c>
      <c r="E76" s="112" t="s">
        <v>16</v>
      </c>
      <c r="F76" s="112" t="s">
        <v>3270</v>
      </c>
      <c r="H76" s="116" t="s">
        <v>1403</v>
      </c>
      <c r="L76" s="146">
        <v>0</v>
      </c>
      <c r="M76" s="146">
        <v>0</v>
      </c>
      <c r="N76" s="146">
        <v>0</v>
      </c>
      <c r="O76" s="146">
        <v>0</v>
      </c>
      <c r="P76" s="146">
        <v>0</v>
      </c>
      <c r="Q76" s="146">
        <v>0</v>
      </c>
      <c r="R76" s="146">
        <v>5</v>
      </c>
      <c r="S76" s="146">
        <v>12.5</v>
      </c>
      <c r="T76" s="146">
        <v>20</v>
      </c>
      <c r="U76" s="146">
        <v>27.5</v>
      </c>
      <c r="V76" s="146">
        <v>35</v>
      </c>
      <c r="W76" s="146">
        <v>42.5</v>
      </c>
      <c r="X76" s="146">
        <v>50</v>
      </c>
      <c r="Y76" s="146">
        <v>57.5</v>
      </c>
      <c r="Z76" s="146">
        <v>65</v>
      </c>
      <c r="AA76" s="146">
        <v>72.5</v>
      </c>
      <c r="AB76" s="146">
        <v>80</v>
      </c>
      <c r="AC76" s="146">
        <v>87.5</v>
      </c>
      <c r="AD76" s="146">
        <v>95</v>
      </c>
      <c r="AE76" s="146">
        <v>102.5</v>
      </c>
    </row>
    <row r="77" spans="2:31" x14ac:dyDescent="0.35">
      <c r="B77" s="112" t="s">
        <v>3375</v>
      </c>
      <c r="C77" s="112" t="s">
        <v>3272</v>
      </c>
      <c r="D77" s="112" t="s">
        <v>3372</v>
      </c>
      <c r="E77" s="112" t="s">
        <v>16</v>
      </c>
      <c r="F77" s="112" t="s">
        <v>3273</v>
      </c>
      <c r="H77" s="116" t="s">
        <v>1403</v>
      </c>
      <c r="L77" s="146">
        <v>0</v>
      </c>
      <c r="M77" s="146">
        <v>0</v>
      </c>
      <c r="N77" s="146">
        <v>0</v>
      </c>
      <c r="O77" s="146">
        <v>0</v>
      </c>
      <c r="P77" s="146">
        <v>0</v>
      </c>
      <c r="Q77" s="146">
        <v>0</v>
      </c>
      <c r="R77" s="146">
        <v>0</v>
      </c>
      <c r="S77" s="146">
        <v>0</v>
      </c>
      <c r="T77" s="146">
        <v>0</v>
      </c>
      <c r="U77" s="146">
        <v>0</v>
      </c>
      <c r="V77" s="146">
        <v>0</v>
      </c>
      <c r="W77" s="146">
        <v>0</v>
      </c>
      <c r="X77" s="146">
        <v>0</v>
      </c>
      <c r="Y77" s="146">
        <v>0</v>
      </c>
      <c r="Z77" s="146">
        <v>0</v>
      </c>
      <c r="AA77" s="146">
        <v>0</v>
      </c>
      <c r="AB77" s="146">
        <v>0</v>
      </c>
      <c r="AC77" s="146">
        <v>0</v>
      </c>
      <c r="AD77" s="146">
        <v>0</v>
      </c>
      <c r="AE77" s="146">
        <v>0</v>
      </c>
    </row>
    <row r="78" spans="2:31" x14ac:dyDescent="0.35">
      <c r="B78" s="112" t="s">
        <v>3376</v>
      </c>
      <c r="C78" s="112" t="s">
        <v>3260</v>
      </c>
      <c r="D78" s="112" t="s">
        <v>3377</v>
      </c>
      <c r="E78" s="112" t="s">
        <v>16</v>
      </c>
      <c r="F78" s="112" t="s">
        <v>3263</v>
      </c>
      <c r="H78" s="116" t="s">
        <v>3378</v>
      </c>
      <c r="L78" s="146">
        <v>0</v>
      </c>
      <c r="M78" s="146">
        <v>0</v>
      </c>
      <c r="N78" s="146">
        <v>0</v>
      </c>
      <c r="O78" s="146">
        <v>0</v>
      </c>
      <c r="P78" s="146">
        <v>0</v>
      </c>
      <c r="Q78" s="146">
        <v>0</v>
      </c>
      <c r="R78" s="146">
        <v>19.783999999999999</v>
      </c>
      <c r="S78" s="146">
        <v>19.786000000000001</v>
      </c>
      <c r="T78" s="146">
        <v>19.8</v>
      </c>
      <c r="U78" s="146">
        <v>19.814</v>
      </c>
      <c r="V78" s="146">
        <v>19.835999999999999</v>
      </c>
      <c r="W78" s="146">
        <v>19.847000000000001</v>
      </c>
      <c r="X78" s="146">
        <v>19.856999999999999</v>
      </c>
      <c r="Y78" s="146">
        <v>19.867000000000001</v>
      </c>
      <c r="Z78" s="146">
        <v>19.876000000000001</v>
      </c>
      <c r="AA78" s="146">
        <v>19.884</v>
      </c>
      <c r="AB78" s="146">
        <v>19.890999999999998</v>
      </c>
      <c r="AC78" s="146">
        <v>19.896999999999998</v>
      </c>
      <c r="AD78" s="146">
        <v>19.902999999999999</v>
      </c>
      <c r="AE78" s="146">
        <v>19.908999999999999</v>
      </c>
    </row>
    <row r="79" spans="2:31" x14ac:dyDescent="0.35">
      <c r="B79" s="112" t="s">
        <v>3379</v>
      </c>
      <c r="C79" s="112" t="s">
        <v>3266</v>
      </c>
      <c r="D79" s="112" t="s">
        <v>3377</v>
      </c>
      <c r="E79" s="112" t="s">
        <v>16</v>
      </c>
      <c r="F79" s="112" t="s">
        <v>3267</v>
      </c>
      <c r="H79" s="116" t="s">
        <v>3378</v>
      </c>
      <c r="L79" s="146">
        <v>0</v>
      </c>
      <c r="M79" s="146">
        <v>0</v>
      </c>
      <c r="N79" s="146">
        <v>0</v>
      </c>
      <c r="O79" s="146">
        <v>0</v>
      </c>
      <c r="P79" s="146">
        <v>0</v>
      </c>
      <c r="Q79" s="146">
        <v>0</v>
      </c>
      <c r="R79" s="146">
        <v>19.783999999999999</v>
      </c>
      <c r="S79" s="146">
        <v>19.786000000000001</v>
      </c>
      <c r="T79" s="146">
        <v>19.800999999999998</v>
      </c>
      <c r="U79" s="146">
        <v>19.815000000000001</v>
      </c>
      <c r="V79" s="146">
        <v>19.838000000000001</v>
      </c>
      <c r="W79" s="146">
        <v>19.849</v>
      </c>
      <c r="X79" s="146">
        <v>19.86</v>
      </c>
      <c r="Y79" s="146">
        <v>19.87</v>
      </c>
      <c r="Z79" s="146">
        <v>19.88</v>
      </c>
      <c r="AA79" s="146">
        <v>19.888000000000002</v>
      </c>
      <c r="AB79" s="146">
        <v>19.896000000000001</v>
      </c>
      <c r="AC79" s="146">
        <v>19.904</v>
      </c>
      <c r="AD79" s="146">
        <v>19.91</v>
      </c>
      <c r="AE79" s="146">
        <v>19.917000000000002</v>
      </c>
    </row>
    <row r="80" spans="2:31" x14ac:dyDescent="0.35">
      <c r="B80" s="112" t="s">
        <v>3380</v>
      </c>
      <c r="C80" s="112" t="s">
        <v>3269</v>
      </c>
      <c r="D80" s="112" t="s">
        <v>3377</v>
      </c>
      <c r="E80" s="112" t="s">
        <v>16</v>
      </c>
      <c r="F80" s="112" t="s">
        <v>3270</v>
      </c>
      <c r="H80" s="116" t="s">
        <v>3378</v>
      </c>
      <c r="L80" s="146">
        <v>0</v>
      </c>
      <c r="M80" s="146">
        <v>0</v>
      </c>
      <c r="N80" s="146">
        <v>0</v>
      </c>
      <c r="O80" s="146">
        <v>0</v>
      </c>
      <c r="P80" s="146">
        <v>0</v>
      </c>
      <c r="Q80" s="146">
        <v>0</v>
      </c>
      <c r="R80" s="146">
        <v>0.84199999999999997</v>
      </c>
      <c r="S80" s="146">
        <v>1.931</v>
      </c>
      <c r="T80" s="146">
        <v>2.8069999999999999</v>
      </c>
      <c r="U80" s="146">
        <v>3.4319999999999999</v>
      </c>
      <c r="V80" s="146">
        <v>3.7040000000000002</v>
      </c>
      <c r="W80" s="146">
        <v>4.0430000000000001</v>
      </c>
      <c r="X80" s="146">
        <v>4.2709999999999999</v>
      </c>
      <c r="Y80" s="146">
        <v>4.41</v>
      </c>
      <c r="Z80" s="146">
        <v>4.4800000000000004</v>
      </c>
      <c r="AA80" s="146">
        <v>4.4950000000000001</v>
      </c>
      <c r="AB80" s="146">
        <v>4.4690000000000003</v>
      </c>
      <c r="AC80" s="146">
        <v>4.4119999999999999</v>
      </c>
      <c r="AD80" s="146">
        <v>4.3310000000000004</v>
      </c>
      <c r="AE80" s="146">
        <v>4.2370000000000001</v>
      </c>
    </row>
    <row r="81" spans="2:31" x14ac:dyDescent="0.35">
      <c r="B81" s="112" t="s">
        <v>3381</v>
      </c>
      <c r="C81" s="112" t="s">
        <v>3272</v>
      </c>
      <c r="D81" s="112" t="s">
        <v>3377</v>
      </c>
      <c r="E81" s="112" t="s">
        <v>16</v>
      </c>
      <c r="F81" s="112" t="s">
        <v>3273</v>
      </c>
      <c r="H81" s="116" t="s">
        <v>3378</v>
      </c>
      <c r="L81" s="146">
        <v>0</v>
      </c>
      <c r="M81" s="146">
        <v>0</v>
      </c>
      <c r="N81" s="146">
        <v>0</v>
      </c>
      <c r="O81" s="146">
        <v>0</v>
      </c>
      <c r="P81" s="146">
        <v>0</v>
      </c>
      <c r="Q81" s="146">
        <v>0</v>
      </c>
      <c r="R81" s="146">
        <v>0</v>
      </c>
      <c r="S81" s="146">
        <v>0</v>
      </c>
      <c r="T81" s="146">
        <v>0</v>
      </c>
      <c r="U81" s="146">
        <v>0</v>
      </c>
      <c r="V81" s="146">
        <v>0</v>
      </c>
      <c r="W81" s="146">
        <v>0</v>
      </c>
      <c r="X81" s="146">
        <v>0</v>
      </c>
      <c r="Y81" s="146">
        <v>0</v>
      </c>
      <c r="Z81" s="146">
        <v>0</v>
      </c>
      <c r="AA81" s="146">
        <v>0</v>
      </c>
      <c r="AB81" s="146">
        <v>0</v>
      </c>
      <c r="AC81" s="146">
        <v>0</v>
      </c>
      <c r="AD81" s="146">
        <v>0</v>
      </c>
      <c r="AE81" s="146">
        <v>0</v>
      </c>
    </row>
    <row r="82" spans="2:31" x14ac:dyDescent="0.35">
      <c r="B82" s="112" t="s">
        <v>3382</v>
      </c>
      <c r="C82" s="112" t="s">
        <v>3260</v>
      </c>
      <c r="D82" s="112" t="s">
        <v>3383</v>
      </c>
      <c r="E82" s="112" t="s">
        <v>1852</v>
      </c>
      <c r="F82" s="112" t="s">
        <v>3263</v>
      </c>
      <c r="H82" s="116" t="s">
        <v>3384</v>
      </c>
      <c r="L82" s="146">
        <v>52.2</v>
      </c>
      <c r="M82" s="146">
        <v>56.902999999999999</v>
      </c>
      <c r="N82" s="146">
        <v>67.484999999999999</v>
      </c>
      <c r="O82" s="146">
        <v>72.938000000000002</v>
      </c>
      <c r="P82" s="146">
        <v>75.02</v>
      </c>
      <c r="Q82" s="146">
        <v>77.454999999999998</v>
      </c>
      <c r="R82" s="146">
        <v>80.412000000000006</v>
      </c>
      <c r="S82" s="146">
        <v>83.271000000000001</v>
      </c>
      <c r="T82" s="146">
        <v>85.97</v>
      </c>
      <c r="U82" s="146">
        <v>88.71</v>
      </c>
      <c r="V82" s="146">
        <v>91.478999999999999</v>
      </c>
      <c r="W82" s="146">
        <v>94.296999999999997</v>
      </c>
      <c r="X82" s="146">
        <v>97.164000000000001</v>
      </c>
      <c r="Y82" s="146">
        <v>100.08</v>
      </c>
      <c r="Z82" s="146">
        <v>103.044</v>
      </c>
      <c r="AA82" s="146">
        <v>106.056</v>
      </c>
      <c r="AB82" s="146">
        <v>109.11499999999999</v>
      </c>
      <c r="AC82" s="146">
        <v>112.221</v>
      </c>
      <c r="AD82" s="146">
        <v>115.374</v>
      </c>
      <c r="AE82" s="146">
        <v>118.57299999999999</v>
      </c>
    </row>
    <row r="83" spans="2:31" x14ac:dyDescent="0.35">
      <c r="B83" s="112" t="s">
        <v>3385</v>
      </c>
      <c r="C83" s="112" t="s">
        <v>3266</v>
      </c>
      <c r="D83" s="112" t="s">
        <v>3383</v>
      </c>
      <c r="E83" s="112" t="s">
        <v>1852</v>
      </c>
      <c r="F83" s="112" t="s">
        <v>3267</v>
      </c>
      <c r="H83" s="116" t="s">
        <v>3384</v>
      </c>
      <c r="L83" s="146">
        <v>52.2</v>
      </c>
      <c r="M83" s="146">
        <v>56.902999999999999</v>
      </c>
      <c r="N83" s="146">
        <v>67.484999999999999</v>
      </c>
      <c r="O83" s="146">
        <v>72.938000000000002</v>
      </c>
      <c r="P83" s="146">
        <v>75.02</v>
      </c>
      <c r="Q83" s="146">
        <v>77.454999999999998</v>
      </c>
      <c r="R83" s="146">
        <v>80.412000000000006</v>
      </c>
      <c r="S83" s="146">
        <v>83.271000000000001</v>
      </c>
      <c r="T83" s="146">
        <v>85.97</v>
      </c>
      <c r="U83" s="146">
        <v>88.71</v>
      </c>
      <c r="V83" s="146">
        <v>91.478999999999999</v>
      </c>
      <c r="W83" s="146">
        <v>94.296999999999997</v>
      </c>
      <c r="X83" s="146">
        <v>97.164000000000001</v>
      </c>
      <c r="Y83" s="146">
        <v>100.08</v>
      </c>
      <c r="Z83" s="146">
        <v>103.044</v>
      </c>
      <c r="AA83" s="146">
        <v>106.056</v>
      </c>
      <c r="AB83" s="146">
        <v>109.11499999999999</v>
      </c>
      <c r="AC83" s="146">
        <v>112.221</v>
      </c>
      <c r="AD83" s="146">
        <v>115.374</v>
      </c>
      <c r="AE83" s="146">
        <v>118.57299999999999</v>
      </c>
    </row>
    <row r="84" spans="2:31" x14ac:dyDescent="0.35">
      <c r="B84" s="112" t="s">
        <v>3386</v>
      </c>
      <c r="C84" s="112" t="s">
        <v>3269</v>
      </c>
      <c r="D84" s="112" t="s">
        <v>3383</v>
      </c>
      <c r="E84" s="112" t="s">
        <v>1852</v>
      </c>
      <c r="F84" s="112" t="s">
        <v>3270</v>
      </c>
      <c r="H84" s="116" t="s">
        <v>3384</v>
      </c>
      <c r="L84" s="146">
        <v>52.2</v>
      </c>
      <c r="M84" s="146">
        <v>56.902999999999999</v>
      </c>
      <c r="N84" s="146">
        <v>67.484999999999999</v>
      </c>
      <c r="O84" s="146">
        <v>72.938000000000002</v>
      </c>
      <c r="P84" s="146">
        <v>75.02</v>
      </c>
      <c r="Q84" s="146">
        <v>77.454999999999998</v>
      </c>
      <c r="R84" s="146">
        <v>80.412000000000006</v>
      </c>
      <c r="S84" s="146">
        <v>83.271000000000001</v>
      </c>
      <c r="T84" s="146">
        <v>85.97</v>
      </c>
      <c r="U84" s="146">
        <v>88.71</v>
      </c>
      <c r="V84" s="146">
        <v>91.478999999999999</v>
      </c>
      <c r="W84" s="146">
        <v>94.296999999999997</v>
      </c>
      <c r="X84" s="146">
        <v>97.164000000000001</v>
      </c>
      <c r="Y84" s="146">
        <v>100.08</v>
      </c>
      <c r="Z84" s="146">
        <v>103.044</v>
      </c>
      <c r="AA84" s="146">
        <v>106.056</v>
      </c>
      <c r="AB84" s="146">
        <v>109.11499999999999</v>
      </c>
      <c r="AC84" s="146">
        <v>112.221</v>
      </c>
      <c r="AD84" s="146">
        <v>115.374</v>
      </c>
      <c r="AE84" s="146">
        <v>118.57299999999999</v>
      </c>
    </row>
    <row r="85" spans="2:31" x14ac:dyDescent="0.35">
      <c r="B85" s="112" t="s">
        <v>3387</v>
      </c>
      <c r="C85" s="112" t="s">
        <v>3272</v>
      </c>
      <c r="D85" s="112" t="s">
        <v>3383</v>
      </c>
      <c r="E85" s="112" t="s">
        <v>1852</v>
      </c>
      <c r="F85" s="112" t="s">
        <v>3273</v>
      </c>
      <c r="H85" s="116" t="s">
        <v>3384</v>
      </c>
      <c r="L85" s="146">
        <v>52.2</v>
      </c>
      <c r="M85" s="146">
        <v>56.902999999999999</v>
      </c>
      <c r="N85" s="146">
        <v>67.484999999999999</v>
      </c>
      <c r="O85" s="146">
        <v>72.938000000000002</v>
      </c>
      <c r="P85" s="146">
        <v>75.02</v>
      </c>
      <c r="Q85" s="146">
        <v>77.454999999999998</v>
      </c>
      <c r="R85" s="146">
        <v>80.412000000000006</v>
      </c>
      <c r="S85" s="146">
        <v>83.271000000000001</v>
      </c>
      <c r="T85" s="146">
        <v>85.97</v>
      </c>
      <c r="U85" s="146">
        <v>88.71</v>
      </c>
      <c r="V85" s="146">
        <v>91.478999999999999</v>
      </c>
      <c r="W85" s="146">
        <v>94.296999999999997</v>
      </c>
      <c r="X85" s="146">
        <v>97.164000000000001</v>
      </c>
      <c r="Y85" s="146">
        <v>100.08</v>
      </c>
      <c r="Z85" s="146">
        <v>103.044</v>
      </c>
      <c r="AA85" s="146">
        <v>106.056</v>
      </c>
      <c r="AB85" s="146">
        <v>109.11499999999999</v>
      </c>
      <c r="AC85" s="146">
        <v>112.221</v>
      </c>
      <c r="AD85" s="146">
        <v>115.374</v>
      </c>
      <c r="AE85" s="146">
        <v>118.57299999999999</v>
      </c>
    </row>
    <row r="86" spans="2:31" x14ac:dyDescent="0.35">
      <c r="B86" s="112" t="s">
        <v>3388</v>
      </c>
      <c r="C86" s="112" t="s">
        <v>3260</v>
      </c>
      <c r="D86" s="112" t="s">
        <v>3389</v>
      </c>
      <c r="E86" s="112" t="s">
        <v>1852</v>
      </c>
      <c r="F86" s="112" t="s">
        <v>3263</v>
      </c>
      <c r="H86" s="116" t="s">
        <v>3390</v>
      </c>
      <c r="L86" s="146">
        <v>52.2</v>
      </c>
      <c r="M86" s="146">
        <v>56.902999999999999</v>
      </c>
      <c r="N86" s="146">
        <v>67.484999999999999</v>
      </c>
      <c r="O86" s="146">
        <v>72.938000000000002</v>
      </c>
      <c r="P86" s="146">
        <v>75.02</v>
      </c>
      <c r="Q86" s="146">
        <v>77.454999999999998</v>
      </c>
      <c r="R86" s="146">
        <v>68.415000000000006</v>
      </c>
      <c r="S86" s="146">
        <v>71.459999999999994</v>
      </c>
      <c r="T86" s="146">
        <v>74.015000000000001</v>
      </c>
      <c r="U86" s="146">
        <v>76.510999999999996</v>
      </c>
      <c r="V86" s="146">
        <v>79.001999999999995</v>
      </c>
      <c r="W86" s="146">
        <v>81.600999999999999</v>
      </c>
      <c r="X86" s="146">
        <v>84.373999999999995</v>
      </c>
      <c r="Y86" s="146">
        <v>87.287999999999997</v>
      </c>
      <c r="Z86" s="146">
        <v>90.378</v>
      </c>
      <c r="AA86" s="146">
        <v>93.718000000000004</v>
      </c>
      <c r="AB86" s="146">
        <v>97.298000000000002</v>
      </c>
      <c r="AC86" s="146">
        <v>101.117</v>
      </c>
      <c r="AD86" s="146">
        <v>105.121</v>
      </c>
      <c r="AE86" s="146">
        <v>109.29</v>
      </c>
    </row>
    <row r="87" spans="2:31" x14ac:dyDescent="0.35">
      <c r="B87" s="112" t="s">
        <v>3391</v>
      </c>
      <c r="C87" s="112" t="s">
        <v>3266</v>
      </c>
      <c r="D87" s="112" t="s">
        <v>3389</v>
      </c>
      <c r="E87" s="112" t="s">
        <v>1852</v>
      </c>
      <c r="F87" s="112" t="s">
        <v>3267</v>
      </c>
      <c r="H87" s="116" t="s">
        <v>3390</v>
      </c>
      <c r="L87" s="146">
        <v>52.2</v>
      </c>
      <c r="M87" s="146">
        <v>56.902999999999999</v>
      </c>
      <c r="N87" s="146">
        <v>67.484999999999999</v>
      </c>
      <c r="O87" s="146">
        <v>72.938000000000002</v>
      </c>
      <c r="P87" s="146">
        <v>75.02</v>
      </c>
      <c r="Q87" s="146">
        <v>77.454999999999998</v>
      </c>
      <c r="R87" s="146">
        <v>68.415000000000006</v>
      </c>
      <c r="S87" s="146">
        <v>71.165000000000006</v>
      </c>
      <c r="T87" s="146">
        <v>73.406999999999996</v>
      </c>
      <c r="U87" s="146">
        <v>75.62</v>
      </c>
      <c r="V87" s="146">
        <v>77.837999999999994</v>
      </c>
      <c r="W87" s="146">
        <v>80.12</v>
      </c>
      <c r="X87" s="146">
        <v>82.451999999999998</v>
      </c>
      <c r="Y87" s="146">
        <v>84.828999999999994</v>
      </c>
      <c r="Z87" s="146">
        <v>87.278000000000006</v>
      </c>
      <c r="AA87" s="146">
        <v>89.807000000000002</v>
      </c>
      <c r="AB87" s="146">
        <v>92.382000000000005</v>
      </c>
      <c r="AC87" s="146">
        <v>95.015000000000001</v>
      </c>
      <c r="AD87" s="146">
        <v>97.691000000000003</v>
      </c>
      <c r="AE87" s="146">
        <v>100.43</v>
      </c>
    </row>
    <row r="88" spans="2:31" x14ac:dyDescent="0.35">
      <c r="B88" s="112" t="s">
        <v>3392</v>
      </c>
      <c r="C88" s="112" t="s">
        <v>3269</v>
      </c>
      <c r="D88" s="112" t="s">
        <v>3389</v>
      </c>
      <c r="E88" s="112" t="s">
        <v>1852</v>
      </c>
      <c r="F88" s="112" t="s">
        <v>3270</v>
      </c>
      <c r="H88" s="116" t="s">
        <v>3390</v>
      </c>
      <c r="L88" s="146">
        <v>52.2</v>
      </c>
      <c r="M88" s="146">
        <v>56.902999999999999</v>
      </c>
      <c r="N88" s="146">
        <v>67.484999999999999</v>
      </c>
      <c r="O88" s="146">
        <v>72.938000000000002</v>
      </c>
      <c r="P88" s="146">
        <v>75.02</v>
      </c>
      <c r="Q88" s="146">
        <v>77.454999999999998</v>
      </c>
      <c r="R88" s="146">
        <v>78.14</v>
      </c>
      <c r="S88" s="146">
        <v>77.872</v>
      </c>
      <c r="T88" s="146">
        <v>77.707999999999998</v>
      </c>
      <c r="U88" s="146">
        <v>76.436000000000007</v>
      </c>
      <c r="V88" s="146">
        <v>75.021000000000001</v>
      </c>
      <c r="W88" s="146">
        <v>74.06</v>
      </c>
      <c r="X88" s="146">
        <v>73.435000000000002</v>
      </c>
      <c r="Y88" s="146">
        <v>73.049000000000007</v>
      </c>
      <c r="Z88" s="146">
        <v>72.87</v>
      </c>
      <c r="AA88" s="146">
        <v>72.853999999999999</v>
      </c>
      <c r="AB88" s="146">
        <v>72.988</v>
      </c>
      <c r="AC88" s="146">
        <v>73.254999999999995</v>
      </c>
      <c r="AD88" s="146">
        <v>73.632999999999996</v>
      </c>
      <c r="AE88" s="146">
        <v>74.106999999999999</v>
      </c>
    </row>
    <row r="89" spans="2:31" x14ac:dyDescent="0.35">
      <c r="B89" s="112" t="s">
        <v>3393</v>
      </c>
      <c r="C89" s="112" t="s">
        <v>3272</v>
      </c>
      <c r="D89" s="112" t="s">
        <v>3389</v>
      </c>
      <c r="E89" s="112" t="s">
        <v>1852</v>
      </c>
      <c r="F89" s="112" t="s">
        <v>3273</v>
      </c>
      <c r="H89" s="116" t="s">
        <v>3390</v>
      </c>
      <c r="L89" s="146">
        <v>52.2</v>
      </c>
      <c r="M89" s="146">
        <v>56.902999999999999</v>
      </c>
      <c r="N89" s="146">
        <v>67.484999999999999</v>
      </c>
      <c r="O89" s="146">
        <v>72.938000000000002</v>
      </c>
      <c r="P89" s="146">
        <v>75.02</v>
      </c>
      <c r="Q89" s="146">
        <v>77.454999999999998</v>
      </c>
      <c r="R89" s="146">
        <v>80.412000000000006</v>
      </c>
      <c r="S89" s="146">
        <v>83.305000000000007</v>
      </c>
      <c r="T89" s="146">
        <v>86.076999999999998</v>
      </c>
      <c r="U89" s="146">
        <v>88.921000000000006</v>
      </c>
      <c r="V89" s="146">
        <v>91.831000000000003</v>
      </c>
      <c r="W89" s="146">
        <v>94.87</v>
      </c>
      <c r="X89" s="146">
        <v>98.07</v>
      </c>
      <c r="Y89" s="146">
        <v>101.562</v>
      </c>
      <c r="Z89" s="146">
        <v>105.486</v>
      </c>
      <c r="AA89" s="146">
        <v>110.08499999999999</v>
      </c>
      <c r="AB89" s="146">
        <v>115.65600000000001</v>
      </c>
      <c r="AC89" s="146">
        <v>122.614</v>
      </c>
      <c r="AD89" s="146">
        <v>131.55000000000001</v>
      </c>
      <c r="AE89" s="146">
        <v>140.744</v>
      </c>
    </row>
    <row r="90" spans="2:31" x14ac:dyDescent="0.35">
      <c r="B90" s="112" t="s">
        <v>3394</v>
      </c>
      <c r="C90" s="112" t="s">
        <v>3260</v>
      </c>
      <c r="D90" s="112" t="s">
        <v>3395</v>
      </c>
      <c r="E90" s="112" t="s">
        <v>1852</v>
      </c>
      <c r="F90" s="112" t="s">
        <v>3263</v>
      </c>
      <c r="H90" s="116" t="s">
        <v>3396</v>
      </c>
      <c r="L90" s="146">
        <v>400.91199999999998</v>
      </c>
      <c r="M90" s="146">
        <v>417.87799999999999</v>
      </c>
      <c r="N90" s="146">
        <v>450.28</v>
      </c>
      <c r="O90" s="146">
        <v>474.66800000000001</v>
      </c>
      <c r="P90" s="146">
        <v>488.83699999999999</v>
      </c>
      <c r="Q90" s="146">
        <v>507.334</v>
      </c>
      <c r="R90" s="146">
        <v>531.74699999999996</v>
      </c>
      <c r="S90" s="146">
        <v>560.63599999999997</v>
      </c>
      <c r="T90" s="146">
        <v>594.15599999999995</v>
      </c>
      <c r="U90" s="146">
        <v>637.81200000000001</v>
      </c>
      <c r="V90" s="146">
        <v>701.79399999999998</v>
      </c>
      <c r="W90" s="146">
        <v>772.31500000000005</v>
      </c>
      <c r="X90" s="146">
        <v>835.74800000000005</v>
      </c>
      <c r="Y90" s="146">
        <v>906.16600000000005</v>
      </c>
      <c r="Z90" s="146">
        <v>983.29399999999998</v>
      </c>
      <c r="AA90" s="146">
        <v>1067.761</v>
      </c>
      <c r="AB90" s="146">
        <v>1160.0530000000001</v>
      </c>
      <c r="AC90" s="146">
        <v>1260.6389999999999</v>
      </c>
      <c r="AD90" s="146">
        <v>1370.0440000000001</v>
      </c>
      <c r="AE90" s="146">
        <v>1487.8579999999999</v>
      </c>
    </row>
    <row r="91" spans="2:31" x14ac:dyDescent="0.35">
      <c r="B91" s="112" t="s">
        <v>3397</v>
      </c>
      <c r="C91" s="112" t="s">
        <v>3266</v>
      </c>
      <c r="D91" s="112" t="s">
        <v>3395</v>
      </c>
      <c r="E91" s="112" t="s">
        <v>1852</v>
      </c>
      <c r="F91" s="112" t="s">
        <v>3267</v>
      </c>
      <c r="H91" s="116" t="s">
        <v>3396</v>
      </c>
      <c r="L91" s="146">
        <v>400.91199999999998</v>
      </c>
      <c r="M91" s="146">
        <v>417.87799999999999</v>
      </c>
      <c r="N91" s="146">
        <v>450.28</v>
      </c>
      <c r="O91" s="146">
        <v>474.66800000000001</v>
      </c>
      <c r="P91" s="146">
        <v>488.83699999999999</v>
      </c>
      <c r="Q91" s="146">
        <v>507.334</v>
      </c>
      <c r="R91" s="146">
        <v>531.74699999999996</v>
      </c>
      <c r="S91" s="146">
        <v>560.63599999999997</v>
      </c>
      <c r="T91" s="146">
        <v>594.15599999999995</v>
      </c>
      <c r="U91" s="146">
        <v>637.81200000000001</v>
      </c>
      <c r="V91" s="146">
        <v>701.79399999999998</v>
      </c>
      <c r="W91" s="146">
        <v>772.31500000000005</v>
      </c>
      <c r="X91" s="146">
        <v>835.74800000000005</v>
      </c>
      <c r="Y91" s="146">
        <v>906.16600000000005</v>
      </c>
      <c r="Z91" s="146">
        <v>983.29399999999998</v>
      </c>
      <c r="AA91" s="146">
        <v>1067.761</v>
      </c>
      <c r="AB91" s="146">
        <v>1160.0530000000001</v>
      </c>
      <c r="AC91" s="146">
        <v>1260.6389999999999</v>
      </c>
      <c r="AD91" s="146">
        <v>1370.0440000000001</v>
      </c>
      <c r="AE91" s="146">
        <v>1487.8579999999999</v>
      </c>
    </row>
    <row r="92" spans="2:31" x14ac:dyDescent="0.35">
      <c r="B92" s="112" t="s">
        <v>3398</v>
      </c>
      <c r="C92" s="112" t="s">
        <v>3269</v>
      </c>
      <c r="D92" s="112" t="s">
        <v>3395</v>
      </c>
      <c r="E92" s="112" t="s">
        <v>1852</v>
      </c>
      <c r="F92" s="112" t="s">
        <v>3270</v>
      </c>
      <c r="H92" s="116" t="s">
        <v>3396</v>
      </c>
      <c r="L92" s="146">
        <v>400.91199999999998</v>
      </c>
      <c r="M92" s="146">
        <v>417.87799999999999</v>
      </c>
      <c r="N92" s="146">
        <v>450.28</v>
      </c>
      <c r="O92" s="146">
        <v>474.66800000000001</v>
      </c>
      <c r="P92" s="146">
        <v>488.83699999999999</v>
      </c>
      <c r="Q92" s="146">
        <v>507.334</v>
      </c>
      <c r="R92" s="146">
        <v>531.74699999999996</v>
      </c>
      <c r="S92" s="146">
        <v>560.63599999999997</v>
      </c>
      <c r="T92" s="146">
        <v>594.15599999999995</v>
      </c>
      <c r="U92" s="146">
        <v>637.81200000000001</v>
      </c>
      <c r="V92" s="146">
        <v>701.79399999999998</v>
      </c>
      <c r="W92" s="146">
        <v>772.31500000000005</v>
      </c>
      <c r="X92" s="146">
        <v>835.74800000000005</v>
      </c>
      <c r="Y92" s="146">
        <v>906.16600000000005</v>
      </c>
      <c r="Z92" s="146">
        <v>983.29399999999998</v>
      </c>
      <c r="AA92" s="146">
        <v>1067.761</v>
      </c>
      <c r="AB92" s="146">
        <v>1160.0530000000001</v>
      </c>
      <c r="AC92" s="146">
        <v>1260.6389999999999</v>
      </c>
      <c r="AD92" s="146">
        <v>1370.0440000000001</v>
      </c>
      <c r="AE92" s="146">
        <v>1487.8579999999999</v>
      </c>
    </row>
    <row r="93" spans="2:31" x14ac:dyDescent="0.35">
      <c r="B93" s="112" t="s">
        <v>3399</v>
      </c>
      <c r="C93" s="112" t="s">
        <v>3272</v>
      </c>
      <c r="D93" s="112" t="s">
        <v>3395</v>
      </c>
      <c r="E93" s="112" t="s">
        <v>1852</v>
      </c>
      <c r="F93" s="112" t="s">
        <v>3273</v>
      </c>
      <c r="H93" s="116" t="s">
        <v>3396</v>
      </c>
      <c r="L93" s="146">
        <v>400.91199999999998</v>
      </c>
      <c r="M93" s="146">
        <v>417.87799999999999</v>
      </c>
      <c r="N93" s="146">
        <v>450.28</v>
      </c>
      <c r="O93" s="146">
        <v>474.66800000000001</v>
      </c>
      <c r="P93" s="146">
        <v>488.83699999999999</v>
      </c>
      <c r="Q93" s="146">
        <v>507.334</v>
      </c>
      <c r="R93" s="146">
        <v>531.74699999999996</v>
      </c>
      <c r="S93" s="146">
        <v>560.63599999999997</v>
      </c>
      <c r="T93" s="146">
        <v>594.15599999999995</v>
      </c>
      <c r="U93" s="146">
        <v>637.81200000000001</v>
      </c>
      <c r="V93" s="146">
        <v>701.79399999999998</v>
      </c>
      <c r="W93" s="146">
        <v>772.31500000000005</v>
      </c>
      <c r="X93" s="146">
        <v>835.74800000000005</v>
      </c>
      <c r="Y93" s="146">
        <v>906.16600000000005</v>
      </c>
      <c r="Z93" s="146">
        <v>983.29399999999998</v>
      </c>
      <c r="AA93" s="146">
        <v>1067.761</v>
      </c>
      <c r="AB93" s="146">
        <v>1160.0530000000001</v>
      </c>
      <c r="AC93" s="146">
        <v>1260.6389999999999</v>
      </c>
      <c r="AD93" s="146">
        <v>1370.0440000000001</v>
      </c>
      <c r="AE93" s="146">
        <v>1487.8579999999999</v>
      </c>
    </row>
    <row r="94" spans="2:31" x14ac:dyDescent="0.35">
      <c r="B94" s="112" t="s">
        <v>3400</v>
      </c>
      <c r="C94" s="112" t="s">
        <v>3260</v>
      </c>
      <c r="D94" s="112" t="s">
        <v>3401</v>
      </c>
      <c r="E94" s="112" t="s">
        <v>1852</v>
      </c>
      <c r="F94" s="112" t="s">
        <v>3263</v>
      </c>
      <c r="H94" s="116" t="s">
        <v>3402</v>
      </c>
      <c r="L94" s="146">
        <v>400.91199999999998</v>
      </c>
      <c r="M94" s="146">
        <v>417.779</v>
      </c>
      <c r="N94" s="146">
        <v>450.16500000000002</v>
      </c>
      <c r="O94" s="146">
        <v>474.55700000000002</v>
      </c>
      <c r="P94" s="146">
        <v>488.72800000000001</v>
      </c>
      <c r="Q94" s="146">
        <v>507.15600000000001</v>
      </c>
      <c r="R94" s="146">
        <v>497.15</v>
      </c>
      <c r="S94" s="146">
        <v>517.96299999999997</v>
      </c>
      <c r="T94" s="146">
        <v>555.279</v>
      </c>
      <c r="U94" s="146">
        <v>598.30100000000004</v>
      </c>
      <c r="V94" s="146">
        <v>667.41700000000003</v>
      </c>
      <c r="W94" s="146">
        <v>723.178</v>
      </c>
      <c r="X94" s="146">
        <v>784.76800000000003</v>
      </c>
      <c r="Y94" s="146">
        <v>853.19</v>
      </c>
      <c r="Z94" s="146">
        <v>928.76499999999999</v>
      </c>
      <c r="AA94" s="146">
        <v>1012.0069999999999</v>
      </c>
      <c r="AB94" s="146">
        <v>1103.4390000000001</v>
      </c>
      <c r="AC94" s="146">
        <v>1203.5229999999999</v>
      </c>
      <c r="AD94" s="146">
        <v>1312.6610000000001</v>
      </c>
      <c r="AE94" s="146">
        <v>1430.405</v>
      </c>
    </row>
    <row r="95" spans="2:31" x14ac:dyDescent="0.35">
      <c r="B95" s="112" t="s">
        <v>3403</v>
      </c>
      <c r="C95" s="112" t="s">
        <v>3266</v>
      </c>
      <c r="D95" s="112" t="s">
        <v>3401</v>
      </c>
      <c r="E95" s="112" t="s">
        <v>1852</v>
      </c>
      <c r="F95" s="112" t="s">
        <v>3267</v>
      </c>
      <c r="H95" s="116" t="s">
        <v>3402</v>
      </c>
      <c r="L95" s="146">
        <v>400.91199999999998</v>
      </c>
      <c r="M95" s="146">
        <v>417.779</v>
      </c>
      <c r="N95" s="146">
        <v>450.16500000000002</v>
      </c>
      <c r="O95" s="146">
        <v>474.55700000000002</v>
      </c>
      <c r="P95" s="146">
        <v>488.72800000000001</v>
      </c>
      <c r="Q95" s="146">
        <v>507.15600000000001</v>
      </c>
      <c r="R95" s="146">
        <v>497.15</v>
      </c>
      <c r="S95" s="146">
        <v>516.83199999999999</v>
      </c>
      <c r="T95" s="146">
        <v>553.154</v>
      </c>
      <c r="U95" s="146">
        <v>594.93200000000002</v>
      </c>
      <c r="V95" s="146">
        <v>662.98599999999999</v>
      </c>
      <c r="W95" s="146">
        <v>718.69100000000003</v>
      </c>
      <c r="X95" s="146">
        <v>779.16200000000003</v>
      </c>
      <c r="Y95" s="146">
        <v>846.23800000000006</v>
      </c>
      <c r="Z95" s="146">
        <v>920.21900000000005</v>
      </c>
      <c r="AA95" s="146">
        <v>1001.454</v>
      </c>
      <c r="AB95" s="146">
        <v>1090.415</v>
      </c>
      <c r="AC95" s="146">
        <v>1187.5920000000001</v>
      </c>
      <c r="AD95" s="146">
        <v>1293.482</v>
      </c>
      <c r="AE95" s="146">
        <v>1407.72</v>
      </c>
    </row>
    <row r="96" spans="2:31" x14ac:dyDescent="0.35">
      <c r="B96" s="112" t="s">
        <v>3404</v>
      </c>
      <c r="C96" s="112" t="s">
        <v>3269</v>
      </c>
      <c r="D96" s="112" t="s">
        <v>3401</v>
      </c>
      <c r="E96" s="112" t="s">
        <v>1852</v>
      </c>
      <c r="F96" s="112" t="s">
        <v>3270</v>
      </c>
      <c r="H96" s="116" t="s">
        <v>3402</v>
      </c>
      <c r="L96" s="146">
        <v>400.91199999999998</v>
      </c>
      <c r="M96" s="146">
        <v>417.87400000000002</v>
      </c>
      <c r="N96" s="146">
        <v>450.27499999999998</v>
      </c>
      <c r="O96" s="146">
        <v>474.66300000000001</v>
      </c>
      <c r="P96" s="146">
        <v>488.83300000000003</v>
      </c>
      <c r="Q96" s="146">
        <v>507.29399999999998</v>
      </c>
      <c r="R96" s="146">
        <v>525.95600000000002</v>
      </c>
      <c r="S96" s="146">
        <v>546.53</v>
      </c>
      <c r="T96" s="146">
        <v>572.61400000000003</v>
      </c>
      <c r="U96" s="146">
        <v>607.83799999999997</v>
      </c>
      <c r="V96" s="146">
        <v>668.18</v>
      </c>
      <c r="W96" s="146">
        <v>713.41800000000001</v>
      </c>
      <c r="X96" s="146">
        <v>765.05</v>
      </c>
      <c r="Y96" s="146">
        <v>823.14400000000001</v>
      </c>
      <c r="Z96" s="146">
        <v>887.99400000000003</v>
      </c>
      <c r="AA96" s="146">
        <v>959.81799999999998</v>
      </c>
      <c r="AB96" s="146">
        <v>1039.175</v>
      </c>
      <c r="AC96" s="146">
        <v>1126.569</v>
      </c>
      <c r="AD96" s="146">
        <v>1222.5160000000001</v>
      </c>
      <c r="AE96" s="146">
        <v>1326.681</v>
      </c>
    </row>
    <row r="97" spans="2:31" x14ac:dyDescent="0.35">
      <c r="B97" s="112" t="s">
        <v>3405</v>
      </c>
      <c r="C97" s="112" t="s">
        <v>3272</v>
      </c>
      <c r="D97" s="112" t="s">
        <v>3401</v>
      </c>
      <c r="E97" s="112" t="s">
        <v>1852</v>
      </c>
      <c r="F97" s="112" t="s">
        <v>3273</v>
      </c>
      <c r="H97" s="116" t="s">
        <v>3402</v>
      </c>
      <c r="L97" s="146">
        <v>400.91199999999998</v>
      </c>
      <c r="M97" s="146">
        <v>417.87799999999999</v>
      </c>
      <c r="N97" s="146">
        <v>450.28</v>
      </c>
      <c r="O97" s="146">
        <v>474.66800000000001</v>
      </c>
      <c r="P97" s="146">
        <v>488.83699999999999</v>
      </c>
      <c r="Q97" s="146">
        <v>507.334</v>
      </c>
      <c r="R97" s="146">
        <v>531.74699999999996</v>
      </c>
      <c r="S97" s="146">
        <v>554.16099999999994</v>
      </c>
      <c r="T97" s="146">
        <v>584.53899999999999</v>
      </c>
      <c r="U97" s="146">
        <v>625.25900000000001</v>
      </c>
      <c r="V97" s="146">
        <v>679.52499999999998</v>
      </c>
      <c r="W97" s="146">
        <v>752.91800000000001</v>
      </c>
      <c r="X97" s="146">
        <v>812.11800000000005</v>
      </c>
      <c r="Y97" s="146">
        <v>877.48900000000003</v>
      </c>
      <c r="Z97" s="146">
        <v>949.23500000000001</v>
      </c>
      <c r="AA97" s="146">
        <v>1028.2429999999999</v>
      </c>
      <c r="AB97" s="146">
        <v>1115.5139999999999</v>
      </c>
      <c r="AC97" s="146">
        <v>1212.299</v>
      </c>
      <c r="AD97" s="146">
        <v>1320.2629999999999</v>
      </c>
      <c r="AE97" s="146">
        <v>1435.0740000000001</v>
      </c>
    </row>
    <row r="98" spans="2:31" x14ac:dyDescent="0.35">
      <c r="B98" s="112" t="s">
        <v>3406</v>
      </c>
      <c r="C98" s="112" t="s">
        <v>3260</v>
      </c>
      <c r="D98" s="112" t="s">
        <v>3407</v>
      </c>
      <c r="E98" s="112" t="s">
        <v>3408</v>
      </c>
      <c r="F98" s="112" t="s">
        <v>3263</v>
      </c>
      <c r="H98" s="116" t="s">
        <v>3409</v>
      </c>
      <c r="L98" s="146">
        <v>0</v>
      </c>
      <c r="M98" s="146">
        <v>0</v>
      </c>
      <c r="N98" s="146">
        <v>0</v>
      </c>
      <c r="O98" s="146">
        <v>0</v>
      </c>
      <c r="P98" s="146">
        <v>0</v>
      </c>
      <c r="Q98" s="146">
        <v>0</v>
      </c>
      <c r="R98" s="146">
        <v>0.15</v>
      </c>
      <c r="S98" s="146">
        <v>0.15</v>
      </c>
      <c r="T98" s="146">
        <v>0.16</v>
      </c>
      <c r="U98" s="146">
        <v>0.16</v>
      </c>
      <c r="V98" s="146">
        <v>0.16</v>
      </c>
      <c r="W98" s="146">
        <v>0.17</v>
      </c>
      <c r="X98" s="146">
        <v>0.17</v>
      </c>
      <c r="Y98" s="146">
        <v>0.17</v>
      </c>
      <c r="Z98" s="146">
        <v>0.18</v>
      </c>
      <c r="AA98" s="146">
        <v>0.18</v>
      </c>
      <c r="AB98" s="146">
        <v>0.18</v>
      </c>
      <c r="AC98" s="146">
        <v>0.19</v>
      </c>
      <c r="AD98" s="146">
        <v>0.19</v>
      </c>
      <c r="AE98" s="146">
        <v>0.2</v>
      </c>
    </row>
    <row r="99" spans="2:31" x14ac:dyDescent="0.35">
      <c r="B99" s="112" t="s">
        <v>3410</v>
      </c>
      <c r="C99" s="112" t="s">
        <v>3266</v>
      </c>
      <c r="D99" s="112" t="s">
        <v>3407</v>
      </c>
      <c r="E99" s="112" t="s">
        <v>3408</v>
      </c>
      <c r="F99" s="112" t="s">
        <v>3267</v>
      </c>
      <c r="H99" s="116" t="s">
        <v>3409</v>
      </c>
      <c r="L99" s="146">
        <v>0</v>
      </c>
      <c r="M99" s="146">
        <v>0</v>
      </c>
      <c r="N99" s="146">
        <v>0</v>
      </c>
      <c r="O99" s="146">
        <v>0</v>
      </c>
      <c r="P99" s="146">
        <v>0</v>
      </c>
      <c r="Q99" s="146">
        <v>0</v>
      </c>
      <c r="R99" s="146">
        <v>0.15</v>
      </c>
      <c r="S99" s="146">
        <v>0.15</v>
      </c>
      <c r="T99" s="146">
        <v>0.16</v>
      </c>
      <c r="U99" s="146">
        <v>0.16</v>
      </c>
      <c r="V99" s="146">
        <v>0.16</v>
      </c>
      <c r="W99" s="146">
        <v>0.16</v>
      </c>
      <c r="X99" s="146">
        <v>0.17</v>
      </c>
      <c r="Y99" s="146">
        <v>0.17</v>
      </c>
      <c r="Z99" s="146">
        <v>0.17</v>
      </c>
      <c r="AA99" s="146">
        <v>0.18</v>
      </c>
      <c r="AB99" s="146">
        <v>0.18</v>
      </c>
      <c r="AC99" s="146">
        <v>0.18</v>
      </c>
      <c r="AD99" s="146">
        <v>0.18</v>
      </c>
      <c r="AE99" s="146">
        <v>0.19</v>
      </c>
    </row>
    <row r="100" spans="2:31" x14ac:dyDescent="0.35">
      <c r="B100" s="112" t="s">
        <v>3411</v>
      </c>
      <c r="C100" s="112" t="s">
        <v>3269</v>
      </c>
      <c r="D100" s="112" t="s">
        <v>3407</v>
      </c>
      <c r="E100" s="112" t="s">
        <v>3408</v>
      </c>
      <c r="F100" s="112" t="s">
        <v>3270</v>
      </c>
      <c r="H100" s="116" t="s">
        <v>3409</v>
      </c>
      <c r="L100" s="146">
        <v>0</v>
      </c>
      <c r="M100" s="146">
        <v>0</v>
      </c>
      <c r="N100" s="146">
        <v>0</v>
      </c>
      <c r="O100" s="146">
        <v>0</v>
      </c>
      <c r="P100" s="146">
        <v>0</v>
      </c>
      <c r="Q100" s="146">
        <v>0</v>
      </c>
      <c r="R100" s="146">
        <v>0.04</v>
      </c>
      <c r="S100" s="146">
        <v>0.1</v>
      </c>
      <c r="T100" s="146">
        <v>0.16</v>
      </c>
      <c r="U100" s="146">
        <v>0.21</v>
      </c>
      <c r="V100" s="146">
        <v>0.26</v>
      </c>
      <c r="W100" s="146">
        <v>0.31</v>
      </c>
      <c r="X100" s="146">
        <v>0.35</v>
      </c>
      <c r="Y100" s="146">
        <v>0.4</v>
      </c>
      <c r="Z100" s="146">
        <v>0.45</v>
      </c>
      <c r="AA100" s="146">
        <v>0.49</v>
      </c>
      <c r="AB100" s="146">
        <v>0.54</v>
      </c>
      <c r="AC100" s="146">
        <v>0.57999999999999996</v>
      </c>
      <c r="AD100" s="146">
        <v>0.62</v>
      </c>
      <c r="AE100" s="146">
        <v>0.67</v>
      </c>
    </row>
    <row r="101" spans="2:31" x14ac:dyDescent="0.35">
      <c r="B101" s="112" t="s">
        <v>3412</v>
      </c>
      <c r="C101" s="112" t="s">
        <v>3272</v>
      </c>
      <c r="D101" s="112" t="s">
        <v>3407</v>
      </c>
      <c r="E101" s="112" t="s">
        <v>3408</v>
      </c>
      <c r="F101" s="112" t="s">
        <v>3273</v>
      </c>
      <c r="H101" s="116" t="s">
        <v>3409</v>
      </c>
      <c r="L101" s="146">
        <v>0</v>
      </c>
      <c r="M101" s="146">
        <v>0</v>
      </c>
      <c r="N101" s="146">
        <v>0</v>
      </c>
      <c r="O101" s="146">
        <v>0</v>
      </c>
      <c r="P101" s="146">
        <v>0</v>
      </c>
      <c r="Q101" s="146">
        <v>0</v>
      </c>
      <c r="R101" s="146">
        <v>0</v>
      </c>
      <c r="S101" s="146">
        <v>0</v>
      </c>
      <c r="T101" s="146">
        <v>0</v>
      </c>
      <c r="U101" s="146">
        <v>0</v>
      </c>
      <c r="V101" s="146">
        <v>0</v>
      </c>
      <c r="W101" s="146">
        <v>0</v>
      </c>
      <c r="X101" s="146">
        <v>0</v>
      </c>
      <c r="Y101" s="146">
        <v>0</v>
      </c>
      <c r="Z101" s="146">
        <v>0</v>
      </c>
      <c r="AA101" s="146">
        <v>0</v>
      </c>
      <c r="AB101" s="146">
        <v>0</v>
      </c>
      <c r="AC101" s="146">
        <v>0</v>
      </c>
      <c r="AD101" s="146">
        <v>0</v>
      </c>
      <c r="AE101" s="146">
        <v>0</v>
      </c>
    </row>
    <row r="102" spans="2:31" x14ac:dyDescent="0.35">
      <c r="B102" s="112" t="s">
        <v>3413</v>
      </c>
      <c r="C102" s="112" t="s">
        <v>3260</v>
      </c>
      <c r="D102" s="112" t="s">
        <v>3414</v>
      </c>
      <c r="E102" s="112" t="s">
        <v>3408</v>
      </c>
      <c r="F102" s="112" t="s">
        <v>3263</v>
      </c>
      <c r="H102" s="116" t="s">
        <v>3415</v>
      </c>
      <c r="L102" s="146">
        <v>0</v>
      </c>
      <c r="M102" s="146">
        <v>0</v>
      </c>
      <c r="N102" s="146">
        <v>0</v>
      </c>
      <c r="O102" s="146">
        <v>0</v>
      </c>
      <c r="P102" s="146">
        <v>0</v>
      </c>
      <c r="Q102" s="146">
        <v>0</v>
      </c>
      <c r="R102" s="146">
        <v>1.33</v>
      </c>
      <c r="S102" s="146">
        <v>1.5</v>
      </c>
      <c r="T102" s="146">
        <v>1.72</v>
      </c>
      <c r="U102" s="146">
        <v>1.99</v>
      </c>
      <c r="V102" s="146">
        <v>2.3199999999999998</v>
      </c>
      <c r="W102" s="146">
        <v>2.7</v>
      </c>
      <c r="X102" s="146">
        <v>3.13</v>
      </c>
      <c r="Y102" s="146">
        <v>3.61</v>
      </c>
      <c r="Z102" s="146">
        <v>4.1399999999999997</v>
      </c>
      <c r="AA102" s="146">
        <v>4.7300000000000004</v>
      </c>
      <c r="AB102" s="146">
        <v>5.37</v>
      </c>
      <c r="AC102" s="146">
        <v>6.06</v>
      </c>
      <c r="AD102" s="146">
        <v>6.81</v>
      </c>
      <c r="AE102" s="146">
        <v>7.6</v>
      </c>
    </row>
    <row r="103" spans="2:31" x14ac:dyDescent="0.35">
      <c r="B103" s="112" t="s">
        <v>3416</v>
      </c>
      <c r="C103" s="112" t="s">
        <v>3266</v>
      </c>
      <c r="D103" s="112" t="s">
        <v>3414</v>
      </c>
      <c r="E103" s="112" t="s">
        <v>3408</v>
      </c>
      <c r="F103" s="112" t="s">
        <v>3267</v>
      </c>
      <c r="H103" s="116" t="s">
        <v>3415</v>
      </c>
      <c r="L103" s="146">
        <v>0</v>
      </c>
      <c r="M103" s="146">
        <v>0</v>
      </c>
      <c r="N103" s="146">
        <v>0</v>
      </c>
      <c r="O103" s="146">
        <v>0</v>
      </c>
      <c r="P103" s="146">
        <v>0</v>
      </c>
      <c r="Q103" s="146">
        <v>0</v>
      </c>
      <c r="R103" s="146">
        <v>1.33</v>
      </c>
      <c r="S103" s="146">
        <v>1.5</v>
      </c>
      <c r="T103" s="146">
        <v>1.71</v>
      </c>
      <c r="U103" s="146">
        <v>1.98</v>
      </c>
      <c r="V103" s="146">
        <v>2.31</v>
      </c>
      <c r="W103" s="146">
        <v>2.69</v>
      </c>
      <c r="X103" s="146">
        <v>3.12</v>
      </c>
      <c r="Y103" s="146">
        <v>3.6</v>
      </c>
      <c r="Z103" s="146">
        <v>4.13</v>
      </c>
      <c r="AA103" s="146">
        <v>4.72</v>
      </c>
      <c r="AB103" s="146">
        <v>5.35</v>
      </c>
      <c r="AC103" s="146">
        <v>6.04</v>
      </c>
      <c r="AD103" s="146">
        <v>6.78</v>
      </c>
      <c r="AE103" s="146">
        <v>7.57</v>
      </c>
    </row>
    <row r="104" spans="2:31" x14ac:dyDescent="0.35">
      <c r="B104" s="112" t="s">
        <v>3417</v>
      </c>
      <c r="C104" s="112" t="s">
        <v>3269</v>
      </c>
      <c r="D104" s="112" t="s">
        <v>3414</v>
      </c>
      <c r="E104" s="112" t="s">
        <v>3408</v>
      </c>
      <c r="F104" s="112" t="s">
        <v>3270</v>
      </c>
      <c r="H104" s="116" t="s">
        <v>3415</v>
      </c>
      <c r="L104" s="146">
        <v>0</v>
      </c>
      <c r="M104" s="146">
        <v>0</v>
      </c>
      <c r="N104" s="146">
        <v>0</v>
      </c>
      <c r="O104" s="146">
        <v>0</v>
      </c>
      <c r="P104" s="146">
        <v>0</v>
      </c>
      <c r="Q104" s="146">
        <v>0</v>
      </c>
      <c r="R104" s="146">
        <v>0.02</v>
      </c>
      <c r="S104" s="146">
        <v>0.04</v>
      </c>
      <c r="T104" s="146">
        <v>7.0000000000000007E-2</v>
      </c>
      <c r="U104" s="146">
        <v>0.08</v>
      </c>
      <c r="V104" s="146">
        <v>0.1</v>
      </c>
      <c r="W104" s="146">
        <v>0.12</v>
      </c>
      <c r="X104" s="146">
        <v>0.13</v>
      </c>
      <c r="Y104" s="146">
        <v>0.15</v>
      </c>
      <c r="Z104" s="146">
        <v>0.16</v>
      </c>
      <c r="AA104" s="146">
        <v>0.18</v>
      </c>
      <c r="AB104" s="146">
        <v>0.19</v>
      </c>
      <c r="AC104" s="146">
        <v>0.2</v>
      </c>
      <c r="AD104" s="146">
        <v>0.21</v>
      </c>
      <c r="AE104" s="146">
        <v>0.22</v>
      </c>
    </row>
    <row r="105" spans="2:31" x14ac:dyDescent="0.35">
      <c r="B105" s="112" t="s">
        <v>3418</v>
      </c>
      <c r="C105" s="112" t="s">
        <v>3272</v>
      </c>
      <c r="D105" s="112" t="s">
        <v>3414</v>
      </c>
      <c r="E105" s="112" t="s">
        <v>3408</v>
      </c>
      <c r="F105" s="112" t="s">
        <v>3273</v>
      </c>
      <c r="H105" s="116" t="s">
        <v>3415</v>
      </c>
      <c r="L105" s="146">
        <v>0</v>
      </c>
      <c r="M105" s="146">
        <v>0</v>
      </c>
      <c r="N105" s="146">
        <v>0</v>
      </c>
      <c r="O105" s="146">
        <v>0</v>
      </c>
      <c r="P105" s="146">
        <v>0</v>
      </c>
      <c r="Q105" s="146">
        <v>0</v>
      </c>
      <c r="R105" s="146">
        <v>0</v>
      </c>
      <c r="S105" s="146">
        <v>0</v>
      </c>
      <c r="T105" s="146">
        <v>0</v>
      </c>
      <c r="U105" s="146">
        <v>0</v>
      </c>
      <c r="V105" s="146">
        <v>0</v>
      </c>
      <c r="W105" s="146">
        <v>0</v>
      </c>
      <c r="X105" s="146">
        <v>0</v>
      </c>
      <c r="Y105" s="146">
        <v>0</v>
      </c>
      <c r="Z105" s="146">
        <v>0</v>
      </c>
      <c r="AA105" s="146">
        <v>0</v>
      </c>
      <c r="AB105" s="146">
        <v>0</v>
      </c>
      <c r="AC105" s="146">
        <v>0</v>
      </c>
      <c r="AD105" s="146">
        <v>0</v>
      </c>
      <c r="AE105" s="146">
        <v>0</v>
      </c>
    </row>
    <row r="106" spans="2:31" x14ac:dyDescent="0.35">
      <c r="B106" s="112" t="s">
        <v>3419</v>
      </c>
      <c r="C106" s="112" t="s">
        <v>3260</v>
      </c>
      <c r="D106" s="112" t="s">
        <v>3420</v>
      </c>
      <c r="E106" s="112" t="s">
        <v>3408</v>
      </c>
      <c r="F106" s="112" t="s">
        <v>3263</v>
      </c>
      <c r="H106" s="116" t="s">
        <v>3421</v>
      </c>
      <c r="L106" s="146">
        <v>0</v>
      </c>
      <c r="M106" s="146">
        <v>0</v>
      </c>
      <c r="N106" s="146">
        <v>0</v>
      </c>
      <c r="O106" s="146">
        <v>0</v>
      </c>
      <c r="P106" s="146">
        <v>0</v>
      </c>
      <c r="Q106" s="146">
        <v>0</v>
      </c>
      <c r="R106" s="146">
        <v>0.47</v>
      </c>
      <c r="S106" s="146">
        <v>0.52</v>
      </c>
      <c r="T106" s="146">
        <v>0.59</v>
      </c>
      <c r="U106" s="146">
        <v>0.67</v>
      </c>
      <c r="V106" s="146">
        <v>0.75</v>
      </c>
      <c r="W106" s="146">
        <v>0.84</v>
      </c>
      <c r="X106" s="146">
        <v>0.93</v>
      </c>
      <c r="Y106" s="146">
        <v>1.02</v>
      </c>
      <c r="Z106" s="146">
        <v>1.1100000000000001</v>
      </c>
      <c r="AA106" s="146">
        <v>1.2</v>
      </c>
      <c r="AB106" s="146">
        <v>1.28</v>
      </c>
      <c r="AC106" s="146">
        <v>1.37</v>
      </c>
      <c r="AD106" s="146">
        <v>1.44</v>
      </c>
      <c r="AE106" s="146">
        <v>1.52</v>
      </c>
    </row>
    <row r="107" spans="2:31" x14ac:dyDescent="0.35">
      <c r="B107" s="112" t="s">
        <v>3422</v>
      </c>
      <c r="C107" s="112" t="s">
        <v>3266</v>
      </c>
      <c r="D107" s="112" t="s">
        <v>3420</v>
      </c>
      <c r="E107" s="112" t="s">
        <v>3408</v>
      </c>
      <c r="F107" s="112" t="s">
        <v>3267</v>
      </c>
      <c r="H107" s="116" t="s">
        <v>3421</v>
      </c>
      <c r="L107" s="146">
        <v>0</v>
      </c>
      <c r="M107" s="146">
        <v>0</v>
      </c>
      <c r="N107" s="146">
        <v>0</v>
      </c>
      <c r="O107" s="146">
        <v>0</v>
      </c>
      <c r="P107" s="146">
        <v>0</v>
      </c>
      <c r="Q107" s="146">
        <v>0</v>
      </c>
      <c r="R107" s="146">
        <v>0.47</v>
      </c>
      <c r="S107" s="146">
        <v>0.52</v>
      </c>
      <c r="T107" s="146">
        <v>0.59</v>
      </c>
      <c r="U107" s="146">
        <v>0.67</v>
      </c>
      <c r="V107" s="146">
        <v>0.75</v>
      </c>
      <c r="W107" s="146">
        <v>0.84</v>
      </c>
      <c r="X107" s="146">
        <v>0.93</v>
      </c>
      <c r="Y107" s="146">
        <v>1.02</v>
      </c>
      <c r="Z107" s="146">
        <v>1.1100000000000001</v>
      </c>
      <c r="AA107" s="146">
        <v>1.2</v>
      </c>
      <c r="AB107" s="146">
        <v>1.28</v>
      </c>
      <c r="AC107" s="146">
        <v>1.37</v>
      </c>
      <c r="AD107" s="146">
        <v>1.44</v>
      </c>
      <c r="AE107" s="146">
        <v>1.52</v>
      </c>
    </row>
    <row r="108" spans="2:31" x14ac:dyDescent="0.35">
      <c r="B108" s="112" t="s">
        <v>3423</v>
      </c>
      <c r="C108" s="112" t="s">
        <v>3269</v>
      </c>
      <c r="D108" s="112" t="s">
        <v>3420</v>
      </c>
      <c r="E108" s="112" t="s">
        <v>3408</v>
      </c>
      <c r="F108" s="112" t="s">
        <v>3270</v>
      </c>
      <c r="H108" s="116" t="s">
        <v>3421</v>
      </c>
      <c r="L108" s="146">
        <v>0</v>
      </c>
      <c r="M108" s="146">
        <v>0</v>
      </c>
      <c r="N108" s="146">
        <v>0</v>
      </c>
      <c r="O108" s="146">
        <v>0</v>
      </c>
      <c r="P108" s="146">
        <v>0</v>
      </c>
      <c r="Q108" s="146">
        <v>0</v>
      </c>
      <c r="R108" s="146">
        <v>0</v>
      </c>
      <c r="S108" s="146">
        <v>0</v>
      </c>
      <c r="T108" s="146">
        <v>0</v>
      </c>
      <c r="U108" s="146">
        <v>0</v>
      </c>
      <c r="V108" s="146">
        <v>0</v>
      </c>
      <c r="W108" s="146">
        <v>0</v>
      </c>
      <c r="X108" s="146">
        <v>0</v>
      </c>
      <c r="Y108" s="146">
        <v>0</v>
      </c>
      <c r="Z108" s="146">
        <v>0</v>
      </c>
      <c r="AA108" s="146">
        <v>0</v>
      </c>
      <c r="AB108" s="146">
        <v>0</v>
      </c>
      <c r="AC108" s="146">
        <v>0</v>
      </c>
      <c r="AD108" s="146">
        <v>0</v>
      </c>
      <c r="AE108" s="146">
        <v>0</v>
      </c>
    </row>
    <row r="109" spans="2:31" x14ac:dyDescent="0.35">
      <c r="B109" s="112" t="s">
        <v>3424</v>
      </c>
      <c r="C109" s="112" t="s">
        <v>3272</v>
      </c>
      <c r="D109" s="112" t="s">
        <v>3420</v>
      </c>
      <c r="E109" s="112" t="s">
        <v>3408</v>
      </c>
      <c r="F109" s="112" t="s">
        <v>3273</v>
      </c>
      <c r="H109" s="116" t="s">
        <v>3421</v>
      </c>
      <c r="L109" s="146">
        <v>0</v>
      </c>
      <c r="M109" s="146">
        <v>0</v>
      </c>
      <c r="N109" s="146">
        <v>0</v>
      </c>
      <c r="O109" s="146">
        <v>0</v>
      </c>
      <c r="P109" s="146">
        <v>0</v>
      </c>
      <c r="Q109" s="146">
        <v>0</v>
      </c>
      <c r="R109" s="146">
        <v>0</v>
      </c>
      <c r="S109" s="146">
        <v>0</v>
      </c>
      <c r="T109" s="146">
        <v>0</v>
      </c>
      <c r="U109" s="146">
        <v>0</v>
      </c>
      <c r="V109" s="146">
        <v>0</v>
      </c>
      <c r="W109" s="146">
        <v>0</v>
      </c>
      <c r="X109" s="146">
        <v>0</v>
      </c>
      <c r="Y109" s="146">
        <v>0</v>
      </c>
      <c r="Z109" s="146">
        <v>0</v>
      </c>
      <c r="AA109" s="146">
        <v>0</v>
      </c>
      <c r="AB109" s="146">
        <v>0</v>
      </c>
      <c r="AC109" s="146">
        <v>0</v>
      </c>
      <c r="AD109" s="146">
        <v>0</v>
      </c>
      <c r="AE109" s="146">
        <v>0</v>
      </c>
    </row>
    <row r="110" spans="2:31" x14ac:dyDescent="0.35">
      <c r="B110" s="112" t="s">
        <v>3425</v>
      </c>
      <c r="C110" s="112" t="s">
        <v>3260</v>
      </c>
      <c r="D110" s="112" t="s">
        <v>3426</v>
      </c>
      <c r="E110" s="112" t="s">
        <v>3408</v>
      </c>
      <c r="F110" s="112" t="s">
        <v>3263</v>
      </c>
      <c r="H110" s="116" t="s">
        <v>3427</v>
      </c>
      <c r="L110" s="146">
        <v>0</v>
      </c>
      <c r="M110" s="146">
        <v>0</v>
      </c>
      <c r="N110" s="146">
        <v>0</v>
      </c>
      <c r="O110" s="146">
        <v>0</v>
      </c>
      <c r="P110" s="146">
        <v>0</v>
      </c>
      <c r="Q110" s="146">
        <v>0</v>
      </c>
      <c r="R110" s="146">
        <v>0.37</v>
      </c>
      <c r="S110" s="146">
        <v>0.39</v>
      </c>
      <c r="T110" s="146">
        <v>0.4</v>
      </c>
      <c r="U110" s="146">
        <v>0.41</v>
      </c>
      <c r="V110" s="146">
        <v>0.42</v>
      </c>
      <c r="W110" s="146">
        <v>0.43</v>
      </c>
      <c r="X110" s="146">
        <v>0.44</v>
      </c>
      <c r="Y110" s="146">
        <v>0.45</v>
      </c>
      <c r="Z110" s="146">
        <v>0.47</v>
      </c>
      <c r="AA110" s="146">
        <v>0.48</v>
      </c>
      <c r="AB110" s="146">
        <v>0.49</v>
      </c>
      <c r="AC110" s="146">
        <v>0.51</v>
      </c>
      <c r="AD110" s="146">
        <v>0.53</v>
      </c>
      <c r="AE110" s="146">
        <v>0.54</v>
      </c>
    </row>
    <row r="111" spans="2:31" x14ac:dyDescent="0.35">
      <c r="B111" s="112" t="s">
        <v>3428</v>
      </c>
      <c r="C111" s="112" t="s">
        <v>3266</v>
      </c>
      <c r="D111" s="112" t="s">
        <v>3426</v>
      </c>
      <c r="E111" s="112" t="s">
        <v>3408</v>
      </c>
      <c r="F111" s="112" t="s">
        <v>3267</v>
      </c>
      <c r="H111" s="116" t="s">
        <v>3427</v>
      </c>
      <c r="L111" s="146">
        <v>0</v>
      </c>
      <c r="M111" s="146">
        <v>0</v>
      </c>
      <c r="N111" s="146">
        <v>0</v>
      </c>
      <c r="O111" s="146">
        <v>0</v>
      </c>
      <c r="P111" s="146">
        <v>0</v>
      </c>
      <c r="Q111" s="146">
        <v>0</v>
      </c>
      <c r="R111" s="146">
        <v>0.37</v>
      </c>
      <c r="S111" s="146">
        <v>0.38</v>
      </c>
      <c r="T111" s="146">
        <v>0.39</v>
      </c>
      <c r="U111" s="146">
        <v>0.4</v>
      </c>
      <c r="V111" s="146">
        <v>0.41</v>
      </c>
      <c r="W111" s="146">
        <v>0.42</v>
      </c>
      <c r="X111" s="146">
        <v>0.43</v>
      </c>
      <c r="Y111" s="146">
        <v>0.44</v>
      </c>
      <c r="Z111" s="146">
        <v>0.45</v>
      </c>
      <c r="AA111" s="146">
        <v>0.46</v>
      </c>
      <c r="AB111" s="146">
        <v>0.47</v>
      </c>
      <c r="AC111" s="146">
        <v>0.49</v>
      </c>
      <c r="AD111" s="146">
        <v>0.5</v>
      </c>
      <c r="AE111" s="146">
        <v>0.51</v>
      </c>
    </row>
    <row r="112" spans="2:31" x14ac:dyDescent="0.35">
      <c r="B112" s="112" t="s">
        <v>3429</v>
      </c>
      <c r="C112" s="112" t="s">
        <v>3269</v>
      </c>
      <c r="D112" s="112" t="s">
        <v>3426</v>
      </c>
      <c r="E112" s="112" t="s">
        <v>3408</v>
      </c>
      <c r="F112" s="112" t="s">
        <v>3270</v>
      </c>
      <c r="H112" s="116" t="s">
        <v>3427</v>
      </c>
      <c r="L112" s="146">
        <v>0</v>
      </c>
      <c r="M112" s="146">
        <v>0</v>
      </c>
      <c r="N112" s="146">
        <v>0</v>
      </c>
      <c r="O112" s="146">
        <v>0</v>
      </c>
      <c r="P112" s="146">
        <v>0</v>
      </c>
      <c r="Q112" s="146">
        <v>0</v>
      </c>
      <c r="R112" s="146">
        <v>0.05</v>
      </c>
      <c r="S112" s="146">
        <v>0.12</v>
      </c>
      <c r="T112" s="146">
        <v>0.18</v>
      </c>
      <c r="U112" s="146">
        <v>0.24</v>
      </c>
      <c r="V112" s="146">
        <v>0.28999999999999998</v>
      </c>
      <c r="W112" s="146">
        <v>0.34</v>
      </c>
      <c r="X112" s="146">
        <v>0.39</v>
      </c>
      <c r="Y112" s="146">
        <v>0.44</v>
      </c>
      <c r="Z112" s="146">
        <v>0.49</v>
      </c>
      <c r="AA112" s="146">
        <v>0.54</v>
      </c>
      <c r="AB112" s="146">
        <v>0.59</v>
      </c>
      <c r="AC112" s="146">
        <v>0.64</v>
      </c>
      <c r="AD112" s="146">
        <v>0.69</v>
      </c>
      <c r="AE112" s="146">
        <v>0.74</v>
      </c>
    </row>
    <row r="113" spans="2:31" x14ac:dyDescent="0.35">
      <c r="B113" s="112" t="s">
        <v>3430</v>
      </c>
      <c r="C113" s="112" t="s">
        <v>3272</v>
      </c>
      <c r="D113" s="112" t="s">
        <v>3426</v>
      </c>
      <c r="E113" s="112" t="s">
        <v>3408</v>
      </c>
      <c r="F113" s="112" t="s">
        <v>3273</v>
      </c>
      <c r="H113" s="116" t="s">
        <v>3427</v>
      </c>
      <c r="L113" s="146">
        <v>0</v>
      </c>
      <c r="M113" s="146">
        <v>0</v>
      </c>
      <c r="N113" s="146">
        <v>0</v>
      </c>
      <c r="O113" s="146">
        <v>0</v>
      </c>
      <c r="P113" s="146">
        <v>0</v>
      </c>
      <c r="Q113" s="146">
        <v>0</v>
      </c>
      <c r="R113" s="146">
        <v>0</v>
      </c>
      <c r="S113" s="146">
        <v>0</v>
      </c>
      <c r="T113" s="146">
        <v>0</v>
      </c>
      <c r="U113" s="146">
        <v>0</v>
      </c>
      <c r="V113" s="146">
        <v>0</v>
      </c>
      <c r="W113" s="146">
        <v>0</v>
      </c>
      <c r="X113" s="146">
        <v>0</v>
      </c>
      <c r="Y113" s="146">
        <v>0</v>
      </c>
      <c r="Z113" s="146">
        <v>0</v>
      </c>
      <c r="AA113" s="146">
        <v>0</v>
      </c>
      <c r="AB113" s="146">
        <v>0</v>
      </c>
      <c r="AC113" s="146">
        <v>0</v>
      </c>
      <c r="AD113" s="146">
        <v>0</v>
      </c>
      <c r="AE113" s="146">
        <v>0</v>
      </c>
    </row>
    <row r="114" spans="2:31" x14ac:dyDescent="0.35">
      <c r="B114" s="112" t="s">
        <v>3431</v>
      </c>
      <c r="C114" s="112" t="s">
        <v>3260</v>
      </c>
      <c r="D114" s="112" t="s">
        <v>3432</v>
      </c>
      <c r="E114" s="112" t="s">
        <v>3408</v>
      </c>
      <c r="F114" s="112" t="s">
        <v>3263</v>
      </c>
      <c r="H114" s="116" t="s">
        <v>3433</v>
      </c>
      <c r="L114" s="146">
        <v>0</v>
      </c>
      <c r="M114" s="146">
        <v>0</v>
      </c>
      <c r="N114" s="146">
        <v>0</v>
      </c>
      <c r="O114" s="146">
        <v>0</v>
      </c>
      <c r="P114" s="146">
        <v>0</v>
      </c>
      <c r="Q114" s="146">
        <v>0</v>
      </c>
      <c r="R114" s="146">
        <v>2.34</v>
      </c>
      <c r="S114" s="146">
        <v>2.38</v>
      </c>
      <c r="T114" s="146">
        <v>2.7</v>
      </c>
      <c r="U114" s="146">
        <v>3.04</v>
      </c>
      <c r="V114" s="146">
        <v>3.71</v>
      </c>
      <c r="W114" s="146">
        <v>4.0199999999999996</v>
      </c>
      <c r="X114" s="146">
        <v>4.38</v>
      </c>
      <c r="Y114" s="146">
        <v>4.79</v>
      </c>
      <c r="Z114" s="146">
        <v>5.26</v>
      </c>
      <c r="AA114" s="146">
        <v>5.81</v>
      </c>
      <c r="AB114" s="146">
        <v>6.42</v>
      </c>
      <c r="AC114" s="146">
        <v>7.13</v>
      </c>
      <c r="AD114" s="146">
        <v>7.92</v>
      </c>
      <c r="AE114" s="146">
        <v>8.7899999999999991</v>
      </c>
    </row>
    <row r="115" spans="2:31" x14ac:dyDescent="0.35">
      <c r="B115" s="112" t="s">
        <v>3434</v>
      </c>
      <c r="C115" s="112" t="s">
        <v>3266</v>
      </c>
      <c r="D115" s="112" t="s">
        <v>3432</v>
      </c>
      <c r="E115" s="112" t="s">
        <v>3408</v>
      </c>
      <c r="F115" s="112" t="s">
        <v>3267</v>
      </c>
      <c r="H115" s="116" t="s">
        <v>3433</v>
      </c>
      <c r="L115" s="146">
        <v>0</v>
      </c>
      <c r="M115" s="146">
        <v>0</v>
      </c>
      <c r="N115" s="146">
        <v>0</v>
      </c>
      <c r="O115" s="146">
        <v>0</v>
      </c>
      <c r="P115" s="146">
        <v>0</v>
      </c>
      <c r="Q115" s="146">
        <v>0</v>
      </c>
      <c r="R115" s="146">
        <v>2.34</v>
      </c>
      <c r="S115" s="146">
        <v>2.36</v>
      </c>
      <c r="T115" s="146">
        <v>2.68</v>
      </c>
      <c r="U115" s="146">
        <v>3.02</v>
      </c>
      <c r="V115" s="146">
        <v>3.67</v>
      </c>
      <c r="W115" s="146">
        <v>4</v>
      </c>
      <c r="X115" s="146">
        <v>4.3499999999999996</v>
      </c>
      <c r="Y115" s="146">
        <v>4.75</v>
      </c>
      <c r="Z115" s="146">
        <v>5.21</v>
      </c>
      <c r="AA115" s="146">
        <v>5.75</v>
      </c>
      <c r="AB115" s="146">
        <v>6.35</v>
      </c>
      <c r="AC115" s="146">
        <v>7.04</v>
      </c>
      <c r="AD115" s="146">
        <v>7.81</v>
      </c>
      <c r="AE115" s="146">
        <v>8.67</v>
      </c>
    </row>
    <row r="116" spans="2:31" x14ac:dyDescent="0.35">
      <c r="B116" s="112" t="s">
        <v>3435</v>
      </c>
      <c r="C116" s="112" t="s">
        <v>3269</v>
      </c>
      <c r="D116" s="112" t="s">
        <v>3432</v>
      </c>
      <c r="E116" s="112" t="s">
        <v>3408</v>
      </c>
      <c r="F116" s="112" t="s">
        <v>3270</v>
      </c>
      <c r="H116" s="116" t="s">
        <v>3433</v>
      </c>
      <c r="L116" s="146">
        <v>0</v>
      </c>
      <c r="M116" s="146">
        <v>0</v>
      </c>
      <c r="N116" s="146">
        <v>0</v>
      </c>
      <c r="O116" s="146">
        <v>0</v>
      </c>
      <c r="P116" s="146">
        <v>0</v>
      </c>
      <c r="Q116" s="146">
        <v>0</v>
      </c>
      <c r="R116" s="146">
        <v>0.12</v>
      </c>
      <c r="S116" s="146">
        <v>0.31</v>
      </c>
      <c r="T116" s="146">
        <v>0.49</v>
      </c>
      <c r="U116" s="146">
        <v>0.66</v>
      </c>
      <c r="V116" s="146">
        <v>0.84</v>
      </c>
      <c r="W116" s="146">
        <v>1.01</v>
      </c>
      <c r="X116" s="146">
        <v>1.19</v>
      </c>
      <c r="Y116" s="146">
        <v>1.37</v>
      </c>
      <c r="Z116" s="146">
        <v>1.55</v>
      </c>
      <c r="AA116" s="146">
        <v>1.73</v>
      </c>
      <c r="AB116" s="146">
        <v>1.91</v>
      </c>
      <c r="AC116" s="146">
        <v>2.1</v>
      </c>
      <c r="AD116" s="146">
        <v>2.2999999999999998</v>
      </c>
      <c r="AE116" s="146">
        <v>2.5</v>
      </c>
    </row>
    <row r="117" spans="2:31" x14ac:dyDescent="0.35">
      <c r="B117" s="112" t="s">
        <v>3436</v>
      </c>
      <c r="C117" s="112" t="s">
        <v>3272</v>
      </c>
      <c r="D117" s="112" t="s">
        <v>3432</v>
      </c>
      <c r="E117" s="112" t="s">
        <v>3408</v>
      </c>
      <c r="F117" s="112" t="s">
        <v>3273</v>
      </c>
      <c r="H117" s="116" t="s">
        <v>3433</v>
      </c>
      <c r="L117" s="146">
        <v>0</v>
      </c>
      <c r="M117" s="146">
        <v>0</v>
      </c>
      <c r="N117" s="146">
        <v>0</v>
      </c>
      <c r="O117" s="146">
        <v>0</v>
      </c>
      <c r="P117" s="146">
        <v>0</v>
      </c>
      <c r="Q117" s="146">
        <v>0</v>
      </c>
      <c r="R117" s="146">
        <v>0</v>
      </c>
      <c r="S117" s="146">
        <v>0</v>
      </c>
      <c r="T117" s="146">
        <v>0</v>
      </c>
      <c r="U117" s="146">
        <v>0</v>
      </c>
      <c r="V117" s="146">
        <v>0</v>
      </c>
      <c r="W117" s="146">
        <v>0</v>
      </c>
      <c r="X117" s="146">
        <v>0</v>
      </c>
      <c r="Y117" s="146">
        <v>0</v>
      </c>
      <c r="Z117" s="146">
        <v>0</v>
      </c>
      <c r="AA117" s="146">
        <v>0</v>
      </c>
      <c r="AB117" s="146">
        <v>0</v>
      </c>
      <c r="AC117" s="146">
        <v>0</v>
      </c>
      <c r="AD117" s="146">
        <v>0</v>
      </c>
      <c r="AE117" s="146">
        <v>0</v>
      </c>
    </row>
    <row r="118" spans="2:31" x14ac:dyDescent="0.35">
      <c r="B118" s="112" t="s">
        <v>3437</v>
      </c>
      <c r="C118" s="112" t="s">
        <v>3260</v>
      </c>
      <c r="D118" s="112" t="s">
        <v>3438</v>
      </c>
      <c r="E118" s="112" t="s">
        <v>3408</v>
      </c>
      <c r="F118" s="112" t="s">
        <v>3263</v>
      </c>
      <c r="H118" s="116" t="s">
        <v>3439</v>
      </c>
      <c r="L118" s="146">
        <v>0</v>
      </c>
      <c r="M118" s="146">
        <v>0</v>
      </c>
      <c r="N118" s="146">
        <v>0</v>
      </c>
      <c r="O118" s="146">
        <v>0</v>
      </c>
      <c r="P118" s="146">
        <v>0</v>
      </c>
      <c r="Q118" s="146">
        <v>0</v>
      </c>
      <c r="R118" s="146">
        <v>0.64</v>
      </c>
      <c r="S118" s="146">
        <v>0.66</v>
      </c>
      <c r="T118" s="146">
        <v>0.66</v>
      </c>
      <c r="U118" s="146">
        <v>0.68</v>
      </c>
      <c r="V118" s="146">
        <v>0.79</v>
      </c>
      <c r="W118" s="146">
        <v>0.92</v>
      </c>
      <c r="X118" s="146">
        <v>1.06</v>
      </c>
      <c r="Y118" s="146">
        <v>1.21</v>
      </c>
      <c r="Z118" s="146">
        <v>1.39</v>
      </c>
      <c r="AA118" s="146">
        <v>1.58</v>
      </c>
      <c r="AB118" s="146">
        <v>1.8</v>
      </c>
      <c r="AC118" s="146">
        <v>2.04</v>
      </c>
      <c r="AD118" s="146">
        <v>2.3199999999999998</v>
      </c>
      <c r="AE118" s="146">
        <v>2.63</v>
      </c>
    </row>
    <row r="119" spans="2:31" x14ac:dyDescent="0.35">
      <c r="B119" s="112" t="s">
        <v>3440</v>
      </c>
      <c r="C119" s="112" t="s">
        <v>3266</v>
      </c>
      <c r="D119" s="112" t="s">
        <v>3438</v>
      </c>
      <c r="E119" s="112" t="s">
        <v>3408</v>
      </c>
      <c r="F119" s="112" t="s">
        <v>3267</v>
      </c>
      <c r="H119" s="116" t="s">
        <v>3439</v>
      </c>
      <c r="L119" s="146">
        <v>0</v>
      </c>
      <c r="M119" s="146">
        <v>0</v>
      </c>
      <c r="N119" s="146">
        <v>0</v>
      </c>
      <c r="O119" s="146">
        <v>0</v>
      </c>
      <c r="P119" s="146">
        <v>0</v>
      </c>
      <c r="Q119" s="146">
        <v>0</v>
      </c>
      <c r="R119" s="146">
        <v>0.64</v>
      </c>
      <c r="S119" s="146">
        <v>0.65</v>
      </c>
      <c r="T119" s="146">
        <v>0.66</v>
      </c>
      <c r="U119" s="146">
        <v>0.67</v>
      </c>
      <c r="V119" s="146">
        <v>0.78</v>
      </c>
      <c r="W119" s="146">
        <v>0.9</v>
      </c>
      <c r="X119" s="146">
        <v>1.04</v>
      </c>
      <c r="Y119" s="146">
        <v>1.19</v>
      </c>
      <c r="Z119" s="146">
        <v>1.36</v>
      </c>
      <c r="AA119" s="146">
        <v>1.55</v>
      </c>
      <c r="AB119" s="146">
        <v>1.76</v>
      </c>
      <c r="AC119" s="146">
        <v>2</v>
      </c>
      <c r="AD119" s="146">
        <v>2.27</v>
      </c>
      <c r="AE119" s="146">
        <v>2.57</v>
      </c>
    </row>
    <row r="120" spans="2:31" x14ac:dyDescent="0.35">
      <c r="B120" s="112" t="s">
        <v>3441</v>
      </c>
      <c r="C120" s="112" t="s">
        <v>3269</v>
      </c>
      <c r="D120" s="112" t="s">
        <v>3438</v>
      </c>
      <c r="E120" s="112" t="s">
        <v>3408</v>
      </c>
      <c r="F120" s="112" t="s">
        <v>3270</v>
      </c>
      <c r="H120" s="116" t="s">
        <v>3439</v>
      </c>
      <c r="L120" s="146">
        <v>0</v>
      </c>
      <c r="M120" s="146">
        <v>0</v>
      </c>
      <c r="N120" s="146">
        <v>0</v>
      </c>
      <c r="O120" s="146">
        <v>0</v>
      </c>
      <c r="P120" s="146">
        <v>0</v>
      </c>
      <c r="Q120" s="146">
        <v>0</v>
      </c>
      <c r="R120" s="146">
        <v>0.01</v>
      </c>
      <c r="S120" s="146">
        <v>0.02</v>
      </c>
      <c r="T120" s="146">
        <v>0.03</v>
      </c>
      <c r="U120" s="146">
        <v>0.04</v>
      </c>
      <c r="V120" s="146">
        <v>0.05</v>
      </c>
      <c r="W120" s="146">
        <v>0.06</v>
      </c>
      <c r="X120" s="146">
        <v>0.06</v>
      </c>
      <c r="Y120" s="146">
        <v>7.0000000000000007E-2</v>
      </c>
      <c r="Z120" s="146">
        <v>0.08</v>
      </c>
      <c r="AA120" s="146">
        <v>0.08</v>
      </c>
      <c r="AB120" s="146">
        <v>0.09</v>
      </c>
      <c r="AC120" s="146">
        <v>0.1</v>
      </c>
      <c r="AD120" s="146">
        <v>0.1</v>
      </c>
      <c r="AE120" s="146">
        <v>0.11</v>
      </c>
    </row>
    <row r="121" spans="2:31" x14ac:dyDescent="0.35">
      <c r="B121" s="112" t="s">
        <v>3442</v>
      </c>
      <c r="C121" s="112" t="s">
        <v>3272</v>
      </c>
      <c r="D121" s="112" t="s">
        <v>3438</v>
      </c>
      <c r="E121" s="112" t="s">
        <v>3408</v>
      </c>
      <c r="F121" s="112" t="s">
        <v>3273</v>
      </c>
      <c r="H121" s="116" t="s">
        <v>3439</v>
      </c>
      <c r="L121" s="146">
        <v>0</v>
      </c>
      <c r="M121" s="146">
        <v>0</v>
      </c>
      <c r="N121" s="146">
        <v>0</v>
      </c>
      <c r="O121" s="146">
        <v>0</v>
      </c>
      <c r="P121" s="146">
        <v>0</v>
      </c>
      <c r="Q121" s="146">
        <v>0</v>
      </c>
      <c r="R121" s="146">
        <v>0</v>
      </c>
      <c r="S121" s="146">
        <v>0</v>
      </c>
      <c r="T121" s="146">
        <v>0</v>
      </c>
      <c r="U121" s="146">
        <v>0</v>
      </c>
      <c r="V121" s="146">
        <v>0</v>
      </c>
      <c r="W121" s="146">
        <v>0</v>
      </c>
      <c r="X121" s="146">
        <v>0</v>
      </c>
      <c r="Y121" s="146">
        <v>0</v>
      </c>
      <c r="Z121" s="146">
        <v>0</v>
      </c>
      <c r="AA121" s="146">
        <v>0</v>
      </c>
      <c r="AB121" s="146">
        <v>0</v>
      </c>
      <c r="AC121" s="146">
        <v>0</v>
      </c>
      <c r="AD121" s="146">
        <v>0</v>
      </c>
      <c r="AE121" s="146">
        <v>0</v>
      </c>
    </row>
    <row r="122" spans="2:31" x14ac:dyDescent="0.35">
      <c r="B122" s="112" t="s">
        <v>3443</v>
      </c>
      <c r="C122" s="112" t="s">
        <v>3260</v>
      </c>
      <c r="D122" s="112" t="s">
        <v>3444</v>
      </c>
      <c r="E122" s="112" t="s">
        <v>3408</v>
      </c>
      <c r="F122" s="112" t="s">
        <v>3263</v>
      </c>
      <c r="H122" s="116" t="s">
        <v>3445</v>
      </c>
      <c r="L122" s="146">
        <v>-47.34</v>
      </c>
      <c r="M122" s="146">
        <v>-37.57</v>
      </c>
      <c r="N122" s="146">
        <v>-38.57</v>
      </c>
      <c r="O122" s="146">
        <v>-37.1</v>
      </c>
      <c r="P122" s="146">
        <v>-39.97</v>
      </c>
      <c r="Q122" s="146">
        <v>-40.03</v>
      </c>
      <c r="R122" s="146">
        <v>-41.63</v>
      </c>
      <c r="S122" s="146">
        <v>-44.25</v>
      </c>
      <c r="T122" s="146">
        <v>-47.61</v>
      </c>
      <c r="U122" s="146">
        <v>-52.24</v>
      </c>
      <c r="V122" s="146">
        <v>-60.25</v>
      </c>
      <c r="W122" s="146">
        <v>-69.819999999999993</v>
      </c>
      <c r="X122" s="146">
        <v>-80.180000000000007</v>
      </c>
      <c r="Y122" s="146">
        <v>-93.62</v>
      </c>
      <c r="Z122" s="146">
        <v>-110.58</v>
      </c>
      <c r="AA122" s="146">
        <v>-131.65</v>
      </c>
      <c r="AB122" s="146">
        <v>-157.4</v>
      </c>
      <c r="AC122" s="146">
        <v>-188.37</v>
      </c>
      <c r="AD122" s="146">
        <v>-225.08</v>
      </c>
      <c r="AE122" s="146">
        <v>-266.72000000000003</v>
      </c>
    </row>
    <row r="123" spans="2:31" x14ac:dyDescent="0.35">
      <c r="B123" s="112" t="s">
        <v>3446</v>
      </c>
      <c r="C123" s="112" t="s">
        <v>3266</v>
      </c>
      <c r="D123" s="112" t="s">
        <v>3444</v>
      </c>
      <c r="E123" s="112" t="s">
        <v>3408</v>
      </c>
      <c r="F123" s="112" t="s">
        <v>3267</v>
      </c>
      <c r="H123" s="116" t="s">
        <v>3445</v>
      </c>
      <c r="L123" s="146">
        <v>-47.34</v>
      </c>
      <c r="M123" s="146">
        <v>-37.57</v>
      </c>
      <c r="N123" s="146">
        <v>-38.57</v>
      </c>
      <c r="O123" s="146">
        <v>-37.1</v>
      </c>
      <c r="P123" s="146">
        <v>-39.97</v>
      </c>
      <c r="Q123" s="146">
        <v>-40.03</v>
      </c>
      <c r="R123" s="146">
        <v>-41.63</v>
      </c>
      <c r="S123" s="146">
        <v>-44.25</v>
      </c>
      <c r="T123" s="146">
        <v>-47.61</v>
      </c>
      <c r="U123" s="146">
        <v>-52.24</v>
      </c>
      <c r="V123" s="146">
        <v>-60.25</v>
      </c>
      <c r="W123" s="146">
        <v>-69.819999999999993</v>
      </c>
      <c r="X123" s="146">
        <v>-80.180000000000007</v>
      </c>
      <c r="Y123" s="146">
        <v>-93.62</v>
      </c>
      <c r="Z123" s="146">
        <v>-110.58</v>
      </c>
      <c r="AA123" s="146">
        <v>-131.65</v>
      </c>
      <c r="AB123" s="146">
        <v>-157.4</v>
      </c>
      <c r="AC123" s="146">
        <v>-188.37</v>
      </c>
      <c r="AD123" s="146">
        <v>-225.08</v>
      </c>
      <c r="AE123" s="146">
        <v>-266.72000000000003</v>
      </c>
    </row>
    <row r="124" spans="2:31" x14ac:dyDescent="0.35">
      <c r="B124" s="112" t="s">
        <v>3447</v>
      </c>
      <c r="C124" s="112" t="s">
        <v>3269</v>
      </c>
      <c r="D124" s="112" t="s">
        <v>3444</v>
      </c>
      <c r="E124" s="112" t="s">
        <v>3408</v>
      </c>
      <c r="F124" s="112" t="s">
        <v>3270</v>
      </c>
      <c r="H124" s="116" t="s">
        <v>3445</v>
      </c>
      <c r="L124" s="146">
        <v>-47.34</v>
      </c>
      <c r="M124" s="146">
        <v>-37.57</v>
      </c>
      <c r="N124" s="146">
        <v>-38.57</v>
      </c>
      <c r="O124" s="146">
        <v>-37.1</v>
      </c>
      <c r="P124" s="146">
        <v>-39.97</v>
      </c>
      <c r="Q124" s="146">
        <v>-40.03</v>
      </c>
      <c r="R124" s="146">
        <v>-41.63</v>
      </c>
      <c r="S124" s="146">
        <v>-44.25</v>
      </c>
      <c r="T124" s="146">
        <v>-47.61</v>
      </c>
      <c r="U124" s="146">
        <v>-52.24</v>
      </c>
      <c r="V124" s="146">
        <v>-60.25</v>
      </c>
      <c r="W124" s="146">
        <v>-69.819999999999993</v>
      </c>
      <c r="X124" s="146">
        <v>-80.180000000000007</v>
      </c>
      <c r="Y124" s="146">
        <v>-93.62</v>
      </c>
      <c r="Z124" s="146">
        <v>-110.58</v>
      </c>
      <c r="AA124" s="146">
        <v>-131.65</v>
      </c>
      <c r="AB124" s="146">
        <v>-157.4</v>
      </c>
      <c r="AC124" s="146">
        <v>-188.37</v>
      </c>
      <c r="AD124" s="146">
        <v>-225.08</v>
      </c>
      <c r="AE124" s="146">
        <v>-266.72000000000003</v>
      </c>
    </row>
    <row r="125" spans="2:31" x14ac:dyDescent="0.35">
      <c r="B125" s="112" t="s">
        <v>3448</v>
      </c>
      <c r="C125" s="112" t="s">
        <v>3272</v>
      </c>
      <c r="D125" s="112" t="s">
        <v>3444</v>
      </c>
      <c r="E125" s="112" t="s">
        <v>3408</v>
      </c>
      <c r="F125" s="112" t="s">
        <v>3273</v>
      </c>
      <c r="H125" s="116" t="s">
        <v>3445</v>
      </c>
      <c r="L125" s="146">
        <v>-47.34</v>
      </c>
      <c r="M125" s="146">
        <v>-37.57</v>
      </c>
      <c r="N125" s="146">
        <v>-38.57</v>
      </c>
      <c r="O125" s="146">
        <v>-37.1</v>
      </c>
      <c r="P125" s="146">
        <v>-39.97</v>
      </c>
      <c r="Q125" s="146">
        <v>-40.03</v>
      </c>
      <c r="R125" s="146">
        <v>-41.63</v>
      </c>
      <c r="S125" s="146">
        <v>-44.25</v>
      </c>
      <c r="T125" s="146">
        <v>-47.61</v>
      </c>
      <c r="U125" s="146">
        <v>-52.24</v>
      </c>
      <c r="V125" s="146">
        <v>-60.25</v>
      </c>
      <c r="W125" s="146">
        <v>-69.819999999999993</v>
      </c>
      <c r="X125" s="146">
        <v>-80.180000000000007</v>
      </c>
      <c r="Y125" s="146">
        <v>-93.62</v>
      </c>
      <c r="Z125" s="146">
        <v>-110.58</v>
      </c>
      <c r="AA125" s="146">
        <v>-131.65</v>
      </c>
      <c r="AB125" s="146">
        <v>-157.4</v>
      </c>
      <c r="AC125" s="146">
        <v>-188.37</v>
      </c>
      <c r="AD125" s="146">
        <v>-225.08</v>
      </c>
      <c r="AE125" s="146">
        <v>-266.72000000000003</v>
      </c>
    </row>
    <row r="126" spans="2:31" x14ac:dyDescent="0.35">
      <c r="B126" s="112" t="s">
        <v>3449</v>
      </c>
      <c r="C126" s="112" t="s">
        <v>3260</v>
      </c>
      <c r="D126" s="112" t="s">
        <v>3450</v>
      </c>
      <c r="E126" s="112" t="s">
        <v>3408</v>
      </c>
      <c r="F126" s="112" t="s">
        <v>3263</v>
      </c>
      <c r="H126" s="116" t="s">
        <v>3451</v>
      </c>
      <c r="L126" s="146">
        <v>-47.34</v>
      </c>
      <c r="M126" s="146">
        <v>-37.56</v>
      </c>
      <c r="N126" s="146">
        <v>-38.56</v>
      </c>
      <c r="O126" s="146">
        <v>-37.090000000000003</v>
      </c>
      <c r="P126" s="146">
        <v>-39.96</v>
      </c>
      <c r="Q126" s="146">
        <v>-40.01</v>
      </c>
      <c r="R126" s="146">
        <v>-32.83</v>
      </c>
      <c r="S126" s="146">
        <v>-33.979999999999997</v>
      </c>
      <c r="T126" s="146">
        <v>-37.18</v>
      </c>
      <c r="U126" s="146">
        <v>-41.11</v>
      </c>
      <c r="V126" s="146">
        <v>-48.65</v>
      </c>
      <c r="W126" s="146">
        <v>-55.9</v>
      </c>
      <c r="X126" s="146">
        <v>-65.36</v>
      </c>
      <c r="Y126" s="146">
        <v>-77.8</v>
      </c>
      <c r="Z126" s="146">
        <v>-93.74</v>
      </c>
      <c r="AA126" s="146">
        <v>-113.69</v>
      </c>
      <c r="AB126" s="146">
        <v>-138.22</v>
      </c>
      <c r="AC126" s="146">
        <v>-167.84</v>
      </c>
      <c r="AD126" s="146">
        <v>-203.04</v>
      </c>
      <c r="AE126" s="146">
        <v>-243.01</v>
      </c>
    </row>
    <row r="127" spans="2:31" x14ac:dyDescent="0.35">
      <c r="B127" s="112" t="s">
        <v>3452</v>
      </c>
      <c r="C127" s="112" t="s">
        <v>3266</v>
      </c>
      <c r="D127" s="112" t="s">
        <v>3450</v>
      </c>
      <c r="E127" s="112" t="s">
        <v>3408</v>
      </c>
      <c r="F127" s="112" t="s">
        <v>3267</v>
      </c>
      <c r="H127" s="116" t="s">
        <v>3451</v>
      </c>
      <c r="L127" s="146">
        <v>-47.34</v>
      </c>
      <c r="M127" s="146">
        <v>-37.56</v>
      </c>
      <c r="N127" s="146">
        <v>-38.56</v>
      </c>
      <c r="O127" s="146">
        <v>-37.090000000000003</v>
      </c>
      <c r="P127" s="146">
        <v>-39.96</v>
      </c>
      <c r="Q127" s="146">
        <v>-40.01</v>
      </c>
      <c r="R127" s="146">
        <v>-32.83</v>
      </c>
      <c r="S127" s="146">
        <v>-33.880000000000003</v>
      </c>
      <c r="T127" s="146">
        <v>-36.99</v>
      </c>
      <c r="U127" s="146">
        <v>-40.799999999999997</v>
      </c>
      <c r="V127" s="146">
        <v>-48.24</v>
      </c>
      <c r="W127" s="146">
        <v>-55.49</v>
      </c>
      <c r="X127" s="146">
        <v>-64.849999999999994</v>
      </c>
      <c r="Y127" s="146">
        <v>-77.150000000000006</v>
      </c>
      <c r="Z127" s="146">
        <v>-92.93</v>
      </c>
      <c r="AA127" s="146">
        <v>-112.69</v>
      </c>
      <c r="AB127" s="146">
        <v>-136.97</v>
      </c>
      <c r="AC127" s="146">
        <v>-166.29</v>
      </c>
      <c r="AD127" s="146">
        <v>-201.15</v>
      </c>
      <c r="AE127" s="146">
        <v>-240.75</v>
      </c>
    </row>
    <row r="128" spans="2:31" x14ac:dyDescent="0.35">
      <c r="B128" s="112" t="s">
        <v>3453</v>
      </c>
      <c r="C128" s="112" t="s">
        <v>3269</v>
      </c>
      <c r="D128" s="112" t="s">
        <v>3450</v>
      </c>
      <c r="E128" s="112" t="s">
        <v>3408</v>
      </c>
      <c r="F128" s="112" t="s">
        <v>3270</v>
      </c>
      <c r="H128" s="116" t="s">
        <v>3451</v>
      </c>
      <c r="L128" s="146">
        <v>-47.34</v>
      </c>
      <c r="M128" s="146">
        <v>-37.57</v>
      </c>
      <c r="N128" s="146">
        <v>-38.57</v>
      </c>
      <c r="O128" s="146">
        <v>-37.1</v>
      </c>
      <c r="P128" s="146">
        <v>-39.97</v>
      </c>
      <c r="Q128" s="146">
        <v>-40.020000000000003</v>
      </c>
      <c r="R128" s="146">
        <v>-40.909999999999997</v>
      </c>
      <c r="S128" s="146">
        <v>-42.48</v>
      </c>
      <c r="T128" s="146">
        <v>-44.92</v>
      </c>
      <c r="U128" s="146">
        <v>-48.7</v>
      </c>
      <c r="V128" s="146">
        <v>-56.59</v>
      </c>
      <c r="W128" s="146">
        <v>-63.98</v>
      </c>
      <c r="X128" s="146">
        <v>-74.05</v>
      </c>
      <c r="Y128" s="146">
        <v>-87.56</v>
      </c>
      <c r="Z128" s="146">
        <v>-104.99</v>
      </c>
      <c r="AA128" s="146">
        <v>-126.78</v>
      </c>
      <c r="AB128" s="146">
        <v>-153.47999999999999</v>
      </c>
      <c r="AC128" s="146">
        <v>-185.57</v>
      </c>
      <c r="AD128" s="146">
        <v>-223.55</v>
      </c>
      <c r="AE128" s="146">
        <v>-266.55</v>
      </c>
    </row>
    <row r="129" spans="2:31" x14ac:dyDescent="0.35">
      <c r="B129" s="112" t="s">
        <v>3454</v>
      </c>
      <c r="C129" s="112" t="s">
        <v>3272</v>
      </c>
      <c r="D129" s="112" t="s">
        <v>3450</v>
      </c>
      <c r="E129" s="112" t="s">
        <v>3408</v>
      </c>
      <c r="F129" s="112" t="s">
        <v>3273</v>
      </c>
      <c r="H129" s="116" t="s">
        <v>3451</v>
      </c>
      <c r="L129" s="146">
        <v>-47.34</v>
      </c>
      <c r="M129" s="146">
        <v>-37.57</v>
      </c>
      <c r="N129" s="146">
        <v>-38.57</v>
      </c>
      <c r="O129" s="146">
        <v>-37.1</v>
      </c>
      <c r="P129" s="146">
        <v>-39.97</v>
      </c>
      <c r="Q129" s="146">
        <v>-40.03</v>
      </c>
      <c r="R129" s="146">
        <v>-40.03</v>
      </c>
      <c r="S129" s="146">
        <v>-40.020000000000003</v>
      </c>
      <c r="T129" s="146">
        <v>-40.909999999999997</v>
      </c>
      <c r="U129" s="146">
        <v>-42.54</v>
      </c>
      <c r="V129" s="146">
        <v>-45.43</v>
      </c>
      <c r="W129" s="146">
        <v>-48.77</v>
      </c>
      <c r="X129" s="146">
        <v>-47.11</v>
      </c>
      <c r="Y129" s="146">
        <v>-39.799999999999997</v>
      </c>
      <c r="Z129" s="146">
        <v>-23.6</v>
      </c>
      <c r="AA129" s="146">
        <v>5.51</v>
      </c>
      <c r="AB129" s="146">
        <v>52.16</v>
      </c>
      <c r="AC129" s="146">
        <v>121.59</v>
      </c>
      <c r="AD129" s="146">
        <v>219.69</v>
      </c>
      <c r="AE129" s="146">
        <v>346.84</v>
      </c>
    </row>
    <row r="130" spans="2:31" x14ac:dyDescent="0.35">
      <c r="B130" s="112" t="s">
        <v>3455</v>
      </c>
      <c r="C130" s="112" t="s">
        <v>3260</v>
      </c>
      <c r="D130" s="112" t="s">
        <v>3456</v>
      </c>
      <c r="E130" s="112" t="s">
        <v>2068</v>
      </c>
      <c r="F130" s="112" t="s">
        <v>3263</v>
      </c>
      <c r="H130" s="116" t="s">
        <v>3457</v>
      </c>
      <c r="L130" s="146">
        <v>0</v>
      </c>
      <c r="M130" s="146">
        <v>0</v>
      </c>
      <c r="N130" s="146">
        <v>0</v>
      </c>
      <c r="O130" s="146">
        <v>0</v>
      </c>
      <c r="P130" s="146">
        <v>0</v>
      </c>
      <c r="Q130" s="146">
        <v>-1.0000000000000001E-5</v>
      </c>
      <c r="R130" s="146">
        <v>1.1900000000000001E-3</v>
      </c>
      <c r="S130" s="146">
        <v>1.2800000000000001E-3</v>
      </c>
      <c r="T130" s="146">
        <v>1.2999999999999999E-3</v>
      </c>
      <c r="U130" s="146">
        <v>1.1999999999999999E-3</v>
      </c>
      <c r="V130" s="146">
        <v>1.24E-3</v>
      </c>
      <c r="W130" s="146">
        <v>1.4499999999999999E-3</v>
      </c>
      <c r="X130" s="146">
        <v>1.2099999999999999E-3</v>
      </c>
      <c r="Y130" s="146">
        <v>1.32E-3</v>
      </c>
      <c r="Z130" s="146">
        <v>1.01E-3</v>
      </c>
      <c r="AA130" s="146">
        <v>1.0200000000000001E-3</v>
      </c>
      <c r="AB130" s="146">
        <v>9.5E-4</v>
      </c>
      <c r="AC130" s="146">
        <v>8.7000000000000001E-4</v>
      </c>
      <c r="AD130" s="146">
        <v>8.4000000000000003E-4</v>
      </c>
      <c r="AE130" s="146">
        <v>8.0000000000000004E-4</v>
      </c>
    </row>
    <row r="131" spans="2:31" x14ac:dyDescent="0.35">
      <c r="B131" s="112" t="s">
        <v>3458</v>
      </c>
      <c r="C131" s="112" t="s">
        <v>3266</v>
      </c>
      <c r="D131" s="112" t="s">
        <v>3456</v>
      </c>
      <c r="E131" s="112" t="s">
        <v>2068</v>
      </c>
      <c r="F131" s="112" t="s">
        <v>3267</v>
      </c>
      <c r="H131" s="116" t="s">
        <v>3457</v>
      </c>
      <c r="L131" s="146">
        <v>0</v>
      </c>
      <c r="M131" s="146">
        <v>0</v>
      </c>
      <c r="N131" s="146">
        <v>0</v>
      </c>
      <c r="O131" s="146">
        <v>0</v>
      </c>
      <c r="P131" s="146">
        <v>0</v>
      </c>
      <c r="Q131" s="146">
        <v>-1.0000000000000001E-5</v>
      </c>
      <c r="R131" s="146">
        <v>1.1900000000000001E-3</v>
      </c>
      <c r="S131" s="146">
        <v>1.31E-3</v>
      </c>
      <c r="T131" s="146">
        <v>1.3600000000000001E-3</v>
      </c>
      <c r="U131" s="146">
        <v>1.42E-3</v>
      </c>
      <c r="V131" s="146">
        <v>1.5E-3</v>
      </c>
      <c r="W131" s="146">
        <v>1.73E-3</v>
      </c>
      <c r="X131" s="146">
        <v>1.4400000000000001E-3</v>
      </c>
      <c r="Y131" s="146">
        <v>1.58E-3</v>
      </c>
      <c r="Z131" s="146">
        <v>1.31E-3</v>
      </c>
      <c r="AA131" s="146">
        <v>1.25E-3</v>
      </c>
      <c r="AB131" s="146">
        <v>1.2199999999999999E-3</v>
      </c>
      <c r="AC131" s="146">
        <v>1.1100000000000001E-3</v>
      </c>
      <c r="AD131" s="146">
        <v>1.06E-3</v>
      </c>
      <c r="AE131" s="146">
        <v>1.0200000000000001E-3</v>
      </c>
    </row>
    <row r="132" spans="2:31" x14ac:dyDescent="0.35">
      <c r="B132" s="112" t="s">
        <v>3459</v>
      </c>
      <c r="C132" s="112" t="s">
        <v>3269</v>
      </c>
      <c r="D132" s="112" t="s">
        <v>3456</v>
      </c>
      <c r="E132" s="112" t="s">
        <v>2068</v>
      </c>
      <c r="F132" s="112" t="s">
        <v>3270</v>
      </c>
      <c r="H132" s="116" t="s">
        <v>3457</v>
      </c>
      <c r="L132" s="146">
        <v>0</v>
      </c>
      <c r="M132" s="146">
        <v>0</v>
      </c>
      <c r="N132" s="146">
        <v>0</v>
      </c>
      <c r="O132" s="146">
        <v>0</v>
      </c>
      <c r="P132" s="146">
        <v>0</v>
      </c>
      <c r="Q132" s="146">
        <v>1.0000000000000001E-5</v>
      </c>
      <c r="R132" s="146">
        <v>1.1E-4</v>
      </c>
      <c r="S132" s="146">
        <v>2.7E-4</v>
      </c>
      <c r="T132" s="146">
        <v>4.4999999999999999E-4</v>
      </c>
      <c r="U132" s="146">
        <v>9.2000000000000003E-4</v>
      </c>
      <c r="V132" s="146">
        <v>1.3600000000000001E-3</v>
      </c>
      <c r="W132" s="146">
        <v>1.9499999999999999E-3</v>
      </c>
      <c r="X132" s="146">
        <v>1.8400000000000001E-3</v>
      </c>
      <c r="Y132" s="146">
        <v>2.2200000000000002E-3</v>
      </c>
      <c r="Z132" s="146">
        <v>2.1900000000000001E-3</v>
      </c>
      <c r="AA132" s="146">
        <v>2.0300000000000001E-3</v>
      </c>
      <c r="AB132" s="146">
        <v>2.1700000000000001E-3</v>
      </c>
      <c r="AC132" s="146">
        <v>2E-3</v>
      </c>
      <c r="AD132" s="146">
        <v>1.92E-3</v>
      </c>
      <c r="AE132" s="146">
        <v>1.8400000000000001E-3</v>
      </c>
    </row>
    <row r="133" spans="2:31" x14ac:dyDescent="0.35">
      <c r="B133" s="112" t="s">
        <v>3460</v>
      </c>
      <c r="C133" s="112" t="s">
        <v>3272</v>
      </c>
      <c r="D133" s="112" t="s">
        <v>3456</v>
      </c>
      <c r="E133" s="112" t="s">
        <v>2068</v>
      </c>
      <c r="F133" s="112" t="s">
        <v>3273</v>
      </c>
      <c r="H133" s="116" t="s">
        <v>3457</v>
      </c>
      <c r="L133" s="146">
        <v>0</v>
      </c>
      <c r="M133" s="146">
        <v>0</v>
      </c>
      <c r="N133" s="146">
        <v>0</v>
      </c>
      <c r="O133" s="146">
        <v>0</v>
      </c>
      <c r="P133" s="146">
        <v>0</v>
      </c>
      <c r="Q133" s="146">
        <v>0</v>
      </c>
      <c r="R133" s="146">
        <v>0</v>
      </c>
      <c r="S133" s="146">
        <v>9.0000000000000006E-5</v>
      </c>
      <c r="T133" s="146">
        <v>1.8000000000000001E-4</v>
      </c>
      <c r="U133" s="146">
        <v>2.7999999999999998E-4</v>
      </c>
      <c r="V133" s="146">
        <v>1.8600000000000001E-3</v>
      </c>
      <c r="W133" s="146">
        <v>1.9599999999999999E-3</v>
      </c>
      <c r="X133" s="146">
        <v>1.6999999999999999E-3</v>
      </c>
      <c r="Y133" s="146">
        <v>1.97E-3</v>
      </c>
      <c r="Z133" s="146">
        <v>1.8799999999999999E-3</v>
      </c>
      <c r="AA133" s="146">
        <v>1.7799999999999999E-3</v>
      </c>
      <c r="AB133" s="146">
        <v>1.91E-3</v>
      </c>
      <c r="AC133" s="146">
        <v>1.7799999999999999E-3</v>
      </c>
      <c r="AD133" s="146">
        <v>1.7099999999999999E-3</v>
      </c>
      <c r="AE133" s="146">
        <v>1.64E-3</v>
      </c>
    </row>
    <row r="135" spans="2:31" x14ac:dyDescent="0.35">
      <c r="B135" s="112" t="s">
        <v>3461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4201-9D89-4A84-8301-DC9F2EA929AE}">
  <dimension ref="A1:AI112"/>
  <sheetViews>
    <sheetView topLeftCell="I1" workbookViewId="0">
      <pane xSplit="3" ySplit="5" topLeftCell="L39" activePane="bottomRight" state="frozen"/>
      <selection activeCell="I1" sqref="I1"/>
      <selection pane="topRight" activeCell="L1" sqref="L1"/>
      <selection pane="bottomLeft" activeCell="I6" sqref="I6"/>
      <selection pane="bottomRight" activeCell="A54" sqref="A54:XFD54"/>
    </sheetView>
  </sheetViews>
  <sheetFormatPr defaultRowHeight="13.5" x14ac:dyDescent="0.35"/>
  <cols>
    <col min="1" max="1" width="3" style="112" customWidth="1"/>
    <col min="2" max="2" width="12.46484375" style="112" customWidth="1"/>
    <col min="3" max="3" width="28" style="112" customWidth="1"/>
    <col min="4" max="4" width="33.73046875" style="112" customWidth="1"/>
    <col min="5" max="5" width="14.73046875" style="112" customWidth="1"/>
    <col min="6" max="6" width="17.73046875" style="112" customWidth="1"/>
    <col min="7" max="7" width="30.265625" style="112" customWidth="1"/>
    <col min="8" max="8" width="28.86328125" style="112" customWidth="1"/>
    <col min="9" max="9" width="31.265625" style="112" customWidth="1"/>
    <col min="10" max="10" width="30.265625" style="112" customWidth="1"/>
    <col min="11" max="11" width="10.53125" style="112" customWidth="1"/>
    <col min="12" max="35" width="12" style="112" customWidth="1"/>
    <col min="36" max="16384" width="9.06640625" style="112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3462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3463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1726</v>
      </c>
      <c r="C5" s="7" t="s">
        <v>1727</v>
      </c>
      <c r="D5" s="6" t="s">
        <v>3464</v>
      </c>
      <c r="E5" s="7" t="s">
        <v>3465</v>
      </c>
      <c r="F5" s="7" t="s">
        <v>39</v>
      </c>
      <c r="G5" s="7"/>
      <c r="H5" s="12"/>
      <c r="I5" s="6"/>
      <c r="J5" s="48"/>
      <c r="K5" s="6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35">
      <c r="B6" s="112" t="str">
        <f>Scenarios!$B$17</f>
        <v>LEGACY</v>
      </c>
      <c r="C6" s="112" t="str">
        <f>Scenarios!$C$17</f>
        <v>CPAT default policy scenario (regression)</v>
      </c>
      <c r="D6" s="147" t="s">
        <v>77</v>
      </c>
      <c r="E6" s="112" t="str">
        <f>Scenarios!$L$17</f>
        <v>All sectors</v>
      </c>
      <c r="F6" s="148" t="s">
        <v>3466</v>
      </c>
    </row>
    <row r="7" spans="1:35" x14ac:dyDescent="0.35">
      <c r="B7" s="112" t="str">
        <f>Scenarios!$B$18</f>
        <v>1A</v>
      </c>
      <c r="C7" s="112" t="str">
        <f>Scenarios!$C$18</f>
        <v>Comprehensive levy + CBAM process fee</v>
      </c>
      <c r="D7" s="147" t="s">
        <v>3260</v>
      </c>
      <c r="E7" s="112" t="str">
        <f>Scenarios!$L$18</f>
        <v>All sectors</v>
      </c>
      <c r="F7" s="112" t="s">
        <v>3467</v>
      </c>
    </row>
    <row r="8" spans="1:35" x14ac:dyDescent="0.35">
      <c r="B8" s="112" t="str">
        <f>Scenarios!$B$19</f>
        <v>2A</v>
      </c>
      <c r="C8" s="112" t="str">
        <f>Scenarios!$C$19</f>
        <v>Upstream levy, public investment</v>
      </c>
      <c r="D8" s="147" t="s">
        <v>3260</v>
      </c>
      <c r="E8" s="112" t="str">
        <f>Scenarios!$L$19</f>
        <v>All sectors</v>
      </c>
      <c r="F8" s="112" t="s">
        <v>3467</v>
      </c>
    </row>
    <row r="9" spans="1:35" x14ac:dyDescent="0.35">
      <c r="B9" s="112" t="str">
        <f>Scenarios!$B$20</f>
        <v>2B</v>
      </c>
      <c r="C9" s="112" t="str">
        <f>Scenarios!$C$20</f>
        <v>Upstream levy, households</v>
      </c>
      <c r="D9" s="147" t="s">
        <v>3266</v>
      </c>
      <c r="E9" s="112" t="str">
        <f>Scenarios!$L$20</f>
        <v>All sectors</v>
      </c>
      <c r="F9" s="112" t="s">
        <v>3467</v>
      </c>
    </row>
    <row r="10" spans="1:35" x14ac:dyDescent="0.35">
      <c r="B10" s="112" t="str">
        <f>Scenarios!$B$21</f>
        <v>3A</v>
      </c>
      <c r="C10" s="112" t="str">
        <f>Scenarios!$C$21</f>
        <v>Downstream heavy industry, households</v>
      </c>
      <c r="D10" s="147" t="s">
        <v>3269</v>
      </c>
      <c r="E10" s="112" t="str">
        <f>Scenarios!$L$21</f>
        <v>Industry only</v>
      </c>
      <c r="F10" s="112" t="s">
        <v>3467</v>
      </c>
    </row>
    <row r="11" spans="1:35" x14ac:dyDescent="0.35">
      <c r="B11" s="112" t="str">
        <f>Scenarios!$B$22</f>
        <v>3B</v>
      </c>
      <c r="C11" s="112" t="str">
        <f>Scenarios!$C$22</f>
        <v>Downstream heavy industry, free allocation (benchmark)</v>
      </c>
      <c r="D11" s="147" t="s">
        <v>3269</v>
      </c>
      <c r="E11" s="112" t="str">
        <f>Scenarios!$L$22</f>
        <v>Industry only</v>
      </c>
      <c r="F11" s="112" t="s">
        <v>3467</v>
      </c>
    </row>
    <row r="12" spans="1:35" x14ac:dyDescent="0.35">
      <c r="B12" s="112" t="str">
        <f>Scenarios!$B$23</f>
        <v>3C</v>
      </c>
      <c r="C12" s="112" t="str">
        <f>Scenarios!$C$23</f>
        <v>Downstream heavy industry, abatement rebate</v>
      </c>
      <c r="D12" s="147" t="s">
        <v>3269</v>
      </c>
      <c r="E12" s="112" t="str">
        <f>Scenarios!$L$23</f>
        <v>Industry only</v>
      </c>
      <c r="F12" s="112" t="s">
        <v>3467</v>
      </c>
    </row>
    <row r="14" spans="1:35" x14ac:dyDescent="0.35">
      <c r="C14" s="112" t="s">
        <v>3468</v>
      </c>
      <c r="D14" s="112" t="str">
        <f>Scenarios!$B$27</f>
        <v>LEGACY</v>
      </c>
    </row>
    <row r="15" spans="1:35" x14ac:dyDescent="0.35">
      <c r="C15" s="112" t="s">
        <v>3464</v>
      </c>
      <c r="D15" s="112" t="str">
        <f>INDEX($D$6:$D$12,MATCH(D14,$B$6:$B$12,0))</f>
        <v>-</v>
      </c>
    </row>
    <row r="16" spans="1:35" x14ac:dyDescent="0.35">
      <c r="C16" s="112" t="s">
        <v>3469</v>
      </c>
      <c r="D16" s="112" t="str">
        <f>Scenarios!$L$27</f>
        <v>All sectors</v>
      </c>
    </row>
    <row r="17" spans="1:35" x14ac:dyDescent="0.35">
      <c r="C17" s="112" t="s">
        <v>1731</v>
      </c>
      <c r="D17" s="112">
        <f>Scenarios!$G$27</f>
        <v>0</v>
      </c>
    </row>
    <row r="18" spans="1:35" x14ac:dyDescent="0.35">
      <c r="C18" s="112" t="s">
        <v>3470</v>
      </c>
      <c r="D18" s="112" t="str">
        <f>Scenarios!$K$27</f>
        <v>CPAT default</v>
      </c>
    </row>
    <row r="19" spans="1:35" x14ac:dyDescent="0.35">
      <c r="C19" s="112" t="s">
        <v>3471</v>
      </c>
      <c r="D19" s="147">
        <v>2030</v>
      </c>
      <c r="E19" s="112" t="s">
        <v>3472</v>
      </c>
    </row>
    <row r="22" spans="1:35" customFormat="1" ht="18" customHeight="1" x14ac:dyDescent="0.45">
      <c r="A22" s="8"/>
      <c r="B22" s="9" t="s">
        <v>3473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4" spans="1:35" customFormat="1" ht="14.25" x14ac:dyDescent="0.45">
      <c r="A24" s="11"/>
      <c r="B24" s="6" t="s">
        <v>1488</v>
      </c>
      <c r="C24" s="7" t="s">
        <v>33</v>
      </c>
      <c r="D24" s="6" t="s">
        <v>34</v>
      </c>
      <c r="E24" s="7" t="s">
        <v>35</v>
      </c>
      <c r="F24" s="7" t="s">
        <v>36</v>
      </c>
      <c r="G24" s="7" t="s">
        <v>37</v>
      </c>
      <c r="H24" s="12" t="s">
        <v>38</v>
      </c>
      <c r="I24" s="6" t="s">
        <v>39</v>
      </c>
      <c r="J24" s="48"/>
      <c r="K24" s="6">
        <v>2021</v>
      </c>
      <c r="L24" s="46">
        <v>2022</v>
      </c>
      <c r="M24" s="6">
        <v>2023</v>
      </c>
      <c r="N24" s="6">
        <v>2024</v>
      </c>
      <c r="O24" s="6">
        <v>2025</v>
      </c>
      <c r="P24" s="6">
        <v>2026</v>
      </c>
      <c r="Q24" s="6">
        <v>2027</v>
      </c>
      <c r="R24" s="6">
        <v>2028</v>
      </c>
      <c r="S24" s="6">
        <v>2029</v>
      </c>
      <c r="T24" s="6">
        <v>2030</v>
      </c>
      <c r="U24" s="6">
        <v>2031</v>
      </c>
      <c r="V24" s="6">
        <v>2032</v>
      </c>
      <c r="W24" s="6">
        <v>2033</v>
      </c>
      <c r="X24" s="6">
        <v>2034</v>
      </c>
      <c r="Y24" s="6">
        <v>2035</v>
      </c>
      <c r="Z24" s="6">
        <v>2036</v>
      </c>
      <c r="AA24" s="6">
        <v>2037</v>
      </c>
      <c r="AB24" s="6">
        <v>2038</v>
      </c>
      <c r="AC24" s="6">
        <v>2039</v>
      </c>
      <c r="AD24" s="6">
        <v>2040</v>
      </c>
      <c r="AE24" s="6">
        <v>2041</v>
      </c>
      <c r="AF24" s="6">
        <v>2042</v>
      </c>
      <c r="AG24" s="6">
        <v>2043</v>
      </c>
      <c r="AH24" s="6">
        <v>2044</v>
      </c>
      <c r="AI24" s="6">
        <v>2045</v>
      </c>
    </row>
    <row r="25" spans="1:35" x14ac:dyDescent="0.35">
      <c r="B25" s="112" t="s">
        <v>3474</v>
      </c>
      <c r="C25" s="112" t="s">
        <v>3475</v>
      </c>
      <c r="D25" s="112" t="s">
        <v>3476</v>
      </c>
      <c r="E25" s="112" t="s">
        <v>1852</v>
      </c>
      <c r="F25" s="112" t="s">
        <v>3477</v>
      </c>
      <c r="G25" s="112" t="s">
        <v>3396</v>
      </c>
      <c r="H25" s="116" t="str">
        <f>Settings!$B$3&amp;".mit.t2.ghg1"</f>
        <v>egy.mit.t2.ghg1</v>
      </c>
      <c r="L25" s="149">
        <f>IF($D$15="-",0,INDEX(CPAT_National!L$6:L$133,MATCH($G25&amp;"|"&amp;$D$15,CPAT_National!$B$6:$B$133,0)))</f>
        <v>0</v>
      </c>
      <c r="M25" s="149">
        <f>IF($D$15="-",0,INDEX(CPAT_National!M$6:M$133,MATCH($G25&amp;"|"&amp;$D$15,CPAT_National!$B$6:$B$133,0)))</f>
        <v>0</v>
      </c>
      <c r="N25" s="149">
        <f>IF($D$15="-",0,INDEX(CPAT_National!N$6:N$133,MATCH($G25&amp;"|"&amp;$D$15,CPAT_National!$B$6:$B$133,0)))</f>
        <v>0</v>
      </c>
      <c r="O25" s="149">
        <f>IF($D$15="-",0,INDEX(CPAT_National!O$6:O$133,MATCH($G25&amp;"|"&amp;$D$15,CPAT_National!$B$6:$B$133,0)))</f>
        <v>0</v>
      </c>
      <c r="P25" s="149">
        <f>IF($D$15="-",0,INDEX(CPAT_National!P$6:P$133,MATCH($G25&amp;"|"&amp;$D$15,CPAT_National!$B$6:$B$133,0)))</f>
        <v>0</v>
      </c>
      <c r="Q25" s="149">
        <f>IF($D$15="-",0,INDEX(CPAT_National!Q$6:Q$133,MATCH($G25&amp;"|"&amp;$D$15,CPAT_National!$B$6:$B$133,0)))</f>
        <v>0</v>
      </c>
      <c r="R25" s="149">
        <f>IF($D$15="-",0,INDEX(CPAT_National!R$6:R$133,MATCH($G25&amp;"|"&amp;$D$15,CPAT_National!$B$6:$B$133,0)))</f>
        <v>0</v>
      </c>
      <c r="S25" s="149">
        <f>IF($D$15="-",0,INDEX(CPAT_National!S$6:S$133,MATCH($G25&amp;"|"&amp;$D$15,CPAT_National!$B$6:$B$133,0)))</f>
        <v>0</v>
      </c>
      <c r="T25" s="149">
        <f>IF($D$15="-",0,INDEX(CPAT_National!T$6:T$133,MATCH($G25&amp;"|"&amp;$D$15,CPAT_National!$B$6:$B$133,0)))</f>
        <v>0</v>
      </c>
      <c r="U25" s="149">
        <f>IF($D$15="-",0,INDEX(CPAT_National!U$6:U$133,MATCH($G25&amp;"|"&amp;$D$15,CPAT_National!$B$6:$B$133,0)))</f>
        <v>0</v>
      </c>
      <c r="V25" s="149">
        <f>IF($D$15="-",0,INDEX(CPAT_National!V$6:V$133,MATCH($G25&amp;"|"&amp;$D$15,CPAT_National!$B$6:$B$133,0)))</f>
        <v>0</v>
      </c>
      <c r="W25" s="149">
        <f>IF($D$15="-",0,INDEX(CPAT_National!W$6:W$133,MATCH($G25&amp;"|"&amp;$D$15,CPAT_National!$B$6:$B$133,0)))</f>
        <v>0</v>
      </c>
      <c r="X25" s="149">
        <f>IF($D$15="-",0,INDEX(CPAT_National!X$6:X$133,MATCH($G25&amp;"|"&amp;$D$15,CPAT_National!$B$6:$B$133,0)))</f>
        <v>0</v>
      </c>
      <c r="Y25" s="149">
        <f>IF($D$15="-",0,INDEX(CPAT_National!Y$6:Y$133,MATCH($G25&amp;"|"&amp;$D$15,CPAT_National!$B$6:$B$133,0)))</f>
        <v>0</v>
      </c>
      <c r="Z25" s="149">
        <f>IF($D$15="-",0,INDEX(CPAT_National!Z$6:Z$133,MATCH($G25&amp;"|"&amp;$D$15,CPAT_National!$B$6:$B$133,0)))</f>
        <v>0</v>
      </c>
      <c r="AA25" s="149">
        <f>IF($D$15="-",0,INDEX(CPAT_National!AA$6:AA$133,MATCH($G25&amp;"|"&amp;$D$15,CPAT_National!$B$6:$B$133,0)))</f>
        <v>0</v>
      </c>
      <c r="AB25" s="149">
        <f>IF($D$15="-",0,INDEX(CPAT_National!AB$6:AB$133,MATCH($G25&amp;"|"&amp;$D$15,CPAT_National!$B$6:$B$133,0)))</f>
        <v>0</v>
      </c>
      <c r="AC25" s="149">
        <f>IF($D$15="-",0,INDEX(CPAT_National!AC$6:AC$133,MATCH($G25&amp;"|"&amp;$D$15,CPAT_National!$B$6:$B$133,0)))</f>
        <v>0</v>
      </c>
      <c r="AD25" s="149">
        <f>IF($D$15="-",0,INDEX(CPAT_National!AD$6:AD$133,MATCH($G25&amp;"|"&amp;$D$15,CPAT_National!$B$6:$B$133,0)))</f>
        <v>0</v>
      </c>
      <c r="AE25" s="149">
        <f>IF($D$15="-",0,INDEX(CPAT_National!AE$6:AE$133,MATCH($G25&amp;"|"&amp;$D$15,CPAT_National!$B$6:$B$133,0)))</f>
        <v>0</v>
      </c>
    </row>
    <row r="26" spans="1:35" x14ac:dyDescent="0.35">
      <c r="B26" s="112" t="s">
        <v>3474</v>
      </c>
      <c r="C26" s="112" t="s">
        <v>3475</v>
      </c>
      <c r="D26" s="112" t="s">
        <v>3478</v>
      </c>
      <c r="E26" s="112" t="s">
        <v>1852</v>
      </c>
      <c r="F26" s="112" t="s">
        <v>3477</v>
      </c>
      <c r="G26" s="112" t="s">
        <v>3402</v>
      </c>
      <c r="H26" s="116" t="str">
        <f>Settings!$B$3&amp;".mit.t2.ghg2"</f>
        <v>egy.mit.t2.ghg2</v>
      </c>
      <c r="L26" s="149">
        <f>IF($D$15="-",0,INDEX(CPAT_National!L$6:L$133,MATCH($G26&amp;"|"&amp;$D$15,CPAT_National!$B$6:$B$133,0)))</f>
        <v>0</v>
      </c>
      <c r="M26" s="149">
        <f>IF($D$15="-",0,INDEX(CPAT_National!M$6:M$133,MATCH($G26&amp;"|"&amp;$D$15,CPAT_National!$B$6:$B$133,0)))</f>
        <v>0</v>
      </c>
      <c r="N26" s="149">
        <f>IF($D$15="-",0,INDEX(CPAT_National!N$6:N$133,MATCH($G26&amp;"|"&amp;$D$15,CPAT_National!$B$6:$B$133,0)))</f>
        <v>0</v>
      </c>
      <c r="O26" s="149">
        <f>IF($D$15="-",0,INDEX(CPAT_National!O$6:O$133,MATCH($G26&amp;"|"&amp;$D$15,CPAT_National!$B$6:$B$133,0)))</f>
        <v>0</v>
      </c>
      <c r="P26" s="149">
        <f>IF($D$15="-",0,INDEX(CPAT_National!P$6:P$133,MATCH($G26&amp;"|"&amp;$D$15,CPAT_National!$B$6:$B$133,0)))</f>
        <v>0</v>
      </c>
      <c r="Q26" s="149">
        <f>IF($D$15="-",0,INDEX(CPAT_National!Q$6:Q$133,MATCH($G26&amp;"|"&amp;$D$15,CPAT_National!$B$6:$B$133,0)))</f>
        <v>0</v>
      </c>
      <c r="R26" s="149">
        <f>IF($D$15="-",0,INDEX(CPAT_National!R$6:R$133,MATCH($G26&amp;"|"&amp;$D$15,CPAT_National!$B$6:$B$133,0)))</f>
        <v>0</v>
      </c>
      <c r="S26" s="149">
        <f>IF($D$15="-",0,INDEX(CPAT_National!S$6:S$133,MATCH($G26&amp;"|"&amp;$D$15,CPAT_National!$B$6:$B$133,0)))</f>
        <v>0</v>
      </c>
      <c r="T26" s="149">
        <f>IF($D$15="-",0,INDEX(CPAT_National!T$6:T$133,MATCH($G26&amp;"|"&amp;$D$15,CPAT_National!$B$6:$B$133,0)))</f>
        <v>0</v>
      </c>
      <c r="U26" s="149">
        <f>IF($D$15="-",0,INDEX(CPAT_National!U$6:U$133,MATCH($G26&amp;"|"&amp;$D$15,CPAT_National!$B$6:$B$133,0)))</f>
        <v>0</v>
      </c>
      <c r="V26" s="149">
        <f>IF($D$15="-",0,INDEX(CPAT_National!V$6:V$133,MATCH($G26&amp;"|"&amp;$D$15,CPAT_National!$B$6:$B$133,0)))</f>
        <v>0</v>
      </c>
      <c r="W26" s="149">
        <f>IF($D$15="-",0,INDEX(CPAT_National!W$6:W$133,MATCH($G26&amp;"|"&amp;$D$15,CPAT_National!$B$6:$B$133,0)))</f>
        <v>0</v>
      </c>
      <c r="X26" s="149">
        <f>IF($D$15="-",0,INDEX(CPAT_National!X$6:X$133,MATCH($G26&amp;"|"&amp;$D$15,CPAT_National!$B$6:$B$133,0)))</f>
        <v>0</v>
      </c>
      <c r="Y26" s="149">
        <f>IF($D$15="-",0,INDEX(CPAT_National!Y$6:Y$133,MATCH($G26&amp;"|"&amp;$D$15,CPAT_National!$B$6:$B$133,0)))</f>
        <v>0</v>
      </c>
      <c r="Z26" s="149">
        <f>IF($D$15="-",0,INDEX(CPAT_National!Z$6:Z$133,MATCH($G26&amp;"|"&amp;$D$15,CPAT_National!$B$6:$B$133,0)))</f>
        <v>0</v>
      </c>
      <c r="AA26" s="149">
        <f>IF($D$15="-",0,INDEX(CPAT_National!AA$6:AA$133,MATCH($G26&amp;"|"&amp;$D$15,CPAT_National!$B$6:$B$133,0)))</f>
        <v>0</v>
      </c>
      <c r="AB26" s="149">
        <f>IF($D$15="-",0,INDEX(CPAT_National!AB$6:AB$133,MATCH($G26&amp;"|"&amp;$D$15,CPAT_National!$B$6:$B$133,0)))</f>
        <v>0</v>
      </c>
      <c r="AC26" s="149">
        <f>IF($D$15="-",0,INDEX(CPAT_National!AC$6:AC$133,MATCH($G26&amp;"|"&amp;$D$15,CPAT_National!$B$6:$B$133,0)))</f>
        <v>0</v>
      </c>
      <c r="AD26" s="149">
        <f>IF($D$15="-",0,INDEX(CPAT_National!AD$6:AD$133,MATCH($G26&amp;"|"&amp;$D$15,CPAT_National!$B$6:$B$133,0)))</f>
        <v>0</v>
      </c>
      <c r="AE26" s="149">
        <f>IF($D$15="-",0,INDEX(CPAT_National!AE$6:AE$133,MATCH($G26&amp;"|"&amp;$D$15,CPAT_National!$B$6:$B$133,0)))</f>
        <v>0</v>
      </c>
    </row>
    <row r="27" spans="1:35" x14ac:dyDescent="0.35">
      <c r="B27" s="112" t="s">
        <v>3474</v>
      </c>
      <c r="C27" s="112" t="s">
        <v>3475</v>
      </c>
      <c r="D27" s="112" t="s">
        <v>3479</v>
      </c>
      <c r="E27" s="112" t="s">
        <v>1852</v>
      </c>
      <c r="F27" s="112" t="s">
        <v>3477</v>
      </c>
      <c r="G27" s="112" t="s">
        <v>3384</v>
      </c>
      <c r="H27" s="116" t="str">
        <f>Settings!$B$3&amp;".mit.t2.ipr1"</f>
        <v>egy.mit.t2.ipr1</v>
      </c>
      <c r="L27" s="149">
        <f>IF($D$15="-",0,INDEX(CPAT_National!L$6:L$133,MATCH($G27&amp;"|"&amp;$D$15,CPAT_National!$B$6:$B$133,0)))</f>
        <v>0</v>
      </c>
      <c r="M27" s="149">
        <f>IF($D$15="-",0,INDEX(CPAT_National!M$6:M$133,MATCH($G27&amp;"|"&amp;$D$15,CPAT_National!$B$6:$B$133,0)))</f>
        <v>0</v>
      </c>
      <c r="N27" s="149">
        <f>IF($D$15="-",0,INDEX(CPAT_National!N$6:N$133,MATCH($G27&amp;"|"&amp;$D$15,CPAT_National!$B$6:$B$133,0)))</f>
        <v>0</v>
      </c>
      <c r="O27" s="149">
        <f>IF($D$15="-",0,INDEX(CPAT_National!O$6:O$133,MATCH($G27&amp;"|"&amp;$D$15,CPAT_National!$B$6:$B$133,0)))</f>
        <v>0</v>
      </c>
      <c r="P27" s="149">
        <f>IF($D$15="-",0,INDEX(CPAT_National!P$6:P$133,MATCH($G27&amp;"|"&amp;$D$15,CPAT_National!$B$6:$B$133,0)))</f>
        <v>0</v>
      </c>
      <c r="Q27" s="149">
        <f>IF($D$15="-",0,INDEX(CPAT_National!Q$6:Q$133,MATCH($G27&amp;"|"&amp;$D$15,CPAT_National!$B$6:$B$133,0)))</f>
        <v>0</v>
      </c>
      <c r="R27" s="149">
        <f>IF($D$15="-",0,INDEX(CPAT_National!R$6:R$133,MATCH($G27&amp;"|"&amp;$D$15,CPAT_National!$B$6:$B$133,0)))</f>
        <v>0</v>
      </c>
      <c r="S27" s="149">
        <f>IF($D$15="-",0,INDEX(CPAT_National!S$6:S$133,MATCH($G27&amp;"|"&amp;$D$15,CPAT_National!$B$6:$B$133,0)))</f>
        <v>0</v>
      </c>
      <c r="T27" s="149">
        <f>IF($D$15="-",0,INDEX(CPAT_National!T$6:T$133,MATCH($G27&amp;"|"&amp;$D$15,CPAT_National!$B$6:$B$133,0)))</f>
        <v>0</v>
      </c>
      <c r="U27" s="149">
        <f>IF($D$15="-",0,INDEX(CPAT_National!U$6:U$133,MATCH($G27&amp;"|"&amp;$D$15,CPAT_National!$B$6:$B$133,0)))</f>
        <v>0</v>
      </c>
      <c r="V27" s="149">
        <f>IF($D$15="-",0,INDEX(CPAT_National!V$6:V$133,MATCH($G27&amp;"|"&amp;$D$15,CPAT_National!$B$6:$B$133,0)))</f>
        <v>0</v>
      </c>
      <c r="W27" s="149">
        <f>IF($D$15="-",0,INDEX(CPAT_National!W$6:W$133,MATCH($G27&amp;"|"&amp;$D$15,CPAT_National!$B$6:$B$133,0)))</f>
        <v>0</v>
      </c>
      <c r="X27" s="149">
        <f>IF($D$15="-",0,INDEX(CPAT_National!X$6:X$133,MATCH($G27&amp;"|"&amp;$D$15,CPAT_National!$B$6:$B$133,0)))</f>
        <v>0</v>
      </c>
      <c r="Y27" s="149">
        <f>IF($D$15="-",0,INDEX(CPAT_National!Y$6:Y$133,MATCH($G27&amp;"|"&amp;$D$15,CPAT_National!$B$6:$B$133,0)))</f>
        <v>0</v>
      </c>
      <c r="Z27" s="149">
        <f>IF($D$15="-",0,INDEX(CPAT_National!Z$6:Z$133,MATCH($G27&amp;"|"&amp;$D$15,CPAT_National!$B$6:$B$133,0)))</f>
        <v>0</v>
      </c>
      <c r="AA27" s="149">
        <f>IF($D$15="-",0,INDEX(CPAT_National!AA$6:AA$133,MATCH($G27&amp;"|"&amp;$D$15,CPAT_National!$B$6:$B$133,0)))</f>
        <v>0</v>
      </c>
      <c r="AB27" s="149">
        <f>IF($D$15="-",0,INDEX(CPAT_National!AB$6:AB$133,MATCH($G27&amp;"|"&amp;$D$15,CPAT_National!$B$6:$B$133,0)))</f>
        <v>0</v>
      </c>
      <c r="AC27" s="149">
        <f>IF($D$15="-",0,INDEX(CPAT_National!AC$6:AC$133,MATCH($G27&amp;"|"&amp;$D$15,CPAT_National!$B$6:$B$133,0)))</f>
        <v>0</v>
      </c>
      <c r="AD27" s="149">
        <f>IF($D$15="-",0,INDEX(CPAT_National!AD$6:AD$133,MATCH($G27&amp;"|"&amp;$D$15,CPAT_National!$B$6:$B$133,0)))</f>
        <v>0</v>
      </c>
      <c r="AE27" s="149">
        <f>IF($D$15="-",0,INDEX(CPAT_National!AE$6:AE$133,MATCH($G27&amp;"|"&amp;$D$15,CPAT_National!$B$6:$B$133,0)))</f>
        <v>0</v>
      </c>
    </row>
    <row r="28" spans="1:35" x14ac:dyDescent="0.35">
      <c r="B28" s="112" t="s">
        <v>3474</v>
      </c>
      <c r="C28" s="112" t="s">
        <v>3475</v>
      </c>
      <c r="D28" s="112" t="s">
        <v>3480</v>
      </c>
      <c r="E28" s="112" t="s">
        <v>1852</v>
      </c>
      <c r="F28" s="112" t="s">
        <v>3477</v>
      </c>
      <c r="G28" s="112" t="s">
        <v>3390</v>
      </c>
      <c r="H28" s="116" t="str">
        <f>Settings!$B$3&amp;".mit.t2.ipr2"</f>
        <v>egy.mit.t2.ipr2</v>
      </c>
      <c r="L28" s="149">
        <f>IF($D$15="-",0,INDEX(CPAT_National!L$6:L$133,MATCH($G28&amp;"|"&amp;$D$15,CPAT_National!$B$6:$B$133,0)))</f>
        <v>0</v>
      </c>
      <c r="M28" s="149">
        <f>IF($D$15="-",0,INDEX(CPAT_National!M$6:M$133,MATCH($G28&amp;"|"&amp;$D$15,CPAT_National!$B$6:$B$133,0)))</f>
        <v>0</v>
      </c>
      <c r="N28" s="149">
        <f>IF($D$15="-",0,INDEX(CPAT_National!N$6:N$133,MATCH($G28&amp;"|"&amp;$D$15,CPAT_National!$B$6:$B$133,0)))</f>
        <v>0</v>
      </c>
      <c r="O28" s="149">
        <f>IF($D$15="-",0,INDEX(CPAT_National!O$6:O$133,MATCH($G28&amp;"|"&amp;$D$15,CPAT_National!$B$6:$B$133,0)))</f>
        <v>0</v>
      </c>
      <c r="P28" s="149">
        <f>IF($D$15="-",0,INDEX(CPAT_National!P$6:P$133,MATCH($G28&amp;"|"&amp;$D$15,CPAT_National!$B$6:$B$133,0)))</f>
        <v>0</v>
      </c>
      <c r="Q28" s="149">
        <f>IF($D$15="-",0,INDEX(CPAT_National!Q$6:Q$133,MATCH($G28&amp;"|"&amp;$D$15,CPAT_National!$B$6:$B$133,0)))</f>
        <v>0</v>
      </c>
      <c r="R28" s="149">
        <f>IF($D$15="-",0,INDEX(CPAT_National!R$6:R$133,MATCH($G28&amp;"|"&amp;$D$15,CPAT_National!$B$6:$B$133,0)))</f>
        <v>0</v>
      </c>
      <c r="S28" s="149">
        <f>IF($D$15="-",0,INDEX(CPAT_National!S$6:S$133,MATCH($G28&amp;"|"&amp;$D$15,CPAT_National!$B$6:$B$133,0)))</f>
        <v>0</v>
      </c>
      <c r="T28" s="149">
        <f>IF($D$15="-",0,INDEX(CPAT_National!T$6:T$133,MATCH($G28&amp;"|"&amp;$D$15,CPAT_National!$B$6:$B$133,0)))</f>
        <v>0</v>
      </c>
      <c r="U28" s="149">
        <f>IF($D$15="-",0,INDEX(CPAT_National!U$6:U$133,MATCH($G28&amp;"|"&amp;$D$15,CPAT_National!$B$6:$B$133,0)))</f>
        <v>0</v>
      </c>
      <c r="V28" s="149">
        <f>IF($D$15="-",0,INDEX(CPAT_National!V$6:V$133,MATCH($G28&amp;"|"&amp;$D$15,CPAT_National!$B$6:$B$133,0)))</f>
        <v>0</v>
      </c>
      <c r="W28" s="149">
        <f>IF($D$15="-",0,INDEX(CPAT_National!W$6:W$133,MATCH($G28&amp;"|"&amp;$D$15,CPAT_National!$B$6:$B$133,0)))</f>
        <v>0</v>
      </c>
      <c r="X28" s="149">
        <f>IF($D$15="-",0,INDEX(CPAT_National!X$6:X$133,MATCH($G28&amp;"|"&amp;$D$15,CPAT_National!$B$6:$B$133,0)))</f>
        <v>0</v>
      </c>
      <c r="Y28" s="149">
        <f>IF($D$15="-",0,INDEX(CPAT_National!Y$6:Y$133,MATCH($G28&amp;"|"&amp;$D$15,CPAT_National!$B$6:$B$133,0)))</f>
        <v>0</v>
      </c>
      <c r="Z28" s="149">
        <f>IF($D$15="-",0,INDEX(CPAT_National!Z$6:Z$133,MATCH($G28&amp;"|"&amp;$D$15,CPAT_National!$B$6:$B$133,0)))</f>
        <v>0</v>
      </c>
      <c r="AA28" s="149">
        <f>IF($D$15="-",0,INDEX(CPAT_National!AA$6:AA$133,MATCH($G28&amp;"|"&amp;$D$15,CPAT_National!$B$6:$B$133,0)))</f>
        <v>0</v>
      </c>
      <c r="AB28" s="149">
        <f>IF($D$15="-",0,INDEX(CPAT_National!AB$6:AB$133,MATCH($G28&amp;"|"&amp;$D$15,CPAT_National!$B$6:$B$133,0)))</f>
        <v>0</v>
      </c>
      <c r="AC28" s="149">
        <f>IF($D$15="-",0,INDEX(CPAT_National!AC$6:AC$133,MATCH($G28&amp;"|"&amp;$D$15,CPAT_National!$B$6:$B$133,0)))</f>
        <v>0</v>
      </c>
      <c r="AD28" s="149">
        <f>IF($D$15="-",0,INDEX(CPAT_National!AD$6:AD$133,MATCH($G28&amp;"|"&amp;$D$15,CPAT_National!$B$6:$B$133,0)))</f>
        <v>0</v>
      </c>
      <c r="AE28" s="149">
        <f>IF($D$15="-",0,INDEX(CPAT_National!AE$6:AE$133,MATCH($G28&amp;"|"&amp;$D$15,CPAT_National!$B$6:$B$133,0)))</f>
        <v>0</v>
      </c>
    </row>
    <row r="29" spans="1:35" x14ac:dyDescent="0.35">
      <c r="B29" s="112" t="s">
        <v>3474</v>
      </c>
      <c r="C29" s="112" t="s">
        <v>3475</v>
      </c>
      <c r="D29" s="112" t="s">
        <v>3481</v>
      </c>
      <c r="E29" s="112" t="s">
        <v>2068</v>
      </c>
      <c r="F29" s="112" t="s">
        <v>3477</v>
      </c>
      <c r="G29" s="112" t="s">
        <v>3301</v>
      </c>
      <c r="H29" s="116" t="str">
        <f>Settings!$B$3&amp;".mit.t2.enr1"</f>
        <v>egy.mit.t2.enr1</v>
      </c>
      <c r="L29" s="149">
        <f>IF($D$15="-",0,INDEX(CPAT_National!L$6:L$133,MATCH($G29&amp;"|"&amp;$D$15,CPAT_National!$B$6:$B$133,0)))</f>
        <v>0</v>
      </c>
      <c r="M29" s="149">
        <f>IF($D$15="-",0,INDEX(CPAT_National!M$6:M$133,MATCH($G29&amp;"|"&amp;$D$15,CPAT_National!$B$6:$B$133,0)))</f>
        <v>0</v>
      </c>
      <c r="N29" s="149">
        <f>IF($D$15="-",0,INDEX(CPAT_National!N$6:N$133,MATCH($G29&amp;"|"&amp;$D$15,CPAT_National!$B$6:$B$133,0)))</f>
        <v>0</v>
      </c>
      <c r="O29" s="149">
        <f>IF($D$15="-",0,INDEX(CPAT_National!O$6:O$133,MATCH($G29&amp;"|"&amp;$D$15,CPAT_National!$B$6:$B$133,0)))</f>
        <v>0</v>
      </c>
      <c r="P29" s="149">
        <f>IF($D$15="-",0,INDEX(CPAT_National!P$6:P$133,MATCH($G29&amp;"|"&amp;$D$15,CPAT_National!$B$6:$B$133,0)))</f>
        <v>0</v>
      </c>
      <c r="Q29" s="149">
        <f>IF($D$15="-",0,INDEX(CPAT_National!Q$6:Q$133,MATCH($G29&amp;"|"&amp;$D$15,CPAT_National!$B$6:$B$133,0)))</f>
        <v>0</v>
      </c>
      <c r="R29" s="149">
        <f>IF($D$15="-",0,INDEX(CPAT_National!R$6:R$133,MATCH($G29&amp;"|"&amp;$D$15,CPAT_National!$B$6:$B$133,0)))</f>
        <v>0</v>
      </c>
      <c r="S29" s="149">
        <f>IF($D$15="-",0,INDEX(CPAT_National!S$6:S$133,MATCH($G29&amp;"|"&amp;$D$15,CPAT_National!$B$6:$B$133,0)))</f>
        <v>0</v>
      </c>
      <c r="T29" s="149">
        <f>IF($D$15="-",0,INDEX(CPAT_National!T$6:T$133,MATCH($G29&amp;"|"&amp;$D$15,CPAT_National!$B$6:$B$133,0)))</f>
        <v>0</v>
      </c>
      <c r="U29" s="149">
        <f>IF($D$15="-",0,INDEX(CPAT_National!U$6:U$133,MATCH($G29&amp;"|"&amp;$D$15,CPAT_National!$B$6:$B$133,0)))</f>
        <v>0</v>
      </c>
      <c r="V29" s="149">
        <f>IF($D$15="-",0,INDEX(CPAT_National!V$6:V$133,MATCH($G29&amp;"|"&amp;$D$15,CPAT_National!$B$6:$B$133,0)))</f>
        <v>0</v>
      </c>
      <c r="W29" s="149">
        <f>IF($D$15="-",0,INDEX(CPAT_National!W$6:W$133,MATCH($G29&amp;"|"&amp;$D$15,CPAT_National!$B$6:$B$133,0)))</f>
        <v>0</v>
      </c>
      <c r="X29" s="149">
        <f>IF($D$15="-",0,INDEX(CPAT_National!X$6:X$133,MATCH($G29&amp;"|"&amp;$D$15,CPAT_National!$B$6:$B$133,0)))</f>
        <v>0</v>
      </c>
      <c r="Y29" s="149">
        <f>IF($D$15="-",0,INDEX(CPAT_National!Y$6:Y$133,MATCH($G29&amp;"|"&amp;$D$15,CPAT_National!$B$6:$B$133,0)))</f>
        <v>0</v>
      </c>
      <c r="Z29" s="149">
        <f>IF($D$15="-",0,INDEX(CPAT_National!Z$6:Z$133,MATCH($G29&amp;"|"&amp;$D$15,CPAT_National!$B$6:$B$133,0)))</f>
        <v>0</v>
      </c>
      <c r="AA29" s="149">
        <f>IF($D$15="-",0,INDEX(CPAT_National!AA$6:AA$133,MATCH($G29&amp;"|"&amp;$D$15,CPAT_National!$B$6:$B$133,0)))</f>
        <v>0</v>
      </c>
      <c r="AB29" s="149">
        <f>IF($D$15="-",0,INDEX(CPAT_National!AB$6:AB$133,MATCH($G29&amp;"|"&amp;$D$15,CPAT_National!$B$6:$B$133,0)))</f>
        <v>0</v>
      </c>
      <c r="AC29" s="149">
        <f>IF($D$15="-",0,INDEX(CPAT_National!AC$6:AC$133,MATCH($G29&amp;"|"&amp;$D$15,CPAT_National!$B$6:$B$133,0)))</f>
        <v>0</v>
      </c>
      <c r="AD29" s="149">
        <f>IF($D$15="-",0,INDEX(CPAT_National!AD$6:AD$133,MATCH($G29&amp;"|"&amp;$D$15,CPAT_National!$B$6:$B$133,0)))</f>
        <v>0</v>
      </c>
      <c r="AE29" s="149">
        <f>IF($D$15="-",0,INDEX(CPAT_National!AE$6:AE$133,MATCH($G29&amp;"|"&amp;$D$15,CPAT_National!$B$6:$B$133,0)))</f>
        <v>0</v>
      </c>
    </row>
    <row r="30" spans="1:35" x14ac:dyDescent="0.35">
      <c r="B30" s="112" t="s">
        <v>3474</v>
      </c>
      <c r="C30" s="112" t="s">
        <v>3475</v>
      </c>
      <c r="D30" s="112" t="s">
        <v>3482</v>
      </c>
      <c r="E30" s="112" t="s">
        <v>2068</v>
      </c>
      <c r="F30" s="112" t="s">
        <v>3477</v>
      </c>
      <c r="G30" s="112" t="s">
        <v>3307</v>
      </c>
      <c r="H30" s="116" t="str">
        <f>Settings!$B$3&amp;".mit.t2.enr2"</f>
        <v>egy.mit.t2.enr2</v>
      </c>
      <c r="L30" s="149">
        <f>IF($D$15="-",0,INDEX(CPAT_National!L$6:L$133,MATCH($G30&amp;"|"&amp;$D$15,CPAT_National!$B$6:$B$133,0)))</f>
        <v>0</v>
      </c>
      <c r="M30" s="149">
        <f>IF($D$15="-",0,INDEX(CPAT_National!M$6:M$133,MATCH($G30&amp;"|"&amp;$D$15,CPAT_National!$B$6:$B$133,0)))</f>
        <v>0</v>
      </c>
      <c r="N30" s="149">
        <f>IF($D$15="-",0,INDEX(CPAT_National!N$6:N$133,MATCH($G30&amp;"|"&amp;$D$15,CPAT_National!$B$6:$B$133,0)))</f>
        <v>0</v>
      </c>
      <c r="O30" s="149">
        <f>IF($D$15="-",0,INDEX(CPAT_National!O$6:O$133,MATCH($G30&amp;"|"&amp;$D$15,CPAT_National!$B$6:$B$133,0)))</f>
        <v>0</v>
      </c>
      <c r="P30" s="149">
        <f>IF($D$15="-",0,INDEX(CPAT_National!P$6:P$133,MATCH($G30&amp;"|"&amp;$D$15,CPAT_National!$B$6:$B$133,0)))</f>
        <v>0</v>
      </c>
      <c r="Q30" s="149">
        <f>IF($D$15="-",0,INDEX(CPAT_National!Q$6:Q$133,MATCH($G30&amp;"|"&amp;$D$15,CPAT_National!$B$6:$B$133,0)))</f>
        <v>0</v>
      </c>
      <c r="R30" s="149">
        <f>IF($D$15="-",0,INDEX(CPAT_National!R$6:R$133,MATCH($G30&amp;"|"&amp;$D$15,CPAT_National!$B$6:$B$133,0)))</f>
        <v>0</v>
      </c>
      <c r="S30" s="149">
        <f>IF($D$15="-",0,INDEX(CPAT_National!S$6:S$133,MATCH($G30&amp;"|"&amp;$D$15,CPAT_National!$B$6:$B$133,0)))</f>
        <v>0</v>
      </c>
      <c r="T30" s="149">
        <f>IF($D$15="-",0,INDEX(CPAT_National!T$6:T$133,MATCH($G30&amp;"|"&amp;$D$15,CPAT_National!$B$6:$B$133,0)))</f>
        <v>0</v>
      </c>
      <c r="U30" s="149">
        <f>IF($D$15="-",0,INDEX(CPAT_National!U$6:U$133,MATCH($G30&amp;"|"&amp;$D$15,CPAT_National!$B$6:$B$133,0)))</f>
        <v>0</v>
      </c>
      <c r="V30" s="149">
        <f>IF($D$15="-",0,INDEX(CPAT_National!V$6:V$133,MATCH($G30&amp;"|"&amp;$D$15,CPAT_National!$B$6:$B$133,0)))</f>
        <v>0</v>
      </c>
      <c r="W30" s="149">
        <f>IF($D$15="-",0,INDEX(CPAT_National!W$6:W$133,MATCH($G30&amp;"|"&amp;$D$15,CPAT_National!$B$6:$B$133,0)))</f>
        <v>0</v>
      </c>
      <c r="X30" s="149">
        <f>IF($D$15="-",0,INDEX(CPAT_National!X$6:X$133,MATCH($G30&amp;"|"&amp;$D$15,CPAT_National!$B$6:$B$133,0)))</f>
        <v>0</v>
      </c>
      <c r="Y30" s="149">
        <f>IF($D$15="-",0,INDEX(CPAT_National!Y$6:Y$133,MATCH($G30&amp;"|"&amp;$D$15,CPAT_National!$B$6:$B$133,0)))</f>
        <v>0</v>
      </c>
      <c r="Z30" s="149">
        <f>IF($D$15="-",0,INDEX(CPAT_National!Z$6:Z$133,MATCH($G30&amp;"|"&amp;$D$15,CPAT_National!$B$6:$B$133,0)))</f>
        <v>0</v>
      </c>
      <c r="AA30" s="149">
        <f>IF($D$15="-",0,INDEX(CPAT_National!AA$6:AA$133,MATCH($G30&amp;"|"&amp;$D$15,CPAT_National!$B$6:$B$133,0)))</f>
        <v>0</v>
      </c>
      <c r="AB30" s="149">
        <f>IF($D$15="-",0,INDEX(CPAT_National!AB$6:AB$133,MATCH($G30&amp;"|"&amp;$D$15,CPAT_National!$B$6:$B$133,0)))</f>
        <v>0</v>
      </c>
      <c r="AC30" s="149">
        <f>IF($D$15="-",0,INDEX(CPAT_National!AC$6:AC$133,MATCH($G30&amp;"|"&amp;$D$15,CPAT_National!$B$6:$B$133,0)))</f>
        <v>0</v>
      </c>
      <c r="AD30" s="149">
        <f>IF($D$15="-",0,INDEX(CPAT_National!AD$6:AD$133,MATCH($G30&amp;"|"&amp;$D$15,CPAT_National!$B$6:$B$133,0)))</f>
        <v>0</v>
      </c>
      <c r="AE30" s="149">
        <f>IF($D$15="-",0,INDEX(CPAT_National!AE$6:AE$133,MATCH($G30&amp;"|"&amp;$D$15,CPAT_National!$B$6:$B$133,0)))</f>
        <v>0</v>
      </c>
    </row>
    <row r="31" spans="1:35" x14ac:dyDescent="0.35">
      <c r="B31" s="112" t="s">
        <v>3474</v>
      </c>
      <c r="C31" s="112" t="s">
        <v>3475</v>
      </c>
      <c r="D31" s="112" t="s">
        <v>3483</v>
      </c>
      <c r="E31" s="112" t="s">
        <v>2068</v>
      </c>
      <c r="F31" s="112" t="s">
        <v>3477</v>
      </c>
      <c r="G31" s="112" t="s">
        <v>3313</v>
      </c>
      <c r="H31" s="116" t="str">
        <f>Settings!$B$3&amp;".mit.t2.ind1"</f>
        <v>egy.mit.t2.ind1</v>
      </c>
      <c r="L31" s="149">
        <f>IF($D$15="-",0,INDEX(CPAT_National!L$6:L$133,MATCH($G31&amp;"|"&amp;$D$15,CPAT_National!$B$6:$B$133,0)))</f>
        <v>0</v>
      </c>
      <c r="M31" s="149">
        <f>IF($D$15="-",0,INDEX(CPAT_National!M$6:M$133,MATCH($G31&amp;"|"&amp;$D$15,CPAT_National!$B$6:$B$133,0)))</f>
        <v>0</v>
      </c>
      <c r="N31" s="149">
        <f>IF($D$15="-",0,INDEX(CPAT_National!N$6:N$133,MATCH($G31&amp;"|"&amp;$D$15,CPAT_National!$B$6:$B$133,0)))</f>
        <v>0</v>
      </c>
      <c r="O31" s="149">
        <f>IF($D$15="-",0,INDEX(CPAT_National!O$6:O$133,MATCH($G31&amp;"|"&amp;$D$15,CPAT_National!$B$6:$B$133,0)))</f>
        <v>0</v>
      </c>
      <c r="P31" s="149">
        <f>IF($D$15="-",0,INDEX(CPAT_National!P$6:P$133,MATCH($G31&amp;"|"&amp;$D$15,CPAT_National!$B$6:$B$133,0)))</f>
        <v>0</v>
      </c>
      <c r="Q31" s="149">
        <f>IF($D$15="-",0,INDEX(CPAT_National!Q$6:Q$133,MATCH($G31&amp;"|"&amp;$D$15,CPAT_National!$B$6:$B$133,0)))</f>
        <v>0</v>
      </c>
      <c r="R31" s="149">
        <f>IF($D$15="-",0,INDEX(CPAT_National!R$6:R$133,MATCH($G31&amp;"|"&amp;$D$15,CPAT_National!$B$6:$B$133,0)))</f>
        <v>0</v>
      </c>
      <c r="S31" s="149">
        <f>IF($D$15="-",0,INDEX(CPAT_National!S$6:S$133,MATCH($G31&amp;"|"&amp;$D$15,CPAT_National!$B$6:$B$133,0)))</f>
        <v>0</v>
      </c>
      <c r="T31" s="149">
        <f>IF($D$15="-",0,INDEX(CPAT_National!T$6:T$133,MATCH($G31&amp;"|"&amp;$D$15,CPAT_National!$B$6:$B$133,0)))</f>
        <v>0</v>
      </c>
      <c r="U31" s="149">
        <f>IF($D$15="-",0,INDEX(CPAT_National!U$6:U$133,MATCH($G31&amp;"|"&amp;$D$15,CPAT_National!$B$6:$B$133,0)))</f>
        <v>0</v>
      </c>
      <c r="V31" s="149">
        <f>IF($D$15="-",0,INDEX(CPAT_National!V$6:V$133,MATCH($G31&amp;"|"&amp;$D$15,CPAT_National!$B$6:$B$133,0)))</f>
        <v>0</v>
      </c>
      <c r="W31" s="149">
        <f>IF($D$15="-",0,INDEX(CPAT_National!W$6:W$133,MATCH($G31&amp;"|"&amp;$D$15,CPAT_National!$B$6:$B$133,0)))</f>
        <v>0</v>
      </c>
      <c r="X31" s="149">
        <f>IF($D$15="-",0,INDEX(CPAT_National!X$6:X$133,MATCH($G31&amp;"|"&amp;$D$15,CPAT_National!$B$6:$B$133,0)))</f>
        <v>0</v>
      </c>
      <c r="Y31" s="149">
        <f>IF($D$15="-",0,INDEX(CPAT_National!Y$6:Y$133,MATCH($G31&amp;"|"&amp;$D$15,CPAT_National!$B$6:$B$133,0)))</f>
        <v>0</v>
      </c>
      <c r="Z31" s="149">
        <f>IF($D$15="-",0,INDEX(CPAT_National!Z$6:Z$133,MATCH($G31&amp;"|"&amp;$D$15,CPAT_National!$B$6:$B$133,0)))</f>
        <v>0</v>
      </c>
      <c r="AA31" s="149">
        <f>IF($D$15="-",0,INDEX(CPAT_National!AA$6:AA$133,MATCH($G31&amp;"|"&amp;$D$15,CPAT_National!$B$6:$B$133,0)))</f>
        <v>0</v>
      </c>
      <c r="AB31" s="149">
        <f>IF($D$15="-",0,INDEX(CPAT_National!AB$6:AB$133,MATCH($G31&amp;"|"&amp;$D$15,CPAT_National!$B$6:$B$133,0)))</f>
        <v>0</v>
      </c>
      <c r="AC31" s="149">
        <f>IF($D$15="-",0,INDEX(CPAT_National!AC$6:AC$133,MATCH($G31&amp;"|"&amp;$D$15,CPAT_National!$B$6:$B$133,0)))</f>
        <v>0</v>
      </c>
      <c r="AD31" s="149">
        <f>IF($D$15="-",0,INDEX(CPAT_National!AD$6:AD$133,MATCH($G31&amp;"|"&amp;$D$15,CPAT_National!$B$6:$B$133,0)))</f>
        <v>0</v>
      </c>
      <c r="AE31" s="149">
        <f>IF($D$15="-",0,INDEX(CPAT_National!AE$6:AE$133,MATCH($G31&amp;"|"&amp;$D$15,CPAT_National!$B$6:$B$133,0)))</f>
        <v>0</v>
      </c>
    </row>
    <row r="32" spans="1:35" x14ac:dyDescent="0.35">
      <c r="B32" s="112" t="s">
        <v>3474</v>
      </c>
      <c r="C32" s="112" t="s">
        <v>3475</v>
      </c>
      <c r="D32" s="112" t="s">
        <v>3484</v>
      </c>
      <c r="E32" s="112" t="s">
        <v>2068</v>
      </c>
      <c r="F32" s="112" t="s">
        <v>3477</v>
      </c>
      <c r="G32" s="112" t="s">
        <v>3319</v>
      </c>
      <c r="H32" s="116" t="str">
        <f>Settings!$B$3&amp;".mit.t2.ind2"</f>
        <v>egy.mit.t2.ind2</v>
      </c>
      <c r="L32" s="149">
        <f>IF($D$15="-",0,INDEX(CPAT_National!L$6:L$133,MATCH($G32&amp;"|"&amp;$D$15,CPAT_National!$B$6:$B$133,0)))</f>
        <v>0</v>
      </c>
      <c r="M32" s="149">
        <f>IF($D$15="-",0,INDEX(CPAT_National!M$6:M$133,MATCH($G32&amp;"|"&amp;$D$15,CPAT_National!$B$6:$B$133,0)))</f>
        <v>0</v>
      </c>
      <c r="N32" s="149">
        <f>IF($D$15="-",0,INDEX(CPAT_National!N$6:N$133,MATCH($G32&amp;"|"&amp;$D$15,CPAT_National!$B$6:$B$133,0)))</f>
        <v>0</v>
      </c>
      <c r="O32" s="149">
        <f>IF($D$15="-",0,INDEX(CPAT_National!O$6:O$133,MATCH($G32&amp;"|"&amp;$D$15,CPAT_National!$B$6:$B$133,0)))</f>
        <v>0</v>
      </c>
      <c r="P32" s="149">
        <f>IF($D$15="-",0,INDEX(CPAT_National!P$6:P$133,MATCH($G32&amp;"|"&amp;$D$15,CPAT_National!$B$6:$B$133,0)))</f>
        <v>0</v>
      </c>
      <c r="Q32" s="149">
        <f>IF($D$15="-",0,INDEX(CPAT_National!Q$6:Q$133,MATCH($G32&amp;"|"&amp;$D$15,CPAT_National!$B$6:$B$133,0)))</f>
        <v>0</v>
      </c>
      <c r="R32" s="149">
        <f>IF($D$15="-",0,INDEX(CPAT_National!R$6:R$133,MATCH($G32&amp;"|"&amp;$D$15,CPAT_National!$B$6:$B$133,0)))</f>
        <v>0</v>
      </c>
      <c r="S32" s="149">
        <f>IF($D$15="-",0,INDEX(CPAT_National!S$6:S$133,MATCH($G32&amp;"|"&amp;$D$15,CPAT_National!$B$6:$B$133,0)))</f>
        <v>0</v>
      </c>
      <c r="T32" s="149">
        <f>IF($D$15="-",0,INDEX(CPAT_National!T$6:T$133,MATCH($G32&amp;"|"&amp;$D$15,CPAT_National!$B$6:$B$133,0)))</f>
        <v>0</v>
      </c>
      <c r="U32" s="149">
        <f>IF($D$15="-",0,INDEX(CPAT_National!U$6:U$133,MATCH($G32&amp;"|"&amp;$D$15,CPAT_National!$B$6:$B$133,0)))</f>
        <v>0</v>
      </c>
      <c r="V32" s="149">
        <f>IF($D$15="-",0,INDEX(CPAT_National!V$6:V$133,MATCH($G32&amp;"|"&amp;$D$15,CPAT_National!$B$6:$B$133,0)))</f>
        <v>0</v>
      </c>
      <c r="W32" s="149">
        <f>IF($D$15="-",0,INDEX(CPAT_National!W$6:W$133,MATCH($G32&amp;"|"&amp;$D$15,CPAT_National!$B$6:$B$133,0)))</f>
        <v>0</v>
      </c>
      <c r="X32" s="149">
        <f>IF($D$15="-",0,INDEX(CPAT_National!X$6:X$133,MATCH($G32&amp;"|"&amp;$D$15,CPAT_National!$B$6:$B$133,0)))</f>
        <v>0</v>
      </c>
      <c r="Y32" s="149">
        <f>IF($D$15="-",0,INDEX(CPAT_National!Y$6:Y$133,MATCH($G32&amp;"|"&amp;$D$15,CPAT_National!$B$6:$B$133,0)))</f>
        <v>0</v>
      </c>
      <c r="Z32" s="149">
        <f>IF($D$15="-",0,INDEX(CPAT_National!Z$6:Z$133,MATCH($G32&amp;"|"&amp;$D$15,CPAT_National!$B$6:$B$133,0)))</f>
        <v>0</v>
      </c>
      <c r="AA32" s="149">
        <f>IF($D$15="-",0,INDEX(CPAT_National!AA$6:AA$133,MATCH($G32&amp;"|"&amp;$D$15,CPAT_National!$B$6:$B$133,0)))</f>
        <v>0</v>
      </c>
      <c r="AB32" s="149">
        <f>IF($D$15="-",0,INDEX(CPAT_National!AB$6:AB$133,MATCH($G32&amp;"|"&amp;$D$15,CPAT_National!$B$6:$B$133,0)))</f>
        <v>0</v>
      </c>
      <c r="AC32" s="149">
        <f>IF($D$15="-",0,INDEX(CPAT_National!AC$6:AC$133,MATCH($G32&amp;"|"&amp;$D$15,CPAT_National!$B$6:$B$133,0)))</f>
        <v>0</v>
      </c>
      <c r="AD32" s="149">
        <f>IF($D$15="-",0,INDEX(CPAT_National!AD$6:AD$133,MATCH($G32&amp;"|"&amp;$D$15,CPAT_National!$B$6:$B$133,0)))</f>
        <v>0</v>
      </c>
      <c r="AE32" s="149">
        <f>IF($D$15="-",0,INDEX(CPAT_National!AE$6:AE$133,MATCH($G32&amp;"|"&amp;$D$15,CPAT_National!$B$6:$B$133,0)))</f>
        <v>0</v>
      </c>
    </row>
    <row r="33" spans="2:31" x14ac:dyDescent="0.35">
      <c r="B33" s="112" t="s">
        <v>3474</v>
      </c>
      <c r="C33" s="112" t="s">
        <v>3475</v>
      </c>
      <c r="D33" s="112" t="s">
        <v>3485</v>
      </c>
      <c r="E33" s="112" t="s">
        <v>16</v>
      </c>
      <c r="F33" s="112" t="s">
        <v>3477</v>
      </c>
      <c r="G33" s="112" t="s">
        <v>1403</v>
      </c>
      <c r="H33" s="116" t="str">
        <f>Settings!$B$3&amp;".mit.t2.cptraj"</f>
        <v>egy.mit.t2.cptraj</v>
      </c>
      <c r="L33" s="149">
        <f>IF($D$15="-",0,INDEX(CPAT_National!L$6:L$133,MATCH($G33&amp;"|"&amp;$D$15,CPAT_National!$B$6:$B$133,0)))</f>
        <v>0</v>
      </c>
      <c r="M33" s="149">
        <f>IF($D$15="-",0,INDEX(CPAT_National!M$6:M$133,MATCH($G33&amp;"|"&amp;$D$15,CPAT_National!$B$6:$B$133,0)))</f>
        <v>0</v>
      </c>
      <c r="N33" s="149">
        <f>IF($D$15="-",0,INDEX(CPAT_National!N$6:N$133,MATCH($G33&amp;"|"&amp;$D$15,CPAT_National!$B$6:$B$133,0)))</f>
        <v>0</v>
      </c>
      <c r="O33" s="149">
        <f>IF($D$15="-",0,INDEX(CPAT_National!O$6:O$133,MATCH($G33&amp;"|"&amp;$D$15,CPAT_National!$B$6:$B$133,0)))</f>
        <v>0</v>
      </c>
      <c r="P33" s="149">
        <f>IF($D$15="-",0,INDEX(CPAT_National!P$6:P$133,MATCH($G33&amp;"|"&amp;$D$15,CPAT_National!$B$6:$B$133,0)))</f>
        <v>0</v>
      </c>
      <c r="Q33" s="149">
        <f>IF($D$15="-",0,INDEX(CPAT_National!Q$6:Q$133,MATCH($G33&amp;"|"&amp;$D$15,CPAT_National!$B$6:$B$133,0)))</f>
        <v>0</v>
      </c>
      <c r="R33" s="149">
        <f>IF($D$15="-",0,INDEX(CPAT_National!R$6:R$133,MATCH($G33&amp;"|"&amp;$D$15,CPAT_National!$B$6:$B$133,0)))</f>
        <v>0</v>
      </c>
      <c r="S33" s="149">
        <f>IF($D$15="-",0,INDEX(CPAT_National!S$6:S$133,MATCH($G33&amp;"|"&amp;$D$15,CPAT_National!$B$6:$B$133,0)))</f>
        <v>0</v>
      </c>
      <c r="T33" s="149">
        <f>IF($D$15="-",0,INDEX(CPAT_National!T$6:T$133,MATCH($G33&amp;"|"&amp;$D$15,CPAT_National!$B$6:$B$133,0)))</f>
        <v>0</v>
      </c>
      <c r="U33" s="149">
        <f>IF($D$15="-",0,INDEX(CPAT_National!U$6:U$133,MATCH($G33&amp;"|"&amp;$D$15,CPAT_National!$B$6:$B$133,0)))</f>
        <v>0</v>
      </c>
      <c r="V33" s="149">
        <f>IF($D$15="-",0,INDEX(CPAT_National!V$6:V$133,MATCH($G33&amp;"|"&amp;$D$15,CPAT_National!$B$6:$B$133,0)))</f>
        <v>0</v>
      </c>
      <c r="W33" s="149">
        <f>IF($D$15="-",0,INDEX(CPAT_National!W$6:W$133,MATCH($G33&amp;"|"&amp;$D$15,CPAT_National!$B$6:$B$133,0)))</f>
        <v>0</v>
      </c>
      <c r="X33" s="149">
        <f>IF($D$15="-",0,INDEX(CPAT_National!X$6:X$133,MATCH($G33&amp;"|"&amp;$D$15,CPAT_National!$B$6:$B$133,0)))</f>
        <v>0</v>
      </c>
      <c r="Y33" s="149">
        <f>IF($D$15="-",0,INDEX(CPAT_National!Y$6:Y$133,MATCH($G33&amp;"|"&amp;$D$15,CPAT_National!$B$6:$B$133,0)))</f>
        <v>0</v>
      </c>
      <c r="Z33" s="149">
        <f>IF($D$15="-",0,INDEX(CPAT_National!Z$6:Z$133,MATCH($G33&amp;"|"&amp;$D$15,CPAT_National!$B$6:$B$133,0)))</f>
        <v>0</v>
      </c>
      <c r="AA33" s="149">
        <f>IF($D$15="-",0,INDEX(CPAT_National!AA$6:AA$133,MATCH($G33&amp;"|"&amp;$D$15,CPAT_National!$B$6:$B$133,0)))</f>
        <v>0</v>
      </c>
      <c r="AB33" s="149">
        <f>IF($D$15="-",0,INDEX(CPAT_National!AB$6:AB$133,MATCH($G33&amp;"|"&amp;$D$15,CPAT_National!$B$6:$B$133,0)))</f>
        <v>0</v>
      </c>
      <c r="AC33" s="149">
        <f>IF($D$15="-",0,INDEX(CPAT_National!AC$6:AC$133,MATCH($G33&amp;"|"&amp;$D$15,CPAT_National!$B$6:$B$133,0)))</f>
        <v>0</v>
      </c>
      <c r="AD33" s="149">
        <f>IF($D$15="-",0,INDEX(CPAT_National!AD$6:AD$133,MATCH($G33&amp;"|"&amp;$D$15,CPAT_National!$B$6:$B$133,0)))</f>
        <v>0</v>
      </c>
      <c r="AE33" s="149">
        <f>IF($D$15="-",0,INDEX(CPAT_National!AE$6:AE$133,MATCH($G33&amp;"|"&amp;$D$15,CPAT_National!$B$6:$B$133,0)))</f>
        <v>0</v>
      </c>
    </row>
    <row r="34" spans="2:31" x14ac:dyDescent="0.35">
      <c r="B34" s="112" t="s">
        <v>3474</v>
      </c>
      <c r="C34" s="112" t="s">
        <v>3475</v>
      </c>
      <c r="D34" s="112" t="s">
        <v>3486</v>
      </c>
      <c r="E34" s="112" t="s">
        <v>16</v>
      </c>
      <c r="F34" s="112" t="s">
        <v>3477</v>
      </c>
      <c r="G34" s="112" t="s">
        <v>3378</v>
      </c>
      <c r="H34" s="116" t="str">
        <f>Settings!$B$3&amp;".mit.t2.effcp"</f>
        <v>egy.mit.t2.effcp</v>
      </c>
      <c r="L34" s="149">
        <f>IF($D$15="-",0,INDEX(CPAT_National!L$6:L$133,MATCH($G34&amp;"|"&amp;$D$15,CPAT_National!$B$6:$B$133,0)))</f>
        <v>0</v>
      </c>
      <c r="M34" s="149">
        <f>IF($D$15="-",0,INDEX(CPAT_National!M$6:M$133,MATCH($G34&amp;"|"&amp;$D$15,CPAT_National!$B$6:$B$133,0)))</f>
        <v>0</v>
      </c>
      <c r="N34" s="149">
        <f>IF($D$15="-",0,INDEX(CPAT_National!N$6:N$133,MATCH($G34&amp;"|"&amp;$D$15,CPAT_National!$B$6:$B$133,0)))</f>
        <v>0</v>
      </c>
      <c r="O34" s="149">
        <f>IF($D$15="-",0,INDEX(CPAT_National!O$6:O$133,MATCH($G34&amp;"|"&amp;$D$15,CPAT_National!$B$6:$B$133,0)))</f>
        <v>0</v>
      </c>
      <c r="P34" s="149">
        <f>IF($D$15="-",0,INDEX(CPAT_National!P$6:P$133,MATCH($G34&amp;"|"&amp;$D$15,CPAT_National!$B$6:$B$133,0)))</f>
        <v>0</v>
      </c>
      <c r="Q34" s="149">
        <f>IF($D$15="-",0,INDEX(CPAT_National!Q$6:Q$133,MATCH($G34&amp;"|"&amp;$D$15,CPAT_National!$B$6:$B$133,0)))</f>
        <v>0</v>
      </c>
      <c r="R34" s="149">
        <f>IF($D$15="-",0,INDEX(CPAT_National!R$6:R$133,MATCH($G34&amp;"|"&amp;$D$15,CPAT_National!$B$6:$B$133,0)))</f>
        <v>0</v>
      </c>
      <c r="S34" s="149">
        <f>IF($D$15="-",0,INDEX(CPAT_National!S$6:S$133,MATCH($G34&amp;"|"&amp;$D$15,CPAT_National!$B$6:$B$133,0)))</f>
        <v>0</v>
      </c>
      <c r="T34" s="149">
        <f>IF($D$15="-",0,INDEX(CPAT_National!T$6:T$133,MATCH($G34&amp;"|"&amp;$D$15,CPAT_National!$B$6:$B$133,0)))</f>
        <v>0</v>
      </c>
      <c r="U34" s="149">
        <f>IF($D$15="-",0,INDEX(CPAT_National!U$6:U$133,MATCH($G34&amp;"|"&amp;$D$15,CPAT_National!$B$6:$B$133,0)))</f>
        <v>0</v>
      </c>
      <c r="V34" s="149">
        <f>IF($D$15="-",0,INDEX(CPAT_National!V$6:V$133,MATCH($G34&amp;"|"&amp;$D$15,CPAT_National!$B$6:$B$133,0)))</f>
        <v>0</v>
      </c>
      <c r="W34" s="149">
        <f>IF($D$15="-",0,INDEX(CPAT_National!W$6:W$133,MATCH($G34&amp;"|"&amp;$D$15,CPAT_National!$B$6:$B$133,0)))</f>
        <v>0</v>
      </c>
      <c r="X34" s="149">
        <f>IF($D$15="-",0,INDEX(CPAT_National!X$6:X$133,MATCH($G34&amp;"|"&amp;$D$15,CPAT_National!$B$6:$B$133,0)))</f>
        <v>0</v>
      </c>
      <c r="Y34" s="149">
        <f>IF($D$15="-",0,INDEX(CPAT_National!Y$6:Y$133,MATCH($G34&amp;"|"&amp;$D$15,CPAT_National!$B$6:$B$133,0)))</f>
        <v>0</v>
      </c>
      <c r="Z34" s="149">
        <f>IF($D$15="-",0,INDEX(CPAT_National!Z$6:Z$133,MATCH($G34&amp;"|"&amp;$D$15,CPAT_National!$B$6:$B$133,0)))</f>
        <v>0</v>
      </c>
      <c r="AA34" s="149">
        <f>IF($D$15="-",0,INDEX(CPAT_National!AA$6:AA$133,MATCH($G34&amp;"|"&amp;$D$15,CPAT_National!$B$6:$B$133,0)))</f>
        <v>0</v>
      </c>
      <c r="AB34" s="149">
        <f>IF($D$15="-",0,INDEX(CPAT_National!AB$6:AB$133,MATCH($G34&amp;"|"&amp;$D$15,CPAT_National!$B$6:$B$133,0)))</f>
        <v>0</v>
      </c>
      <c r="AC34" s="149">
        <f>IF($D$15="-",0,INDEX(CPAT_National!AC$6:AC$133,MATCH($G34&amp;"|"&amp;$D$15,CPAT_National!$B$6:$B$133,0)))</f>
        <v>0</v>
      </c>
      <c r="AD34" s="149">
        <f>IF($D$15="-",0,INDEX(CPAT_National!AD$6:AD$133,MATCH($G34&amp;"|"&amp;$D$15,CPAT_National!$B$6:$B$133,0)))</f>
        <v>0</v>
      </c>
      <c r="AE34" s="149">
        <f>IF($D$15="-",0,INDEX(CPAT_National!AE$6:AE$133,MATCH($G34&amp;"|"&amp;$D$15,CPAT_National!$B$6:$B$133,0)))</f>
        <v>0</v>
      </c>
    </row>
    <row r="35" spans="2:31" x14ac:dyDescent="0.35">
      <c r="B35" s="112" t="s">
        <v>3474</v>
      </c>
      <c r="C35" s="112" t="s">
        <v>3475</v>
      </c>
      <c r="D35" s="112" t="s">
        <v>3487</v>
      </c>
      <c r="E35" s="112" t="s">
        <v>3408</v>
      </c>
      <c r="F35" s="112" t="s">
        <v>3477</v>
      </c>
      <c r="G35" s="112" t="s">
        <v>3445</v>
      </c>
      <c r="H35" s="116" t="str">
        <f>Settings!$B$3&amp;".mit.t2.rev1"</f>
        <v>egy.mit.t2.rev1</v>
      </c>
      <c r="L35" s="149">
        <f>IF($D$15="-",0,INDEX(CPAT_National!L$6:L$133,MATCH($G35&amp;"|"&amp;$D$15,CPAT_National!$B$6:$B$133,0)))</f>
        <v>0</v>
      </c>
      <c r="M35" s="149">
        <f>IF($D$15="-",0,INDEX(CPAT_National!M$6:M$133,MATCH($G35&amp;"|"&amp;$D$15,CPAT_National!$B$6:$B$133,0)))</f>
        <v>0</v>
      </c>
      <c r="N35" s="149">
        <f>IF($D$15="-",0,INDEX(CPAT_National!N$6:N$133,MATCH($G35&amp;"|"&amp;$D$15,CPAT_National!$B$6:$B$133,0)))</f>
        <v>0</v>
      </c>
      <c r="O35" s="149">
        <f>IF($D$15="-",0,INDEX(CPAT_National!O$6:O$133,MATCH($G35&amp;"|"&amp;$D$15,CPAT_National!$B$6:$B$133,0)))</f>
        <v>0</v>
      </c>
      <c r="P35" s="149">
        <f>IF($D$15="-",0,INDEX(CPAT_National!P$6:P$133,MATCH($G35&amp;"|"&amp;$D$15,CPAT_National!$B$6:$B$133,0)))</f>
        <v>0</v>
      </c>
      <c r="Q35" s="149">
        <f>IF($D$15="-",0,INDEX(CPAT_National!Q$6:Q$133,MATCH($G35&amp;"|"&amp;$D$15,CPAT_National!$B$6:$B$133,0)))</f>
        <v>0</v>
      </c>
      <c r="R35" s="149">
        <f>IF($D$15="-",0,INDEX(CPAT_National!R$6:R$133,MATCH($G35&amp;"|"&amp;$D$15,CPAT_National!$B$6:$B$133,0)))</f>
        <v>0</v>
      </c>
      <c r="S35" s="149">
        <f>IF($D$15="-",0,INDEX(CPAT_National!S$6:S$133,MATCH($G35&amp;"|"&amp;$D$15,CPAT_National!$B$6:$B$133,0)))</f>
        <v>0</v>
      </c>
      <c r="T35" s="149">
        <f>IF($D$15="-",0,INDEX(CPAT_National!T$6:T$133,MATCH($G35&amp;"|"&amp;$D$15,CPAT_National!$B$6:$B$133,0)))</f>
        <v>0</v>
      </c>
      <c r="U35" s="149">
        <f>IF($D$15="-",0,INDEX(CPAT_National!U$6:U$133,MATCH($G35&amp;"|"&amp;$D$15,CPAT_National!$B$6:$B$133,0)))</f>
        <v>0</v>
      </c>
      <c r="V35" s="149">
        <f>IF($D$15="-",0,INDEX(CPAT_National!V$6:V$133,MATCH($G35&amp;"|"&amp;$D$15,CPAT_National!$B$6:$B$133,0)))</f>
        <v>0</v>
      </c>
      <c r="W35" s="149">
        <f>IF($D$15="-",0,INDEX(CPAT_National!W$6:W$133,MATCH($G35&amp;"|"&amp;$D$15,CPAT_National!$B$6:$B$133,0)))</f>
        <v>0</v>
      </c>
      <c r="X35" s="149">
        <f>IF($D$15="-",0,INDEX(CPAT_National!X$6:X$133,MATCH($G35&amp;"|"&amp;$D$15,CPAT_National!$B$6:$B$133,0)))</f>
        <v>0</v>
      </c>
      <c r="Y35" s="149">
        <f>IF($D$15="-",0,INDEX(CPAT_National!Y$6:Y$133,MATCH($G35&amp;"|"&amp;$D$15,CPAT_National!$B$6:$B$133,0)))</f>
        <v>0</v>
      </c>
      <c r="Z35" s="149">
        <f>IF($D$15="-",0,INDEX(CPAT_National!Z$6:Z$133,MATCH($G35&amp;"|"&amp;$D$15,CPAT_National!$B$6:$B$133,0)))</f>
        <v>0</v>
      </c>
      <c r="AA35" s="149">
        <f>IF($D$15="-",0,INDEX(CPAT_National!AA$6:AA$133,MATCH($G35&amp;"|"&amp;$D$15,CPAT_National!$B$6:$B$133,0)))</f>
        <v>0</v>
      </c>
      <c r="AB35" s="149">
        <f>IF($D$15="-",0,INDEX(CPAT_National!AB$6:AB$133,MATCH($G35&amp;"|"&amp;$D$15,CPAT_National!$B$6:$B$133,0)))</f>
        <v>0</v>
      </c>
      <c r="AC35" s="149">
        <f>IF($D$15="-",0,INDEX(CPAT_National!AC$6:AC$133,MATCH($G35&amp;"|"&amp;$D$15,CPAT_National!$B$6:$B$133,0)))</f>
        <v>0</v>
      </c>
      <c r="AD35" s="149">
        <f>IF($D$15="-",0,INDEX(CPAT_National!AD$6:AD$133,MATCH($G35&amp;"|"&amp;$D$15,CPAT_National!$B$6:$B$133,0)))</f>
        <v>0</v>
      </c>
      <c r="AE35" s="149">
        <f>IF($D$15="-",0,INDEX(CPAT_National!AE$6:AE$133,MATCH($G35&amp;"|"&amp;$D$15,CPAT_National!$B$6:$B$133,0)))</f>
        <v>0</v>
      </c>
    </row>
    <row r="36" spans="2:31" x14ac:dyDescent="0.35">
      <c r="B36" s="112" t="s">
        <v>3474</v>
      </c>
      <c r="C36" s="112" t="s">
        <v>3475</v>
      </c>
      <c r="D36" s="112" t="s">
        <v>3488</v>
      </c>
      <c r="E36" s="112" t="s">
        <v>3408</v>
      </c>
      <c r="F36" s="112" t="s">
        <v>3477</v>
      </c>
      <c r="G36" s="112" t="s">
        <v>3451</v>
      </c>
      <c r="H36" s="116" t="str">
        <f>Settings!$B$3&amp;".mit.t2.rev2"</f>
        <v>egy.mit.t2.rev2</v>
      </c>
      <c r="L36" s="149">
        <f>IF($D$15="-",0,INDEX(CPAT_National!L$6:L$133,MATCH($G36&amp;"|"&amp;$D$15,CPAT_National!$B$6:$B$133,0)))</f>
        <v>0</v>
      </c>
      <c r="M36" s="149">
        <f>IF($D$15="-",0,INDEX(CPAT_National!M$6:M$133,MATCH($G36&amp;"|"&amp;$D$15,CPAT_National!$B$6:$B$133,0)))</f>
        <v>0</v>
      </c>
      <c r="N36" s="149">
        <f>IF($D$15="-",0,INDEX(CPAT_National!N$6:N$133,MATCH($G36&amp;"|"&amp;$D$15,CPAT_National!$B$6:$B$133,0)))</f>
        <v>0</v>
      </c>
      <c r="O36" s="149">
        <f>IF($D$15="-",0,INDEX(CPAT_National!O$6:O$133,MATCH($G36&amp;"|"&amp;$D$15,CPAT_National!$B$6:$B$133,0)))</f>
        <v>0</v>
      </c>
      <c r="P36" s="149">
        <f>IF($D$15="-",0,INDEX(CPAT_National!P$6:P$133,MATCH($G36&amp;"|"&amp;$D$15,CPAT_National!$B$6:$B$133,0)))</f>
        <v>0</v>
      </c>
      <c r="Q36" s="149">
        <f>IF($D$15="-",0,INDEX(CPAT_National!Q$6:Q$133,MATCH($G36&amp;"|"&amp;$D$15,CPAT_National!$B$6:$B$133,0)))</f>
        <v>0</v>
      </c>
      <c r="R36" s="149">
        <f>IF($D$15="-",0,INDEX(CPAT_National!R$6:R$133,MATCH($G36&amp;"|"&amp;$D$15,CPAT_National!$B$6:$B$133,0)))</f>
        <v>0</v>
      </c>
      <c r="S36" s="149">
        <f>IF($D$15="-",0,INDEX(CPAT_National!S$6:S$133,MATCH($G36&amp;"|"&amp;$D$15,CPAT_National!$B$6:$B$133,0)))</f>
        <v>0</v>
      </c>
      <c r="T36" s="149">
        <f>IF($D$15="-",0,INDEX(CPAT_National!T$6:T$133,MATCH($G36&amp;"|"&amp;$D$15,CPAT_National!$B$6:$B$133,0)))</f>
        <v>0</v>
      </c>
      <c r="U36" s="149">
        <f>IF($D$15="-",0,INDEX(CPAT_National!U$6:U$133,MATCH($G36&amp;"|"&amp;$D$15,CPAT_National!$B$6:$B$133,0)))</f>
        <v>0</v>
      </c>
      <c r="V36" s="149">
        <f>IF($D$15="-",0,INDEX(CPAT_National!V$6:V$133,MATCH($G36&amp;"|"&amp;$D$15,CPAT_National!$B$6:$B$133,0)))</f>
        <v>0</v>
      </c>
      <c r="W36" s="149">
        <f>IF($D$15="-",0,INDEX(CPAT_National!W$6:W$133,MATCH($G36&amp;"|"&amp;$D$15,CPAT_National!$B$6:$B$133,0)))</f>
        <v>0</v>
      </c>
      <c r="X36" s="149">
        <f>IF($D$15="-",0,INDEX(CPAT_National!X$6:X$133,MATCH($G36&amp;"|"&amp;$D$15,CPAT_National!$B$6:$B$133,0)))</f>
        <v>0</v>
      </c>
      <c r="Y36" s="149">
        <f>IF($D$15="-",0,INDEX(CPAT_National!Y$6:Y$133,MATCH($G36&amp;"|"&amp;$D$15,CPAT_National!$B$6:$B$133,0)))</f>
        <v>0</v>
      </c>
      <c r="Z36" s="149">
        <f>IF($D$15="-",0,INDEX(CPAT_National!Z$6:Z$133,MATCH($G36&amp;"|"&amp;$D$15,CPAT_National!$B$6:$B$133,0)))</f>
        <v>0</v>
      </c>
      <c r="AA36" s="149">
        <f>IF($D$15="-",0,INDEX(CPAT_National!AA$6:AA$133,MATCH($G36&amp;"|"&amp;$D$15,CPAT_National!$B$6:$B$133,0)))</f>
        <v>0</v>
      </c>
      <c r="AB36" s="149">
        <f>IF($D$15="-",0,INDEX(CPAT_National!AB$6:AB$133,MATCH($G36&amp;"|"&amp;$D$15,CPAT_National!$B$6:$B$133,0)))</f>
        <v>0</v>
      </c>
      <c r="AC36" s="149">
        <f>IF($D$15="-",0,INDEX(CPAT_National!AC$6:AC$133,MATCH($G36&amp;"|"&amp;$D$15,CPAT_National!$B$6:$B$133,0)))</f>
        <v>0</v>
      </c>
      <c r="AD36" s="149">
        <f>IF($D$15="-",0,INDEX(CPAT_National!AD$6:AD$133,MATCH($G36&amp;"|"&amp;$D$15,CPAT_National!$B$6:$B$133,0)))</f>
        <v>0</v>
      </c>
      <c r="AE36" s="149">
        <f>IF($D$15="-",0,INDEX(CPAT_National!AE$6:AE$133,MATCH($G36&amp;"|"&amp;$D$15,CPAT_National!$B$6:$B$133,0)))</f>
        <v>0</v>
      </c>
    </row>
    <row r="37" spans="2:31" x14ac:dyDescent="0.35">
      <c r="B37" s="112" t="s">
        <v>3474</v>
      </c>
      <c r="C37" s="112" t="s">
        <v>3475</v>
      </c>
      <c r="D37" s="112" t="s">
        <v>3489</v>
      </c>
      <c r="E37" s="112" t="s">
        <v>3408</v>
      </c>
      <c r="F37" s="112" t="s">
        <v>3477</v>
      </c>
      <c r="G37" s="112" t="s">
        <v>3409</v>
      </c>
      <c r="H37" s="116" t="str">
        <f>Settings!$B$3&amp;".mit.t2.rcoa"</f>
        <v>egy.mit.t2.rcoa</v>
      </c>
      <c r="L37" s="149">
        <f>IF($D$15="-",0,INDEX(CPAT_National!L$6:L$133,MATCH($G37&amp;"|"&amp;$D$15,CPAT_National!$B$6:$B$133,0)))</f>
        <v>0</v>
      </c>
      <c r="M37" s="149">
        <f>IF($D$15="-",0,INDEX(CPAT_National!M$6:M$133,MATCH($G37&amp;"|"&amp;$D$15,CPAT_National!$B$6:$B$133,0)))</f>
        <v>0</v>
      </c>
      <c r="N37" s="149">
        <f>IF($D$15="-",0,INDEX(CPAT_National!N$6:N$133,MATCH($G37&amp;"|"&amp;$D$15,CPAT_National!$B$6:$B$133,0)))</f>
        <v>0</v>
      </c>
      <c r="O37" s="149">
        <f>IF($D$15="-",0,INDEX(CPAT_National!O$6:O$133,MATCH($G37&amp;"|"&amp;$D$15,CPAT_National!$B$6:$B$133,0)))</f>
        <v>0</v>
      </c>
      <c r="P37" s="149">
        <f>IF($D$15="-",0,INDEX(CPAT_National!P$6:P$133,MATCH($G37&amp;"|"&amp;$D$15,CPAT_National!$B$6:$B$133,0)))</f>
        <v>0</v>
      </c>
      <c r="Q37" s="149">
        <f>IF($D$15="-",0,INDEX(CPAT_National!Q$6:Q$133,MATCH($G37&amp;"|"&amp;$D$15,CPAT_National!$B$6:$B$133,0)))</f>
        <v>0</v>
      </c>
      <c r="R37" s="149">
        <f>IF($D$15="-",0,INDEX(CPAT_National!R$6:R$133,MATCH($G37&amp;"|"&amp;$D$15,CPAT_National!$B$6:$B$133,0)))</f>
        <v>0</v>
      </c>
      <c r="S37" s="149">
        <f>IF($D$15="-",0,INDEX(CPAT_National!S$6:S$133,MATCH($G37&amp;"|"&amp;$D$15,CPAT_National!$B$6:$B$133,0)))</f>
        <v>0</v>
      </c>
      <c r="T37" s="149">
        <f>IF($D$15="-",0,INDEX(CPAT_National!T$6:T$133,MATCH($G37&amp;"|"&amp;$D$15,CPAT_National!$B$6:$B$133,0)))</f>
        <v>0</v>
      </c>
      <c r="U37" s="149">
        <f>IF($D$15="-",0,INDEX(CPAT_National!U$6:U$133,MATCH($G37&amp;"|"&amp;$D$15,CPAT_National!$B$6:$B$133,0)))</f>
        <v>0</v>
      </c>
      <c r="V37" s="149">
        <f>IF($D$15="-",0,INDEX(CPAT_National!V$6:V$133,MATCH($G37&amp;"|"&amp;$D$15,CPAT_National!$B$6:$B$133,0)))</f>
        <v>0</v>
      </c>
      <c r="W37" s="149">
        <f>IF($D$15="-",0,INDEX(CPAT_National!W$6:W$133,MATCH($G37&amp;"|"&amp;$D$15,CPAT_National!$B$6:$B$133,0)))</f>
        <v>0</v>
      </c>
      <c r="X37" s="149">
        <f>IF($D$15="-",0,INDEX(CPAT_National!X$6:X$133,MATCH($G37&amp;"|"&amp;$D$15,CPAT_National!$B$6:$B$133,0)))</f>
        <v>0</v>
      </c>
      <c r="Y37" s="149">
        <f>IF($D$15="-",0,INDEX(CPAT_National!Y$6:Y$133,MATCH($G37&amp;"|"&amp;$D$15,CPAT_National!$B$6:$B$133,0)))</f>
        <v>0</v>
      </c>
      <c r="Z37" s="149">
        <f>IF($D$15="-",0,INDEX(CPAT_National!Z$6:Z$133,MATCH($G37&amp;"|"&amp;$D$15,CPAT_National!$B$6:$B$133,0)))</f>
        <v>0</v>
      </c>
      <c r="AA37" s="149">
        <f>IF($D$15="-",0,INDEX(CPAT_National!AA$6:AA$133,MATCH($G37&amp;"|"&amp;$D$15,CPAT_National!$B$6:$B$133,0)))</f>
        <v>0</v>
      </c>
      <c r="AB37" s="149">
        <f>IF($D$15="-",0,INDEX(CPAT_National!AB$6:AB$133,MATCH($G37&amp;"|"&amp;$D$15,CPAT_National!$B$6:$B$133,0)))</f>
        <v>0</v>
      </c>
      <c r="AC37" s="149">
        <f>IF($D$15="-",0,INDEX(CPAT_National!AC$6:AC$133,MATCH($G37&amp;"|"&amp;$D$15,CPAT_National!$B$6:$B$133,0)))</f>
        <v>0</v>
      </c>
      <c r="AD37" s="149">
        <f>IF($D$15="-",0,INDEX(CPAT_National!AD$6:AD$133,MATCH($G37&amp;"|"&amp;$D$15,CPAT_National!$B$6:$B$133,0)))</f>
        <v>0</v>
      </c>
      <c r="AE37" s="149">
        <f>IF($D$15="-",0,INDEX(CPAT_National!AE$6:AE$133,MATCH($G37&amp;"|"&amp;$D$15,CPAT_National!$B$6:$B$133,0)))</f>
        <v>0</v>
      </c>
    </row>
    <row r="38" spans="2:31" x14ac:dyDescent="0.35">
      <c r="B38" s="112" t="s">
        <v>3474</v>
      </c>
      <c r="C38" s="112" t="s">
        <v>3475</v>
      </c>
      <c r="D38" s="112" t="s">
        <v>3490</v>
      </c>
      <c r="E38" s="112" t="s">
        <v>3408</v>
      </c>
      <c r="F38" s="112" t="s">
        <v>3477</v>
      </c>
      <c r="G38" s="112" t="s">
        <v>3415</v>
      </c>
      <c r="H38" s="116" t="str">
        <f>Settings!$B$3&amp;".mit.t2.rdie"</f>
        <v>egy.mit.t2.rdie</v>
      </c>
      <c r="L38" s="149">
        <f>IF($D$15="-",0,INDEX(CPAT_National!L$6:L$133,MATCH($G38&amp;"|"&amp;$D$15,CPAT_National!$B$6:$B$133,0)))</f>
        <v>0</v>
      </c>
      <c r="M38" s="149">
        <f>IF($D$15="-",0,INDEX(CPAT_National!M$6:M$133,MATCH($G38&amp;"|"&amp;$D$15,CPAT_National!$B$6:$B$133,0)))</f>
        <v>0</v>
      </c>
      <c r="N38" s="149">
        <f>IF($D$15="-",0,INDEX(CPAT_National!N$6:N$133,MATCH($G38&amp;"|"&amp;$D$15,CPAT_National!$B$6:$B$133,0)))</f>
        <v>0</v>
      </c>
      <c r="O38" s="149">
        <f>IF($D$15="-",0,INDEX(CPAT_National!O$6:O$133,MATCH($G38&amp;"|"&amp;$D$15,CPAT_National!$B$6:$B$133,0)))</f>
        <v>0</v>
      </c>
      <c r="P38" s="149">
        <f>IF($D$15="-",0,INDEX(CPAT_National!P$6:P$133,MATCH($G38&amp;"|"&amp;$D$15,CPAT_National!$B$6:$B$133,0)))</f>
        <v>0</v>
      </c>
      <c r="Q38" s="149">
        <f>IF($D$15="-",0,INDEX(CPAT_National!Q$6:Q$133,MATCH($G38&amp;"|"&amp;$D$15,CPAT_National!$B$6:$B$133,0)))</f>
        <v>0</v>
      </c>
      <c r="R38" s="149">
        <f>IF($D$15="-",0,INDEX(CPAT_National!R$6:R$133,MATCH($G38&amp;"|"&amp;$D$15,CPAT_National!$B$6:$B$133,0)))</f>
        <v>0</v>
      </c>
      <c r="S38" s="149">
        <f>IF($D$15="-",0,INDEX(CPAT_National!S$6:S$133,MATCH($G38&amp;"|"&amp;$D$15,CPAT_National!$B$6:$B$133,0)))</f>
        <v>0</v>
      </c>
      <c r="T38" s="149">
        <f>IF($D$15="-",0,INDEX(CPAT_National!T$6:T$133,MATCH($G38&amp;"|"&amp;$D$15,CPAT_National!$B$6:$B$133,0)))</f>
        <v>0</v>
      </c>
      <c r="U38" s="149">
        <f>IF($D$15="-",0,INDEX(CPAT_National!U$6:U$133,MATCH($G38&amp;"|"&amp;$D$15,CPAT_National!$B$6:$B$133,0)))</f>
        <v>0</v>
      </c>
      <c r="V38" s="149">
        <f>IF($D$15="-",0,INDEX(CPAT_National!V$6:V$133,MATCH($G38&amp;"|"&amp;$D$15,CPAT_National!$B$6:$B$133,0)))</f>
        <v>0</v>
      </c>
      <c r="W38" s="149">
        <f>IF($D$15="-",0,INDEX(CPAT_National!W$6:W$133,MATCH($G38&amp;"|"&amp;$D$15,CPAT_National!$B$6:$B$133,0)))</f>
        <v>0</v>
      </c>
      <c r="X38" s="149">
        <f>IF($D$15="-",0,INDEX(CPAT_National!X$6:X$133,MATCH($G38&amp;"|"&amp;$D$15,CPAT_National!$B$6:$B$133,0)))</f>
        <v>0</v>
      </c>
      <c r="Y38" s="149">
        <f>IF($D$15="-",0,INDEX(CPAT_National!Y$6:Y$133,MATCH($G38&amp;"|"&amp;$D$15,CPAT_National!$B$6:$B$133,0)))</f>
        <v>0</v>
      </c>
      <c r="Z38" s="149">
        <f>IF($D$15="-",0,INDEX(CPAT_National!Z$6:Z$133,MATCH($G38&amp;"|"&amp;$D$15,CPAT_National!$B$6:$B$133,0)))</f>
        <v>0</v>
      </c>
      <c r="AA38" s="149">
        <f>IF($D$15="-",0,INDEX(CPAT_National!AA$6:AA$133,MATCH($G38&amp;"|"&amp;$D$15,CPAT_National!$B$6:$B$133,0)))</f>
        <v>0</v>
      </c>
      <c r="AB38" s="149">
        <f>IF($D$15="-",0,INDEX(CPAT_National!AB$6:AB$133,MATCH($G38&amp;"|"&amp;$D$15,CPAT_National!$B$6:$B$133,0)))</f>
        <v>0</v>
      </c>
      <c r="AC38" s="149">
        <f>IF($D$15="-",0,INDEX(CPAT_National!AC$6:AC$133,MATCH($G38&amp;"|"&amp;$D$15,CPAT_National!$B$6:$B$133,0)))</f>
        <v>0</v>
      </c>
      <c r="AD38" s="149">
        <f>IF($D$15="-",0,INDEX(CPAT_National!AD$6:AD$133,MATCH($G38&amp;"|"&amp;$D$15,CPAT_National!$B$6:$B$133,0)))</f>
        <v>0</v>
      </c>
      <c r="AE38" s="149">
        <f>IF($D$15="-",0,INDEX(CPAT_National!AE$6:AE$133,MATCH($G38&amp;"|"&amp;$D$15,CPAT_National!$B$6:$B$133,0)))</f>
        <v>0</v>
      </c>
    </row>
    <row r="39" spans="2:31" x14ac:dyDescent="0.35">
      <c r="B39" s="112" t="s">
        <v>3474</v>
      </c>
      <c r="C39" s="112" t="s">
        <v>3475</v>
      </c>
      <c r="D39" s="112" t="s">
        <v>3491</v>
      </c>
      <c r="E39" s="112" t="s">
        <v>3408</v>
      </c>
      <c r="F39" s="112" t="s">
        <v>3477</v>
      </c>
      <c r="G39" s="112" t="s">
        <v>3421</v>
      </c>
      <c r="H39" s="116" t="str">
        <f>Settings!$B$3&amp;".mit.t2.rgso"</f>
        <v>egy.mit.t2.rgso</v>
      </c>
      <c r="L39" s="149">
        <f>IF($D$15="-",0,INDEX(CPAT_National!L$6:L$133,MATCH($G39&amp;"|"&amp;$D$15,CPAT_National!$B$6:$B$133,0)))</f>
        <v>0</v>
      </c>
      <c r="M39" s="149">
        <f>IF($D$15="-",0,INDEX(CPAT_National!M$6:M$133,MATCH($G39&amp;"|"&amp;$D$15,CPAT_National!$B$6:$B$133,0)))</f>
        <v>0</v>
      </c>
      <c r="N39" s="149">
        <f>IF($D$15="-",0,INDEX(CPAT_National!N$6:N$133,MATCH($G39&amp;"|"&amp;$D$15,CPAT_National!$B$6:$B$133,0)))</f>
        <v>0</v>
      </c>
      <c r="O39" s="149">
        <f>IF($D$15="-",0,INDEX(CPAT_National!O$6:O$133,MATCH($G39&amp;"|"&amp;$D$15,CPAT_National!$B$6:$B$133,0)))</f>
        <v>0</v>
      </c>
      <c r="P39" s="149">
        <f>IF($D$15="-",0,INDEX(CPAT_National!P$6:P$133,MATCH($G39&amp;"|"&amp;$D$15,CPAT_National!$B$6:$B$133,0)))</f>
        <v>0</v>
      </c>
      <c r="Q39" s="149">
        <f>IF($D$15="-",0,INDEX(CPAT_National!Q$6:Q$133,MATCH($G39&amp;"|"&amp;$D$15,CPAT_National!$B$6:$B$133,0)))</f>
        <v>0</v>
      </c>
      <c r="R39" s="149">
        <f>IF($D$15="-",0,INDEX(CPAT_National!R$6:R$133,MATCH($G39&amp;"|"&amp;$D$15,CPAT_National!$B$6:$B$133,0)))</f>
        <v>0</v>
      </c>
      <c r="S39" s="149">
        <f>IF($D$15="-",0,INDEX(CPAT_National!S$6:S$133,MATCH($G39&amp;"|"&amp;$D$15,CPAT_National!$B$6:$B$133,0)))</f>
        <v>0</v>
      </c>
      <c r="T39" s="149">
        <f>IF($D$15="-",0,INDEX(CPAT_National!T$6:T$133,MATCH($G39&amp;"|"&amp;$D$15,CPAT_National!$B$6:$B$133,0)))</f>
        <v>0</v>
      </c>
      <c r="U39" s="149">
        <f>IF($D$15="-",0,INDEX(CPAT_National!U$6:U$133,MATCH($G39&amp;"|"&amp;$D$15,CPAT_National!$B$6:$B$133,0)))</f>
        <v>0</v>
      </c>
      <c r="V39" s="149">
        <f>IF($D$15="-",0,INDEX(CPAT_National!V$6:V$133,MATCH($G39&amp;"|"&amp;$D$15,CPAT_National!$B$6:$B$133,0)))</f>
        <v>0</v>
      </c>
      <c r="W39" s="149">
        <f>IF($D$15="-",0,INDEX(CPAT_National!W$6:W$133,MATCH($G39&amp;"|"&amp;$D$15,CPAT_National!$B$6:$B$133,0)))</f>
        <v>0</v>
      </c>
      <c r="X39" s="149">
        <f>IF($D$15="-",0,INDEX(CPAT_National!X$6:X$133,MATCH($G39&amp;"|"&amp;$D$15,CPAT_National!$B$6:$B$133,0)))</f>
        <v>0</v>
      </c>
      <c r="Y39" s="149">
        <f>IF($D$15="-",0,INDEX(CPAT_National!Y$6:Y$133,MATCH($G39&amp;"|"&amp;$D$15,CPAT_National!$B$6:$B$133,0)))</f>
        <v>0</v>
      </c>
      <c r="Z39" s="149">
        <f>IF($D$15="-",0,INDEX(CPAT_National!Z$6:Z$133,MATCH($G39&amp;"|"&amp;$D$15,CPAT_National!$B$6:$B$133,0)))</f>
        <v>0</v>
      </c>
      <c r="AA39" s="149">
        <f>IF($D$15="-",0,INDEX(CPAT_National!AA$6:AA$133,MATCH($G39&amp;"|"&amp;$D$15,CPAT_National!$B$6:$B$133,0)))</f>
        <v>0</v>
      </c>
      <c r="AB39" s="149">
        <f>IF($D$15="-",0,INDEX(CPAT_National!AB$6:AB$133,MATCH($G39&amp;"|"&amp;$D$15,CPAT_National!$B$6:$B$133,0)))</f>
        <v>0</v>
      </c>
      <c r="AC39" s="149">
        <f>IF($D$15="-",0,INDEX(CPAT_National!AC$6:AC$133,MATCH($G39&amp;"|"&amp;$D$15,CPAT_National!$B$6:$B$133,0)))</f>
        <v>0</v>
      </c>
      <c r="AD39" s="149">
        <f>IF($D$15="-",0,INDEX(CPAT_National!AD$6:AD$133,MATCH($G39&amp;"|"&amp;$D$15,CPAT_National!$B$6:$B$133,0)))</f>
        <v>0</v>
      </c>
      <c r="AE39" s="149">
        <f>IF($D$15="-",0,INDEX(CPAT_National!AE$6:AE$133,MATCH($G39&amp;"|"&amp;$D$15,CPAT_National!$B$6:$B$133,0)))</f>
        <v>0</v>
      </c>
    </row>
    <row r="40" spans="2:31" x14ac:dyDescent="0.35">
      <c r="B40" s="112" t="s">
        <v>3474</v>
      </c>
      <c r="C40" s="112" t="s">
        <v>3475</v>
      </c>
      <c r="D40" s="112" t="s">
        <v>3492</v>
      </c>
      <c r="E40" s="112" t="s">
        <v>3408</v>
      </c>
      <c r="F40" s="112" t="s">
        <v>3477</v>
      </c>
      <c r="G40" s="112" t="s">
        <v>3427</v>
      </c>
      <c r="H40" s="116" t="str">
        <f>Settings!$B$3&amp;".mit.t2.rlpk"</f>
        <v>egy.mit.t2.rlpk</v>
      </c>
      <c r="L40" s="149">
        <f>IF($D$15="-",0,INDEX(CPAT_National!L$6:L$133,MATCH($G40&amp;"|"&amp;$D$15,CPAT_National!$B$6:$B$133,0)))</f>
        <v>0</v>
      </c>
      <c r="M40" s="149">
        <f>IF($D$15="-",0,INDEX(CPAT_National!M$6:M$133,MATCH($G40&amp;"|"&amp;$D$15,CPAT_National!$B$6:$B$133,0)))</f>
        <v>0</v>
      </c>
      <c r="N40" s="149">
        <f>IF($D$15="-",0,INDEX(CPAT_National!N$6:N$133,MATCH($G40&amp;"|"&amp;$D$15,CPAT_National!$B$6:$B$133,0)))</f>
        <v>0</v>
      </c>
      <c r="O40" s="149">
        <f>IF($D$15="-",0,INDEX(CPAT_National!O$6:O$133,MATCH($G40&amp;"|"&amp;$D$15,CPAT_National!$B$6:$B$133,0)))</f>
        <v>0</v>
      </c>
      <c r="P40" s="149">
        <f>IF($D$15="-",0,INDEX(CPAT_National!P$6:P$133,MATCH($G40&amp;"|"&amp;$D$15,CPAT_National!$B$6:$B$133,0)))</f>
        <v>0</v>
      </c>
      <c r="Q40" s="149">
        <f>IF($D$15="-",0,INDEX(CPAT_National!Q$6:Q$133,MATCH($G40&amp;"|"&amp;$D$15,CPAT_National!$B$6:$B$133,0)))</f>
        <v>0</v>
      </c>
      <c r="R40" s="149">
        <f>IF($D$15="-",0,INDEX(CPAT_National!R$6:R$133,MATCH($G40&amp;"|"&amp;$D$15,CPAT_National!$B$6:$B$133,0)))</f>
        <v>0</v>
      </c>
      <c r="S40" s="149">
        <f>IF($D$15="-",0,INDEX(CPAT_National!S$6:S$133,MATCH($G40&amp;"|"&amp;$D$15,CPAT_National!$B$6:$B$133,0)))</f>
        <v>0</v>
      </c>
      <c r="T40" s="149">
        <f>IF($D$15="-",0,INDEX(CPAT_National!T$6:T$133,MATCH($G40&amp;"|"&amp;$D$15,CPAT_National!$B$6:$B$133,0)))</f>
        <v>0</v>
      </c>
      <c r="U40" s="149">
        <f>IF($D$15="-",0,INDEX(CPAT_National!U$6:U$133,MATCH($G40&amp;"|"&amp;$D$15,CPAT_National!$B$6:$B$133,0)))</f>
        <v>0</v>
      </c>
      <c r="V40" s="149">
        <f>IF($D$15="-",0,INDEX(CPAT_National!V$6:V$133,MATCH($G40&amp;"|"&amp;$D$15,CPAT_National!$B$6:$B$133,0)))</f>
        <v>0</v>
      </c>
      <c r="W40" s="149">
        <f>IF($D$15="-",0,INDEX(CPAT_National!W$6:W$133,MATCH($G40&amp;"|"&amp;$D$15,CPAT_National!$B$6:$B$133,0)))</f>
        <v>0</v>
      </c>
      <c r="X40" s="149">
        <f>IF($D$15="-",0,INDEX(CPAT_National!X$6:X$133,MATCH($G40&amp;"|"&amp;$D$15,CPAT_National!$B$6:$B$133,0)))</f>
        <v>0</v>
      </c>
      <c r="Y40" s="149">
        <f>IF($D$15="-",0,INDEX(CPAT_National!Y$6:Y$133,MATCH($G40&amp;"|"&amp;$D$15,CPAT_National!$B$6:$B$133,0)))</f>
        <v>0</v>
      </c>
      <c r="Z40" s="149">
        <f>IF($D$15="-",0,INDEX(CPAT_National!Z$6:Z$133,MATCH($G40&amp;"|"&amp;$D$15,CPAT_National!$B$6:$B$133,0)))</f>
        <v>0</v>
      </c>
      <c r="AA40" s="149">
        <f>IF($D$15="-",0,INDEX(CPAT_National!AA$6:AA$133,MATCH($G40&amp;"|"&amp;$D$15,CPAT_National!$B$6:$B$133,0)))</f>
        <v>0</v>
      </c>
      <c r="AB40" s="149">
        <f>IF($D$15="-",0,INDEX(CPAT_National!AB$6:AB$133,MATCH($G40&amp;"|"&amp;$D$15,CPAT_National!$B$6:$B$133,0)))</f>
        <v>0</v>
      </c>
      <c r="AC40" s="149">
        <f>IF($D$15="-",0,INDEX(CPAT_National!AC$6:AC$133,MATCH($G40&amp;"|"&amp;$D$15,CPAT_National!$B$6:$B$133,0)))</f>
        <v>0</v>
      </c>
      <c r="AD40" s="149">
        <f>IF($D$15="-",0,INDEX(CPAT_National!AD$6:AD$133,MATCH($G40&amp;"|"&amp;$D$15,CPAT_National!$B$6:$B$133,0)))</f>
        <v>0</v>
      </c>
      <c r="AE40" s="149">
        <f>IF($D$15="-",0,INDEX(CPAT_National!AE$6:AE$133,MATCH($G40&amp;"|"&amp;$D$15,CPAT_National!$B$6:$B$133,0)))</f>
        <v>0</v>
      </c>
    </row>
    <row r="41" spans="2:31" x14ac:dyDescent="0.35">
      <c r="B41" s="112" t="s">
        <v>3474</v>
      </c>
      <c r="C41" s="112" t="s">
        <v>3475</v>
      </c>
      <c r="D41" s="112" t="s">
        <v>3493</v>
      </c>
      <c r="E41" s="112" t="s">
        <v>3408</v>
      </c>
      <c r="F41" s="112" t="s">
        <v>3477</v>
      </c>
      <c r="G41" s="112" t="s">
        <v>3433</v>
      </c>
      <c r="H41" s="116" t="str">
        <f>Settings!$B$3&amp;".mit.t2.rnga"</f>
        <v>egy.mit.t2.rnga</v>
      </c>
      <c r="L41" s="149">
        <f>IF($D$15="-",0,INDEX(CPAT_National!L$6:L$133,MATCH($G41&amp;"|"&amp;$D$15,CPAT_National!$B$6:$B$133,0)))</f>
        <v>0</v>
      </c>
      <c r="M41" s="149">
        <f>IF($D$15="-",0,INDEX(CPAT_National!M$6:M$133,MATCH($G41&amp;"|"&amp;$D$15,CPAT_National!$B$6:$B$133,0)))</f>
        <v>0</v>
      </c>
      <c r="N41" s="149">
        <f>IF($D$15="-",0,INDEX(CPAT_National!N$6:N$133,MATCH($G41&amp;"|"&amp;$D$15,CPAT_National!$B$6:$B$133,0)))</f>
        <v>0</v>
      </c>
      <c r="O41" s="149">
        <f>IF($D$15="-",0,INDEX(CPAT_National!O$6:O$133,MATCH($G41&amp;"|"&amp;$D$15,CPAT_National!$B$6:$B$133,0)))</f>
        <v>0</v>
      </c>
      <c r="P41" s="149">
        <f>IF($D$15="-",0,INDEX(CPAT_National!P$6:P$133,MATCH($G41&amp;"|"&amp;$D$15,CPAT_National!$B$6:$B$133,0)))</f>
        <v>0</v>
      </c>
      <c r="Q41" s="149">
        <f>IF($D$15="-",0,INDEX(CPAT_National!Q$6:Q$133,MATCH($G41&amp;"|"&amp;$D$15,CPAT_National!$B$6:$B$133,0)))</f>
        <v>0</v>
      </c>
      <c r="R41" s="149">
        <f>IF($D$15="-",0,INDEX(CPAT_National!R$6:R$133,MATCH($G41&amp;"|"&amp;$D$15,CPAT_National!$B$6:$B$133,0)))</f>
        <v>0</v>
      </c>
      <c r="S41" s="149">
        <f>IF($D$15="-",0,INDEX(CPAT_National!S$6:S$133,MATCH($G41&amp;"|"&amp;$D$15,CPAT_National!$B$6:$B$133,0)))</f>
        <v>0</v>
      </c>
      <c r="T41" s="149">
        <f>IF($D$15="-",0,INDEX(CPAT_National!T$6:T$133,MATCH($G41&amp;"|"&amp;$D$15,CPAT_National!$B$6:$B$133,0)))</f>
        <v>0</v>
      </c>
      <c r="U41" s="149">
        <f>IF($D$15="-",0,INDEX(CPAT_National!U$6:U$133,MATCH($G41&amp;"|"&amp;$D$15,CPAT_National!$B$6:$B$133,0)))</f>
        <v>0</v>
      </c>
      <c r="V41" s="149">
        <f>IF($D$15="-",0,INDEX(CPAT_National!V$6:V$133,MATCH($G41&amp;"|"&amp;$D$15,CPAT_National!$B$6:$B$133,0)))</f>
        <v>0</v>
      </c>
      <c r="W41" s="149">
        <f>IF($D$15="-",0,INDEX(CPAT_National!W$6:W$133,MATCH($G41&amp;"|"&amp;$D$15,CPAT_National!$B$6:$B$133,0)))</f>
        <v>0</v>
      </c>
      <c r="X41" s="149">
        <f>IF($D$15="-",0,INDEX(CPAT_National!X$6:X$133,MATCH($G41&amp;"|"&amp;$D$15,CPAT_National!$B$6:$B$133,0)))</f>
        <v>0</v>
      </c>
      <c r="Y41" s="149">
        <f>IF($D$15="-",0,INDEX(CPAT_National!Y$6:Y$133,MATCH($G41&amp;"|"&amp;$D$15,CPAT_National!$B$6:$B$133,0)))</f>
        <v>0</v>
      </c>
      <c r="Z41" s="149">
        <f>IF($D$15="-",0,INDEX(CPAT_National!Z$6:Z$133,MATCH($G41&amp;"|"&amp;$D$15,CPAT_National!$B$6:$B$133,0)))</f>
        <v>0</v>
      </c>
      <c r="AA41" s="149">
        <f>IF($D$15="-",0,INDEX(CPAT_National!AA$6:AA$133,MATCH($G41&amp;"|"&amp;$D$15,CPAT_National!$B$6:$B$133,0)))</f>
        <v>0</v>
      </c>
      <c r="AB41" s="149">
        <f>IF($D$15="-",0,INDEX(CPAT_National!AB$6:AB$133,MATCH($G41&amp;"|"&amp;$D$15,CPAT_National!$B$6:$B$133,0)))</f>
        <v>0</v>
      </c>
      <c r="AC41" s="149">
        <f>IF($D$15="-",0,INDEX(CPAT_National!AC$6:AC$133,MATCH($G41&amp;"|"&amp;$D$15,CPAT_National!$B$6:$B$133,0)))</f>
        <v>0</v>
      </c>
      <c r="AD41" s="149">
        <f>IF($D$15="-",0,INDEX(CPAT_National!AD$6:AD$133,MATCH($G41&amp;"|"&amp;$D$15,CPAT_National!$B$6:$B$133,0)))</f>
        <v>0</v>
      </c>
      <c r="AE41" s="149">
        <f>IF($D$15="-",0,INDEX(CPAT_National!AE$6:AE$133,MATCH($G41&amp;"|"&amp;$D$15,CPAT_National!$B$6:$B$133,0)))</f>
        <v>0</v>
      </c>
    </row>
    <row r="42" spans="2:31" x14ac:dyDescent="0.35">
      <c r="B42" s="112" t="s">
        <v>3474</v>
      </c>
      <c r="C42" s="112" t="s">
        <v>3475</v>
      </c>
      <c r="D42" s="112" t="s">
        <v>3494</v>
      </c>
      <c r="E42" s="112" t="s">
        <v>3408</v>
      </c>
      <c r="F42" s="112" t="s">
        <v>3477</v>
      </c>
      <c r="G42" s="112" t="s">
        <v>3439</v>
      </c>
      <c r="H42" s="116" t="str">
        <f>Settings!$B$3&amp;".mit.t2.roil"</f>
        <v>egy.mit.t2.roil</v>
      </c>
      <c r="L42" s="149">
        <f>IF($D$15="-",0,INDEX(CPAT_National!L$6:L$133,MATCH($G42&amp;"|"&amp;$D$15,CPAT_National!$B$6:$B$133,0)))</f>
        <v>0</v>
      </c>
      <c r="M42" s="149">
        <f>IF($D$15="-",0,INDEX(CPAT_National!M$6:M$133,MATCH($G42&amp;"|"&amp;$D$15,CPAT_National!$B$6:$B$133,0)))</f>
        <v>0</v>
      </c>
      <c r="N42" s="149">
        <f>IF($D$15="-",0,INDEX(CPAT_National!N$6:N$133,MATCH($G42&amp;"|"&amp;$D$15,CPAT_National!$B$6:$B$133,0)))</f>
        <v>0</v>
      </c>
      <c r="O42" s="149">
        <f>IF($D$15="-",0,INDEX(CPAT_National!O$6:O$133,MATCH($G42&amp;"|"&amp;$D$15,CPAT_National!$B$6:$B$133,0)))</f>
        <v>0</v>
      </c>
      <c r="P42" s="149">
        <f>IF($D$15="-",0,INDEX(CPAT_National!P$6:P$133,MATCH($G42&amp;"|"&amp;$D$15,CPAT_National!$B$6:$B$133,0)))</f>
        <v>0</v>
      </c>
      <c r="Q42" s="149">
        <f>IF($D$15="-",0,INDEX(CPAT_National!Q$6:Q$133,MATCH($G42&amp;"|"&amp;$D$15,CPAT_National!$B$6:$B$133,0)))</f>
        <v>0</v>
      </c>
      <c r="R42" s="149">
        <f>IF($D$15="-",0,INDEX(CPAT_National!R$6:R$133,MATCH($G42&amp;"|"&amp;$D$15,CPAT_National!$B$6:$B$133,0)))</f>
        <v>0</v>
      </c>
      <c r="S42" s="149">
        <f>IF($D$15="-",0,INDEX(CPAT_National!S$6:S$133,MATCH($G42&amp;"|"&amp;$D$15,CPAT_National!$B$6:$B$133,0)))</f>
        <v>0</v>
      </c>
      <c r="T42" s="149">
        <f>IF($D$15="-",0,INDEX(CPAT_National!T$6:T$133,MATCH($G42&amp;"|"&amp;$D$15,CPAT_National!$B$6:$B$133,0)))</f>
        <v>0</v>
      </c>
      <c r="U42" s="149">
        <f>IF($D$15="-",0,INDEX(CPAT_National!U$6:U$133,MATCH($G42&amp;"|"&amp;$D$15,CPAT_National!$B$6:$B$133,0)))</f>
        <v>0</v>
      </c>
      <c r="V42" s="149">
        <f>IF($D$15="-",0,INDEX(CPAT_National!V$6:V$133,MATCH($G42&amp;"|"&amp;$D$15,CPAT_National!$B$6:$B$133,0)))</f>
        <v>0</v>
      </c>
      <c r="W42" s="149">
        <f>IF($D$15="-",0,INDEX(CPAT_National!W$6:W$133,MATCH($G42&amp;"|"&amp;$D$15,CPAT_National!$B$6:$B$133,0)))</f>
        <v>0</v>
      </c>
      <c r="X42" s="149">
        <f>IF($D$15="-",0,INDEX(CPAT_National!X$6:X$133,MATCH($G42&amp;"|"&amp;$D$15,CPAT_National!$B$6:$B$133,0)))</f>
        <v>0</v>
      </c>
      <c r="Y42" s="149">
        <f>IF($D$15="-",0,INDEX(CPAT_National!Y$6:Y$133,MATCH($G42&amp;"|"&amp;$D$15,CPAT_National!$B$6:$B$133,0)))</f>
        <v>0</v>
      </c>
      <c r="Z42" s="149">
        <f>IF($D$15="-",0,INDEX(CPAT_National!Z$6:Z$133,MATCH($G42&amp;"|"&amp;$D$15,CPAT_National!$B$6:$B$133,0)))</f>
        <v>0</v>
      </c>
      <c r="AA42" s="149">
        <f>IF($D$15="-",0,INDEX(CPAT_National!AA$6:AA$133,MATCH($G42&amp;"|"&amp;$D$15,CPAT_National!$B$6:$B$133,0)))</f>
        <v>0</v>
      </c>
      <c r="AB42" s="149">
        <f>IF($D$15="-",0,INDEX(CPAT_National!AB$6:AB$133,MATCH($G42&amp;"|"&amp;$D$15,CPAT_National!$B$6:$B$133,0)))</f>
        <v>0</v>
      </c>
      <c r="AC42" s="149">
        <f>IF($D$15="-",0,INDEX(CPAT_National!AC$6:AC$133,MATCH($G42&amp;"|"&amp;$D$15,CPAT_National!$B$6:$B$133,0)))</f>
        <v>0</v>
      </c>
      <c r="AD42" s="149">
        <f>IF($D$15="-",0,INDEX(CPAT_National!AD$6:AD$133,MATCH($G42&amp;"|"&amp;$D$15,CPAT_National!$B$6:$B$133,0)))</f>
        <v>0</v>
      </c>
      <c r="AE42" s="149">
        <f>IF($D$15="-",0,INDEX(CPAT_National!AE$6:AE$133,MATCH($G42&amp;"|"&amp;$D$15,CPAT_National!$B$6:$B$133,0)))</f>
        <v>0</v>
      </c>
    </row>
    <row r="43" spans="2:31" x14ac:dyDescent="0.35">
      <c r="B43" s="112" t="s">
        <v>3474</v>
      </c>
      <c r="C43" s="112" t="s">
        <v>3475</v>
      </c>
      <c r="D43" s="112" t="s">
        <v>3495</v>
      </c>
      <c r="E43" s="112" t="s">
        <v>3262</v>
      </c>
      <c r="F43" s="112" t="s">
        <v>3477</v>
      </c>
      <c r="G43" s="112" t="s">
        <v>3264</v>
      </c>
      <c r="H43" s="116" t="str">
        <f>Settings!$B$3&amp;".mit.t2.d2464"</f>
        <v>egy.mit.t2.d2464</v>
      </c>
      <c r="L43" s="149">
        <f>IF($D$15="-",0,INDEX(CPAT_National!L$6:L$133,MATCH($G43&amp;"|"&amp;$D$15,CPAT_National!$B$6:$B$133,0)))</f>
        <v>0</v>
      </c>
      <c r="M43" s="149">
        <f>IF($D$15="-",0,INDEX(CPAT_National!M$6:M$133,MATCH($G43&amp;"|"&amp;$D$15,CPAT_National!$B$6:$B$133,0)))</f>
        <v>0</v>
      </c>
      <c r="N43" s="149">
        <f>IF($D$15="-",0,INDEX(CPAT_National!N$6:N$133,MATCH($G43&amp;"|"&amp;$D$15,CPAT_National!$B$6:$B$133,0)))</f>
        <v>0</v>
      </c>
      <c r="O43" s="149">
        <f>IF($D$15="-",0,INDEX(CPAT_National!O$6:O$133,MATCH($G43&amp;"|"&amp;$D$15,CPAT_National!$B$6:$B$133,0)))</f>
        <v>0</v>
      </c>
      <c r="P43" s="149">
        <f>IF($D$15="-",0,INDEX(CPAT_National!P$6:P$133,MATCH($G43&amp;"|"&amp;$D$15,CPAT_National!$B$6:$B$133,0)))</f>
        <v>0</v>
      </c>
      <c r="Q43" s="149">
        <f>IF($D$15="-",0,INDEX(CPAT_National!Q$6:Q$133,MATCH($G43&amp;"|"&amp;$D$15,CPAT_National!$B$6:$B$133,0)))</f>
        <v>0</v>
      </c>
      <c r="R43" s="149">
        <f>IF($D$15="-",0,INDEX(CPAT_National!R$6:R$133,MATCH($G43&amp;"|"&amp;$D$15,CPAT_National!$B$6:$B$133,0)))</f>
        <v>0</v>
      </c>
      <c r="S43" s="149">
        <f>IF($D$15="-",0,INDEX(CPAT_National!S$6:S$133,MATCH($G43&amp;"|"&amp;$D$15,CPAT_National!$B$6:$B$133,0)))</f>
        <v>0</v>
      </c>
      <c r="T43" s="149">
        <f>IF($D$15="-",0,INDEX(CPAT_National!T$6:T$133,MATCH($G43&amp;"|"&amp;$D$15,CPAT_National!$B$6:$B$133,0)))</f>
        <v>0</v>
      </c>
      <c r="U43" s="149">
        <f>IF($D$15="-",0,INDEX(CPAT_National!U$6:U$133,MATCH($G43&amp;"|"&amp;$D$15,CPAT_National!$B$6:$B$133,0)))</f>
        <v>0</v>
      </c>
      <c r="V43" s="149">
        <f>IF($D$15="-",0,INDEX(CPAT_National!V$6:V$133,MATCH($G43&amp;"|"&amp;$D$15,CPAT_National!$B$6:$B$133,0)))</f>
        <v>0</v>
      </c>
      <c r="W43" s="149">
        <f>IF($D$15="-",0,INDEX(CPAT_National!W$6:W$133,MATCH($G43&amp;"|"&amp;$D$15,CPAT_National!$B$6:$B$133,0)))</f>
        <v>0</v>
      </c>
      <c r="X43" s="149">
        <f>IF($D$15="-",0,INDEX(CPAT_National!X$6:X$133,MATCH($G43&amp;"|"&amp;$D$15,CPAT_National!$B$6:$B$133,0)))</f>
        <v>0</v>
      </c>
      <c r="Y43" s="149">
        <f>IF($D$15="-",0,INDEX(CPAT_National!Y$6:Y$133,MATCH($G43&amp;"|"&amp;$D$15,CPAT_National!$B$6:$B$133,0)))</f>
        <v>0</v>
      </c>
      <c r="Z43" s="149">
        <f>IF($D$15="-",0,INDEX(CPAT_National!Z$6:Z$133,MATCH($G43&amp;"|"&amp;$D$15,CPAT_National!$B$6:$B$133,0)))</f>
        <v>0</v>
      </c>
      <c r="AA43" s="149">
        <f>IF($D$15="-",0,INDEX(CPAT_National!AA$6:AA$133,MATCH($G43&amp;"|"&amp;$D$15,CPAT_National!$B$6:$B$133,0)))</f>
        <v>0</v>
      </c>
      <c r="AB43" s="149">
        <f>IF($D$15="-",0,INDEX(CPAT_National!AB$6:AB$133,MATCH($G43&amp;"|"&amp;$D$15,CPAT_National!$B$6:$B$133,0)))</f>
        <v>0</v>
      </c>
      <c r="AC43" s="149">
        <f>IF($D$15="-",0,INDEX(CPAT_National!AC$6:AC$133,MATCH($G43&amp;"|"&amp;$D$15,CPAT_National!$B$6:$B$133,0)))</f>
        <v>0</v>
      </c>
      <c r="AD43" s="149">
        <f>IF($D$15="-",0,INDEX(CPAT_National!AD$6:AD$133,MATCH($G43&amp;"|"&amp;$D$15,CPAT_National!$B$6:$B$133,0)))</f>
        <v>0</v>
      </c>
      <c r="AE43" s="149">
        <f>IF($D$15="-",0,INDEX(CPAT_National!AE$6:AE$133,MATCH($G43&amp;"|"&amp;$D$15,CPAT_National!$B$6:$B$133,0)))</f>
        <v>0</v>
      </c>
    </row>
    <row r="44" spans="2:31" x14ac:dyDescent="0.35">
      <c r="B44" s="112" t="s">
        <v>3474</v>
      </c>
      <c r="C44" s="112" t="s">
        <v>3475</v>
      </c>
      <c r="D44" s="112" t="s">
        <v>3496</v>
      </c>
      <c r="E44" s="112" t="s">
        <v>3262</v>
      </c>
      <c r="F44" s="112" t="s">
        <v>3477</v>
      </c>
      <c r="G44" s="112" t="s">
        <v>3276</v>
      </c>
      <c r="H44" s="116" t="str">
        <f>Settings!$B$3&amp;".mit.t2.d65"</f>
        <v>egy.mit.t2.d65</v>
      </c>
      <c r="L44" s="149">
        <f>IF($D$15="-",0,INDEX(CPAT_National!L$6:L$133,MATCH($G44&amp;"|"&amp;$D$15,CPAT_National!$B$6:$B$133,0)))</f>
        <v>0</v>
      </c>
      <c r="M44" s="149">
        <f>IF($D$15="-",0,INDEX(CPAT_National!M$6:M$133,MATCH($G44&amp;"|"&amp;$D$15,CPAT_National!$B$6:$B$133,0)))</f>
        <v>0</v>
      </c>
      <c r="N44" s="149">
        <f>IF($D$15="-",0,INDEX(CPAT_National!N$6:N$133,MATCH($G44&amp;"|"&amp;$D$15,CPAT_National!$B$6:$B$133,0)))</f>
        <v>0</v>
      </c>
      <c r="O44" s="149">
        <f>IF($D$15="-",0,INDEX(CPAT_National!O$6:O$133,MATCH($G44&amp;"|"&amp;$D$15,CPAT_National!$B$6:$B$133,0)))</f>
        <v>0</v>
      </c>
      <c r="P44" s="149">
        <f>IF($D$15="-",0,INDEX(CPAT_National!P$6:P$133,MATCH($G44&amp;"|"&amp;$D$15,CPAT_National!$B$6:$B$133,0)))</f>
        <v>0</v>
      </c>
      <c r="Q44" s="149">
        <f>IF($D$15="-",0,INDEX(CPAT_National!Q$6:Q$133,MATCH($G44&amp;"|"&amp;$D$15,CPAT_National!$B$6:$B$133,0)))</f>
        <v>0</v>
      </c>
      <c r="R44" s="149">
        <f>IF($D$15="-",0,INDEX(CPAT_National!R$6:R$133,MATCH($G44&amp;"|"&amp;$D$15,CPAT_National!$B$6:$B$133,0)))</f>
        <v>0</v>
      </c>
      <c r="S44" s="149">
        <f>IF($D$15="-",0,INDEX(CPAT_National!S$6:S$133,MATCH($G44&amp;"|"&amp;$D$15,CPAT_National!$B$6:$B$133,0)))</f>
        <v>0</v>
      </c>
      <c r="T44" s="149">
        <f>IF($D$15="-",0,INDEX(CPAT_National!T$6:T$133,MATCH($G44&amp;"|"&amp;$D$15,CPAT_National!$B$6:$B$133,0)))</f>
        <v>0</v>
      </c>
      <c r="U44" s="149">
        <f>IF($D$15="-",0,INDEX(CPAT_National!U$6:U$133,MATCH($G44&amp;"|"&amp;$D$15,CPAT_National!$B$6:$B$133,0)))</f>
        <v>0</v>
      </c>
      <c r="V44" s="149">
        <f>IF($D$15="-",0,INDEX(CPAT_National!V$6:V$133,MATCH($G44&amp;"|"&amp;$D$15,CPAT_National!$B$6:$B$133,0)))</f>
        <v>0</v>
      </c>
      <c r="W44" s="149">
        <f>IF($D$15="-",0,INDEX(CPAT_National!W$6:W$133,MATCH($G44&amp;"|"&amp;$D$15,CPAT_National!$B$6:$B$133,0)))</f>
        <v>0</v>
      </c>
      <c r="X44" s="149">
        <f>IF($D$15="-",0,INDEX(CPAT_National!X$6:X$133,MATCH($G44&amp;"|"&amp;$D$15,CPAT_National!$B$6:$B$133,0)))</f>
        <v>0</v>
      </c>
      <c r="Y44" s="149">
        <f>IF($D$15="-",0,INDEX(CPAT_National!Y$6:Y$133,MATCH($G44&amp;"|"&amp;$D$15,CPAT_National!$B$6:$B$133,0)))</f>
        <v>0</v>
      </c>
      <c r="Z44" s="149">
        <f>IF($D$15="-",0,INDEX(CPAT_National!Z$6:Z$133,MATCH($G44&amp;"|"&amp;$D$15,CPAT_National!$B$6:$B$133,0)))</f>
        <v>0</v>
      </c>
      <c r="AA44" s="149">
        <f>IF($D$15="-",0,INDEX(CPAT_National!AA$6:AA$133,MATCH($G44&amp;"|"&amp;$D$15,CPAT_National!$B$6:$B$133,0)))</f>
        <v>0</v>
      </c>
      <c r="AB44" s="149">
        <f>IF($D$15="-",0,INDEX(CPAT_National!AB$6:AB$133,MATCH($G44&amp;"|"&amp;$D$15,CPAT_National!$B$6:$B$133,0)))</f>
        <v>0</v>
      </c>
      <c r="AC44" s="149">
        <f>IF($D$15="-",0,INDEX(CPAT_National!AC$6:AC$133,MATCH($G44&amp;"|"&amp;$D$15,CPAT_National!$B$6:$B$133,0)))</f>
        <v>0</v>
      </c>
      <c r="AD44" s="149">
        <f>IF($D$15="-",0,INDEX(CPAT_National!AD$6:AD$133,MATCH($G44&amp;"|"&amp;$D$15,CPAT_National!$B$6:$B$133,0)))</f>
        <v>0</v>
      </c>
      <c r="AE44" s="149">
        <f>IF($D$15="-",0,INDEX(CPAT_National!AE$6:AE$133,MATCH($G44&amp;"|"&amp;$D$15,CPAT_National!$B$6:$B$133,0)))</f>
        <v>0</v>
      </c>
    </row>
    <row r="45" spans="2:31" x14ac:dyDescent="0.35">
      <c r="B45" s="112" t="s">
        <v>3474</v>
      </c>
      <c r="C45" s="112" t="s">
        <v>3475</v>
      </c>
      <c r="D45" s="112" t="s">
        <v>3497</v>
      </c>
      <c r="E45" s="112" t="s">
        <v>3262</v>
      </c>
      <c r="F45" s="112" t="s">
        <v>3477</v>
      </c>
      <c r="G45" s="112" t="s">
        <v>3282</v>
      </c>
      <c r="H45" s="116" t="str">
        <f>Settings!$B$3&amp;".mit.t2.du24"</f>
        <v>egy.mit.t2.du24</v>
      </c>
      <c r="L45" s="149">
        <f>IF($D$15="-",0,INDEX(CPAT_National!L$6:L$133,MATCH($G45&amp;"|"&amp;$D$15,CPAT_National!$B$6:$B$133,0)))</f>
        <v>0</v>
      </c>
      <c r="M45" s="149">
        <f>IF($D$15="-",0,INDEX(CPAT_National!M$6:M$133,MATCH($G45&amp;"|"&amp;$D$15,CPAT_National!$B$6:$B$133,0)))</f>
        <v>0</v>
      </c>
      <c r="N45" s="149">
        <f>IF($D$15="-",0,INDEX(CPAT_National!N$6:N$133,MATCH($G45&amp;"|"&amp;$D$15,CPAT_National!$B$6:$B$133,0)))</f>
        <v>0</v>
      </c>
      <c r="O45" s="149">
        <f>IF($D$15="-",0,INDEX(CPAT_National!O$6:O$133,MATCH($G45&amp;"|"&amp;$D$15,CPAT_National!$B$6:$B$133,0)))</f>
        <v>0</v>
      </c>
      <c r="P45" s="149">
        <f>IF($D$15="-",0,INDEX(CPAT_National!P$6:P$133,MATCH($G45&amp;"|"&amp;$D$15,CPAT_National!$B$6:$B$133,0)))</f>
        <v>0</v>
      </c>
      <c r="Q45" s="149">
        <f>IF($D$15="-",0,INDEX(CPAT_National!Q$6:Q$133,MATCH($G45&amp;"|"&amp;$D$15,CPAT_National!$B$6:$B$133,0)))</f>
        <v>0</v>
      </c>
      <c r="R45" s="149">
        <f>IF($D$15="-",0,INDEX(CPAT_National!R$6:R$133,MATCH($G45&amp;"|"&amp;$D$15,CPAT_National!$B$6:$B$133,0)))</f>
        <v>0</v>
      </c>
      <c r="S45" s="149">
        <f>IF($D$15="-",0,INDEX(CPAT_National!S$6:S$133,MATCH($G45&amp;"|"&amp;$D$15,CPAT_National!$B$6:$B$133,0)))</f>
        <v>0</v>
      </c>
      <c r="T45" s="149">
        <f>IF($D$15="-",0,INDEX(CPAT_National!T$6:T$133,MATCH($G45&amp;"|"&amp;$D$15,CPAT_National!$B$6:$B$133,0)))</f>
        <v>0</v>
      </c>
      <c r="U45" s="149">
        <f>IF($D$15="-",0,INDEX(CPAT_National!U$6:U$133,MATCH($G45&amp;"|"&amp;$D$15,CPAT_National!$B$6:$B$133,0)))</f>
        <v>0</v>
      </c>
      <c r="V45" s="149">
        <f>IF($D$15="-",0,INDEX(CPAT_National!V$6:V$133,MATCH($G45&amp;"|"&amp;$D$15,CPAT_National!$B$6:$B$133,0)))</f>
        <v>0</v>
      </c>
      <c r="W45" s="149">
        <f>IF($D$15="-",0,INDEX(CPAT_National!W$6:W$133,MATCH($G45&amp;"|"&amp;$D$15,CPAT_National!$B$6:$B$133,0)))</f>
        <v>0</v>
      </c>
      <c r="X45" s="149">
        <f>IF($D$15="-",0,INDEX(CPAT_National!X$6:X$133,MATCH($G45&amp;"|"&amp;$D$15,CPAT_National!$B$6:$B$133,0)))</f>
        <v>0</v>
      </c>
      <c r="Y45" s="149">
        <f>IF($D$15="-",0,INDEX(CPAT_National!Y$6:Y$133,MATCH($G45&amp;"|"&amp;$D$15,CPAT_National!$B$6:$B$133,0)))</f>
        <v>0</v>
      </c>
      <c r="Z45" s="149">
        <f>IF($D$15="-",0,INDEX(CPAT_National!Z$6:Z$133,MATCH($G45&amp;"|"&amp;$D$15,CPAT_National!$B$6:$B$133,0)))</f>
        <v>0</v>
      </c>
      <c r="AA45" s="149">
        <f>IF($D$15="-",0,INDEX(CPAT_National!AA$6:AA$133,MATCH($G45&amp;"|"&amp;$D$15,CPAT_National!$B$6:$B$133,0)))</f>
        <v>0</v>
      </c>
      <c r="AB45" s="149">
        <f>IF($D$15="-",0,INDEX(CPAT_National!AB$6:AB$133,MATCH($G45&amp;"|"&amp;$D$15,CPAT_National!$B$6:$B$133,0)))</f>
        <v>0</v>
      </c>
      <c r="AC45" s="149">
        <f>IF($D$15="-",0,INDEX(CPAT_National!AC$6:AC$133,MATCH($G45&amp;"|"&amp;$D$15,CPAT_National!$B$6:$B$133,0)))</f>
        <v>0</v>
      </c>
      <c r="AD45" s="149">
        <f>IF($D$15="-",0,INDEX(CPAT_National!AD$6:AD$133,MATCH($G45&amp;"|"&amp;$D$15,CPAT_National!$B$6:$B$133,0)))</f>
        <v>0</v>
      </c>
      <c r="AE45" s="149">
        <f>IF($D$15="-",0,INDEX(CPAT_National!AE$6:AE$133,MATCH($G45&amp;"|"&amp;$D$15,CPAT_National!$B$6:$B$133,0)))</f>
        <v>0</v>
      </c>
    </row>
    <row r="46" spans="2:31" x14ac:dyDescent="0.35">
      <c r="B46" s="112" t="s">
        <v>3474</v>
      </c>
      <c r="C46" s="112" t="s">
        <v>3475</v>
      </c>
      <c r="D46" s="112" t="s">
        <v>3498</v>
      </c>
      <c r="E46" s="112" t="s">
        <v>3262</v>
      </c>
      <c r="F46" s="112" t="s">
        <v>3477</v>
      </c>
      <c r="G46" s="112" t="s">
        <v>3295</v>
      </c>
      <c r="H46" s="116" t="str">
        <f>Settings!$B$3&amp;".mit.t2.mort"</f>
        <v>egy.mit.t2.mort</v>
      </c>
      <c r="L46" s="149">
        <f>IF($D$15="-",0,INDEX(CPAT_National!L$6:L$133,MATCH($G46&amp;"|"&amp;$D$15,CPAT_National!$B$6:$B$133,0)))</f>
        <v>0</v>
      </c>
      <c r="M46" s="149">
        <f>IF($D$15="-",0,INDEX(CPAT_National!M$6:M$133,MATCH($G46&amp;"|"&amp;$D$15,CPAT_National!$B$6:$B$133,0)))</f>
        <v>0</v>
      </c>
      <c r="N46" s="149">
        <f>IF($D$15="-",0,INDEX(CPAT_National!N$6:N$133,MATCH($G46&amp;"|"&amp;$D$15,CPAT_National!$B$6:$B$133,0)))</f>
        <v>0</v>
      </c>
      <c r="O46" s="149">
        <f>IF($D$15="-",0,INDEX(CPAT_National!O$6:O$133,MATCH($G46&amp;"|"&amp;$D$15,CPAT_National!$B$6:$B$133,0)))</f>
        <v>0</v>
      </c>
      <c r="P46" s="149">
        <f>IF($D$15="-",0,INDEX(CPAT_National!P$6:P$133,MATCH($G46&amp;"|"&amp;$D$15,CPAT_National!$B$6:$B$133,0)))</f>
        <v>0</v>
      </c>
      <c r="Q46" s="149">
        <f>IF($D$15="-",0,INDEX(CPAT_National!Q$6:Q$133,MATCH($G46&amp;"|"&amp;$D$15,CPAT_National!$B$6:$B$133,0)))</f>
        <v>0</v>
      </c>
      <c r="R46" s="149">
        <f>IF($D$15="-",0,INDEX(CPAT_National!R$6:R$133,MATCH($G46&amp;"|"&amp;$D$15,CPAT_National!$B$6:$B$133,0)))</f>
        <v>0</v>
      </c>
      <c r="S46" s="149">
        <f>IF($D$15="-",0,INDEX(CPAT_National!S$6:S$133,MATCH($G46&amp;"|"&amp;$D$15,CPAT_National!$B$6:$B$133,0)))</f>
        <v>0</v>
      </c>
      <c r="T46" s="149">
        <f>IF($D$15="-",0,INDEX(CPAT_National!T$6:T$133,MATCH($G46&amp;"|"&amp;$D$15,CPAT_National!$B$6:$B$133,0)))</f>
        <v>0</v>
      </c>
      <c r="U46" s="149">
        <f>IF($D$15="-",0,INDEX(CPAT_National!U$6:U$133,MATCH($G46&amp;"|"&amp;$D$15,CPAT_National!$B$6:$B$133,0)))</f>
        <v>0</v>
      </c>
      <c r="V46" s="149">
        <f>IF($D$15="-",0,INDEX(CPAT_National!V$6:V$133,MATCH($G46&amp;"|"&amp;$D$15,CPAT_National!$B$6:$B$133,0)))</f>
        <v>0</v>
      </c>
      <c r="W46" s="149">
        <f>IF($D$15="-",0,INDEX(CPAT_National!W$6:W$133,MATCH($G46&amp;"|"&amp;$D$15,CPAT_National!$B$6:$B$133,0)))</f>
        <v>0</v>
      </c>
      <c r="X46" s="149">
        <f>IF($D$15="-",0,INDEX(CPAT_National!X$6:X$133,MATCH($G46&amp;"|"&amp;$D$15,CPAT_National!$B$6:$B$133,0)))</f>
        <v>0</v>
      </c>
      <c r="Y46" s="149">
        <f>IF($D$15="-",0,INDEX(CPAT_National!Y$6:Y$133,MATCH($G46&amp;"|"&amp;$D$15,CPAT_National!$B$6:$B$133,0)))</f>
        <v>0</v>
      </c>
      <c r="Z46" s="149">
        <f>IF($D$15="-",0,INDEX(CPAT_National!Z$6:Z$133,MATCH($G46&amp;"|"&amp;$D$15,CPAT_National!$B$6:$B$133,0)))</f>
        <v>0</v>
      </c>
      <c r="AA46" s="149">
        <f>IF($D$15="-",0,INDEX(CPAT_National!AA$6:AA$133,MATCH($G46&amp;"|"&amp;$D$15,CPAT_National!$B$6:$B$133,0)))</f>
        <v>0</v>
      </c>
      <c r="AB46" s="149">
        <f>IF($D$15="-",0,INDEX(CPAT_National!AB$6:AB$133,MATCH($G46&amp;"|"&amp;$D$15,CPAT_National!$B$6:$B$133,0)))</f>
        <v>0</v>
      </c>
      <c r="AC46" s="149">
        <f>IF($D$15="-",0,INDEX(CPAT_National!AC$6:AC$133,MATCH($G46&amp;"|"&amp;$D$15,CPAT_National!$B$6:$B$133,0)))</f>
        <v>0</v>
      </c>
      <c r="AD46" s="149">
        <f>IF($D$15="-",0,INDEX(CPAT_National!AD$6:AD$133,MATCH($G46&amp;"|"&amp;$D$15,CPAT_National!$B$6:$B$133,0)))</f>
        <v>0</v>
      </c>
      <c r="AE46" s="149">
        <f>IF($D$15="-",0,INDEX(CPAT_National!AE$6:AE$133,MATCH($G46&amp;"|"&amp;$D$15,CPAT_National!$B$6:$B$133,0)))</f>
        <v>0</v>
      </c>
    </row>
    <row r="47" spans="2:31" x14ac:dyDescent="0.35">
      <c r="B47" s="112" t="s">
        <v>3499</v>
      </c>
      <c r="C47" s="112" t="s">
        <v>3475</v>
      </c>
      <c r="D47" s="112" t="s">
        <v>3500</v>
      </c>
      <c r="E47" s="112" t="s">
        <v>3408</v>
      </c>
      <c r="H47" s="116" t="str">
        <f>Settings!$B$3&amp;".mit.t2.revctax"</f>
        <v>egy.mit.t2.revctax</v>
      </c>
      <c r="I47" s="112" t="s">
        <v>3501</v>
      </c>
      <c r="L47" s="149">
        <f t="shared" ref="L47:AE47" si="0">SUM(L37:L42)</f>
        <v>0</v>
      </c>
      <c r="M47" s="149">
        <f t="shared" si="0"/>
        <v>0</v>
      </c>
      <c r="N47" s="149">
        <f t="shared" si="0"/>
        <v>0</v>
      </c>
      <c r="O47" s="149">
        <f t="shared" si="0"/>
        <v>0</v>
      </c>
      <c r="P47" s="149">
        <f t="shared" si="0"/>
        <v>0</v>
      </c>
      <c r="Q47" s="149">
        <f t="shared" si="0"/>
        <v>0</v>
      </c>
      <c r="R47" s="149">
        <f t="shared" si="0"/>
        <v>0</v>
      </c>
      <c r="S47" s="149">
        <f t="shared" si="0"/>
        <v>0</v>
      </c>
      <c r="T47" s="149">
        <f t="shared" si="0"/>
        <v>0</v>
      </c>
      <c r="U47" s="149">
        <f t="shared" si="0"/>
        <v>0</v>
      </c>
      <c r="V47" s="149">
        <f t="shared" si="0"/>
        <v>0</v>
      </c>
      <c r="W47" s="149">
        <f t="shared" si="0"/>
        <v>0</v>
      </c>
      <c r="X47" s="149">
        <f t="shared" si="0"/>
        <v>0</v>
      </c>
      <c r="Y47" s="149">
        <f t="shared" si="0"/>
        <v>0</v>
      </c>
      <c r="Z47" s="149">
        <f t="shared" si="0"/>
        <v>0</v>
      </c>
      <c r="AA47" s="149">
        <f t="shared" si="0"/>
        <v>0</v>
      </c>
      <c r="AB47" s="149">
        <f t="shared" si="0"/>
        <v>0</v>
      </c>
      <c r="AC47" s="149">
        <f t="shared" si="0"/>
        <v>0</v>
      </c>
      <c r="AD47" s="149">
        <f t="shared" si="0"/>
        <v>0</v>
      </c>
      <c r="AE47" s="149">
        <f t="shared" si="0"/>
        <v>0</v>
      </c>
    </row>
    <row r="48" spans="2:31" x14ac:dyDescent="0.35">
      <c r="B48" s="112" t="s">
        <v>3499</v>
      </c>
      <c r="C48" s="112" t="s">
        <v>3475</v>
      </c>
      <c r="D48" s="112" t="s">
        <v>3502</v>
      </c>
      <c r="E48" s="112" t="s">
        <v>3262</v>
      </c>
      <c r="H48" s="116" t="str">
        <f>Settings!$B$3&amp;".mit.t2.deaths"</f>
        <v>egy.mit.t2.deaths</v>
      </c>
      <c r="I48" s="112" t="s">
        <v>3503</v>
      </c>
      <c r="L48" s="149">
        <f t="shared" ref="L48:AE48" si="1">SUM(L43:L45)</f>
        <v>0</v>
      </c>
      <c r="M48" s="149">
        <f t="shared" si="1"/>
        <v>0</v>
      </c>
      <c r="N48" s="149">
        <f t="shared" si="1"/>
        <v>0</v>
      </c>
      <c r="O48" s="149">
        <f t="shared" si="1"/>
        <v>0</v>
      </c>
      <c r="P48" s="149">
        <f t="shared" si="1"/>
        <v>0</v>
      </c>
      <c r="Q48" s="149">
        <f t="shared" si="1"/>
        <v>0</v>
      </c>
      <c r="R48" s="149">
        <f t="shared" si="1"/>
        <v>0</v>
      </c>
      <c r="S48" s="149">
        <f t="shared" si="1"/>
        <v>0</v>
      </c>
      <c r="T48" s="149">
        <f t="shared" si="1"/>
        <v>0</v>
      </c>
      <c r="U48" s="149">
        <f t="shared" si="1"/>
        <v>0</v>
      </c>
      <c r="V48" s="149">
        <f t="shared" si="1"/>
        <v>0</v>
      </c>
      <c r="W48" s="149">
        <f t="shared" si="1"/>
        <v>0</v>
      </c>
      <c r="X48" s="149">
        <f t="shared" si="1"/>
        <v>0</v>
      </c>
      <c r="Y48" s="149">
        <f t="shared" si="1"/>
        <v>0</v>
      </c>
      <c r="Z48" s="149">
        <f t="shared" si="1"/>
        <v>0</v>
      </c>
      <c r="AA48" s="149">
        <f t="shared" si="1"/>
        <v>0</v>
      </c>
      <c r="AB48" s="149">
        <f t="shared" si="1"/>
        <v>0</v>
      </c>
      <c r="AC48" s="149">
        <f t="shared" si="1"/>
        <v>0</v>
      </c>
      <c r="AD48" s="149">
        <f t="shared" si="1"/>
        <v>0</v>
      </c>
      <c r="AE48" s="149">
        <f t="shared" si="1"/>
        <v>0</v>
      </c>
    </row>
    <row r="49" spans="1:35" x14ac:dyDescent="0.35">
      <c r="B49" s="112" t="s">
        <v>3499</v>
      </c>
      <c r="C49" s="112" t="s">
        <v>3475</v>
      </c>
      <c r="D49" s="112" t="s">
        <v>3504</v>
      </c>
      <c r="E49" s="112" t="s">
        <v>1852</v>
      </c>
      <c r="H49" s="116" t="str">
        <f>Settings!$B$3&amp;".mit.t2.dghg"</f>
        <v>egy.mit.t2.dghg</v>
      </c>
      <c r="L49" s="149">
        <f t="shared" ref="L49:AE49" si="2">L26-L25</f>
        <v>0</v>
      </c>
      <c r="M49" s="149">
        <f t="shared" si="2"/>
        <v>0</v>
      </c>
      <c r="N49" s="149">
        <f t="shared" si="2"/>
        <v>0</v>
      </c>
      <c r="O49" s="149">
        <f t="shared" si="2"/>
        <v>0</v>
      </c>
      <c r="P49" s="149">
        <f t="shared" si="2"/>
        <v>0</v>
      </c>
      <c r="Q49" s="149">
        <f t="shared" si="2"/>
        <v>0</v>
      </c>
      <c r="R49" s="149">
        <f t="shared" si="2"/>
        <v>0</v>
      </c>
      <c r="S49" s="149">
        <f t="shared" si="2"/>
        <v>0</v>
      </c>
      <c r="T49" s="149">
        <f t="shared" si="2"/>
        <v>0</v>
      </c>
      <c r="U49" s="149">
        <f t="shared" si="2"/>
        <v>0</v>
      </c>
      <c r="V49" s="149">
        <f t="shared" si="2"/>
        <v>0</v>
      </c>
      <c r="W49" s="149">
        <f t="shared" si="2"/>
        <v>0</v>
      </c>
      <c r="X49" s="149">
        <f t="shared" si="2"/>
        <v>0</v>
      </c>
      <c r="Y49" s="149">
        <f t="shared" si="2"/>
        <v>0</v>
      </c>
      <c r="Z49" s="149">
        <f t="shared" si="2"/>
        <v>0</v>
      </c>
      <c r="AA49" s="149">
        <f t="shared" si="2"/>
        <v>0</v>
      </c>
      <c r="AB49" s="149">
        <f t="shared" si="2"/>
        <v>0</v>
      </c>
      <c r="AC49" s="149">
        <f t="shared" si="2"/>
        <v>0</v>
      </c>
      <c r="AD49" s="149">
        <f t="shared" si="2"/>
        <v>0</v>
      </c>
      <c r="AE49" s="149">
        <f t="shared" si="2"/>
        <v>0</v>
      </c>
    </row>
    <row r="50" spans="1:35" x14ac:dyDescent="0.35">
      <c r="B50" s="112" t="s">
        <v>3499</v>
      </c>
      <c r="C50" s="112" t="s">
        <v>3475</v>
      </c>
      <c r="D50" s="112" t="s">
        <v>3505</v>
      </c>
      <c r="E50" s="112" t="s">
        <v>1852</v>
      </c>
      <c r="H50" s="116" t="str">
        <f>Settings!$B$3&amp;".mit.t2.dipr"</f>
        <v>egy.mit.t2.dipr</v>
      </c>
      <c r="I50" s="112" t="s">
        <v>3506</v>
      </c>
      <c r="L50" s="149">
        <f t="shared" ref="L50:AE50" si="3">L28-L27</f>
        <v>0</v>
      </c>
      <c r="M50" s="149">
        <f t="shared" si="3"/>
        <v>0</v>
      </c>
      <c r="N50" s="149">
        <f t="shared" si="3"/>
        <v>0</v>
      </c>
      <c r="O50" s="149">
        <f t="shared" si="3"/>
        <v>0</v>
      </c>
      <c r="P50" s="149">
        <f t="shared" si="3"/>
        <v>0</v>
      </c>
      <c r="Q50" s="149">
        <f t="shared" si="3"/>
        <v>0</v>
      </c>
      <c r="R50" s="149">
        <f t="shared" si="3"/>
        <v>0</v>
      </c>
      <c r="S50" s="149">
        <f t="shared" si="3"/>
        <v>0</v>
      </c>
      <c r="T50" s="149">
        <f t="shared" si="3"/>
        <v>0</v>
      </c>
      <c r="U50" s="149">
        <f t="shared" si="3"/>
        <v>0</v>
      </c>
      <c r="V50" s="149">
        <f t="shared" si="3"/>
        <v>0</v>
      </c>
      <c r="W50" s="149">
        <f t="shared" si="3"/>
        <v>0</v>
      </c>
      <c r="X50" s="149">
        <f t="shared" si="3"/>
        <v>0</v>
      </c>
      <c r="Y50" s="149">
        <f t="shared" si="3"/>
        <v>0</v>
      </c>
      <c r="Z50" s="149">
        <f t="shared" si="3"/>
        <v>0</v>
      </c>
      <c r="AA50" s="149">
        <f t="shared" si="3"/>
        <v>0</v>
      </c>
      <c r="AB50" s="149">
        <f t="shared" si="3"/>
        <v>0</v>
      </c>
      <c r="AC50" s="149">
        <f t="shared" si="3"/>
        <v>0</v>
      </c>
      <c r="AD50" s="149">
        <f t="shared" si="3"/>
        <v>0</v>
      </c>
      <c r="AE50" s="149">
        <f t="shared" si="3"/>
        <v>0</v>
      </c>
    </row>
    <row r="51" spans="1:35" x14ac:dyDescent="0.35">
      <c r="B51" s="112" t="s">
        <v>3499</v>
      </c>
      <c r="C51" s="112" t="s">
        <v>3475</v>
      </c>
      <c r="D51" s="112" t="s">
        <v>3507</v>
      </c>
      <c r="E51" s="112" t="s">
        <v>2068</v>
      </c>
      <c r="H51" s="116" t="str">
        <f>Settings!$B$3&amp;".mit.t2.denr"</f>
        <v>egy.mit.t2.denr</v>
      </c>
      <c r="L51" s="149">
        <f t="shared" ref="L51:AE51" si="4">L30-L29</f>
        <v>0</v>
      </c>
      <c r="M51" s="149">
        <f t="shared" si="4"/>
        <v>0</v>
      </c>
      <c r="N51" s="149">
        <f t="shared" si="4"/>
        <v>0</v>
      </c>
      <c r="O51" s="149">
        <f t="shared" si="4"/>
        <v>0</v>
      </c>
      <c r="P51" s="149">
        <f t="shared" si="4"/>
        <v>0</v>
      </c>
      <c r="Q51" s="149">
        <f t="shared" si="4"/>
        <v>0</v>
      </c>
      <c r="R51" s="149">
        <f t="shared" si="4"/>
        <v>0</v>
      </c>
      <c r="S51" s="149">
        <f t="shared" si="4"/>
        <v>0</v>
      </c>
      <c r="T51" s="149">
        <f t="shared" si="4"/>
        <v>0</v>
      </c>
      <c r="U51" s="149">
        <f t="shared" si="4"/>
        <v>0</v>
      </c>
      <c r="V51" s="149">
        <f t="shared" si="4"/>
        <v>0</v>
      </c>
      <c r="W51" s="149">
        <f t="shared" si="4"/>
        <v>0</v>
      </c>
      <c r="X51" s="149">
        <f t="shared" si="4"/>
        <v>0</v>
      </c>
      <c r="Y51" s="149">
        <f t="shared" si="4"/>
        <v>0</v>
      </c>
      <c r="Z51" s="149">
        <f t="shared" si="4"/>
        <v>0</v>
      </c>
      <c r="AA51" s="149">
        <f t="shared" si="4"/>
        <v>0</v>
      </c>
      <c r="AB51" s="149">
        <f t="shared" si="4"/>
        <v>0</v>
      </c>
      <c r="AC51" s="149">
        <f t="shared" si="4"/>
        <v>0</v>
      </c>
      <c r="AD51" s="149">
        <f t="shared" si="4"/>
        <v>0</v>
      </c>
      <c r="AE51" s="149">
        <f t="shared" si="4"/>
        <v>0</v>
      </c>
    </row>
    <row r="52" spans="1:35" x14ac:dyDescent="0.35">
      <c r="B52" s="112" t="s">
        <v>3499</v>
      </c>
      <c r="C52" s="112" t="s">
        <v>3475</v>
      </c>
      <c r="D52" s="112" t="s">
        <v>3508</v>
      </c>
      <c r="E52" s="112" t="s">
        <v>2068</v>
      </c>
      <c r="H52" s="116" t="str">
        <f>Settings!$B$3&amp;".mit.t2.dind"</f>
        <v>egy.mit.t2.dind</v>
      </c>
      <c r="L52" s="149">
        <f t="shared" ref="L52:AE52" si="5">L32-L31</f>
        <v>0</v>
      </c>
      <c r="M52" s="149">
        <f t="shared" si="5"/>
        <v>0</v>
      </c>
      <c r="N52" s="149">
        <f t="shared" si="5"/>
        <v>0</v>
      </c>
      <c r="O52" s="149">
        <f t="shared" si="5"/>
        <v>0</v>
      </c>
      <c r="P52" s="149">
        <f t="shared" si="5"/>
        <v>0</v>
      </c>
      <c r="Q52" s="149">
        <f t="shared" si="5"/>
        <v>0</v>
      </c>
      <c r="R52" s="149">
        <f t="shared" si="5"/>
        <v>0</v>
      </c>
      <c r="S52" s="149">
        <f t="shared" si="5"/>
        <v>0</v>
      </c>
      <c r="T52" s="149">
        <f t="shared" si="5"/>
        <v>0</v>
      </c>
      <c r="U52" s="149">
        <f t="shared" si="5"/>
        <v>0</v>
      </c>
      <c r="V52" s="149">
        <f t="shared" si="5"/>
        <v>0</v>
      </c>
      <c r="W52" s="149">
        <f t="shared" si="5"/>
        <v>0</v>
      </c>
      <c r="X52" s="149">
        <f t="shared" si="5"/>
        <v>0</v>
      </c>
      <c r="Y52" s="149">
        <f t="shared" si="5"/>
        <v>0</v>
      </c>
      <c r="Z52" s="149">
        <f t="shared" si="5"/>
        <v>0</v>
      </c>
      <c r="AA52" s="149">
        <f t="shared" si="5"/>
        <v>0</v>
      </c>
      <c r="AB52" s="149">
        <f t="shared" si="5"/>
        <v>0</v>
      </c>
      <c r="AC52" s="149">
        <f t="shared" si="5"/>
        <v>0</v>
      </c>
      <c r="AD52" s="149">
        <f t="shared" si="5"/>
        <v>0</v>
      </c>
      <c r="AE52" s="149">
        <f t="shared" si="5"/>
        <v>0</v>
      </c>
    </row>
    <row r="53" spans="1:35" x14ac:dyDescent="0.35">
      <c r="B53" s="112" t="s">
        <v>3499</v>
      </c>
      <c r="C53" s="112" t="s">
        <v>3475</v>
      </c>
      <c r="D53" s="112" t="s">
        <v>3509</v>
      </c>
      <c r="E53" s="112" t="s">
        <v>3408</v>
      </c>
      <c r="H53" s="116" t="str">
        <f>Settings!$B$3&amp;".mit.t2.drev"</f>
        <v>egy.mit.t2.drev</v>
      </c>
      <c r="L53" s="149">
        <f t="shared" ref="L53:AE53" si="6">L36-L35</f>
        <v>0</v>
      </c>
      <c r="M53" s="149">
        <f t="shared" si="6"/>
        <v>0</v>
      </c>
      <c r="N53" s="149">
        <f t="shared" si="6"/>
        <v>0</v>
      </c>
      <c r="O53" s="149">
        <f t="shared" si="6"/>
        <v>0</v>
      </c>
      <c r="P53" s="149">
        <f t="shared" si="6"/>
        <v>0</v>
      </c>
      <c r="Q53" s="149">
        <f t="shared" si="6"/>
        <v>0</v>
      </c>
      <c r="R53" s="149">
        <f t="shared" si="6"/>
        <v>0</v>
      </c>
      <c r="S53" s="149">
        <f t="shared" si="6"/>
        <v>0</v>
      </c>
      <c r="T53" s="149">
        <f t="shared" si="6"/>
        <v>0</v>
      </c>
      <c r="U53" s="149">
        <f t="shared" si="6"/>
        <v>0</v>
      </c>
      <c r="V53" s="149">
        <f t="shared" si="6"/>
        <v>0</v>
      </c>
      <c r="W53" s="149">
        <f t="shared" si="6"/>
        <v>0</v>
      </c>
      <c r="X53" s="149">
        <f t="shared" si="6"/>
        <v>0</v>
      </c>
      <c r="Y53" s="149">
        <f t="shared" si="6"/>
        <v>0</v>
      </c>
      <c r="Z53" s="149">
        <f t="shared" si="6"/>
        <v>0</v>
      </c>
      <c r="AA53" s="149">
        <f t="shared" si="6"/>
        <v>0</v>
      </c>
      <c r="AB53" s="149">
        <f t="shared" si="6"/>
        <v>0</v>
      </c>
      <c r="AC53" s="149">
        <f t="shared" si="6"/>
        <v>0</v>
      </c>
      <c r="AD53" s="149">
        <f t="shared" si="6"/>
        <v>0</v>
      </c>
      <c r="AE53" s="149">
        <f t="shared" si="6"/>
        <v>0</v>
      </c>
    </row>
    <row r="54" spans="1:35" x14ac:dyDescent="0.35">
      <c r="B54" s="112" t="s">
        <v>3657</v>
      </c>
      <c r="C54" s="112" t="s">
        <v>3475</v>
      </c>
      <c r="D54" s="112" t="s">
        <v>3658</v>
      </c>
      <c r="E54" s="112" t="s">
        <v>79</v>
      </c>
      <c r="F54" s="112" t="s">
        <v>3659</v>
      </c>
      <c r="H54" s="116" t="str">
        <f>Settings!$B$3&amp;".mit.t2.kap"</f>
        <v>egy.mit.t2.kap</v>
      </c>
      <c r="L54" s="149">
        <f t="shared" ref="L54:AE54" si="7">IF(OR($D$15="-",$D$16="All sectors"),1,IF(OR(L33=0,L31=0),1,MIN(1,L34/L33*L29/L31)))</f>
        <v>1</v>
      </c>
      <c r="M54" s="149">
        <f t="shared" si="7"/>
        <v>1</v>
      </c>
      <c r="N54" s="149">
        <f t="shared" si="7"/>
        <v>1</v>
      </c>
      <c r="O54" s="149">
        <f t="shared" si="7"/>
        <v>1</v>
      </c>
      <c r="P54" s="149">
        <f t="shared" si="7"/>
        <v>1</v>
      </c>
      <c r="Q54" s="149">
        <f t="shared" si="7"/>
        <v>1</v>
      </c>
      <c r="R54" s="149">
        <f t="shared" si="7"/>
        <v>1</v>
      </c>
      <c r="S54" s="149">
        <f t="shared" si="7"/>
        <v>1</v>
      </c>
      <c r="T54" s="149">
        <f t="shared" si="7"/>
        <v>1</v>
      </c>
      <c r="U54" s="149">
        <f t="shared" si="7"/>
        <v>1</v>
      </c>
      <c r="V54" s="149">
        <f t="shared" si="7"/>
        <v>1</v>
      </c>
      <c r="W54" s="149">
        <f t="shared" si="7"/>
        <v>1</v>
      </c>
      <c r="X54" s="149">
        <f t="shared" si="7"/>
        <v>1</v>
      </c>
      <c r="Y54" s="149">
        <f t="shared" si="7"/>
        <v>1</v>
      </c>
      <c r="Z54" s="149">
        <f t="shared" si="7"/>
        <v>1</v>
      </c>
      <c r="AA54" s="149">
        <f t="shared" si="7"/>
        <v>1</v>
      </c>
      <c r="AB54" s="149">
        <f t="shared" si="7"/>
        <v>1</v>
      </c>
      <c r="AC54" s="149">
        <f t="shared" si="7"/>
        <v>1</v>
      </c>
      <c r="AD54" s="149">
        <f t="shared" si="7"/>
        <v>1</v>
      </c>
      <c r="AE54" s="149">
        <f t="shared" si="7"/>
        <v>1</v>
      </c>
    </row>
    <row r="56" spans="1:35" customFormat="1" ht="18" customHeight="1" x14ac:dyDescent="0.45">
      <c r="A56" s="8"/>
      <c r="B56" s="9" t="s">
        <v>3510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8" spans="1:35" customFormat="1" ht="14.25" x14ac:dyDescent="0.45">
      <c r="A58" s="11"/>
      <c r="B58" s="6" t="s">
        <v>1488</v>
      </c>
      <c r="C58" s="7" t="s">
        <v>33</v>
      </c>
      <c r="D58" s="6" t="s">
        <v>34</v>
      </c>
      <c r="E58" s="7" t="s">
        <v>35</v>
      </c>
      <c r="F58" s="7" t="s">
        <v>36</v>
      </c>
      <c r="G58" s="7" t="s">
        <v>37</v>
      </c>
      <c r="H58" s="12" t="s">
        <v>38</v>
      </c>
      <c r="I58" s="6" t="s">
        <v>39</v>
      </c>
      <c r="J58" s="48"/>
      <c r="K58" s="6">
        <v>2021</v>
      </c>
      <c r="L58" s="46">
        <v>2022</v>
      </c>
      <c r="M58" s="6">
        <v>2023</v>
      </c>
      <c r="N58" s="6">
        <v>2024</v>
      </c>
      <c r="O58" s="6">
        <v>2025</v>
      </c>
      <c r="P58" s="6">
        <v>2026</v>
      </c>
      <c r="Q58" s="6">
        <v>2027</v>
      </c>
      <c r="R58" s="6">
        <v>2028</v>
      </c>
      <c r="S58" s="6">
        <v>2029</v>
      </c>
      <c r="T58" s="6">
        <v>2030</v>
      </c>
      <c r="U58" s="6">
        <v>2031</v>
      </c>
      <c r="V58" s="6">
        <v>2032</v>
      </c>
      <c r="W58" s="6">
        <v>2033</v>
      </c>
      <c r="X58" s="6">
        <v>2034</v>
      </c>
      <c r="Y58" s="6">
        <v>2035</v>
      </c>
      <c r="Z58" s="6">
        <v>2036</v>
      </c>
      <c r="AA58" s="6">
        <v>2037</v>
      </c>
      <c r="AB58" s="6">
        <v>2038</v>
      </c>
      <c r="AC58" s="6">
        <v>2039</v>
      </c>
      <c r="AD58" s="6">
        <v>2040</v>
      </c>
      <c r="AE58" s="6">
        <v>2041</v>
      </c>
      <c r="AF58" s="6">
        <v>2042</v>
      </c>
      <c r="AG58" s="6">
        <v>2043</v>
      </c>
      <c r="AH58" s="6">
        <v>2044</v>
      </c>
      <c r="AI58" s="6">
        <v>2045</v>
      </c>
    </row>
    <row r="59" spans="1:35" x14ac:dyDescent="0.35">
      <c r="B59" s="112" t="s">
        <v>3150</v>
      </c>
      <c r="C59" s="112" t="s">
        <v>4</v>
      </c>
      <c r="D59" s="112" t="s">
        <v>3660</v>
      </c>
      <c r="E59" s="112" t="s">
        <v>2068</v>
      </c>
      <c r="F59" s="112" t="s">
        <v>3662</v>
      </c>
      <c r="H59" s="116" t="str">
        <f>Settings!$B$3&amp;".mit.t2.ek1"</f>
        <v>egy.mit.t2.ek1</v>
      </c>
      <c r="L59" s="118">
        <f>MAX(IPPU_Industry!L51,IPPU_Industry!L52)+MAX(IPPU_Industry!L56,IPPU_Industry!L57)+MAX(IPPU_Industry!L61,IPPU_Industry!L62)+MAX(IPPU_Industry!L66,IPPU_Industry!L67)</f>
        <v>20.83918407271338</v>
      </c>
      <c r="M59" s="118">
        <f>MAX(IPPU_Industry!M51,IPPU_Industry!M52)+MAX(IPPU_Industry!M56,IPPU_Industry!M57)+MAX(IPPU_Industry!M61,IPPU_Industry!M62)+MAX(IPPU_Industry!M66,IPPU_Industry!M67)</f>
        <v>20.67721507612675</v>
      </c>
      <c r="N59" s="118">
        <f>MAX(IPPU_Industry!N51,IPPU_Industry!N52)+MAX(IPPU_Industry!N56,IPPU_Industry!N57)+MAX(IPPU_Industry!N61,IPPU_Industry!N62)+MAX(IPPU_Industry!N66,IPPU_Industry!N67)</f>
        <v>21.697764570821519</v>
      </c>
      <c r="O59" s="118">
        <f>MAX(IPPU_Industry!O51,IPPU_Industry!O52)+MAX(IPPU_Industry!O56,IPPU_Industry!O57)+MAX(IPPU_Industry!O61,IPPU_Industry!O62)+MAX(IPPU_Industry!O66,IPPU_Industry!O67)</f>
        <v>22.469646316251197</v>
      </c>
      <c r="P59" s="118">
        <f>MAX(IPPU_Industry!P51,IPPU_Industry!P52)+MAX(IPPU_Industry!P56,IPPU_Industry!P57)+MAX(IPPU_Industry!P61,IPPU_Industry!P62)+MAX(IPPU_Industry!P66,IPPU_Industry!P67)</f>
        <v>23.158920073315894</v>
      </c>
      <c r="Q59" s="118">
        <f>MAX(IPPU_Industry!Q51,IPPU_Industry!Q52)+MAX(IPPU_Industry!Q56,IPPU_Industry!Q57)+MAX(IPPU_Industry!Q61,IPPU_Industry!Q62)+MAX(IPPU_Industry!Q66,IPPU_Industry!Q67)</f>
        <v>23.923701807803141</v>
      </c>
      <c r="R59" s="118">
        <f>MAX(IPPU_Industry!R51,IPPU_Industry!R52)+MAX(IPPU_Industry!R56,IPPU_Industry!R57)+MAX(IPPU_Industry!R61,IPPU_Industry!R62)+MAX(IPPU_Industry!R66,IPPU_Industry!R67)</f>
        <v>24.755087383944943</v>
      </c>
      <c r="S59" s="118">
        <f>MAX(IPPU_Industry!S51,IPPU_Industry!S52)+MAX(IPPU_Industry!S56,IPPU_Industry!S57)+MAX(IPPU_Industry!S61,IPPU_Industry!S62)+MAX(IPPU_Industry!S66,IPPU_Industry!S67)</f>
        <v>25.60028920327699</v>
      </c>
      <c r="T59" s="118">
        <f>MAX(IPPU_Industry!T51,IPPU_Industry!T52)+MAX(IPPU_Industry!T56,IPPU_Industry!T57)+MAX(IPPU_Industry!T61,IPPU_Industry!T62)+MAX(IPPU_Industry!T66,IPPU_Industry!T67)</f>
        <v>26.455270599905141</v>
      </c>
      <c r="U59" s="118">
        <f>MAX(IPPU_Industry!U51,IPPU_Industry!U52)+MAX(IPPU_Industry!U56,IPPU_Industry!U57)+MAX(IPPU_Industry!U61,IPPU_Industry!U62)+MAX(IPPU_Industry!U66,IPPU_Industry!U67)</f>
        <v>27.335317560789679</v>
      </c>
      <c r="V59" s="118">
        <f>MAX(IPPU_Industry!V51,IPPU_Industry!V52)+MAX(IPPU_Industry!V56,IPPU_Industry!V57)+MAX(IPPU_Industry!V61,IPPU_Industry!V62)+MAX(IPPU_Industry!V66,IPPU_Industry!V67)</f>
        <v>28.237220842576157</v>
      </c>
      <c r="W59" s="118">
        <f>MAX(IPPU_Industry!W51,IPPU_Industry!W52)+MAX(IPPU_Industry!W56,IPPU_Industry!W57)+MAX(IPPU_Industry!W61,IPPU_Industry!W62)+MAX(IPPU_Industry!W66,IPPU_Industry!W67)</f>
        <v>29.166255480282349</v>
      </c>
      <c r="X59" s="118">
        <f>MAX(IPPU_Industry!X51,IPPU_Industry!X52)+MAX(IPPU_Industry!X56,IPPU_Industry!X57)+MAX(IPPU_Industry!X61,IPPU_Industry!X62)+MAX(IPPU_Industry!X66,IPPU_Industry!X67)</f>
        <v>30.123149765366598</v>
      </c>
      <c r="Y59" s="118">
        <f>MAX(IPPU_Industry!Y51,IPPU_Industry!Y52)+MAX(IPPU_Industry!Y56,IPPU_Industry!Y57)+MAX(IPPU_Industry!Y61,IPPU_Industry!Y62)+MAX(IPPU_Industry!Y66,IPPU_Industry!Y67)</f>
        <v>31.108652858750965</v>
      </c>
      <c r="Z59" s="118">
        <f>MAX(IPPU_Industry!Z51,IPPU_Industry!Z52)+MAX(IPPU_Industry!Z56,IPPU_Industry!Z57)+MAX(IPPU_Industry!Z61,IPPU_Industry!Z62)+MAX(IPPU_Industry!Z66,IPPU_Industry!Z67)</f>
        <v>32.123535534910978</v>
      </c>
      <c r="AA59" s="118">
        <f>MAX(IPPU_Industry!AA51,IPPU_Industry!AA52)+MAX(IPPU_Industry!AA56,IPPU_Industry!AA57)+MAX(IPPU_Industry!AA61,IPPU_Industry!AA62)+MAX(IPPU_Industry!AA66,IPPU_Industry!AA67)</f>
        <v>33.168590944993802</v>
      </c>
      <c r="AB59" s="118">
        <f>MAX(IPPU_Industry!AB51,IPPU_Industry!AB52)+MAX(IPPU_Industry!AB56,IPPU_Industry!AB57)+MAX(IPPU_Industry!AB61,IPPU_Industry!AB62)+MAX(IPPU_Industry!AB66,IPPU_Industry!AB67)</f>
        <v>34.244635399359936</v>
      </c>
      <c r="AC59" s="118">
        <f>MAX(IPPU_Industry!AC51,IPPU_Industry!AC52)+MAX(IPPU_Industry!AC56,IPPU_Industry!AC57)+MAX(IPPU_Industry!AC61,IPPU_Industry!AC62)+MAX(IPPU_Industry!AC66,IPPU_Industry!AC67)</f>
        <v>35.352509169996772</v>
      </c>
      <c r="AD59" s="118">
        <f>MAX(IPPU_Industry!AD51,IPPU_Industry!AD52)+MAX(IPPU_Industry!AD56,IPPU_Industry!AD57)+MAX(IPPU_Industry!AD61,IPPU_Industry!AD62)+MAX(IPPU_Industry!AD66,IPPU_Industry!AD67)</f>
        <v>36.493077313305449</v>
      </c>
      <c r="AE59" s="118">
        <f>MAX(IPPU_Industry!AE51,IPPU_Industry!AE52)+MAX(IPPU_Industry!AE56,IPPU_Industry!AE57)+MAX(IPPU_Industry!AE61,IPPU_Industry!AE62)+MAX(IPPU_Industry!AE66,IPPU_Industry!AE67)</f>
        <v>37.66723051381657</v>
      </c>
    </row>
    <row r="60" spans="1:35" x14ac:dyDescent="0.35">
      <c r="B60" s="112" t="s">
        <v>3150</v>
      </c>
      <c r="C60" s="112" t="s">
        <v>4</v>
      </c>
      <c r="D60" s="112" t="s">
        <v>3661</v>
      </c>
      <c r="E60" s="112" t="s">
        <v>2068</v>
      </c>
      <c r="F60" s="112" t="s">
        <v>3663</v>
      </c>
      <c r="H60" s="116" t="str">
        <f>Settings!$B$3&amp;".mit.t2.ek2"</f>
        <v>egy.mit.t2.ek2</v>
      </c>
      <c r="L60" s="118">
        <f>IF(IPPU_Industry!L52&gt;=IPPU_Industry!L51,IPPU_Industry!L76,IF(IPPU_Industry!L52&gt;0,IPPU_Industry!L51*IPPU_Industry!L76/IPPU_Industry!L52,IPPU_Industry!L75))+IF(IPPU_Industry!L57&gt;=IPPU_Industry!L56,IPPU_Industry!L81,IF(IPPU_Industry!L57&gt;0,IPPU_Industry!L56*IPPU_Industry!L81/IPPU_Industry!L57,IPPU_Industry!L80))+IF(IPPU_Industry!L62&gt;=IPPU_Industry!L61,IPPU_Industry!L86,IF(IPPU_Industry!L62&gt;0,IPPU_Industry!L61*IPPU_Industry!L86/IPPU_Industry!L62,IPPU_Industry!L85))+IF(IPPU_Industry!L67&gt;=IPPU_Industry!L66,IPPU_Industry!L91,IF(IPPU_Industry!L67&gt;0,IPPU_Industry!L66*IPPU_Industry!L91/IPPU_Industry!L67,IPPU_Industry!L90))</f>
        <v>20.83918407271338</v>
      </c>
      <c r="M60" s="118">
        <f>IF(IPPU_Industry!M52&gt;=IPPU_Industry!M51,IPPU_Industry!M76,IF(IPPU_Industry!M52&gt;0,IPPU_Industry!M51*IPPU_Industry!M76/IPPU_Industry!M52,IPPU_Industry!M75))+IF(IPPU_Industry!M57&gt;=IPPU_Industry!M56,IPPU_Industry!M81,IF(IPPU_Industry!M57&gt;0,IPPU_Industry!M56*IPPU_Industry!M81/IPPU_Industry!M57,IPPU_Industry!M80))+IF(IPPU_Industry!M62&gt;=IPPU_Industry!M61,IPPU_Industry!M86,IF(IPPU_Industry!M62&gt;0,IPPU_Industry!M61*IPPU_Industry!M86/IPPU_Industry!M62,IPPU_Industry!M85))+IF(IPPU_Industry!M67&gt;=IPPU_Industry!M66,IPPU_Industry!M91,IF(IPPU_Industry!M67&gt;0,IPPU_Industry!M66*IPPU_Industry!M91/IPPU_Industry!M67,IPPU_Industry!M90))</f>
        <v>20.67721507612675</v>
      </c>
      <c r="N60" s="118">
        <f>IF(IPPU_Industry!N52&gt;=IPPU_Industry!N51,IPPU_Industry!N76,IF(IPPU_Industry!N52&gt;0,IPPU_Industry!N51*IPPU_Industry!N76/IPPU_Industry!N52,IPPU_Industry!N75))+IF(IPPU_Industry!N57&gt;=IPPU_Industry!N56,IPPU_Industry!N81,IF(IPPU_Industry!N57&gt;0,IPPU_Industry!N56*IPPU_Industry!N81/IPPU_Industry!N57,IPPU_Industry!N80))+IF(IPPU_Industry!N62&gt;=IPPU_Industry!N61,IPPU_Industry!N86,IF(IPPU_Industry!N62&gt;0,IPPU_Industry!N61*IPPU_Industry!N86/IPPU_Industry!N62,IPPU_Industry!N85))+IF(IPPU_Industry!N67&gt;=IPPU_Industry!N66,IPPU_Industry!N91,IF(IPPU_Industry!N67&gt;0,IPPU_Industry!N66*IPPU_Industry!N91/IPPU_Industry!N67,IPPU_Industry!N90))</f>
        <v>21.697764570821516</v>
      </c>
      <c r="O60" s="118">
        <f>IF(IPPU_Industry!O52&gt;=IPPU_Industry!O51,IPPU_Industry!O76,IF(IPPU_Industry!O52&gt;0,IPPU_Industry!O51*IPPU_Industry!O76/IPPU_Industry!O52,IPPU_Industry!O75))+IF(IPPU_Industry!O57&gt;=IPPU_Industry!O56,IPPU_Industry!O81,IF(IPPU_Industry!O57&gt;0,IPPU_Industry!O56*IPPU_Industry!O81/IPPU_Industry!O57,IPPU_Industry!O80))+IF(IPPU_Industry!O62&gt;=IPPU_Industry!O61,IPPU_Industry!O86,IF(IPPU_Industry!O62&gt;0,IPPU_Industry!O61*IPPU_Industry!O86/IPPU_Industry!O62,IPPU_Industry!O85))+IF(IPPU_Industry!O67&gt;=IPPU_Industry!O66,IPPU_Industry!O91,IF(IPPU_Industry!O67&gt;0,IPPU_Industry!O66*IPPU_Industry!O91/IPPU_Industry!O67,IPPU_Industry!O90))</f>
        <v>22.469646316251197</v>
      </c>
      <c r="P60" s="118">
        <f>IF(IPPU_Industry!P52&gt;=IPPU_Industry!P51,IPPU_Industry!P76,IF(IPPU_Industry!P52&gt;0,IPPU_Industry!P51*IPPU_Industry!P76/IPPU_Industry!P52,IPPU_Industry!P75))+IF(IPPU_Industry!P57&gt;=IPPU_Industry!P56,IPPU_Industry!P81,IF(IPPU_Industry!P57&gt;0,IPPU_Industry!P56*IPPU_Industry!P81/IPPU_Industry!P57,IPPU_Industry!P80))+IF(IPPU_Industry!P62&gt;=IPPU_Industry!P61,IPPU_Industry!P86,IF(IPPU_Industry!P62&gt;0,IPPU_Industry!P61*IPPU_Industry!P86/IPPU_Industry!P62,IPPU_Industry!P85))+IF(IPPU_Industry!P67&gt;=IPPU_Industry!P66,IPPU_Industry!P91,IF(IPPU_Industry!P67&gt;0,IPPU_Industry!P66*IPPU_Industry!P91/IPPU_Industry!P67,IPPU_Industry!P90))</f>
        <v>23.158920073315894</v>
      </c>
      <c r="Q60" s="118">
        <f>IF(IPPU_Industry!Q52&gt;=IPPU_Industry!Q51,IPPU_Industry!Q76,IF(IPPU_Industry!Q52&gt;0,IPPU_Industry!Q51*IPPU_Industry!Q76/IPPU_Industry!Q52,IPPU_Industry!Q75))+IF(IPPU_Industry!Q57&gt;=IPPU_Industry!Q56,IPPU_Industry!Q81,IF(IPPU_Industry!Q57&gt;0,IPPU_Industry!Q56*IPPU_Industry!Q81/IPPU_Industry!Q57,IPPU_Industry!Q80))+IF(IPPU_Industry!Q62&gt;=IPPU_Industry!Q61,IPPU_Industry!Q86,IF(IPPU_Industry!Q62&gt;0,IPPU_Industry!Q61*IPPU_Industry!Q86/IPPU_Industry!Q62,IPPU_Industry!Q85))+IF(IPPU_Industry!Q67&gt;=IPPU_Industry!Q66,IPPU_Industry!Q91,IF(IPPU_Industry!Q67&gt;0,IPPU_Industry!Q66*IPPU_Industry!Q91/IPPU_Industry!Q67,IPPU_Industry!Q90))</f>
        <v>22.120219434377674</v>
      </c>
      <c r="R60" s="118">
        <f>IF(IPPU_Industry!R52&gt;=IPPU_Industry!R51,IPPU_Industry!R76,IF(IPPU_Industry!R52&gt;0,IPPU_Industry!R51*IPPU_Industry!R76/IPPU_Industry!R52,IPPU_Industry!R75))+IF(IPPU_Industry!R57&gt;=IPPU_Industry!R56,IPPU_Industry!R81,IF(IPPU_Industry!R57&gt;0,IPPU_Industry!R56*IPPU_Industry!R81/IPPU_Industry!R57,IPPU_Industry!R80))+IF(IPPU_Industry!R62&gt;=IPPU_Industry!R61,IPPU_Industry!R86,IF(IPPU_Industry!R62&gt;0,IPPU_Industry!R61*IPPU_Industry!R86/IPPU_Industry!R62,IPPU_Industry!R85))+IF(IPPU_Industry!R67&gt;=IPPU_Industry!R66,IPPU_Industry!R91,IF(IPPU_Industry!R67&gt;0,IPPU_Industry!R66*IPPU_Industry!R91/IPPU_Industry!R67,IPPU_Industry!R90))</f>
        <v>21.351259112401461</v>
      </c>
      <c r="S60" s="118">
        <f>IF(IPPU_Industry!S52&gt;=IPPU_Industry!S51,IPPU_Industry!S76,IF(IPPU_Industry!S52&gt;0,IPPU_Industry!S51*IPPU_Industry!S76/IPPU_Industry!S52,IPPU_Industry!S75))+IF(IPPU_Industry!S57&gt;=IPPU_Industry!S56,IPPU_Industry!S81,IF(IPPU_Industry!S57&gt;0,IPPU_Industry!S56*IPPU_Industry!S81/IPPU_Industry!S57,IPPU_Industry!S80))+IF(IPPU_Industry!S62&gt;=IPPU_Industry!S61,IPPU_Industry!S86,IF(IPPU_Industry!S62&gt;0,IPPU_Industry!S61*IPPU_Industry!S86/IPPU_Industry!S62,IPPU_Industry!S85))+IF(IPPU_Industry!S67&gt;=IPPU_Industry!S66,IPPU_Industry!S91,IF(IPPU_Industry!S67&gt;0,IPPU_Industry!S66*IPPU_Industry!S91/IPPU_Industry!S67,IPPU_Industry!S90))</f>
        <v>20.734597666021511</v>
      </c>
      <c r="T60" s="118">
        <f>IF(IPPU_Industry!T52&gt;=IPPU_Industry!T51,IPPU_Industry!T76,IF(IPPU_Industry!T52&gt;0,IPPU_Industry!T51*IPPU_Industry!T76/IPPU_Industry!T52,IPPU_Industry!T75))+IF(IPPU_Industry!T57&gt;=IPPU_Industry!T56,IPPU_Industry!T81,IF(IPPU_Industry!T57&gt;0,IPPU_Industry!T56*IPPU_Industry!T81/IPPU_Industry!T57,IPPU_Industry!T80))+IF(IPPU_Industry!T62&gt;=IPPU_Industry!T61,IPPU_Industry!T86,IF(IPPU_Industry!T62&gt;0,IPPU_Industry!T61*IPPU_Industry!T86/IPPU_Industry!T62,IPPU_Industry!T85))+IF(IPPU_Industry!T67&gt;=IPPU_Industry!T66,IPPU_Industry!T91,IF(IPPU_Industry!T67&gt;0,IPPU_Industry!T66*IPPU_Industry!T91/IPPU_Industry!T67,IPPU_Industry!T90))</f>
        <v>20.232722739642512</v>
      </c>
      <c r="U60" s="118">
        <f>IF(IPPU_Industry!U52&gt;=IPPU_Industry!U51,IPPU_Industry!U76,IF(IPPU_Industry!U52&gt;0,IPPU_Industry!U51*IPPU_Industry!U76/IPPU_Industry!U52,IPPU_Industry!U75))+IF(IPPU_Industry!U57&gt;=IPPU_Industry!U56,IPPU_Industry!U81,IF(IPPU_Industry!U57&gt;0,IPPU_Industry!U56*IPPU_Industry!U81/IPPU_Industry!U57,IPPU_Industry!U80))+IF(IPPU_Industry!U62&gt;=IPPU_Industry!U61,IPPU_Industry!U86,IF(IPPU_Industry!U62&gt;0,IPPU_Industry!U61*IPPU_Industry!U86/IPPU_Industry!U62,IPPU_Industry!U85))+IF(IPPU_Industry!U67&gt;=IPPU_Industry!U66,IPPU_Industry!U91,IF(IPPU_Industry!U67&gt;0,IPPU_Industry!U66*IPPU_Industry!U91/IPPU_Industry!U67,IPPU_Industry!U90))</f>
        <v>19.828690816411466</v>
      </c>
      <c r="V60" s="118">
        <f>IF(IPPU_Industry!V52&gt;=IPPU_Industry!V51,IPPU_Industry!V76,IF(IPPU_Industry!V52&gt;0,IPPU_Industry!V51*IPPU_Industry!V76/IPPU_Industry!V52,IPPU_Industry!V75))+IF(IPPU_Industry!V57&gt;=IPPU_Industry!V56,IPPU_Industry!V81,IF(IPPU_Industry!V57&gt;0,IPPU_Industry!V56*IPPU_Industry!V81/IPPU_Industry!V57,IPPU_Industry!V80))+IF(IPPU_Industry!V62&gt;=IPPU_Industry!V61,IPPU_Industry!V86,IF(IPPU_Industry!V62&gt;0,IPPU_Industry!V61*IPPU_Industry!V86/IPPU_Industry!V62,IPPU_Industry!V85))+IF(IPPU_Industry!V67&gt;=IPPU_Industry!V66,IPPU_Industry!V91,IF(IPPU_Industry!V67&gt;0,IPPU_Industry!V66*IPPU_Industry!V91/IPPU_Industry!V67,IPPU_Industry!V90))</f>
        <v>19.521502166535168</v>
      </c>
      <c r="W60" s="118">
        <f>IF(IPPU_Industry!W52&gt;=IPPU_Industry!W51,IPPU_Industry!W76,IF(IPPU_Industry!W52&gt;0,IPPU_Industry!W51*IPPU_Industry!W76/IPPU_Industry!W52,IPPU_Industry!W75))+IF(IPPU_Industry!W57&gt;=IPPU_Industry!W56,IPPU_Industry!W81,IF(IPPU_Industry!W57&gt;0,IPPU_Industry!W56*IPPU_Industry!W81/IPPU_Industry!W57,IPPU_Industry!W80))+IF(IPPU_Industry!W62&gt;=IPPU_Industry!W61,IPPU_Industry!W86,IF(IPPU_Industry!W62&gt;0,IPPU_Industry!W61*IPPU_Industry!W86/IPPU_Industry!W62,IPPU_Industry!W85))+IF(IPPU_Industry!W67&gt;=IPPU_Industry!W66,IPPU_Industry!W91,IF(IPPU_Industry!W67&gt;0,IPPU_Industry!W66*IPPU_Industry!W91/IPPU_Industry!W67,IPPU_Industry!W90))</f>
        <v>19.290426971127125</v>
      </c>
      <c r="X60" s="118">
        <f>IF(IPPU_Industry!X52&gt;=IPPU_Industry!X51,IPPU_Industry!X76,IF(IPPU_Industry!X52&gt;0,IPPU_Industry!X51*IPPU_Industry!X76/IPPU_Industry!X52,IPPU_Industry!X75))+IF(IPPU_Industry!X57&gt;=IPPU_Industry!X56,IPPU_Industry!X81,IF(IPPU_Industry!X57&gt;0,IPPU_Industry!X56*IPPU_Industry!X81/IPPU_Industry!X57,IPPU_Industry!X80))+IF(IPPU_Industry!X62&gt;=IPPU_Industry!X61,IPPU_Industry!X86,IF(IPPU_Industry!X62&gt;0,IPPU_Industry!X61*IPPU_Industry!X86/IPPU_Industry!X62,IPPU_Industry!X85))+IF(IPPU_Industry!X67&gt;=IPPU_Industry!X66,IPPU_Industry!X91,IF(IPPU_Industry!X67&gt;0,IPPU_Industry!X66*IPPU_Industry!X91/IPPU_Industry!X67,IPPU_Industry!X90))</f>
        <v>19.126817382553003</v>
      </c>
      <c r="Y60" s="118">
        <f>IF(IPPU_Industry!Y52&gt;=IPPU_Industry!Y51,IPPU_Industry!Y76,IF(IPPU_Industry!Y52&gt;0,IPPU_Industry!Y51*IPPU_Industry!Y76/IPPU_Industry!Y52,IPPU_Industry!Y75))+IF(IPPU_Industry!Y57&gt;=IPPU_Industry!Y56,IPPU_Industry!Y81,IF(IPPU_Industry!Y57&gt;0,IPPU_Industry!Y56*IPPU_Industry!Y81/IPPU_Industry!Y57,IPPU_Industry!Y80))+IF(IPPU_Industry!Y62&gt;=IPPU_Industry!Y61,IPPU_Industry!Y86,IF(IPPU_Industry!Y62&gt;0,IPPU_Industry!Y61*IPPU_Industry!Y86/IPPU_Industry!Y62,IPPU_Industry!Y85))+IF(IPPU_Industry!Y67&gt;=IPPU_Industry!Y66,IPPU_Industry!Y91,IF(IPPU_Industry!Y67&gt;0,IPPU_Industry!Y66*IPPU_Industry!Y91/IPPU_Industry!Y67,IPPU_Industry!Y90))</f>
        <v>19.025492472860655</v>
      </c>
      <c r="Z60" s="118">
        <f>IF(IPPU_Industry!Z52&gt;=IPPU_Industry!Z51,IPPU_Industry!Z76,IF(IPPU_Industry!Z52&gt;0,IPPU_Industry!Z51*IPPU_Industry!Z76/IPPU_Industry!Z52,IPPU_Industry!Z75))+IF(IPPU_Industry!Z57&gt;=IPPU_Industry!Z56,IPPU_Industry!Z81,IF(IPPU_Industry!Z57&gt;0,IPPU_Industry!Z56*IPPU_Industry!Z81/IPPU_Industry!Z57,IPPU_Industry!Z80))+IF(IPPU_Industry!Z62&gt;=IPPU_Industry!Z61,IPPU_Industry!Z86,IF(IPPU_Industry!Z62&gt;0,IPPU_Industry!Z61*IPPU_Industry!Z86/IPPU_Industry!Z62,IPPU_Industry!Z85))+IF(IPPU_Industry!Z67&gt;=IPPU_Industry!Z66,IPPU_Industry!Z91,IF(IPPU_Industry!Z67&gt;0,IPPU_Industry!Z66*IPPU_Industry!Z91/IPPU_Industry!Z67,IPPU_Industry!Z90))</f>
        <v>18.985204113251179</v>
      </c>
      <c r="AA60" s="118">
        <f>IF(IPPU_Industry!AA52&gt;=IPPU_Industry!AA51,IPPU_Industry!AA76,IF(IPPU_Industry!AA52&gt;0,IPPU_Industry!AA51*IPPU_Industry!AA76/IPPU_Industry!AA52,IPPU_Industry!AA75))+IF(IPPU_Industry!AA57&gt;=IPPU_Industry!AA56,IPPU_Industry!AA81,IF(IPPU_Industry!AA57&gt;0,IPPU_Industry!AA56*IPPU_Industry!AA81/IPPU_Industry!AA57,IPPU_Industry!AA80))+IF(IPPU_Industry!AA62&gt;=IPPU_Industry!AA61,IPPU_Industry!AA86,IF(IPPU_Industry!AA62&gt;0,IPPU_Industry!AA61*IPPU_Industry!AA86/IPPU_Industry!AA62,IPPU_Industry!AA85))+IF(IPPU_Industry!AA67&gt;=IPPU_Industry!AA66,IPPU_Industry!AA91,IF(IPPU_Industry!AA67&gt;0,IPPU_Industry!AA66*IPPU_Industry!AA91/IPPU_Industry!AA67,IPPU_Industry!AA90))</f>
        <v>19.002891243304216</v>
      </c>
      <c r="AB60" s="118">
        <f>IF(IPPU_Industry!AB52&gt;=IPPU_Industry!AB51,IPPU_Industry!AB76,IF(IPPU_Industry!AB52&gt;0,IPPU_Industry!AB51*IPPU_Industry!AB76/IPPU_Industry!AB52,IPPU_Industry!AB75))+IF(IPPU_Industry!AB57&gt;=IPPU_Industry!AB56,IPPU_Industry!AB81,IF(IPPU_Industry!AB57&gt;0,IPPU_Industry!AB56*IPPU_Industry!AB81/IPPU_Industry!AB57,IPPU_Industry!AB80))+IF(IPPU_Industry!AB62&gt;=IPPU_Industry!AB61,IPPU_Industry!AB86,IF(IPPU_Industry!AB62&gt;0,IPPU_Industry!AB61*IPPU_Industry!AB86/IPPU_Industry!AB62,IPPU_Industry!AB85))+IF(IPPU_Industry!AB67&gt;=IPPU_Industry!AB66,IPPU_Industry!AB91,IF(IPPU_Industry!AB67&gt;0,IPPU_Industry!AB66*IPPU_Industry!AB91/IPPU_Industry!AB67,IPPU_Industry!AB90))</f>
        <v>19.075471626999647</v>
      </c>
      <c r="AC60" s="118">
        <f>IF(IPPU_Industry!AC52&gt;=IPPU_Industry!AC51,IPPU_Industry!AC76,IF(IPPU_Industry!AC52&gt;0,IPPU_Industry!AC51*IPPU_Industry!AC76/IPPU_Industry!AC52,IPPU_Industry!AC75))+IF(IPPU_Industry!AC57&gt;=IPPU_Industry!AC56,IPPU_Industry!AC81,IF(IPPU_Industry!AC57&gt;0,IPPU_Industry!AC56*IPPU_Industry!AC81/IPPU_Industry!AC57,IPPU_Industry!AC80))+IF(IPPU_Industry!AC62&gt;=IPPU_Industry!AC61,IPPU_Industry!AC86,IF(IPPU_Industry!AC62&gt;0,IPPU_Industry!AC61*IPPU_Industry!AC86/IPPU_Industry!AC62,IPPU_Industry!AC85))+IF(IPPU_Industry!AC67&gt;=IPPU_Industry!AC66,IPPU_Industry!AC91,IF(IPPU_Industry!AC67&gt;0,IPPU_Industry!AC66*IPPU_Industry!AC91/IPPU_Industry!AC67,IPPU_Industry!AC90))</f>
        <v>19.197960390979812</v>
      </c>
      <c r="AD60" s="118">
        <f>IF(IPPU_Industry!AD52&gt;=IPPU_Industry!AD51,IPPU_Industry!AD76,IF(IPPU_Industry!AD52&gt;0,IPPU_Industry!AD51*IPPU_Industry!AD76/IPPU_Industry!AD52,IPPU_Industry!AD75))+IF(IPPU_Industry!AD57&gt;=IPPU_Industry!AD56,IPPU_Industry!AD81,IF(IPPU_Industry!AD57&gt;0,IPPU_Industry!AD56*IPPU_Industry!AD81/IPPU_Industry!AD57,IPPU_Industry!AD80))+IF(IPPU_Industry!AD62&gt;=IPPU_Industry!AD61,IPPU_Industry!AD86,IF(IPPU_Industry!AD62&gt;0,IPPU_Industry!AD61*IPPU_Industry!AD86/IPPU_Industry!AD62,IPPU_Industry!AD85))+IF(IPPU_Industry!AD67&gt;=IPPU_Industry!AD66,IPPU_Industry!AD91,IF(IPPU_Industry!AD67&gt;0,IPPU_Industry!AD66*IPPU_Industry!AD91/IPPU_Industry!AD67,IPPU_Industry!AD90))</f>
        <v>19.366281288471651</v>
      </c>
      <c r="AE60" s="118">
        <f>IF(IPPU_Industry!AE52&gt;=IPPU_Industry!AE51,IPPU_Industry!AE76,IF(IPPU_Industry!AE52&gt;0,IPPU_Industry!AE51*IPPU_Industry!AE76/IPPU_Industry!AE52,IPPU_Industry!AE75))+IF(IPPU_Industry!AE57&gt;=IPPU_Industry!AE56,IPPU_Industry!AE81,IF(IPPU_Industry!AE57&gt;0,IPPU_Industry!AE56*IPPU_Industry!AE81/IPPU_Industry!AE57,IPPU_Industry!AE80))+IF(IPPU_Industry!AE62&gt;=IPPU_Industry!AE61,IPPU_Industry!AE86,IF(IPPU_Industry!AE62&gt;0,IPPU_Industry!AE61*IPPU_Industry!AE86/IPPU_Industry!AE62,IPPU_Industry!AE85))+IF(IPPU_Industry!AE67&gt;=IPPU_Industry!AE66,IPPU_Industry!AE91,IF(IPPU_Industry!AE67&gt;0,IPPU_Industry!AE66*IPPU_Industry!AE91/IPPU_Industry!AE67,IPPU_Industry!AE90))</f>
        <v>19.5774851003018</v>
      </c>
    </row>
    <row r="61" spans="1:35" x14ac:dyDescent="0.35">
      <c r="B61" s="112" t="s">
        <v>3150</v>
      </c>
      <c r="C61" s="112" t="s">
        <v>4</v>
      </c>
      <c r="D61" s="112" t="s">
        <v>3511</v>
      </c>
      <c r="E61" s="112" t="s">
        <v>2068</v>
      </c>
      <c r="H61" s="116" t="str">
        <f>Settings!$B$3&amp;".mit.t2.dek"</f>
        <v>egy.mit.t2.dek</v>
      </c>
      <c r="L61" s="118">
        <f t="shared" ref="L61:AE61" si="8">L60-L59</f>
        <v>0</v>
      </c>
      <c r="M61" s="118">
        <f t="shared" si="8"/>
        <v>0</v>
      </c>
      <c r="N61" s="118">
        <f t="shared" si="8"/>
        <v>0</v>
      </c>
      <c r="O61" s="118">
        <f t="shared" si="8"/>
        <v>0</v>
      </c>
      <c r="P61" s="118">
        <f t="shared" si="8"/>
        <v>0</v>
      </c>
      <c r="Q61" s="118">
        <f t="shared" si="8"/>
        <v>-1.8034823734254672</v>
      </c>
      <c r="R61" s="118">
        <f t="shared" si="8"/>
        <v>-3.4038282715434818</v>
      </c>
      <c r="S61" s="118">
        <f t="shared" si="8"/>
        <v>-4.8656915372554792</v>
      </c>
      <c r="T61" s="118">
        <f t="shared" si="8"/>
        <v>-6.2225478602626296</v>
      </c>
      <c r="U61" s="118">
        <f t="shared" si="8"/>
        <v>-7.5066267443782131</v>
      </c>
      <c r="V61" s="118">
        <f t="shared" si="8"/>
        <v>-8.7157186760409893</v>
      </c>
      <c r="W61" s="118">
        <f t="shared" si="8"/>
        <v>-9.8758285091552231</v>
      </c>
      <c r="X61" s="118">
        <f t="shared" si="8"/>
        <v>-10.996332382813595</v>
      </c>
      <c r="Y61" s="118">
        <f t="shared" si="8"/>
        <v>-12.083160385890309</v>
      </c>
      <c r="Z61" s="118">
        <f t="shared" si="8"/>
        <v>-13.1383314216598</v>
      </c>
      <c r="AA61" s="118">
        <f t="shared" si="8"/>
        <v>-14.165699701689586</v>
      </c>
      <c r="AB61" s="118">
        <f t="shared" si="8"/>
        <v>-15.169163772360289</v>
      </c>
      <c r="AC61" s="118">
        <f t="shared" si="8"/>
        <v>-16.15454877901696</v>
      </c>
      <c r="AD61" s="118">
        <f t="shared" si="8"/>
        <v>-17.126796024833798</v>
      </c>
      <c r="AE61" s="118">
        <f t="shared" si="8"/>
        <v>-18.08974541351477</v>
      </c>
    </row>
    <row r="62" spans="1:35" x14ac:dyDescent="0.35">
      <c r="B62" s="112" t="s">
        <v>3150</v>
      </c>
      <c r="C62" s="112" t="s">
        <v>4</v>
      </c>
      <c r="D62" s="112" t="s">
        <v>3512</v>
      </c>
      <c r="E62" s="112" t="s">
        <v>2068</v>
      </c>
      <c r="F62" s="112" t="s">
        <v>3513</v>
      </c>
      <c r="H62" s="116" t="str">
        <f>Settings!$B$3&amp;".mit.t2.indx"</f>
        <v>egy.mit.t2.indx</v>
      </c>
      <c r="L62" s="118">
        <f>IPPU_Industry!L11</f>
        <v>59.804205879849356</v>
      </c>
      <c r="M62" s="118">
        <f>IPPU_Industry!M11</f>
        <v>48.931828957170424</v>
      </c>
      <c r="N62" s="118">
        <f>IPPU_Industry!N11</f>
        <v>57.158576789144817</v>
      </c>
      <c r="O62" s="118">
        <f>IPPU_Industry!O11</f>
        <v>63.720179343286866</v>
      </c>
      <c r="P62" s="118">
        <f>IPPU_Industry!P11</f>
        <v>61.946242160955606</v>
      </c>
      <c r="Q62" s="118">
        <f>IPPU_Industry!Q11</f>
        <v>67.559423563084593</v>
      </c>
      <c r="R62" s="118">
        <f>IPPU_Industry!R11</f>
        <v>70.271483517026113</v>
      </c>
      <c r="S62" s="118">
        <f>IPPU_Industry!S11</f>
        <v>72.898243967174636</v>
      </c>
      <c r="T62" s="118">
        <f>IPPU_Industry!T11</f>
        <v>75.384269563412914</v>
      </c>
      <c r="U62" s="118">
        <f>IPPU_Industry!U11</f>
        <v>77.910341033518762</v>
      </c>
      <c r="V62" s="118">
        <f>IPPU_Industry!V11</f>
        <v>80.451479009297159</v>
      </c>
      <c r="W62" s="118">
        <f>IPPU_Industry!W11</f>
        <v>83.040753204531725</v>
      </c>
      <c r="X62" s="118">
        <f>IPPU_Industry!X11</f>
        <v>85.677916059881724</v>
      </c>
      <c r="Y62" s="118">
        <f>IPPU_Industry!Y11</f>
        <v>88.362687782476257</v>
      </c>
      <c r="Z62" s="118">
        <f>IPPU_Industry!Z11</f>
        <v>91.094755740472323</v>
      </c>
      <c r="AA62" s="118">
        <f>IPPU_Industry!AA11</f>
        <v>93.873773761327016</v>
      </c>
      <c r="AB62" s="118">
        <f>IPPU_Industry!AB11</f>
        <v>96.699361329439938</v>
      </c>
      <c r="AC62" s="118">
        <f>IPPU_Industry!AC11</f>
        <v>99.571102679005023</v>
      </c>
      <c r="AD62" s="118">
        <f>IPPU_Industry!AD11</f>
        <v>102.4885457780901</v>
      </c>
      <c r="AE62" s="118">
        <f>IPPU_Industry!AE11</f>
        <v>105.45120120012244</v>
      </c>
    </row>
    <row r="63" spans="1:35" x14ac:dyDescent="0.35">
      <c r="B63" s="112" t="s">
        <v>3150</v>
      </c>
      <c r="C63" s="112" t="s">
        <v>4</v>
      </c>
      <c r="D63" s="112" t="s">
        <v>3514</v>
      </c>
      <c r="E63" s="112" t="s">
        <v>2068</v>
      </c>
      <c r="H63" s="116" t="str">
        <f>Settings!$B$3&amp;".mit.t2.nk1"</f>
        <v>egy.mit.t2.nk1</v>
      </c>
      <c r="L63" s="118">
        <f t="shared" ref="L63:AE63" si="9">L62-L59</f>
        <v>38.965021807135976</v>
      </c>
      <c r="M63" s="118">
        <f t="shared" si="9"/>
        <v>28.254613881043674</v>
      </c>
      <c r="N63" s="118">
        <f t="shared" si="9"/>
        <v>35.460812218323298</v>
      </c>
      <c r="O63" s="118">
        <f t="shared" si="9"/>
        <v>41.250533027035672</v>
      </c>
      <c r="P63" s="118">
        <f t="shared" si="9"/>
        <v>38.787322087639708</v>
      </c>
      <c r="Q63" s="118">
        <f t="shared" si="9"/>
        <v>43.635721755281452</v>
      </c>
      <c r="R63" s="118">
        <f t="shared" si="9"/>
        <v>45.516396133081173</v>
      </c>
      <c r="S63" s="118">
        <f t="shared" si="9"/>
        <v>47.29795476389765</v>
      </c>
      <c r="T63" s="118">
        <f t="shared" si="9"/>
        <v>48.928998963507773</v>
      </c>
      <c r="U63" s="118">
        <f t="shared" si="9"/>
        <v>50.575023472729086</v>
      </c>
      <c r="V63" s="118">
        <f t="shared" si="9"/>
        <v>52.214258166721002</v>
      </c>
      <c r="W63" s="118">
        <f t="shared" si="9"/>
        <v>53.87449772424938</v>
      </c>
      <c r="X63" s="118">
        <f t="shared" si="9"/>
        <v>55.554766294515126</v>
      </c>
      <c r="Y63" s="118">
        <f t="shared" si="9"/>
        <v>57.254034923725293</v>
      </c>
      <c r="Z63" s="118">
        <f t="shared" si="9"/>
        <v>58.971220205561345</v>
      </c>
      <c r="AA63" s="118">
        <f t="shared" si="9"/>
        <v>60.705182816333213</v>
      </c>
      <c r="AB63" s="118">
        <f t="shared" si="9"/>
        <v>62.454725930080002</v>
      </c>
      <c r="AC63" s="118">
        <f t="shared" si="9"/>
        <v>64.218593509008258</v>
      </c>
      <c r="AD63" s="118">
        <f t="shared" si="9"/>
        <v>65.995468464784651</v>
      </c>
      <c r="AE63" s="118">
        <f t="shared" si="9"/>
        <v>67.783970686305878</v>
      </c>
    </row>
    <row r="64" spans="1:35" x14ac:dyDescent="0.35">
      <c r="B64" s="112" t="s">
        <v>3150</v>
      </c>
      <c r="C64" s="112" t="s">
        <v>4</v>
      </c>
      <c r="D64" s="112" t="s">
        <v>3664</v>
      </c>
      <c r="E64" s="112" t="s">
        <v>2068</v>
      </c>
      <c r="H64" s="116" t="str">
        <f>Settings!$B$3&amp;".mit.t2.dnk"</f>
        <v>egy.mit.t2.dnk</v>
      </c>
      <c r="L64" s="118">
        <f t="shared" ref="L64:AE64" si="10">IF($D$15="-",0,IF(OR(L31=0,L54=0),0,L63*L52/L31/L54))</f>
        <v>0</v>
      </c>
      <c r="M64" s="118">
        <f t="shared" si="10"/>
        <v>0</v>
      </c>
      <c r="N64" s="118">
        <f t="shared" si="10"/>
        <v>0</v>
      </c>
      <c r="O64" s="118">
        <f t="shared" si="10"/>
        <v>0</v>
      </c>
      <c r="P64" s="118">
        <f t="shared" si="10"/>
        <v>0</v>
      </c>
      <c r="Q64" s="118">
        <f t="shared" si="10"/>
        <v>0</v>
      </c>
      <c r="R64" s="118">
        <f t="shared" si="10"/>
        <v>0</v>
      </c>
      <c r="S64" s="118">
        <f t="shared" si="10"/>
        <v>0</v>
      </c>
      <c r="T64" s="118">
        <f t="shared" si="10"/>
        <v>0</v>
      </c>
      <c r="U64" s="118">
        <f t="shared" si="10"/>
        <v>0</v>
      </c>
      <c r="V64" s="118">
        <f t="shared" si="10"/>
        <v>0</v>
      </c>
      <c r="W64" s="118">
        <f t="shared" si="10"/>
        <v>0</v>
      </c>
      <c r="X64" s="118">
        <f t="shared" si="10"/>
        <v>0</v>
      </c>
      <c r="Y64" s="118">
        <f t="shared" si="10"/>
        <v>0</v>
      </c>
      <c r="Z64" s="118">
        <f t="shared" si="10"/>
        <v>0</v>
      </c>
      <c r="AA64" s="118">
        <f t="shared" si="10"/>
        <v>0</v>
      </c>
      <c r="AB64" s="118">
        <f t="shared" si="10"/>
        <v>0</v>
      </c>
      <c r="AC64" s="118">
        <f t="shared" si="10"/>
        <v>0</v>
      </c>
      <c r="AD64" s="118">
        <f t="shared" si="10"/>
        <v>0</v>
      </c>
      <c r="AE64" s="118">
        <f t="shared" si="10"/>
        <v>0</v>
      </c>
    </row>
    <row r="65" spans="1:35" x14ac:dyDescent="0.35">
      <c r="B65" s="112" t="s">
        <v>3150</v>
      </c>
      <c r="C65" s="112" t="s">
        <v>4</v>
      </c>
      <c r="D65" s="112" t="s">
        <v>3515</v>
      </c>
      <c r="E65" s="112" t="s">
        <v>2068</v>
      </c>
      <c r="H65" s="116" t="str">
        <f>Settings!$B$3&amp;".mit.t2.dik"</f>
        <v>egy.mit.t2.dik</v>
      </c>
      <c r="L65" s="118">
        <f t="shared" ref="L65:AE65" si="11">L61+L64</f>
        <v>0</v>
      </c>
      <c r="M65" s="118">
        <f t="shared" si="11"/>
        <v>0</v>
      </c>
      <c r="N65" s="118">
        <f t="shared" si="11"/>
        <v>0</v>
      </c>
      <c r="O65" s="118">
        <f t="shared" si="11"/>
        <v>0</v>
      </c>
      <c r="P65" s="118">
        <f t="shared" si="11"/>
        <v>0</v>
      </c>
      <c r="Q65" s="118">
        <f t="shared" si="11"/>
        <v>-1.8034823734254672</v>
      </c>
      <c r="R65" s="118">
        <f t="shared" si="11"/>
        <v>-3.4038282715434818</v>
      </c>
      <c r="S65" s="118">
        <f t="shared" si="11"/>
        <v>-4.8656915372554792</v>
      </c>
      <c r="T65" s="118">
        <f t="shared" si="11"/>
        <v>-6.2225478602626296</v>
      </c>
      <c r="U65" s="118">
        <f t="shared" si="11"/>
        <v>-7.5066267443782131</v>
      </c>
      <c r="V65" s="118">
        <f t="shared" si="11"/>
        <v>-8.7157186760409893</v>
      </c>
      <c r="W65" s="118">
        <f t="shared" si="11"/>
        <v>-9.8758285091552231</v>
      </c>
      <c r="X65" s="118">
        <f t="shared" si="11"/>
        <v>-10.996332382813595</v>
      </c>
      <c r="Y65" s="118">
        <f t="shared" si="11"/>
        <v>-12.083160385890309</v>
      </c>
      <c r="Z65" s="118">
        <f t="shared" si="11"/>
        <v>-13.1383314216598</v>
      </c>
      <c r="AA65" s="118">
        <f t="shared" si="11"/>
        <v>-14.165699701689586</v>
      </c>
      <c r="AB65" s="118">
        <f t="shared" si="11"/>
        <v>-15.169163772360289</v>
      </c>
      <c r="AC65" s="118">
        <f t="shared" si="11"/>
        <v>-16.15454877901696</v>
      </c>
      <c r="AD65" s="118">
        <f t="shared" si="11"/>
        <v>-17.126796024833798</v>
      </c>
      <c r="AE65" s="118">
        <f t="shared" si="11"/>
        <v>-18.08974541351477</v>
      </c>
    </row>
    <row r="66" spans="1:35" x14ac:dyDescent="0.35">
      <c r="B66" s="112" t="s">
        <v>3150</v>
      </c>
      <c r="C66" s="112" t="s">
        <v>4</v>
      </c>
      <c r="D66" s="112" t="s">
        <v>3516</v>
      </c>
      <c r="E66" s="112" t="s">
        <v>1852</v>
      </c>
      <c r="F66" s="112" t="s">
        <v>3517</v>
      </c>
      <c r="H66" s="116" t="str">
        <f>Settings!$B$3&amp;".mit.t2.ik1"</f>
        <v>egy.mit.t2.ik1</v>
      </c>
      <c r="L66" s="118">
        <f>IPPU_Industry!L26</f>
        <v>52.200349760476598</v>
      </c>
      <c r="M66" s="118">
        <f>IPPU_Industry!M26</f>
        <v>56.903431130804279</v>
      </c>
      <c r="N66" s="118">
        <f>IPPU_Industry!N26</f>
        <v>66.470418277289212</v>
      </c>
      <c r="O66" s="118">
        <f>IPPU_Industry!O26</f>
        <v>74.100987315984753</v>
      </c>
      <c r="P66" s="118">
        <f>IPPU_Industry!P26</f>
        <v>72.038053752362728</v>
      </c>
      <c r="Q66" s="118">
        <f>IPPU_Industry!Q26</f>
        <v>78.565692063620887</v>
      </c>
      <c r="R66" s="118">
        <f>IPPU_Industry!R26</f>
        <v>81.719580240308588</v>
      </c>
      <c r="S66" s="118">
        <f>IPPU_Industry!S26</f>
        <v>84.774272565481596</v>
      </c>
      <c r="T66" s="118">
        <f>IPPU_Industry!T26</f>
        <v>87.665302582544385</v>
      </c>
      <c r="U66" s="118">
        <f>IPPU_Industry!U26</f>
        <v>90.60290244329093</v>
      </c>
      <c r="V66" s="118">
        <f>IPPU_Industry!V26</f>
        <v>93.558023330457104</v>
      </c>
      <c r="W66" s="118">
        <f>IPPU_Industry!W26</f>
        <v>96.569122424591995</v>
      </c>
      <c r="X66" s="118">
        <f>IPPU_Industry!X26</f>
        <v>99.635911835866054</v>
      </c>
      <c r="Y66" s="118">
        <f>IPPU_Industry!Y26</f>
        <v>102.75806618967755</v>
      </c>
      <c r="Z66" s="118">
        <f>IPPU_Industry!Z26</f>
        <v>105.93522192257653</v>
      </c>
      <c r="AA66" s="118">
        <f>IPPU_Industry!AA26</f>
        <v>109.16697646621689</v>
      </c>
      <c r="AB66" s="118">
        <f>IPPU_Industry!AB26</f>
        <v>112.45288731428481</v>
      </c>
      <c r="AC66" s="118">
        <f>IPPU_Industry!AC26</f>
        <v>115.79247096756482</v>
      </c>
      <c r="AD66" s="118">
        <f>IPPU_Industry!AD26</f>
        <v>119.18520175251334</v>
      </c>
      <c r="AE66" s="118">
        <f>IPPU_Industry!AE26</f>
        <v>122.63051050889524</v>
      </c>
    </row>
    <row r="67" spans="1:35" x14ac:dyDescent="0.35">
      <c r="B67" s="112" t="s">
        <v>3150</v>
      </c>
      <c r="C67" s="112" t="s">
        <v>4</v>
      </c>
      <c r="D67" s="112" t="s">
        <v>3518</v>
      </c>
      <c r="E67" s="112" t="s">
        <v>1852</v>
      </c>
      <c r="F67" s="112" t="s">
        <v>3519</v>
      </c>
      <c r="H67" s="116" t="str">
        <f>Settings!$B$3&amp;".mit.t2.ik2"</f>
        <v>egy.mit.t2.ik2</v>
      </c>
      <c r="L67" s="118">
        <f>IPPU_Industry!L43</f>
        <v>52.200349760476598</v>
      </c>
      <c r="M67" s="118">
        <f>IPPU_Industry!M43</f>
        <v>56.903431130804279</v>
      </c>
      <c r="N67" s="118">
        <f>IPPU_Industry!N43</f>
        <v>66.470418277289212</v>
      </c>
      <c r="O67" s="118">
        <f>IPPU_Industry!O43</f>
        <v>74.100987315984753</v>
      </c>
      <c r="P67" s="118">
        <f>IPPU_Industry!P43</f>
        <v>72.038053752362728</v>
      </c>
      <c r="Q67" s="118">
        <f>IPPU_Industry!Q43</f>
        <v>78.565692063620887</v>
      </c>
      <c r="R67" s="118">
        <f>IPPU_Industry!R43</f>
        <v>81.719580240308588</v>
      </c>
      <c r="S67" s="118">
        <f>IPPU_Industry!S43</f>
        <v>84.774272565481596</v>
      </c>
      <c r="T67" s="118">
        <f>IPPU_Industry!T43</f>
        <v>87.665302582544385</v>
      </c>
      <c r="U67" s="118">
        <f>IPPU_Industry!U43</f>
        <v>90.60290244329093</v>
      </c>
      <c r="V67" s="118">
        <f>IPPU_Industry!V43</f>
        <v>93.558023330457104</v>
      </c>
      <c r="W67" s="118">
        <f>IPPU_Industry!W43</f>
        <v>96.569122424591995</v>
      </c>
      <c r="X67" s="118">
        <f>IPPU_Industry!X43</f>
        <v>99.635911835866054</v>
      </c>
      <c r="Y67" s="118">
        <f>IPPU_Industry!Y43</f>
        <v>102.75806618967755</v>
      </c>
      <c r="Z67" s="118">
        <f>IPPU_Industry!Z43</f>
        <v>105.93522192257653</v>
      </c>
      <c r="AA67" s="118">
        <f>IPPU_Industry!AA43</f>
        <v>109.16697646621689</v>
      </c>
      <c r="AB67" s="118">
        <f>IPPU_Industry!AB43</f>
        <v>112.45288731428481</v>
      </c>
      <c r="AC67" s="118">
        <f>IPPU_Industry!AC43</f>
        <v>115.79247096756482</v>
      </c>
      <c r="AD67" s="118">
        <f>IPPU_Industry!AD43</f>
        <v>119.18520175251334</v>
      </c>
      <c r="AE67" s="118">
        <f>IPPU_Industry!AE43</f>
        <v>122.63051050889524</v>
      </c>
    </row>
    <row r="68" spans="1:35" x14ac:dyDescent="0.35">
      <c r="B68" s="112" t="s">
        <v>3150</v>
      </c>
      <c r="C68" s="112" t="s">
        <v>4</v>
      </c>
      <c r="D68" s="112" t="s">
        <v>3520</v>
      </c>
      <c r="E68" s="112" t="s">
        <v>1852</v>
      </c>
      <c r="H68" s="116" t="str">
        <f>Settings!$B$3&amp;".mit.t2.dik_p"</f>
        <v>egy.mit.t2.dik_p</v>
      </c>
      <c r="L68" s="118">
        <f t="shared" ref="L68:AE68" si="12">L67-L66</f>
        <v>0</v>
      </c>
      <c r="M68" s="118">
        <f t="shared" si="12"/>
        <v>0</v>
      </c>
      <c r="N68" s="118">
        <f t="shared" si="12"/>
        <v>0</v>
      </c>
      <c r="O68" s="118">
        <f t="shared" si="12"/>
        <v>0</v>
      </c>
      <c r="P68" s="118">
        <f t="shared" si="12"/>
        <v>0</v>
      </c>
      <c r="Q68" s="118">
        <f t="shared" si="12"/>
        <v>0</v>
      </c>
      <c r="R68" s="118">
        <f t="shared" si="12"/>
        <v>0</v>
      </c>
      <c r="S68" s="118">
        <f t="shared" si="12"/>
        <v>0</v>
      </c>
      <c r="T68" s="118">
        <f t="shared" si="12"/>
        <v>0</v>
      </c>
      <c r="U68" s="118">
        <f t="shared" si="12"/>
        <v>0</v>
      </c>
      <c r="V68" s="118">
        <f t="shared" si="12"/>
        <v>0</v>
      </c>
      <c r="W68" s="118">
        <f t="shared" si="12"/>
        <v>0</v>
      </c>
      <c r="X68" s="118">
        <f t="shared" si="12"/>
        <v>0</v>
      </c>
      <c r="Y68" s="118">
        <f t="shared" si="12"/>
        <v>0</v>
      </c>
      <c r="Z68" s="118">
        <f t="shared" si="12"/>
        <v>0</v>
      </c>
      <c r="AA68" s="118">
        <f t="shared" si="12"/>
        <v>0</v>
      </c>
      <c r="AB68" s="118">
        <f t="shared" si="12"/>
        <v>0</v>
      </c>
      <c r="AC68" s="118">
        <f t="shared" si="12"/>
        <v>0</v>
      </c>
      <c r="AD68" s="118">
        <f t="shared" si="12"/>
        <v>0</v>
      </c>
      <c r="AE68" s="118">
        <f t="shared" si="12"/>
        <v>0</v>
      </c>
    </row>
    <row r="69" spans="1:35" x14ac:dyDescent="0.35">
      <c r="B69" s="112" t="s">
        <v>3150</v>
      </c>
      <c r="C69" s="112" t="s">
        <v>4</v>
      </c>
      <c r="D69" s="112" t="s">
        <v>3521</v>
      </c>
      <c r="E69" s="112" t="s">
        <v>1852</v>
      </c>
      <c r="F69" s="112" t="s">
        <v>3522</v>
      </c>
      <c r="H69" s="116" t="str">
        <f>Settings!$B$3&amp;".mit.t2.bp1"</f>
        <v>egy.mit.t2.bp1</v>
      </c>
      <c r="L69" s="118">
        <f>Mitigation_Industry!L390</f>
        <v>26.751620146588561</v>
      </c>
      <c r="M69" s="118">
        <f>Mitigation_Industry!M390</f>
        <v>27.646438017449757</v>
      </c>
      <c r="N69" s="118">
        <f>Mitigation_Industry!N390</f>
        <v>28.571608133999998</v>
      </c>
      <c r="O69" s="118">
        <f>Mitigation_Industry!O390</f>
        <v>29.528179985927999</v>
      </c>
      <c r="P69" s="118">
        <f>Mitigation_Industry!P390</f>
        <v>30.517240342133586</v>
      </c>
      <c r="Q69" s="118">
        <f>Mitigation_Industry!Q390</f>
        <v>31.539914624858142</v>
      </c>
      <c r="R69" s="118">
        <f>Mitigation_Industry!R390</f>
        <v>32.597368336956976</v>
      </c>
      <c r="S69" s="118">
        <f>Mitigation_Industry!S390</f>
        <v>33.690808544489862</v>
      </c>
      <c r="T69" s="118">
        <f>Mitigation_Industry!T390</f>
        <v>34.821485416900551</v>
      </c>
      <c r="U69" s="118">
        <f>Mitigation_Industry!U390</f>
        <v>35.990693827155248</v>
      </c>
      <c r="V69" s="118">
        <f>Mitigation_Industry!V390</f>
        <v>37.19977501431368</v>
      </c>
      <c r="W69" s="118">
        <f>Mitigation_Industry!W390</f>
        <v>38.450118311115105</v>
      </c>
      <c r="X69" s="118">
        <f>Mitigation_Industry!X390</f>
        <v>39.743162939274711</v>
      </c>
      <c r="Y69" s="118">
        <f>Mitigation_Industry!Y390</f>
        <v>41.08039987530541</v>
      </c>
      <c r="Z69" s="118">
        <f>Mitigation_Industry!Z390</f>
        <v>42.463373789803512</v>
      </c>
      <c r="AA69" s="118">
        <f>Mitigation_Industry!AA390</f>
        <v>43.893685063268059</v>
      </c>
      <c r="AB69" s="118">
        <f>Mitigation_Industry!AB390</f>
        <v>45.372991881658805</v>
      </c>
      <c r="AC69" s="118">
        <f>Mitigation_Industry!AC390</f>
        <v>46.903012415041424</v>
      </c>
      <c r="AD69" s="118">
        <f>Mitigation_Industry!AD390</f>
        <v>48.485527082817555</v>
      </c>
      <c r="AE69" s="118">
        <f>Mitigation_Industry!AE390</f>
        <v>50.122380909193787</v>
      </c>
    </row>
    <row r="70" spans="1:35" x14ac:dyDescent="0.35">
      <c r="B70" s="112" t="s">
        <v>3150</v>
      </c>
      <c r="C70" s="112" t="s">
        <v>4</v>
      </c>
      <c r="D70" s="112" t="s">
        <v>3523</v>
      </c>
      <c r="E70" s="112" t="s">
        <v>1852</v>
      </c>
      <c r="F70" s="112" t="s">
        <v>3524</v>
      </c>
      <c r="H70" s="116" t="str">
        <f>Settings!$B$3&amp;".mit.t2.be1"</f>
        <v>egy.mit.t2.be1</v>
      </c>
      <c r="L70" s="118">
        <f>Mitigation_Industry!L380</f>
        <v>48.086991333544489</v>
      </c>
      <c r="M70" s="118">
        <f>Mitigation_Industry!M380</f>
        <v>49.677032012339083</v>
      </c>
      <c r="N70" s="118">
        <f>Mitigation_Industry!N380</f>
        <v>51.320891261</v>
      </c>
      <c r="O70" s="118">
        <f>Mitigation_Industry!O380</f>
        <v>53.020436367115991</v>
      </c>
      <c r="P70" s="118">
        <f>Mitigation_Industry!P380</f>
        <v>54.77760125723205</v>
      </c>
      <c r="Q70" s="118">
        <f>Mitigation_Industry!Q380</f>
        <v>56.594388955214242</v>
      </c>
      <c r="R70" s="118">
        <f>Mitigation_Industry!R380</f>
        <v>58.472874134897971</v>
      </c>
      <c r="S70" s="118">
        <f>Mitigation_Industry!S380</f>
        <v>60.415205770798046</v>
      </c>
      <c r="T70" s="118">
        <f>Mitigation_Industry!T380</f>
        <v>62.423609890817644</v>
      </c>
      <c r="U70" s="118">
        <f>Mitigation_Industry!U380</f>
        <v>64.500392435059069</v>
      </c>
      <c r="V70" s="118">
        <f>Mitigation_Industry!V380</f>
        <v>66.647942225012031</v>
      </c>
      <c r="W70" s="118">
        <f>Mitigation_Industry!W380</f>
        <v>68.868734047575941</v>
      </c>
      <c r="X70" s="118">
        <f>Mitigation_Industry!X380</f>
        <v>71.165331858561302</v>
      </c>
      <c r="Y70" s="118">
        <f>Mitigation_Industry!Y380</f>
        <v>73.540392110512528</v>
      </c>
      <c r="Z70" s="118">
        <f>Mitigation_Industry!Z380</f>
        <v>75.996667209899613</v>
      </c>
      <c r="AA70" s="118">
        <f>Mitigation_Industry!AA380</f>
        <v>78.537009108942158</v>
      </c>
      <c r="AB70" s="118">
        <f>Mitigation_Industry!AB380</f>
        <v>81.164373037552508</v>
      </c>
      <c r="AC70" s="118">
        <f>Mitigation_Industry!AC380</f>
        <v>83.881821381120091</v>
      </c>
      <c r="AD70" s="118">
        <f>Mitigation_Industry!AD380</f>
        <v>86.692527710104301</v>
      </c>
      <c r="AE70" s="118">
        <f>Mitigation_Industry!AE380</f>
        <v>89.599780967658063</v>
      </c>
    </row>
    <row r="71" spans="1:35" x14ac:dyDescent="0.35">
      <c r="B71" s="112" t="s">
        <v>3150</v>
      </c>
      <c r="C71" s="112" t="s">
        <v>4</v>
      </c>
      <c r="D71" s="112" t="s">
        <v>3525</v>
      </c>
      <c r="E71" s="112" t="s">
        <v>16</v>
      </c>
      <c r="F71" s="112" t="s">
        <v>3526</v>
      </c>
      <c r="H71" s="116" t="str">
        <f>Settings!$B$3&amp;".mit.t2.cp"</f>
        <v>egy.mit.t2.cp</v>
      </c>
      <c r="L71" s="118">
        <f>Scenarios!L42</f>
        <v>0</v>
      </c>
      <c r="M71" s="118">
        <f>Scenarios!M42</f>
        <v>0</v>
      </c>
      <c r="N71" s="118">
        <f>Scenarios!N42</f>
        <v>0</v>
      </c>
      <c r="O71" s="118">
        <f>Scenarios!O42</f>
        <v>0</v>
      </c>
      <c r="P71" s="118">
        <f>Scenarios!P42</f>
        <v>0</v>
      </c>
      <c r="Q71" s="118">
        <f>Scenarios!Q42</f>
        <v>12.5</v>
      </c>
      <c r="R71" s="118">
        <f>Scenarios!R42</f>
        <v>25</v>
      </c>
      <c r="S71" s="118">
        <f>Scenarios!S42</f>
        <v>37.5</v>
      </c>
      <c r="T71" s="118">
        <f>Scenarios!T42</f>
        <v>50</v>
      </c>
      <c r="U71" s="118">
        <f>Scenarios!U42</f>
        <v>62.5</v>
      </c>
      <c r="V71" s="118">
        <f>Scenarios!V42</f>
        <v>75</v>
      </c>
      <c r="W71" s="118">
        <f>Scenarios!W42</f>
        <v>87.5</v>
      </c>
      <c r="X71" s="118">
        <f>Scenarios!X42</f>
        <v>100</v>
      </c>
      <c r="Y71" s="118">
        <f>Scenarios!Y42</f>
        <v>112.5</v>
      </c>
      <c r="Z71" s="118">
        <f>Scenarios!Z42</f>
        <v>125</v>
      </c>
      <c r="AA71" s="118">
        <f>Scenarios!AA42</f>
        <v>137.5</v>
      </c>
      <c r="AB71" s="118">
        <f>Scenarios!AB42</f>
        <v>150</v>
      </c>
      <c r="AC71" s="118">
        <f>Scenarios!AC42</f>
        <v>162.5</v>
      </c>
      <c r="AD71" s="118">
        <f>Scenarios!AD42</f>
        <v>175</v>
      </c>
      <c r="AE71" s="118">
        <f>Scenarios!AE42</f>
        <v>187.5</v>
      </c>
    </row>
    <row r="72" spans="1:35" x14ac:dyDescent="0.35">
      <c r="B72" s="112" t="s">
        <v>3150</v>
      </c>
      <c r="C72" s="112" t="s">
        <v>4</v>
      </c>
      <c r="D72" s="112" t="s">
        <v>3527</v>
      </c>
      <c r="E72" s="112" t="s">
        <v>79</v>
      </c>
      <c r="F72" s="112" t="s">
        <v>3528</v>
      </c>
      <c r="H72" s="116" t="str">
        <f>Settings!$B$3&amp;".mit.t2.encov"</f>
        <v>egy.mit.t2.encov</v>
      </c>
      <c r="L72" s="118">
        <f>Scenarios!L45</f>
        <v>1</v>
      </c>
      <c r="M72" s="118">
        <f>Scenarios!M45</f>
        <v>1</v>
      </c>
      <c r="N72" s="118">
        <f>Scenarios!N45</f>
        <v>1</v>
      </c>
      <c r="O72" s="118">
        <f>Scenarios!O45</f>
        <v>1</v>
      </c>
      <c r="P72" s="118">
        <f>Scenarios!P45</f>
        <v>1</v>
      </c>
      <c r="Q72" s="118">
        <f>Scenarios!Q45</f>
        <v>1</v>
      </c>
      <c r="R72" s="118">
        <f>Scenarios!R45</f>
        <v>1</v>
      </c>
      <c r="S72" s="118">
        <f>Scenarios!S45</f>
        <v>1</v>
      </c>
      <c r="T72" s="118">
        <f>Scenarios!T45</f>
        <v>1</v>
      </c>
      <c r="U72" s="118">
        <f>Scenarios!U45</f>
        <v>1</v>
      </c>
      <c r="V72" s="118">
        <f>Scenarios!V45</f>
        <v>1</v>
      </c>
      <c r="W72" s="118">
        <f>Scenarios!W45</f>
        <v>1</v>
      </c>
      <c r="X72" s="118">
        <f>Scenarios!X45</f>
        <v>1</v>
      </c>
      <c r="Y72" s="118">
        <f>Scenarios!Y45</f>
        <v>1</v>
      </c>
      <c r="Z72" s="118">
        <f>Scenarios!Z45</f>
        <v>1</v>
      </c>
      <c r="AA72" s="118">
        <f>Scenarios!AA45</f>
        <v>1</v>
      </c>
      <c r="AB72" s="118">
        <f>Scenarios!AB45</f>
        <v>1</v>
      </c>
      <c r="AC72" s="118">
        <f>Scenarios!AC45</f>
        <v>1</v>
      </c>
      <c r="AD72" s="118">
        <f>Scenarios!AD45</f>
        <v>1</v>
      </c>
      <c r="AE72" s="118">
        <f>Scenarios!AE45</f>
        <v>1</v>
      </c>
    </row>
    <row r="73" spans="1:35" x14ac:dyDescent="0.35">
      <c r="B73" s="112" t="s">
        <v>3150</v>
      </c>
      <c r="C73" s="112" t="s">
        <v>4</v>
      </c>
      <c r="D73" s="112" t="s">
        <v>3529</v>
      </c>
      <c r="E73" s="112" t="s">
        <v>3408</v>
      </c>
      <c r="F73" s="112" t="s">
        <v>3530</v>
      </c>
      <c r="H73" s="116" t="str">
        <f>Settings!$B$3&amp;".mit.t2.revp"</f>
        <v>egy.mit.t2.revp</v>
      </c>
      <c r="L73" s="118">
        <f>Mitigation_Industry!L782/1000</f>
        <v>0</v>
      </c>
      <c r="M73" s="118">
        <f>Mitigation_Industry!M782/1000</f>
        <v>0</v>
      </c>
      <c r="N73" s="118">
        <f>Mitigation_Industry!N782/1000</f>
        <v>0</v>
      </c>
      <c r="O73" s="118">
        <f>Mitigation_Industry!O782/1000</f>
        <v>0</v>
      </c>
      <c r="P73" s="118">
        <f>Mitigation_Industry!P782/1000</f>
        <v>0</v>
      </c>
      <c r="Q73" s="118">
        <f>Mitigation_Industry!Q782/1000</f>
        <v>0</v>
      </c>
      <c r="R73" s="118">
        <f>Mitigation_Industry!R782/1000</f>
        <v>0</v>
      </c>
      <c r="S73" s="118">
        <f>Mitigation_Industry!S782/1000</f>
        <v>0</v>
      </c>
      <c r="T73" s="118">
        <f>Mitigation_Industry!T782/1000</f>
        <v>0</v>
      </c>
      <c r="U73" s="118">
        <f>Mitigation_Industry!U782/1000</f>
        <v>0</v>
      </c>
      <c r="V73" s="118">
        <f>Mitigation_Industry!V782/1000</f>
        <v>0</v>
      </c>
      <c r="W73" s="118">
        <f>Mitigation_Industry!W782/1000</f>
        <v>0</v>
      </c>
      <c r="X73" s="118">
        <f>Mitigation_Industry!X782/1000</f>
        <v>0</v>
      </c>
      <c r="Y73" s="118">
        <f>Mitigation_Industry!Y782/1000</f>
        <v>0</v>
      </c>
      <c r="Z73" s="118">
        <f>Mitigation_Industry!Z782/1000</f>
        <v>0</v>
      </c>
      <c r="AA73" s="118">
        <f>Mitigation_Industry!AA782/1000</f>
        <v>0</v>
      </c>
      <c r="AB73" s="118">
        <f>Mitigation_Industry!AB782/1000</f>
        <v>0</v>
      </c>
      <c r="AC73" s="118">
        <f>Mitigation_Industry!AC782/1000</f>
        <v>0</v>
      </c>
      <c r="AD73" s="118">
        <f>Mitigation_Industry!AD782/1000</f>
        <v>0</v>
      </c>
      <c r="AE73" s="118">
        <f>Mitigation_Industry!AE782/1000</f>
        <v>0</v>
      </c>
    </row>
    <row r="74" spans="1:35" x14ac:dyDescent="0.35">
      <c r="B74" s="112" t="s">
        <v>3150</v>
      </c>
      <c r="C74" s="112" t="s">
        <v>4</v>
      </c>
      <c r="D74" s="112" t="s">
        <v>3531</v>
      </c>
      <c r="E74" s="112" t="s">
        <v>3408</v>
      </c>
      <c r="F74" s="112" t="s">
        <v>3532</v>
      </c>
      <c r="H74" s="116" t="str">
        <f>Settings!$B$3&amp;".mit.t2.obr"</f>
        <v>egy.mit.t2.obr</v>
      </c>
      <c r="L74" s="118">
        <f>Rebate_Industry!L217/1000</f>
        <v>0</v>
      </c>
      <c r="M74" s="118">
        <f>Rebate_Industry!M217/1000</f>
        <v>0</v>
      </c>
      <c r="N74" s="118">
        <f>Rebate_Industry!N217/1000</f>
        <v>0</v>
      </c>
      <c r="O74" s="118">
        <f>Rebate_Industry!O217/1000</f>
        <v>0</v>
      </c>
      <c r="P74" s="118">
        <f>Rebate_Industry!P217/1000</f>
        <v>0</v>
      </c>
      <c r="Q74" s="118">
        <f>Rebate_Industry!Q217/1000</f>
        <v>0</v>
      </c>
      <c r="R74" s="118">
        <f>Rebate_Industry!R217/1000</f>
        <v>0</v>
      </c>
      <c r="S74" s="118">
        <f>Rebate_Industry!S217/1000</f>
        <v>0</v>
      </c>
      <c r="T74" s="118">
        <f>Rebate_Industry!T217/1000</f>
        <v>0</v>
      </c>
      <c r="U74" s="118">
        <f>Rebate_Industry!U217/1000</f>
        <v>0</v>
      </c>
      <c r="V74" s="118">
        <f>Rebate_Industry!V217/1000</f>
        <v>0</v>
      </c>
      <c r="W74" s="118">
        <f>Rebate_Industry!W217/1000</f>
        <v>0</v>
      </c>
      <c r="X74" s="118">
        <f>Rebate_Industry!X217/1000</f>
        <v>0</v>
      </c>
      <c r="Y74" s="118">
        <f>Rebate_Industry!Y217/1000</f>
        <v>0</v>
      </c>
      <c r="Z74" s="118">
        <f>Rebate_Industry!Z217/1000</f>
        <v>0</v>
      </c>
      <c r="AA74" s="118">
        <f>Rebate_Industry!AA217/1000</f>
        <v>0</v>
      </c>
      <c r="AB74" s="118">
        <f>Rebate_Industry!AB217/1000</f>
        <v>0</v>
      </c>
      <c r="AC74" s="118">
        <f>Rebate_Industry!AC217/1000</f>
        <v>0</v>
      </c>
      <c r="AD74" s="118">
        <f>Rebate_Industry!AD217/1000</f>
        <v>0</v>
      </c>
      <c r="AE74" s="118">
        <f>Rebate_Industry!AE217/1000</f>
        <v>0</v>
      </c>
    </row>
    <row r="75" spans="1:35" x14ac:dyDescent="0.35">
      <c r="B75" s="112" t="s">
        <v>3150</v>
      </c>
      <c r="C75" s="112" t="s">
        <v>4</v>
      </c>
      <c r="D75" s="112" t="s">
        <v>3533</v>
      </c>
      <c r="E75" s="112" t="s">
        <v>3408</v>
      </c>
      <c r="F75" s="112" t="s">
        <v>3534</v>
      </c>
      <c r="H75" s="116" t="str">
        <f>Settings!$B$3&amp;".mit.t2.fund"</f>
        <v>egy.mit.t2.fund</v>
      </c>
      <c r="L75" s="118">
        <f>Fund_Industry!L329/1000</f>
        <v>0</v>
      </c>
      <c r="M75" s="118">
        <f>Fund_Industry!M329/1000</f>
        <v>0</v>
      </c>
      <c r="N75" s="118">
        <f>Fund_Industry!N329/1000</f>
        <v>0</v>
      </c>
      <c r="O75" s="118">
        <f>Fund_Industry!O329/1000</f>
        <v>0</v>
      </c>
      <c r="P75" s="118">
        <f>Fund_Industry!P329/1000</f>
        <v>0</v>
      </c>
      <c r="Q75" s="118">
        <f>Fund_Industry!Q329/1000</f>
        <v>0</v>
      </c>
      <c r="R75" s="118">
        <f>Fund_Industry!R329/1000</f>
        <v>0</v>
      </c>
      <c r="S75" s="118">
        <f>Fund_Industry!S329/1000</f>
        <v>0</v>
      </c>
      <c r="T75" s="118">
        <f>Fund_Industry!T329/1000</f>
        <v>0</v>
      </c>
      <c r="U75" s="118">
        <f>Fund_Industry!U329/1000</f>
        <v>0</v>
      </c>
      <c r="V75" s="118">
        <f>Fund_Industry!V329/1000</f>
        <v>0</v>
      </c>
      <c r="W75" s="118">
        <f>Fund_Industry!W329/1000</f>
        <v>0</v>
      </c>
      <c r="X75" s="118">
        <f>Fund_Industry!X329/1000</f>
        <v>0</v>
      </c>
      <c r="Y75" s="118">
        <f>Fund_Industry!Y329/1000</f>
        <v>0</v>
      </c>
      <c r="Z75" s="118">
        <f>Fund_Industry!Z329/1000</f>
        <v>0</v>
      </c>
      <c r="AA75" s="118">
        <f>Fund_Industry!AA329/1000</f>
        <v>0</v>
      </c>
      <c r="AB75" s="118">
        <f>Fund_Industry!AB329/1000</f>
        <v>0</v>
      </c>
      <c r="AC75" s="118">
        <f>Fund_Industry!AC329/1000</f>
        <v>0</v>
      </c>
      <c r="AD75" s="118">
        <f>Fund_Industry!AD329/1000</f>
        <v>0</v>
      </c>
      <c r="AE75" s="118">
        <f>Fund_Industry!AE329/1000</f>
        <v>0</v>
      </c>
    </row>
    <row r="78" spans="1:35" customFormat="1" ht="18" customHeight="1" x14ac:dyDescent="0.45">
      <c r="A78" s="8"/>
      <c r="B78" s="9" t="s">
        <v>3535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80" spans="1:35" customFormat="1" ht="14.25" x14ac:dyDescent="0.45">
      <c r="A80" s="11"/>
      <c r="B80" s="6" t="s">
        <v>1488</v>
      </c>
      <c r="C80" s="7" t="s">
        <v>33</v>
      </c>
      <c r="D80" s="6" t="s">
        <v>34</v>
      </c>
      <c r="E80" s="7" t="s">
        <v>35</v>
      </c>
      <c r="F80" s="7" t="s">
        <v>36</v>
      </c>
      <c r="G80" s="7" t="s">
        <v>37</v>
      </c>
      <c r="H80" s="12" t="s">
        <v>38</v>
      </c>
      <c r="I80" s="6" t="s">
        <v>39</v>
      </c>
      <c r="J80" s="48"/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2:35" x14ac:dyDescent="0.35">
      <c r="B81" s="112" t="s">
        <v>3536</v>
      </c>
      <c r="C81" s="112" t="s">
        <v>3537</v>
      </c>
      <c r="D81" s="112" t="s">
        <v>3538</v>
      </c>
      <c r="E81" s="112" t="s">
        <v>1852</v>
      </c>
      <c r="H81" s="116" t="str">
        <f>Settings!$B$3&amp;".mit.t2.col.ripr"</f>
        <v>egy.mit.t2.col.ripr</v>
      </c>
      <c r="L81" s="118">
        <f t="shared" ref="L81:AE81" si="13">IF($D$15="-",0,L68-L50)</f>
        <v>0</v>
      </c>
      <c r="M81" s="118">
        <f t="shared" si="13"/>
        <v>0</v>
      </c>
      <c r="N81" s="118">
        <f t="shared" si="13"/>
        <v>0</v>
      </c>
      <c r="O81" s="118">
        <f t="shared" si="13"/>
        <v>0</v>
      </c>
      <c r="P81" s="118">
        <f t="shared" si="13"/>
        <v>0</v>
      </c>
      <c r="Q81" s="118">
        <f t="shared" si="13"/>
        <v>0</v>
      </c>
      <c r="R81" s="118">
        <f t="shared" si="13"/>
        <v>0</v>
      </c>
      <c r="S81" s="118">
        <f t="shared" si="13"/>
        <v>0</v>
      </c>
      <c r="T81" s="118">
        <f t="shared" si="13"/>
        <v>0</v>
      </c>
      <c r="U81" s="118">
        <f t="shared" si="13"/>
        <v>0</v>
      </c>
      <c r="V81" s="118">
        <f t="shared" si="13"/>
        <v>0</v>
      </c>
      <c r="W81" s="118">
        <f t="shared" si="13"/>
        <v>0</v>
      </c>
      <c r="X81" s="118">
        <f t="shared" si="13"/>
        <v>0</v>
      </c>
      <c r="Y81" s="118">
        <f t="shared" si="13"/>
        <v>0</v>
      </c>
      <c r="Z81" s="118">
        <f t="shared" si="13"/>
        <v>0</v>
      </c>
      <c r="AA81" s="118">
        <f t="shared" si="13"/>
        <v>0</v>
      </c>
      <c r="AB81" s="118">
        <f t="shared" si="13"/>
        <v>0</v>
      </c>
      <c r="AC81" s="118">
        <f t="shared" si="13"/>
        <v>0</v>
      </c>
      <c r="AD81" s="118">
        <f t="shared" si="13"/>
        <v>0</v>
      </c>
      <c r="AE81" s="118">
        <f t="shared" si="13"/>
        <v>0</v>
      </c>
    </row>
    <row r="82" spans="2:35" x14ac:dyDescent="0.35">
      <c r="B82" s="112" t="s">
        <v>3536</v>
      </c>
      <c r="C82" s="112" t="s">
        <v>3537</v>
      </c>
      <c r="D82" s="112" t="s">
        <v>3539</v>
      </c>
      <c r="E82" s="112" t="s">
        <v>1852</v>
      </c>
      <c r="H82" s="116" t="str">
        <f>Settings!$B$3&amp;".mit.t2.col.rind"</f>
        <v>egy.mit.t2.col.rind</v>
      </c>
      <c r="L82" s="118">
        <f t="shared" ref="L82:AE82" si="14">IF($D$15="-",0,L65-L52)</f>
        <v>0</v>
      </c>
      <c r="M82" s="118">
        <f t="shared" si="14"/>
        <v>0</v>
      </c>
      <c r="N82" s="118">
        <f t="shared" si="14"/>
        <v>0</v>
      </c>
      <c r="O82" s="118">
        <f t="shared" si="14"/>
        <v>0</v>
      </c>
      <c r="P82" s="118">
        <f t="shared" si="14"/>
        <v>0</v>
      </c>
      <c r="Q82" s="118">
        <f t="shared" si="14"/>
        <v>0</v>
      </c>
      <c r="R82" s="118">
        <f t="shared" si="14"/>
        <v>0</v>
      </c>
      <c r="S82" s="118">
        <f t="shared" si="14"/>
        <v>0</v>
      </c>
      <c r="T82" s="118">
        <f t="shared" si="14"/>
        <v>0</v>
      </c>
      <c r="U82" s="118">
        <f t="shared" si="14"/>
        <v>0</v>
      </c>
      <c r="V82" s="118">
        <f t="shared" si="14"/>
        <v>0</v>
      </c>
      <c r="W82" s="118">
        <f t="shared" si="14"/>
        <v>0</v>
      </c>
      <c r="X82" s="118">
        <f t="shared" si="14"/>
        <v>0</v>
      </c>
      <c r="Y82" s="118">
        <f t="shared" si="14"/>
        <v>0</v>
      </c>
      <c r="Z82" s="118">
        <f t="shared" si="14"/>
        <v>0</v>
      </c>
      <c r="AA82" s="118">
        <f t="shared" si="14"/>
        <v>0</v>
      </c>
      <c r="AB82" s="118">
        <f t="shared" si="14"/>
        <v>0</v>
      </c>
      <c r="AC82" s="118">
        <f t="shared" si="14"/>
        <v>0</v>
      </c>
      <c r="AD82" s="118">
        <f t="shared" si="14"/>
        <v>0</v>
      </c>
      <c r="AE82" s="118">
        <f t="shared" si="14"/>
        <v>0</v>
      </c>
    </row>
    <row r="83" spans="2:35" ht="13.9" x14ac:dyDescent="0.4">
      <c r="B83" s="121" t="s">
        <v>3540</v>
      </c>
      <c r="C83" s="121" t="s">
        <v>3537</v>
      </c>
      <c r="D83" s="121" t="s">
        <v>3541</v>
      </c>
      <c r="E83" s="121" t="s">
        <v>1852</v>
      </c>
      <c r="F83" s="121"/>
      <c r="G83" s="121"/>
      <c r="H83" s="142" t="str">
        <f>Settings!$B$3&amp;".mit.t2.col.k"</f>
        <v>egy.mit.t2.col.k</v>
      </c>
      <c r="I83" s="121"/>
      <c r="J83" s="121"/>
      <c r="K83" s="121"/>
      <c r="L83" s="143">
        <f t="shared" ref="L83:AE83" si="15">IF($D$15="-",0,L49+L81+L82)</f>
        <v>0</v>
      </c>
      <c r="M83" s="143">
        <f t="shared" si="15"/>
        <v>0</v>
      </c>
      <c r="N83" s="143">
        <f t="shared" si="15"/>
        <v>0</v>
      </c>
      <c r="O83" s="143">
        <f t="shared" si="15"/>
        <v>0</v>
      </c>
      <c r="P83" s="143">
        <f t="shared" si="15"/>
        <v>0</v>
      </c>
      <c r="Q83" s="143">
        <f t="shared" si="15"/>
        <v>0</v>
      </c>
      <c r="R83" s="143">
        <f t="shared" si="15"/>
        <v>0</v>
      </c>
      <c r="S83" s="143">
        <f t="shared" si="15"/>
        <v>0</v>
      </c>
      <c r="T83" s="143">
        <f t="shared" si="15"/>
        <v>0</v>
      </c>
      <c r="U83" s="143">
        <f t="shared" si="15"/>
        <v>0</v>
      </c>
      <c r="V83" s="143">
        <f t="shared" si="15"/>
        <v>0</v>
      </c>
      <c r="W83" s="143">
        <f t="shared" si="15"/>
        <v>0</v>
      </c>
      <c r="X83" s="143">
        <f t="shared" si="15"/>
        <v>0</v>
      </c>
      <c r="Y83" s="143">
        <f t="shared" si="15"/>
        <v>0</v>
      </c>
      <c r="Z83" s="143">
        <f t="shared" si="15"/>
        <v>0</v>
      </c>
      <c r="AA83" s="143">
        <f t="shared" si="15"/>
        <v>0</v>
      </c>
      <c r="AB83" s="143">
        <f t="shared" si="15"/>
        <v>0</v>
      </c>
      <c r="AC83" s="143">
        <f t="shared" si="15"/>
        <v>0</v>
      </c>
      <c r="AD83" s="143">
        <f t="shared" si="15"/>
        <v>0</v>
      </c>
      <c r="AE83" s="143">
        <f t="shared" si="15"/>
        <v>0</v>
      </c>
      <c r="AF83" s="121"/>
      <c r="AG83" s="121"/>
      <c r="AH83" s="121"/>
      <c r="AI83" s="121"/>
    </row>
    <row r="84" spans="2:35" x14ac:dyDescent="0.35">
      <c r="B84" s="112" t="s">
        <v>3542</v>
      </c>
      <c r="C84" s="112" t="s">
        <v>3537</v>
      </c>
      <c r="D84" s="112" t="s">
        <v>3665</v>
      </c>
      <c r="E84" s="112" t="s">
        <v>84</v>
      </c>
      <c r="H84" s="116" t="str">
        <f>Settings!$B$3&amp;".mit.t2.col.j"</f>
        <v>egy.mit.t2.col.j</v>
      </c>
      <c r="I84" s="112" t="s">
        <v>3543</v>
      </c>
      <c r="L84" s="118">
        <f t="shared" ref="L84:AE84" si="16">IF(L25=0,0,100*(IF($D$16="All sectors",L29,L72*L62)+$D$17*L69)/L25)</f>
        <v>0</v>
      </c>
      <c r="M84" s="118">
        <f t="shared" si="16"/>
        <v>0</v>
      </c>
      <c r="N84" s="118">
        <f t="shared" si="16"/>
        <v>0</v>
      </c>
      <c r="O84" s="118">
        <f t="shared" si="16"/>
        <v>0</v>
      </c>
      <c r="P84" s="118">
        <f t="shared" si="16"/>
        <v>0</v>
      </c>
      <c r="Q84" s="118">
        <f t="shared" si="16"/>
        <v>0</v>
      </c>
      <c r="R84" s="118">
        <f t="shared" si="16"/>
        <v>0</v>
      </c>
      <c r="S84" s="118">
        <f t="shared" si="16"/>
        <v>0</v>
      </c>
      <c r="T84" s="118">
        <f t="shared" si="16"/>
        <v>0</v>
      </c>
      <c r="U84" s="118">
        <f t="shared" si="16"/>
        <v>0</v>
      </c>
      <c r="V84" s="118">
        <f t="shared" si="16"/>
        <v>0</v>
      </c>
      <c r="W84" s="118">
        <f t="shared" si="16"/>
        <v>0</v>
      </c>
      <c r="X84" s="118">
        <f t="shared" si="16"/>
        <v>0</v>
      </c>
      <c r="Y84" s="118">
        <f t="shared" si="16"/>
        <v>0</v>
      </c>
      <c r="Z84" s="118">
        <f t="shared" si="16"/>
        <v>0</v>
      </c>
      <c r="AA84" s="118">
        <f t="shared" si="16"/>
        <v>0</v>
      </c>
      <c r="AB84" s="118">
        <f t="shared" si="16"/>
        <v>0</v>
      </c>
      <c r="AC84" s="118">
        <f t="shared" si="16"/>
        <v>0</v>
      </c>
      <c r="AD84" s="118">
        <f t="shared" si="16"/>
        <v>0</v>
      </c>
      <c r="AE84" s="118">
        <f t="shared" si="16"/>
        <v>0</v>
      </c>
    </row>
    <row r="85" spans="2:35" x14ac:dyDescent="0.35">
      <c r="B85" s="112" t="s">
        <v>3544</v>
      </c>
      <c r="C85" s="112" t="s">
        <v>3537</v>
      </c>
      <c r="D85" s="112" t="s">
        <v>3545</v>
      </c>
      <c r="E85" s="112" t="s">
        <v>84</v>
      </c>
      <c r="H85" s="116" t="str">
        <f>Settings!$B$3&amp;".mit.t2.col.l"</f>
        <v>egy.mit.t2.col.l</v>
      </c>
      <c r="L85" s="118">
        <f t="shared" ref="L85:AE85" si="17">IF(L25=0,0,100*L83/L25)</f>
        <v>0</v>
      </c>
      <c r="M85" s="118">
        <f t="shared" si="17"/>
        <v>0</v>
      </c>
      <c r="N85" s="118">
        <f t="shared" si="17"/>
        <v>0</v>
      </c>
      <c r="O85" s="118">
        <f t="shared" si="17"/>
        <v>0</v>
      </c>
      <c r="P85" s="118">
        <f t="shared" si="17"/>
        <v>0</v>
      </c>
      <c r="Q85" s="118">
        <f t="shared" si="17"/>
        <v>0</v>
      </c>
      <c r="R85" s="118">
        <f t="shared" si="17"/>
        <v>0</v>
      </c>
      <c r="S85" s="118">
        <f t="shared" si="17"/>
        <v>0</v>
      </c>
      <c r="T85" s="118">
        <f t="shared" si="17"/>
        <v>0</v>
      </c>
      <c r="U85" s="118">
        <f t="shared" si="17"/>
        <v>0</v>
      </c>
      <c r="V85" s="118">
        <f t="shared" si="17"/>
        <v>0</v>
      </c>
      <c r="W85" s="118">
        <f t="shared" si="17"/>
        <v>0</v>
      </c>
      <c r="X85" s="118">
        <f t="shared" si="17"/>
        <v>0</v>
      </c>
      <c r="Y85" s="118">
        <f t="shared" si="17"/>
        <v>0</v>
      </c>
      <c r="Z85" s="118">
        <f t="shared" si="17"/>
        <v>0</v>
      </c>
      <c r="AA85" s="118">
        <f t="shared" si="17"/>
        <v>0</v>
      </c>
      <c r="AB85" s="118">
        <f t="shared" si="17"/>
        <v>0</v>
      </c>
      <c r="AC85" s="118">
        <f t="shared" si="17"/>
        <v>0</v>
      </c>
      <c r="AD85" s="118">
        <f t="shared" si="17"/>
        <v>0</v>
      </c>
      <c r="AE85" s="118">
        <f t="shared" si="17"/>
        <v>0</v>
      </c>
    </row>
    <row r="86" spans="2:35" x14ac:dyDescent="0.35">
      <c r="B86" s="112" t="s">
        <v>3546</v>
      </c>
      <c r="C86" s="112" t="s">
        <v>3537</v>
      </c>
      <c r="D86" s="112" t="s">
        <v>3547</v>
      </c>
      <c r="E86" s="112" t="s">
        <v>84</v>
      </c>
      <c r="H86" s="116" t="str">
        <f>Settings!$B$3&amp;".mit.t2.col.m"</f>
        <v>egy.mit.t2.col.m</v>
      </c>
      <c r="I86" s="112" t="s">
        <v>3548</v>
      </c>
      <c r="L86" s="118">
        <f>100*Mitigation_Industry!L683</f>
        <v>44.368280475207889</v>
      </c>
      <c r="M86" s="118">
        <f>100*Mitigation_Industry!M683</f>
        <v>44.347645385531962</v>
      </c>
      <c r="N86" s="118">
        <f>100*Mitigation_Industry!N683</f>
        <v>44.32752933168122</v>
      </c>
      <c r="O86" s="118">
        <f>100*Mitigation_Industry!O683</f>
        <v>44.307927265114358</v>
      </c>
      <c r="P86" s="118">
        <f>100*Mitigation_Industry!P683</f>
        <v>44.288834045823563</v>
      </c>
      <c r="Q86" s="118">
        <f>100*Mitigation_Industry!Q683</f>
        <v>44.270244440986659</v>
      </c>
      <c r="R86" s="118">
        <f>100*Mitigation_Industry!R683</f>
        <v>44.252153123593246</v>
      </c>
      <c r="S86" s="118">
        <f>100*Mitigation_Industry!S683</f>
        <v>44.234554671045309</v>
      </c>
      <c r="T86" s="118">
        <f>100*Mitigation_Industry!T683</f>
        <v>44.217443563732914</v>
      </c>
      <c r="U86" s="118">
        <f>100*Mitigation_Industry!U683</f>
        <v>44.2008141835854</v>
      </c>
      <c r="V86" s="118">
        <f>100*Mitigation_Industry!V683</f>
        <v>44.184660812598779</v>
      </c>
      <c r="W86" s="118">
        <f>100*Mitigation_Industry!W683</f>
        <v>44.168977631339978</v>
      </c>
      <c r="X86" s="118">
        <f>100*Mitigation_Industry!X683</f>
        <v>44.153758717428722</v>
      </c>
      <c r="Y86" s="118">
        <f>100*Mitigation_Industry!Y683</f>
        <v>44.138998043997361</v>
      </c>
      <c r="Z86" s="118">
        <f>100*Mitigation_Industry!Z683</f>
        <v>44.12468947813008</v>
      </c>
      <c r="AA86" s="118">
        <f>100*Mitigation_Industry!AA683</f>
        <v>44.110826779281624</v>
      </c>
      <c r="AB86" s="118">
        <f>100*Mitigation_Industry!AB683</f>
        <v>44.097403597677044</v>
      </c>
      <c r="AC86" s="118">
        <f>100*Mitigation_Industry!AC683</f>
        <v>44.084413472692866</v>
      </c>
      <c r="AD86" s="118">
        <f>100*Mitigation_Industry!AD683</f>
        <v>44.071849831220909</v>
      </c>
      <c r="AE86" s="118">
        <f>100*Mitigation_Industry!AE683</f>
        <v>44.059705986015793</v>
      </c>
    </row>
    <row r="87" spans="2:35" x14ac:dyDescent="0.35">
      <c r="B87" s="112" t="s">
        <v>3549</v>
      </c>
      <c r="C87" s="112" t="s">
        <v>3537</v>
      </c>
      <c r="D87" s="112" t="s">
        <v>3550</v>
      </c>
      <c r="E87" s="112" t="s">
        <v>84</v>
      </c>
      <c r="H87" s="116" t="str">
        <f>Settings!$B$3&amp;".mit.t2.col.n"</f>
        <v>egy.mit.t2.col.n</v>
      </c>
      <c r="I87" s="112" t="s">
        <v>3551</v>
      </c>
      <c r="L87" s="118">
        <f>100*Mitigation_Industry!L685</f>
        <v>0</v>
      </c>
      <c r="M87" s="118">
        <f>100*Mitigation_Industry!M685</f>
        <v>0</v>
      </c>
      <c r="N87" s="118">
        <f>100*Mitigation_Industry!N685</f>
        <v>0</v>
      </c>
      <c r="O87" s="118">
        <f>100*Mitigation_Industry!O685</f>
        <v>0</v>
      </c>
      <c r="P87" s="118">
        <f>100*Mitigation_Industry!P685</f>
        <v>-1.1102230246251565E-14</v>
      </c>
      <c r="Q87" s="118">
        <f>100*Mitigation_Industry!Q685</f>
        <v>0</v>
      </c>
      <c r="R87" s="118">
        <f>100*Mitigation_Industry!R685</f>
        <v>2.2204460492503131E-14</v>
      </c>
      <c r="S87" s="118">
        <f>100*Mitigation_Industry!S685</f>
        <v>-1.1102230246251565E-14</v>
      </c>
      <c r="T87" s="118">
        <f>100*Mitigation_Industry!T685</f>
        <v>0</v>
      </c>
      <c r="U87" s="118">
        <f>100*Mitigation_Industry!U685</f>
        <v>0</v>
      </c>
      <c r="V87" s="118">
        <f>100*Mitigation_Industry!V685</f>
        <v>0</v>
      </c>
      <c r="W87" s="118">
        <f>100*Mitigation_Industry!W685</f>
        <v>0</v>
      </c>
      <c r="X87" s="118">
        <f>100*Mitigation_Industry!X685</f>
        <v>0</v>
      </c>
      <c r="Y87" s="118">
        <f>100*Mitigation_Industry!Y685</f>
        <v>0</v>
      </c>
      <c r="Z87" s="118">
        <f>100*Mitigation_Industry!Z685</f>
        <v>0</v>
      </c>
      <c r="AA87" s="118">
        <f>100*Mitigation_Industry!AA685</f>
        <v>0</v>
      </c>
      <c r="AB87" s="118">
        <f>100*Mitigation_Industry!AB685</f>
        <v>2.2204460492503131E-14</v>
      </c>
      <c r="AC87" s="118">
        <f>100*Mitigation_Industry!AC685</f>
        <v>0</v>
      </c>
      <c r="AD87" s="118">
        <f>100*Mitigation_Industry!AD685</f>
        <v>2.2204460492503131E-14</v>
      </c>
      <c r="AE87" s="118">
        <f>100*Mitigation_Industry!AE685</f>
        <v>0</v>
      </c>
    </row>
    <row r="88" spans="2:35" x14ac:dyDescent="0.35">
      <c r="B88" s="112" t="s">
        <v>3552</v>
      </c>
      <c r="C88" s="112" t="s">
        <v>3537</v>
      </c>
      <c r="D88" s="112" t="s">
        <v>3553</v>
      </c>
      <c r="E88" s="112" t="s">
        <v>84</v>
      </c>
      <c r="H88" s="116" t="str">
        <f>Settings!$B$3&amp;".mit.t2.col.o"</f>
        <v>egy.mit.t2.col.o</v>
      </c>
      <c r="I88" s="112" t="s">
        <v>3554</v>
      </c>
      <c r="L88" s="118">
        <f>100*Mitigation_Industry!L771</f>
        <v>0</v>
      </c>
      <c r="M88" s="118">
        <f>100*Mitigation_Industry!M771</f>
        <v>0</v>
      </c>
      <c r="N88" s="118">
        <f>100*Mitigation_Industry!N771</f>
        <v>0</v>
      </c>
      <c r="O88" s="118">
        <f>100*Mitigation_Industry!O771</f>
        <v>0</v>
      </c>
      <c r="P88" s="118">
        <f>100*Mitigation_Industry!P771</f>
        <v>-2.2204460492503131E-14</v>
      </c>
      <c r="Q88" s="118">
        <f>100*Mitigation_Industry!Q771</f>
        <v>-75.386771619452347</v>
      </c>
      <c r="R88" s="118">
        <f>100*Mitigation_Industry!R771</f>
        <v>-75.386771619452333</v>
      </c>
      <c r="S88" s="118">
        <f>100*Mitigation_Industry!S771</f>
        <v>-63.408719017979905</v>
      </c>
      <c r="T88" s="118">
        <f>100*Mitigation_Industry!T771</f>
        <v>-53.410854810573127</v>
      </c>
      <c r="U88" s="118">
        <f>100*Mitigation_Industry!U771</f>
        <v>-53.211410779092596</v>
      </c>
      <c r="V88" s="118">
        <f>100*Mitigation_Industry!V771</f>
        <v>-53.079804853557832</v>
      </c>
      <c r="W88" s="118">
        <f>100*Mitigation_Industry!W771</f>
        <v>-52.986456464515733</v>
      </c>
      <c r="X88" s="118">
        <f>100*Mitigation_Industry!X771</f>
        <v>-52.437567936948149</v>
      </c>
      <c r="Y88" s="118">
        <f>100*Mitigation_Industry!Y771</f>
        <v>-55.393861451477044</v>
      </c>
      <c r="Z88" s="118">
        <f>100*Mitigation_Industry!Z771</f>
        <v>-57.243443966823882</v>
      </c>
      <c r="AA88" s="118">
        <f>100*Mitigation_Industry!AA771</f>
        <v>-59.093026482170671</v>
      </c>
      <c r="AB88" s="118">
        <f>100*Mitigation_Industry!AB771</f>
        <v>-60.942608997517489</v>
      </c>
      <c r="AC88" s="118">
        <f>100*Mitigation_Industry!AC771</f>
        <v>-62.792191512864306</v>
      </c>
      <c r="AD88" s="118">
        <f>100*Mitigation_Industry!AD771</f>
        <v>-64.641774028211117</v>
      </c>
      <c r="AE88" s="118">
        <f>100*Mitigation_Industry!AE771</f>
        <v>-66.491356543557927</v>
      </c>
    </row>
    <row r="89" spans="2:35" x14ac:dyDescent="0.35">
      <c r="B89" s="112" t="s">
        <v>3555</v>
      </c>
      <c r="C89" s="112" t="s">
        <v>3537</v>
      </c>
      <c r="D89" s="112" t="s">
        <v>3556</v>
      </c>
      <c r="E89" s="112" t="s">
        <v>84</v>
      </c>
      <c r="H89" s="116" t="str">
        <f>Settings!$B$3&amp;".mit.t2.col.t"</f>
        <v>egy.mit.t2.col.t</v>
      </c>
      <c r="I89" s="112" t="s">
        <v>3557</v>
      </c>
      <c r="L89" s="118">
        <f>IF(L70=0,0,100*Mitigation_Industry!L727/L70)</f>
        <v>0</v>
      </c>
      <c r="M89" s="118">
        <f>IF(M70=0,0,100*Mitigation_Industry!M727/M70)</f>
        <v>0</v>
      </c>
      <c r="N89" s="118">
        <f>IF(N70=0,0,100*Mitigation_Industry!N727/N70)</f>
        <v>0</v>
      </c>
      <c r="O89" s="118">
        <f>IF(O70=0,0,100*Mitigation_Industry!O727/O70)</f>
        <v>0</v>
      </c>
      <c r="P89" s="118">
        <f>IF(P70=0,0,100*Mitigation_Industry!P727/P70)</f>
        <v>0</v>
      </c>
      <c r="Q89" s="118">
        <f>IF(Q70=0,0,100*Mitigation_Industry!Q727/Q70)</f>
        <v>0</v>
      </c>
      <c r="R89" s="118">
        <f>IF(R70=0,0,100*Mitigation_Industry!R727/R70)</f>
        <v>0</v>
      </c>
      <c r="S89" s="118">
        <f>IF(S70=0,0,100*Mitigation_Industry!S727/S70)</f>
        <v>0</v>
      </c>
      <c r="T89" s="118">
        <f>IF(T70=0,0,100*Mitigation_Industry!T727/T70)</f>
        <v>0</v>
      </c>
      <c r="U89" s="118">
        <f>IF(U70=0,0,100*Mitigation_Industry!U727/U70)</f>
        <v>0</v>
      </c>
      <c r="V89" s="118">
        <f>IF(V70=0,0,100*Mitigation_Industry!V727/V70)</f>
        <v>0</v>
      </c>
      <c r="W89" s="118">
        <f>IF(W70=0,0,100*Mitigation_Industry!W727/W70)</f>
        <v>0</v>
      </c>
      <c r="X89" s="118">
        <f>IF(X70=0,0,100*Mitigation_Industry!X727/X70)</f>
        <v>0</v>
      </c>
      <c r="Y89" s="118">
        <f>IF(Y70=0,0,100*Mitigation_Industry!Y727/Y70)</f>
        <v>0</v>
      </c>
      <c r="Z89" s="118">
        <f>IF(Z70=0,0,100*Mitigation_Industry!Z727/Z70)</f>
        <v>0</v>
      </c>
      <c r="AA89" s="118">
        <f>IF(AA70=0,0,100*Mitigation_Industry!AA727/AA70)</f>
        <v>0</v>
      </c>
      <c r="AB89" s="118">
        <f>IF(AB70=0,0,100*Mitigation_Industry!AB727/AB70)</f>
        <v>0</v>
      </c>
      <c r="AC89" s="118">
        <f>IF(AC70=0,0,100*Mitigation_Industry!AC727/AC70)</f>
        <v>0</v>
      </c>
      <c r="AD89" s="118">
        <f>IF(AD70=0,0,100*Mitigation_Industry!AD727/AD70)</f>
        <v>0</v>
      </c>
      <c r="AE89" s="118">
        <f>IF(AE70=0,0,100*Mitigation_Industry!AE727/AE70)</f>
        <v>0</v>
      </c>
    </row>
    <row r="90" spans="2:35" x14ac:dyDescent="0.35">
      <c r="B90" s="112" t="s">
        <v>3558</v>
      </c>
      <c r="C90" s="112" t="s">
        <v>3537</v>
      </c>
      <c r="D90" s="112" t="s">
        <v>3559</v>
      </c>
      <c r="E90" s="112" t="s">
        <v>84</v>
      </c>
      <c r="H90" s="116" t="str">
        <f>Settings!$B$3&amp;".mit.t2.col.u"</f>
        <v>egy.mit.t2.col.u</v>
      </c>
      <c r="I90" s="112" t="s">
        <v>3560</v>
      </c>
      <c r="L90" s="118">
        <f>100*Mitigation_Industry!L706</f>
        <v>0</v>
      </c>
      <c r="M90" s="118">
        <f>100*Mitigation_Industry!M706</f>
        <v>0</v>
      </c>
      <c r="N90" s="118">
        <f>100*Mitigation_Industry!N706</f>
        <v>0</v>
      </c>
      <c r="O90" s="118">
        <f>100*Mitigation_Industry!O706</f>
        <v>0</v>
      </c>
      <c r="P90" s="118">
        <f>100*Mitigation_Industry!P706</f>
        <v>0</v>
      </c>
      <c r="Q90" s="118">
        <f>100*Mitigation_Industry!Q706</f>
        <v>0</v>
      </c>
      <c r="R90" s="118">
        <f>100*Mitigation_Industry!R706</f>
        <v>0</v>
      </c>
      <c r="S90" s="118">
        <f>100*Mitigation_Industry!S706</f>
        <v>0</v>
      </c>
      <c r="T90" s="118">
        <f>100*Mitigation_Industry!T706</f>
        <v>0</v>
      </c>
      <c r="U90" s="118">
        <f>100*Mitigation_Industry!U706</f>
        <v>0</v>
      </c>
      <c r="V90" s="118">
        <f>100*Mitigation_Industry!V706</f>
        <v>0</v>
      </c>
      <c r="W90" s="118">
        <f>100*Mitigation_Industry!W706</f>
        <v>0</v>
      </c>
      <c r="X90" s="118">
        <f>100*Mitigation_Industry!X706</f>
        <v>0</v>
      </c>
      <c r="Y90" s="118">
        <f>100*Mitigation_Industry!Y706</f>
        <v>0</v>
      </c>
      <c r="Z90" s="118">
        <f>100*Mitigation_Industry!Z706</f>
        <v>0</v>
      </c>
      <c r="AA90" s="118">
        <f>100*Mitigation_Industry!AA706</f>
        <v>0</v>
      </c>
      <c r="AB90" s="118">
        <f>100*Mitigation_Industry!AB706</f>
        <v>0</v>
      </c>
      <c r="AC90" s="118">
        <f>100*Mitigation_Industry!AC706</f>
        <v>0</v>
      </c>
      <c r="AD90" s="118">
        <f>100*Mitigation_Industry!AD706</f>
        <v>0</v>
      </c>
      <c r="AE90" s="118">
        <f>100*Mitigation_Industry!AE706</f>
        <v>0</v>
      </c>
    </row>
    <row r="91" spans="2:35" x14ac:dyDescent="0.35">
      <c r="B91" s="112" t="s">
        <v>3561</v>
      </c>
      <c r="C91" s="112" t="s">
        <v>3537</v>
      </c>
      <c r="D91" s="112" t="s">
        <v>3666</v>
      </c>
      <c r="E91" s="112" t="s">
        <v>3408</v>
      </c>
      <c r="H91" s="116" t="str">
        <f>Settings!$B$3&amp;".mit.t2.col.pg"</f>
        <v>egy.mit.t2.col.pg</v>
      </c>
      <c r="L91" s="118">
        <f t="shared" ref="L91:AE91" si="18">IF($D$15="-",0,IF($D$16="All sectors",L47+L71*L72*L82/1000,L71*L72*(L60+L63+L64)/1000)+L73)</f>
        <v>0</v>
      </c>
      <c r="M91" s="118">
        <f t="shared" si="18"/>
        <v>0</v>
      </c>
      <c r="N91" s="118">
        <f t="shared" si="18"/>
        <v>0</v>
      </c>
      <c r="O91" s="118">
        <f t="shared" si="18"/>
        <v>0</v>
      </c>
      <c r="P91" s="118">
        <f t="shared" si="18"/>
        <v>0</v>
      </c>
      <c r="Q91" s="118">
        <f t="shared" si="18"/>
        <v>0</v>
      </c>
      <c r="R91" s="118">
        <f t="shared" si="18"/>
        <v>0</v>
      </c>
      <c r="S91" s="118">
        <f t="shared" si="18"/>
        <v>0</v>
      </c>
      <c r="T91" s="118">
        <f t="shared" si="18"/>
        <v>0</v>
      </c>
      <c r="U91" s="118">
        <f t="shared" si="18"/>
        <v>0</v>
      </c>
      <c r="V91" s="118">
        <f t="shared" si="18"/>
        <v>0</v>
      </c>
      <c r="W91" s="118">
        <f t="shared" si="18"/>
        <v>0</v>
      </c>
      <c r="X91" s="118">
        <f t="shared" si="18"/>
        <v>0</v>
      </c>
      <c r="Y91" s="118">
        <f t="shared" si="18"/>
        <v>0</v>
      </c>
      <c r="Z91" s="118">
        <f t="shared" si="18"/>
        <v>0</v>
      </c>
      <c r="AA91" s="118">
        <f t="shared" si="18"/>
        <v>0</v>
      </c>
      <c r="AB91" s="118">
        <f t="shared" si="18"/>
        <v>0</v>
      </c>
      <c r="AC91" s="118">
        <f t="shared" si="18"/>
        <v>0</v>
      </c>
      <c r="AD91" s="118">
        <f t="shared" si="18"/>
        <v>0</v>
      </c>
      <c r="AE91" s="118">
        <f t="shared" si="18"/>
        <v>0</v>
      </c>
    </row>
    <row r="92" spans="2:35" ht="13.9" x14ac:dyDescent="0.4">
      <c r="B92" s="121" t="s">
        <v>3561</v>
      </c>
      <c r="C92" s="121" t="s">
        <v>3537</v>
      </c>
      <c r="D92" s="121" t="s">
        <v>3562</v>
      </c>
      <c r="E92" s="121" t="s">
        <v>3408</v>
      </c>
      <c r="F92" s="121"/>
      <c r="G92" s="121"/>
      <c r="H92" s="142" t="str">
        <f>Settings!$B$3&amp;".mit.t2.col.p"</f>
        <v>egy.mit.t2.col.p</v>
      </c>
      <c r="I92" s="121"/>
      <c r="J92" s="121"/>
      <c r="K92" s="121"/>
      <c r="L92" s="143">
        <f t="shared" ref="L92:AE92" si="19">IF($D$15="-",0,L91-L74-L75)</f>
        <v>0</v>
      </c>
      <c r="M92" s="143">
        <f t="shared" si="19"/>
        <v>0</v>
      </c>
      <c r="N92" s="143">
        <f t="shared" si="19"/>
        <v>0</v>
      </c>
      <c r="O92" s="143">
        <f t="shared" si="19"/>
        <v>0</v>
      </c>
      <c r="P92" s="143">
        <f t="shared" si="19"/>
        <v>0</v>
      </c>
      <c r="Q92" s="143">
        <f t="shared" si="19"/>
        <v>0</v>
      </c>
      <c r="R92" s="143">
        <f t="shared" si="19"/>
        <v>0</v>
      </c>
      <c r="S92" s="143">
        <f t="shared" si="19"/>
        <v>0</v>
      </c>
      <c r="T92" s="143">
        <f t="shared" si="19"/>
        <v>0</v>
      </c>
      <c r="U92" s="143">
        <f t="shared" si="19"/>
        <v>0</v>
      </c>
      <c r="V92" s="143">
        <f t="shared" si="19"/>
        <v>0</v>
      </c>
      <c r="W92" s="143">
        <f t="shared" si="19"/>
        <v>0</v>
      </c>
      <c r="X92" s="143">
        <f t="shared" si="19"/>
        <v>0</v>
      </c>
      <c r="Y92" s="143">
        <f t="shared" si="19"/>
        <v>0</v>
      </c>
      <c r="Z92" s="143">
        <f t="shared" si="19"/>
        <v>0</v>
      </c>
      <c r="AA92" s="143">
        <f t="shared" si="19"/>
        <v>0</v>
      </c>
      <c r="AB92" s="143">
        <f t="shared" si="19"/>
        <v>0</v>
      </c>
      <c r="AC92" s="143">
        <f t="shared" si="19"/>
        <v>0</v>
      </c>
      <c r="AD92" s="143">
        <f t="shared" si="19"/>
        <v>0</v>
      </c>
      <c r="AE92" s="143">
        <f t="shared" si="19"/>
        <v>0</v>
      </c>
      <c r="AF92" s="121"/>
      <c r="AG92" s="121"/>
      <c r="AH92" s="121"/>
      <c r="AI92" s="121"/>
    </row>
    <row r="93" spans="2:35" x14ac:dyDescent="0.35">
      <c r="B93" s="112" t="s">
        <v>3563</v>
      </c>
      <c r="C93" s="112" t="s">
        <v>3537</v>
      </c>
      <c r="D93" s="112" t="s">
        <v>3564</v>
      </c>
      <c r="E93" s="112" t="s">
        <v>2068</v>
      </c>
      <c r="H93" s="116" t="str">
        <f>Settings!$B$3&amp;".mit.t2.col.denk"</f>
        <v>egy.mit.t2.col.denk</v>
      </c>
      <c r="L93" s="118">
        <f t="shared" ref="L93:AE93" si="20">IF($D$15="-",0,L51-L52+L65)</f>
        <v>0</v>
      </c>
      <c r="M93" s="118">
        <f t="shared" si="20"/>
        <v>0</v>
      </c>
      <c r="N93" s="118">
        <f t="shared" si="20"/>
        <v>0</v>
      </c>
      <c r="O93" s="118">
        <f t="shared" si="20"/>
        <v>0</v>
      </c>
      <c r="P93" s="118">
        <f t="shared" si="20"/>
        <v>0</v>
      </c>
      <c r="Q93" s="118">
        <f t="shared" si="20"/>
        <v>0</v>
      </c>
      <c r="R93" s="118">
        <f t="shared" si="20"/>
        <v>0</v>
      </c>
      <c r="S93" s="118">
        <f t="shared" si="20"/>
        <v>0</v>
      </c>
      <c r="T93" s="118">
        <f t="shared" si="20"/>
        <v>0</v>
      </c>
      <c r="U93" s="118">
        <f t="shared" si="20"/>
        <v>0</v>
      </c>
      <c r="V93" s="118">
        <f t="shared" si="20"/>
        <v>0</v>
      </c>
      <c r="W93" s="118">
        <f t="shared" si="20"/>
        <v>0</v>
      </c>
      <c r="X93" s="118">
        <f t="shared" si="20"/>
        <v>0</v>
      </c>
      <c r="Y93" s="118">
        <f t="shared" si="20"/>
        <v>0</v>
      </c>
      <c r="Z93" s="118">
        <f t="shared" si="20"/>
        <v>0</v>
      </c>
      <c r="AA93" s="118">
        <f t="shared" si="20"/>
        <v>0</v>
      </c>
      <c r="AB93" s="118">
        <f t="shared" si="20"/>
        <v>0</v>
      </c>
      <c r="AC93" s="118">
        <f t="shared" si="20"/>
        <v>0</v>
      </c>
      <c r="AD93" s="118">
        <f t="shared" si="20"/>
        <v>0</v>
      </c>
      <c r="AE93" s="118">
        <f t="shared" si="20"/>
        <v>0</v>
      </c>
    </row>
    <row r="94" spans="2:35" x14ac:dyDescent="0.35">
      <c r="B94" s="112" t="s">
        <v>3563</v>
      </c>
      <c r="C94" s="112" t="s">
        <v>3537</v>
      </c>
      <c r="D94" s="112" t="s">
        <v>3667</v>
      </c>
      <c r="E94" s="112" t="s">
        <v>3262</v>
      </c>
      <c r="H94" s="116" t="str">
        <f>Settings!$B$3&amp;".mit.t2.col.q"</f>
        <v>egy.mit.t2.col.q</v>
      </c>
      <c r="L94" s="118">
        <f t="shared" ref="L94:AE94" si="21">IF(L51+(1/L54-1)*L52=0,0,L48/L54*L93/(L51+(1/L54-1)*L52))</f>
        <v>0</v>
      </c>
      <c r="M94" s="118">
        <f t="shared" si="21"/>
        <v>0</v>
      </c>
      <c r="N94" s="118">
        <f t="shared" si="21"/>
        <v>0</v>
      </c>
      <c r="O94" s="118">
        <f t="shared" si="21"/>
        <v>0</v>
      </c>
      <c r="P94" s="118">
        <f t="shared" si="21"/>
        <v>0</v>
      </c>
      <c r="Q94" s="118">
        <f t="shared" si="21"/>
        <v>0</v>
      </c>
      <c r="R94" s="118">
        <f t="shared" si="21"/>
        <v>0</v>
      </c>
      <c r="S94" s="118">
        <f t="shared" si="21"/>
        <v>0</v>
      </c>
      <c r="T94" s="118">
        <f t="shared" si="21"/>
        <v>0</v>
      </c>
      <c r="U94" s="118">
        <f t="shared" si="21"/>
        <v>0</v>
      </c>
      <c r="V94" s="118">
        <f t="shared" si="21"/>
        <v>0</v>
      </c>
      <c r="W94" s="118">
        <f t="shared" si="21"/>
        <v>0</v>
      </c>
      <c r="X94" s="118">
        <f t="shared" si="21"/>
        <v>0</v>
      </c>
      <c r="Y94" s="118">
        <f t="shared" si="21"/>
        <v>0</v>
      </c>
      <c r="Z94" s="118">
        <f t="shared" si="21"/>
        <v>0</v>
      </c>
      <c r="AA94" s="118">
        <f t="shared" si="21"/>
        <v>0</v>
      </c>
      <c r="AB94" s="118">
        <f t="shared" si="21"/>
        <v>0</v>
      </c>
      <c r="AC94" s="118">
        <f t="shared" si="21"/>
        <v>0</v>
      </c>
      <c r="AD94" s="118">
        <f t="shared" si="21"/>
        <v>0</v>
      </c>
      <c r="AE94" s="118">
        <f t="shared" si="21"/>
        <v>0</v>
      </c>
    </row>
    <row r="95" spans="2:35" x14ac:dyDescent="0.35">
      <c r="B95" s="112" t="s">
        <v>3565</v>
      </c>
      <c r="C95" s="112" t="s">
        <v>3537</v>
      </c>
      <c r="D95" s="112" t="s">
        <v>3566</v>
      </c>
      <c r="E95" s="112" t="s">
        <v>84</v>
      </c>
      <c r="H95" s="116" t="str">
        <f>Settings!$B$3&amp;".mit.t2.col.r"</f>
        <v>egy.mit.t2.col.r</v>
      </c>
      <c r="L95" s="118">
        <f t="shared" ref="L95:AE95" si="22">IF(L46=0,0,100*L94/L46)</f>
        <v>0</v>
      </c>
      <c r="M95" s="118">
        <f t="shared" si="22"/>
        <v>0</v>
      </c>
      <c r="N95" s="118">
        <f t="shared" si="22"/>
        <v>0</v>
      </c>
      <c r="O95" s="118">
        <f t="shared" si="22"/>
        <v>0</v>
      </c>
      <c r="P95" s="118">
        <f t="shared" si="22"/>
        <v>0</v>
      </c>
      <c r="Q95" s="118">
        <f t="shared" si="22"/>
        <v>0</v>
      </c>
      <c r="R95" s="118">
        <f t="shared" si="22"/>
        <v>0</v>
      </c>
      <c r="S95" s="118">
        <f t="shared" si="22"/>
        <v>0</v>
      </c>
      <c r="T95" s="118">
        <f t="shared" si="22"/>
        <v>0</v>
      </c>
      <c r="U95" s="118">
        <f t="shared" si="22"/>
        <v>0</v>
      </c>
      <c r="V95" s="118">
        <f t="shared" si="22"/>
        <v>0</v>
      </c>
      <c r="W95" s="118">
        <f t="shared" si="22"/>
        <v>0</v>
      </c>
      <c r="X95" s="118">
        <f t="shared" si="22"/>
        <v>0</v>
      </c>
      <c r="Y95" s="118">
        <f t="shared" si="22"/>
        <v>0</v>
      </c>
      <c r="Z95" s="118">
        <f t="shared" si="22"/>
        <v>0</v>
      </c>
      <c r="AA95" s="118">
        <f t="shared" si="22"/>
        <v>0</v>
      </c>
      <c r="AB95" s="118">
        <f t="shared" si="22"/>
        <v>0</v>
      </c>
      <c r="AC95" s="118">
        <f t="shared" si="22"/>
        <v>0</v>
      </c>
      <c r="AD95" s="118">
        <f t="shared" si="22"/>
        <v>0</v>
      </c>
      <c r="AE95" s="118">
        <f t="shared" si="22"/>
        <v>0</v>
      </c>
    </row>
    <row r="96" spans="2:35" x14ac:dyDescent="0.35">
      <c r="B96" s="112" t="s">
        <v>3567</v>
      </c>
      <c r="C96" s="112" t="s">
        <v>3537</v>
      </c>
      <c r="D96" s="112" t="s">
        <v>3668</v>
      </c>
      <c r="E96" s="112" t="s">
        <v>3408</v>
      </c>
      <c r="H96" s="116" t="str">
        <f>Settings!$B$3&amp;".mit.t2.col.ar"</f>
        <v>egy.mit.t2.col.ar</v>
      </c>
      <c r="I96" s="112" t="s">
        <v>3568</v>
      </c>
      <c r="L96" s="118">
        <f t="shared" ref="L96:AE96" si="23">IF($D$15="-",0,L53-L47/L54+L92)</f>
        <v>0</v>
      </c>
      <c r="M96" s="118">
        <f t="shared" si="23"/>
        <v>0</v>
      </c>
      <c r="N96" s="118">
        <f t="shared" si="23"/>
        <v>0</v>
      </c>
      <c r="O96" s="118">
        <f t="shared" si="23"/>
        <v>0</v>
      </c>
      <c r="P96" s="118">
        <f t="shared" si="23"/>
        <v>0</v>
      </c>
      <c r="Q96" s="118">
        <f t="shared" si="23"/>
        <v>0</v>
      </c>
      <c r="R96" s="118">
        <f t="shared" si="23"/>
        <v>0</v>
      </c>
      <c r="S96" s="118">
        <f t="shared" si="23"/>
        <v>0</v>
      </c>
      <c r="T96" s="118">
        <f t="shared" si="23"/>
        <v>0</v>
      </c>
      <c r="U96" s="118">
        <f t="shared" si="23"/>
        <v>0</v>
      </c>
      <c r="V96" s="118">
        <f t="shared" si="23"/>
        <v>0</v>
      </c>
      <c r="W96" s="118">
        <f t="shared" si="23"/>
        <v>0</v>
      </c>
      <c r="X96" s="118">
        <f t="shared" si="23"/>
        <v>0</v>
      </c>
      <c r="Y96" s="118">
        <f t="shared" si="23"/>
        <v>0</v>
      </c>
      <c r="Z96" s="118">
        <f t="shared" si="23"/>
        <v>0</v>
      </c>
      <c r="AA96" s="118">
        <f t="shared" si="23"/>
        <v>0</v>
      </c>
      <c r="AB96" s="118">
        <f t="shared" si="23"/>
        <v>0</v>
      </c>
      <c r="AC96" s="118">
        <f t="shared" si="23"/>
        <v>0</v>
      </c>
      <c r="AD96" s="118">
        <f t="shared" si="23"/>
        <v>0</v>
      </c>
      <c r="AE96" s="118">
        <f t="shared" si="23"/>
        <v>0</v>
      </c>
    </row>
    <row r="99" spans="1:35" customFormat="1" ht="18" customHeight="1" x14ac:dyDescent="0.45">
      <c r="A99" s="8"/>
      <c r="B99" s="9" t="s">
        <v>3569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1" spans="1:35" customFormat="1" ht="69.75" x14ac:dyDescent="0.45">
      <c r="A101" s="11"/>
      <c r="B101" s="150" t="s">
        <v>1726</v>
      </c>
      <c r="C101" s="151" t="s">
        <v>3464</v>
      </c>
      <c r="D101" s="150" t="s">
        <v>3469</v>
      </c>
      <c r="E101" s="151" t="s">
        <v>1735</v>
      </c>
      <c r="F101" s="151" t="s">
        <v>3570</v>
      </c>
      <c r="G101" s="151" t="s">
        <v>3571</v>
      </c>
      <c r="H101" s="152" t="s">
        <v>3572</v>
      </c>
      <c r="I101" s="150" t="s">
        <v>3573</v>
      </c>
      <c r="J101" s="153" t="s">
        <v>3574</v>
      </c>
      <c r="K101" s="150" t="s">
        <v>3575</v>
      </c>
      <c r="L101" s="154" t="s">
        <v>3576</v>
      </c>
      <c r="M101" s="150" t="s">
        <v>3577</v>
      </c>
      <c r="N101" s="150" t="s">
        <v>3578</v>
      </c>
      <c r="O101" s="150" t="s">
        <v>3579</v>
      </c>
      <c r="P101" s="150" t="s">
        <v>3580</v>
      </c>
      <c r="Q101" s="150" t="s">
        <v>3581</v>
      </c>
      <c r="R101" s="150" t="s">
        <v>3675</v>
      </c>
      <c r="S101" s="150" t="s">
        <v>3582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9" x14ac:dyDescent="0.4">
      <c r="A102" s="112" t="s">
        <v>3583</v>
      </c>
      <c r="B102" s="121" t="str">
        <f>$D$14</f>
        <v>LEGACY</v>
      </c>
      <c r="C102" s="121" t="str">
        <f>$D$15</f>
        <v>-</v>
      </c>
      <c r="D102" s="121" t="str">
        <f>$D$16</f>
        <v>All sectors</v>
      </c>
      <c r="E102" s="121" t="str">
        <f>$D$18</f>
        <v>CPAT default</v>
      </c>
      <c r="F102" s="156">
        <f>INDEX($L$84:$AE$84,MATCH($D$19,$L$80:$AE$80,0))</f>
        <v>0</v>
      </c>
      <c r="G102" s="157">
        <f>INDEX($L$83:$AE$83,MATCH($D$19,$L$80:$AE$80,0))</f>
        <v>0</v>
      </c>
      <c r="H102" s="157">
        <f>INDEX($L$85:$AE$85,MATCH($D$19,$L$80:$AE$80,0))</f>
        <v>0</v>
      </c>
      <c r="I102" s="156">
        <f>INDEX($L$86:$AE$86,MATCH($D$19,$L$80:$AE$80,0))</f>
        <v>44.217443563732914</v>
      </c>
      <c r="J102" s="156">
        <f>INDEX($L$87:$AE$87,MATCH($D$19,$L$80:$AE$80,0))</f>
        <v>0</v>
      </c>
      <c r="K102" s="156">
        <f>INDEX($L$88:$AE$88,MATCH($D$19,$L$80:$AE$80,0))</f>
        <v>-53.410854810573127</v>
      </c>
      <c r="L102" s="157">
        <f>INDEX($L$92:$AE$92,MATCH($D$19,$L$80:$AE$80,0))</f>
        <v>0</v>
      </c>
      <c r="M102" s="158">
        <f>INDEX($L$94:$AE$94,MATCH($D$19,$L$80:$AE$80,0))</f>
        <v>0</v>
      </c>
      <c r="N102" s="157">
        <f>INDEX($L$95:$AE$95,MATCH($D$19,$L$80:$AE$80,0))</f>
        <v>0</v>
      </c>
      <c r="O102" s="156">
        <f>INDEX($L$89:$AE$89,MATCH($D$19,$L$80:$AE$80,0))</f>
        <v>0</v>
      </c>
      <c r="P102" s="156">
        <f>INDEX($L$90:$AE$90,MATCH($D$19,$L$80:$AE$80,0))</f>
        <v>0</v>
      </c>
      <c r="Q102" s="157">
        <f>INDEX($L$96:$AE$96,MATCH($D$19,$L$80:$AE$80,0))</f>
        <v>0</v>
      </c>
    </row>
    <row r="103" spans="1:35" x14ac:dyDescent="0.35">
      <c r="A103" s="112" t="s">
        <v>3584</v>
      </c>
      <c r="B103" s="112" t="s">
        <v>1741</v>
      </c>
      <c r="C103" s="114" t="s">
        <v>3260</v>
      </c>
      <c r="D103" s="114" t="s">
        <v>1740</v>
      </c>
      <c r="E103" s="114" t="s">
        <v>1743</v>
      </c>
      <c r="F103" s="159">
        <v>63.195774412258828</v>
      </c>
      <c r="G103" s="160">
        <v>-29.002049379749582</v>
      </c>
      <c r="H103" s="160">
        <v>-4.8812179595509573</v>
      </c>
      <c r="I103" s="159">
        <v>100</v>
      </c>
      <c r="J103" s="159">
        <v>-3.6267135628823777</v>
      </c>
      <c r="K103" s="159">
        <v>-42.92340738622439</v>
      </c>
      <c r="L103" s="160">
        <v>6.8869437409925442</v>
      </c>
      <c r="M103" s="161">
        <v>1421.0224808035136</v>
      </c>
      <c r="N103" s="160">
        <v>1.7193046433842465</v>
      </c>
      <c r="O103" s="159">
        <v>-9.5246603990637944</v>
      </c>
      <c r="P103" s="159">
        <v>-6.1198980072447178</v>
      </c>
      <c r="Q103" s="160">
        <v>11.086943740992544</v>
      </c>
      <c r="R103" s="114">
        <v>-31.35</v>
      </c>
      <c r="S103" s="155">
        <f t="shared" ref="S103:S108" si="24">G103-R103</f>
        <v>2.347950620250419</v>
      </c>
    </row>
    <row r="104" spans="1:35" x14ac:dyDescent="0.35">
      <c r="A104" s="112" t="s">
        <v>3584</v>
      </c>
      <c r="B104" s="112" t="s">
        <v>1744</v>
      </c>
      <c r="C104" s="114" t="s">
        <v>3260</v>
      </c>
      <c r="D104" s="114" t="s">
        <v>1740</v>
      </c>
      <c r="E104" s="114" t="s">
        <v>1743</v>
      </c>
      <c r="F104" s="159">
        <v>57.335110644342571</v>
      </c>
      <c r="G104" s="160">
        <v>-25.47248111524333</v>
      </c>
      <c r="H104" s="160">
        <v>-4.287170560466163</v>
      </c>
      <c r="I104" s="159">
        <v>44.212685103625091</v>
      </c>
      <c r="J104" s="159">
        <v>-1.1102230246251565E-14</v>
      </c>
      <c r="K104" s="159">
        <v>-21.623739355442527</v>
      </c>
      <c r="L104" s="160">
        <v>6.2790459619144041</v>
      </c>
      <c r="M104" s="161">
        <v>1420.861570378564</v>
      </c>
      <c r="N104" s="160">
        <v>1.7191099567803947</v>
      </c>
      <c r="O104" s="159">
        <v>-2.5843866899953705</v>
      </c>
      <c r="P104" s="159">
        <v>-2.5843866899953705</v>
      </c>
      <c r="Q104" s="160">
        <v>10.479045961914403</v>
      </c>
      <c r="R104" s="114">
        <v>-27.82</v>
      </c>
      <c r="S104" s="155">
        <f t="shared" si="24"/>
        <v>2.3475188847566706</v>
      </c>
    </row>
    <row r="105" spans="1:35" x14ac:dyDescent="0.35">
      <c r="A105" s="112" t="s">
        <v>3584</v>
      </c>
      <c r="B105" s="112" t="s">
        <v>1746</v>
      </c>
      <c r="C105" s="114" t="s">
        <v>3266</v>
      </c>
      <c r="D105" s="114" t="s">
        <v>1740</v>
      </c>
      <c r="E105" s="114" t="s">
        <v>1748</v>
      </c>
      <c r="F105" s="159">
        <v>57.335110644342571</v>
      </c>
      <c r="G105" s="160">
        <v>-26.706387630119149</v>
      </c>
      <c r="H105" s="160">
        <v>-4.4948443893723447</v>
      </c>
      <c r="I105" s="159">
        <v>44.212685103625091</v>
      </c>
      <c r="J105" s="159">
        <v>-1.1102230246251565E-14</v>
      </c>
      <c r="K105" s="159">
        <v>-21.623739355442527</v>
      </c>
      <c r="L105" s="160">
        <v>6.2447078316168874</v>
      </c>
      <c r="M105" s="161">
        <v>1473.1517241594549</v>
      </c>
      <c r="N105" s="160">
        <v>1.7823761650306167</v>
      </c>
      <c r="O105" s="159">
        <v>-2.5843866899953705</v>
      </c>
      <c r="P105" s="159">
        <v>-2.5843866899953705</v>
      </c>
      <c r="Q105" s="160">
        <v>10.674707831616885</v>
      </c>
      <c r="R105" s="114">
        <v>-29.34</v>
      </c>
      <c r="S105" s="155">
        <f t="shared" si="24"/>
        <v>2.6336123698808507</v>
      </c>
    </row>
    <row r="106" spans="1:35" x14ac:dyDescent="0.35">
      <c r="A106" s="112" t="s">
        <v>3584</v>
      </c>
      <c r="B106" s="112" t="s">
        <v>1749</v>
      </c>
      <c r="C106" s="114" t="s">
        <v>3269</v>
      </c>
      <c r="D106" s="114" t="s">
        <v>1751</v>
      </c>
      <c r="E106" s="114" t="s">
        <v>1748</v>
      </c>
      <c r="F106" s="159">
        <v>18.548286137026885</v>
      </c>
      <c r="G106" s="160">
        <v>-21.128593456322697</v>
      </c>
      <c r="H106" s="160">
        <v>-3.5560683484341986</v>
      </c>
      <c r="I106" s="159">
        <v>100</v>
      </c>
      <c r="J106" s="159">
        <v>-3.6267135628823777</v>
      </c>
      <c r="K106" s="159">
        <v>-42.92340738622439</v>
      </c>
      <c r="L106" s="160">
        <v>1.8782382507293389</v>
      </c>
      <c r="M106" s="161">
        <v>816.35690253982591</v>
      </c>
      <c r="N106" s="160">
        <v>0.98771569919278168</v>
      </c>
      <c r="O106" s="159">
        <v>-9.5246603990637944</v>
      </c>
      <c r="P106" s="159">
        <v>-6.1198980072447178</v>
      </c>
      <c r="Q106" s="160">
        <v>2.8375947175689644</v>
      </c>
      <c r="R106" s="114">
        <v>-25.07</v>
      </c>
      <c r="S106" s="155">
        <f t="shared" si="24"/>
        <v>3.9414065436773029</v>
      </c>
    </row>
    <row r="107" spans="1:35" x14ac:dyDescent="0.35">
      <c r="A107" s="112" t="s">
        <v>3584</v>
      </c>
      <c r="B107" s="112" t="s">
        <v>1752</v>
      </c>
      <c r="C107" s="114" t="s">
        <v>3269</v>
      </c>
      <c r="D107" s="114" t="s">
        <v>1751</v>
      </c>
      <c r="E107" s="114" t="s">
        <v>1754</v>
      </c>
      <c r="F107" s="159">
        <v>18.548286137026885</v>
      </c>
      <c r="G107" s="160">
        <v>-17.448010060389201</v>
      </c>
      <c r="H107" s="160">
        <v>-2.9366042016556602</v>
      </c>
      <c r="I107" s="159">
        <v>100</v>
      </c>
      <c r="J107" s="159">
        <v>-3.6456080040097483</v>
      </c>
      <c r="K107" s="159">
        <v>-2.8696581835748636</v>
      </c>
      <c r="L107" s="160">
        <v>0.98459223811734098</v>
      </c>
      <c r="M107" s="161">
        <v>745.87967521003213</v>
      </c>
      <c r="N107" s="160">
        <v>0.9024448285078609</v>
      </c>
      <c r="O107" s="159">
        <v>-3.6456080040097518</v>
      </c>
      <c r="P107" s="159">
        <v>0</v>
      </c>
      <c r="Q107" s="160">
        <v>1.9439487049569664</v>
      </c>
      <c r="R107" s="114">
        <v>-19.63</v>
      </c>
      <c r="S107" s="155">
        <f t="shared" si="24"/>
        <v>2.1819899396107978</v>
      </c>
    </row>
    <row r="108" spans="1:35" x14ac:dyDescent="0.35">
      <c r="A108" s="112" t="s">
        <v>3584</v>
      </c>
      <c r="B108" s="112" t="s">
        <v>1755</v>
      </c>
      <c r="C108" s="114" t="s">
        <v>3269</v>
      </c>
      <c r="D108" s="114" t="s">
        <v>1751</v>
      </c>
      <c r="E108" s="114" t="s">
        <v>1757</v>
      </c>
      <c r="F108" s="159">
        <v>18.548286137026885</v>
      </c>
      <c r="G108" s="160">
        <v>-32.883228353745039</v>
      </c>
      <c r="H108" s="160">
        <v>-5.5344435390276363</v>
      </c>
      <c r="I108" s="159">
        <v>100</v>
      </c>
      <c r="J108" s="159">
        <v>-21.115083156891799</v>
      </c>
      <c r="K108" s="159">
        <v>-51.925392087974572</v>
      </c>
      <c r="L108" s="160">
        <v>0.72663167124820072</v>
      </c>
      <c r="M108" s="161">
        <v>984.8812130495653</v>
      </c>
      <c r="N108" s="160">
        <v>1.1916143943201718</v>
      </c>
      <c r="O108" s="159">
        <v>-25.942759610789842</v>
      </c>
      <c r="P108" s="159">
        <v>-6.1198980072447178</v>
      </c>
      <c r="Q108" s="160">
        <v>1.6859881380878261</v>
      </c>
      <c r="R108" s="114">
        <v>-30.6</v>
      </c>
      <c r="S108" s="155">
        <f t="shared" si="24"/>
        <v>-2.283228353745038</v>
      </c>
    </row>
    <row r="110" spans="1:35" x14ac:dyDescent="0.35">
      <c r="B110" s="112" t="s">
        <v>3688</v>
      </c>
    </row>
    <row r="112" spans="1:35" ht="13.9" x14ac:dyDescent="0.4">
      <c r="B112" s="121" t="s">
        <v>3783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6DEA-AD39-4D93-A6E2-EF86317851B7}">
  <dimension ref="B1:W98"/>
  <sheetViews>
    <sheetView workbookViewId="0"/>
  </sheetViews>
  <sheetFormatPr defaultRowHeight="14.25" x14ac:dyDescent="0.45"/>
  <cols>
    <col min="2" max="2" width="58.59765625" customWidth="1"/>
    <col min="3" max="3" width="12.59765625" customWidth="1"/>
    <col min="4" max="5" width="14.59765625" customWidth="1"/>
    <col min="6" max="23" width="12.59765625" customWidth="1"/>
  </cols>
  <sheetData>
    <row r="1" spans="2:8" ht="16.899999999999999" x14ac:dyDescent="0.5">
      <c r="B1" s="164" t="s">
        <v>3829</v>
      </c>
    </row>
    <row r="2" spans="2:8" x14ac:dyDescent="0.45">
      <c r="B2" t="s">
        <v>3689</v>
      </c>
    </row>
    <row r="3" spans="2:8" x14ac:dyDescent="0.45">
      <c r="B3" t="s">
        <v>3789</v>
      </c>
    </row>
    <row r="5" spans="2:8" x14ac:dyDescent="0.45">
      <c r="B5" s="52" t="s">
        <v>3690</v>
      </c>
    </row>
    <row r="6" spans="2:8" x14ac:dyDescent="0.45">
      <c r="B6" t="s">
        <v>3468</v>
      </c>
      <c r="D6" s="165" t="str">
        <f>Table2_Industry!$D$14</f>
        <v>LEGACY</v>
      </c>
      <c r="G6" s="52" t="s">
        <v>1726</v>
      </c>
      <c r="H6" s="52" t="s">
        <v>3713</v>
      </c>
    </row>
    <row r="7" spans="2:8" x14ac:dyDescent="0.45">
      <c r="B7" t="s">
        <v>3464</v>
      </c>
      <c r="D7" s="165" t="str">
        <f>Table2_Industry!$D$15</f>
        <v>-</v>
      </c>
      <c r="E7" t="s">
        <v>3691</v>
      </c>
      <c r="G7" t="s">
        <v>1741</v>
      </c>
      <c r="H7" s="43">
        <v>-22.3</v>
      </c>
    </row>
    <row r="8" spans="2:8" x14ac:dyDescent="0.45">
      <c r="B8" t="s">
        <v>3469</v>
      </c>
      <c r="D8" s="165" t="str">
        <f>Table2_Industry!$D$16</f>
        <v>All sectors</v>
      </c>
      <c r="G8" t="s">
        <v>1744</v>
      </c>
      <c r="H8" s="43">
        <v>-10.5</v>
      </c>
    </row>
    <row r="9" spans="2:8" x14ac:dyDescent="0.45">
      <c r="B9" t="s">
        <v>3692</v>
      </c>
      <c r="D9" s="131">
        <f>Table2_Industry!$D$17</f>
        <v>0</v>
      </c>
      <c r="G9" t="s">
        <v>1746</v>
      </c>
      <c r="H9" s="43">
        <v>-10.5</v>
      </c>
    </row>
    <row r="10" spans="2:8" x14ac:dyDescent="0.45">
      <c r="B10" t="s">
        <v>1735</v>
      </c>
      <c r="D10" s="165" t="str">
        <f>Table2_Industry!$D$18</f>
        <v>CPAT default</v>
      </c>
      <c r="G10" t="s">
        <v>1749</v>
      </c>
      <c r="H10" s="43">
        <v>-22.3</v>
      </c>
    </row>
    <row r="11" spans="2:8" x14ac:dyDescent="0.45">
      <c r="B11" t="s">
        <v>3693</v>
      </c>
      <c r="D11" s="131">
        <f>IF(ISNUMBER(SEARCH("output-based",D10)),1,0)</f>
        <v>0</v>
      </c>
      <c r="E11" t="s">
        <v>3694</v>
      </c>
      <c r="G11" t="s">
        <v>1752</v>
      </c>
      <c r="H11" s="43">
        <v>-2.9</v>
      </c>
    </row>
    <row r="12" spans="2:8" x14ac:dyDescent="0.45">
      <c r="B12" t="s">
        <v>3695</v>
      </c>
      <c r="C12" t="s">
        <v>1852</v>
      </c>
      <c r="D12" s="145">
        <f>Table2_Industry!$T$25</f>
        <v>0</v>
      </c>
      <c r="G12" t="s">
        <v>1755</v>
      </c>
      <c r="H12" s="43">
        <v>-34.6</v>
      </c>
    </row>
    <row r="13" spans="2:8" x14ac:dyDescent="0.45">
      <c r="B13" t="s">
        <v>3696</v>
      </c>
      <c r="C13" t="s">
        <v>2068</v>
      </c>
      <c r="D13" s="145">
        <f>Table2_Industry!$T$29</f>
        <v>0</v>
      </c>
    </row>
    <row r="14" spans="2:8" x14ac:dyDescent="0.45">
      <c r="B14" t="s">
        <v>3697</v>
      </c>
      <c r="C14" t="s">
        <v>2068</v>
      </c>
      <c r="D14" s="145">
        <f>Table2_Industry!$T$31</f>
        <v>0</v>
      </c>
    </row>
    <row r="15" spans="2:8" x14ac:dyDescent="0.45">
      <c r="B15" t="s">
        <v>3698</v>
      </c>
      <c r="C15" t="s">
        <v>2068</v>
      </c>
      <c r="D15" s="145">
        <f>Table2_Industry!$T$32</f>
        <v>0</v>
      </c>
    </row>
    <row r="16" spans="2:8" x14ac:dyDescent="0.45">
      <c r="B16" t="s">
        <v>3699</v>
      </c>
      <c r="C16" t="s">
        <v>79</v>
      </c>
      <c r="D16" s="145">
        <f>Table2_Industry!$T$54</f>
        <v>1</v>
      </c>
    </row>
    <row r="17" spans="2:5" x14ac:dyDescent="0.45">
      <c r="B17" t="s">
        <v>3700</v>
      </c>
      <c r="C17" t="s">
        <v>16</v>
      </c>
      <c r="D17" s="145">
        <f>Table2_Industry!$T$71</f>
        <v>50</v>
      </c>
    </row>
    <row r="18" spans="2:5" x14ac:dyDescent="0.45">
      <c r="B18" t="s">
        <v>2003</v>
      </c>
      <c r="C18" t="s">
        <v>16</v>
      </c>
      <c r="D18" s="145">
        <f>'Manual inputs'!$T$79</f>
        <v>100</v>
      </c>
    </row>
    <row r="19" spans="2:5" x14ac:dyDescent="0.45">
      <c r="B19" t="s">
        <v>3701</v>
      </c>
      <c r="C19" t="s">
        <v>79</v>
      </c>
      <c r="D19" s="145">
        <f>'Manual inputs'!$T$81</f>
        <v>0.48499999999999999</v>
      </c>
    </row>
    <row r="20" spans="2:5" x14ac:dyDescent="0.45">
      <c r="B20" t="s">
        <v>3702</v>
      </c>
      <c r="C20" t="s">
        <v>79</v>
      </c>
      <c r="D20" s="166">
        <f>1/3</f>
        <v>0.33333333333333331</v>
      </c>
      <c r="E20" t="s">
        <v>3703</v>
      </c>
    </row>
    <row r="21" spans="2:5" x14ac:dyDescent="0.45">
      <c r="B21" t="s">
        <v>3704</v>
      </c>
      <c r="D21" s="165" t="str">
        <f>IF(D7="EG3","EG1",D7)</f>
        <v>-</v>
      </c>
      <c r="E21" t="s">
        <v>3705</v>
      </c>
    </row>
    <row r="22" spans="2:5" x14ac:dyDescent="0.45">
      <c r="B22" t="s">
        <v>3706</v>
      </c>
      <c r="C22" t="s">
        <v>2068</v>
      </c>
      <c r="D22" s="145" t="e">
        <f>INDEX(CPAT_National!$T$6:$T$133,MATCH(Table2_Industry!$G$31&amp;"|"&amp;D21,CPAT_National!$B$6:$B$133,0))</f>
        <v>#N/A</v>
      </c>
    </row>
    <row r="23" spans="2:5" x14ac:dyDescent="0.45">
      <c r="B23" t="s">
        <v>3707</v>
      </c>
      <c r="C23" t="s">
        <v>2068</v>
      </c>
      <c r="D23" s="145" t="e">
        <f>INDEX(CPAT_National!$T$6:$T$133,MATCH(Table2_Industry!$G$32&amp;"|"&amp;D21,CPAT_National!$B$6:$B$133,0))</f>
        <v>#N/A</v>
      </c>
    </row>
    <row r="24" spans="2:5" x14ac:dyDescent="0.45">
      <c r="B24" t="s">
        <v>3708</v>
      </c>
      <c r="C24" t="s">
        <v>87</v>
      </c>
      <c r="D24" s="145">
        <f>Emissions_Industry!$T$15/Emissions_Industry!$N$15</f>
        <v>1.2635446530457402</v>
      </c>
    </row>
    <row r="25" spans="2:5" x14ac:dyDescent="0.45">
      <c r="B25" t="s">
        <v>3709</v>
      </c>
      <c r="C25" t="s">
        <v>87</v>
      </c>
      <c r="D25" s="145">
        <f>Emissions_Industry!$T$27/Emissions_Industry!$N$27</f>
        <v>1.2161641007698121</v>
      </c>
    </row>
    <row r="26" spans="2:5" x14ac:dyDescent="0.45">
      <c r="B26" t="s">
        <v>3710</v>
      </c>
      <c r="C26" t="s">
        <v>87</v>
      </c>
      <c r="D26" s="145">
        <f>IPPU_Industry!$T$11/IPPU_Industry!$N$11</f>
        <v>1.3188619066129268</v>
      </c>
      <c r="E26" t="s">
        <v>3711</v>
      </c>
    </row>
    <row r="27" spans="2:5" x14ac:dyDescent="0.45">
      <c r="B27" t="s">
        <v>3712</v>
      </c>
      <c r="C27" t="s">
        <v>84</v>
      </c>
      <c r="D27" s="145" t="e">
        <f>INDEX($H$7:$H$12,MATCH(D6,$G$7:$G$12,0))</f>
        <v>#N/A</v>
      </c>
    </row>
    <row r="29" spans="2:5" x14ac:dyDescent="0.45">
      <c r="B29" s="52" t="s">
        <v>3714</v>
      </c>
    </row>
    <row r="30" spans="2:5" x14ac:dyDescent="0.45">
      <c r="B30" t="s">
        <v>3715</v>
      </c>
      <c r="C30" t="s">
        <v>79</v>
      </c>
      <c r="D30" s="19" t="e">
        <f>D15/D14-1</f>
        <v>#DIV/0!</v>
      </c>
      <c r="E30" t="s">
        <v>3716</v>
      </c>
    </row>
    <row r="31" spans="2:5" x14ac:dyDescent="0.45">
      <c r="B31" t="s">
        <v>3717</v>
      </c>
      <c r="C31" t="s">
        <v>79</v>
      </c>
      <c r="D31" s="19" t="e">
        <f>(D23/D22)^D20-1</f>
        <v>#N/A</v>
      </c>
    </row>
    <row r="32" spans="2:5" x14ac:dyDescent="0.45">
      <c r="B32" t="s">
        <v>3718</v>
      </c>
      <c r="C32" t="s">
        <v>79</v>
      </c>
      <c r="D32" s="19">
        <f>IF(D11=1,1,(D19*D18-D17)/(D19*D18))</f>
        <v>-3.0927835051546393E-2</v>
      </c>
    </row>
    <row r="33" spans="2:23" x14ac:dyDescent="0.45">
      <c r="B33" t="s">
        <v>3719</v>
      </c>
      <c r="C33" t="s">
        <v>79</v>
      </c>
      <c r="D33" s="19">
        <f>IF(D11=1,1,(D18-D17)/D18)</f>
        <v>0.5</v>
      </c>
    </row>
    <row r="35" spans="2:23" x14ac:dyDescent="0.45">
      <c r="B35" s="52" t="s">
        <v>3720</v>
      </c>
    </row>
    <row r="36" spans="2:23" ht="60" customHeight="1" x14ac:dyDescent="0.45">
      <c r="B36" s="167" t="s">
        <v>33</v>
      </c>
      <c r="C36" s="167" t="s">
        <v>34</v>
      </c>
      <c r="D36" s="167" t="s">
        <v>3721</v>
      </c>
      <c r="E36" s="52" t="s">
        <v>3722</v>
      </c>
      <c r="F36" s="167" t="s">
        <v>3723</v>
      </c>
      <c r="G36" s="167" t="s">
        <v>3724</v>
      </c>
      <c r="H36" s="167" t="s">
        <v>3725</v>
      </c>
      <c r="I36" s="167" t="s">
        <v>3726</v>
      </c>
      <c r="J36" s="167" t="s">
        <v>3727</v>
      </c>
      <c r="K36" s="167" t="s">
        <v>3728</v>
      </c>
      <c r="L36" s="167" t="s">
        <v>3729</v>
      </c>
      <c r="M36" s="167" t="s">
        <v>3730</v>
      </c>
      <c r="N36" s="167" t="s">
        <v>3731</v>
      </c>
      <c r="O36" s="167" t="s">
        <v>3732</v>
      </c>
      <c r="P36" s="167" t="s">
        <v>3733</v>
      </c>
      <c r="Q36" s="167" t="s">
        <v>3734</v>
      </c>
      <c r="R36" s="167" t="s">
        <v>3735</v>
      </c>
      <c r="S36" s="167" t="s">
        <v>3736</v>
      </c>
      <c r="T36" s="167" t="s">
        <v>3737</v>
      </c>
      <c r="U36" s="167" t="s">
        <v>3738</v>
      </c>
      <c r="V36" s="167" t="s">
        <v>3739</v>
      </c>
      <c r="W36" s="167" t="s">
        <v>3740</v>
      </c>
    </row>
    <row r="37" spans="2:23" x14ac:dyDescent="0.45">
      <c r="B37" t="s">
        <v>117</v>
      </c>
      <c r="C37" t="s">
        <v>3741</v>
      </c>
      <c r="D37">
        <v>374</v>
      </c>
      <c r="E37">
        <v>385</v>
      </c>
      <c r="F37" s="19">
        <f>Mitigation_Industry!N374+Mitigation_Industry!N385</f>
        <v>4.5030026999999997</v>
      </c>
      <c r="G37" s="19">
        <f>Mitigation_Industry!T374</f>
        <v>4.4511999700969529</v>
      </c>
      <c r="H37" s="19">
        <f>Mitigation_Industry!T385</f>
        <v>0.67986580794250906</v>
      </c>
      <c r="I37" s="19">
        <f>Mitigation_Industry!T773</f>
        <v>4.4511999700969529</v>
      </c>
      <c r="J37" s="19">
        <f>Mitigation_Industry!T784</f>
        <v>0.67986580794250906</v>
      </c>
      <c r="K37" s="19">
        <f>SUM(Mitigation_Industry!T280:T282)</f>
        <v>5908.1856777777657</v>
      </c>
      <c r="L37" s="19">
        <f>SUM(Mitigation_Industry!T679:T681)</f>
        <v>5908.1856777777657</v>
      </c>
      <c r="M37" s="19">
        <f>L37/K37-1</f>
        <v>0</v>
      </c>
      <c r="N37" s="19">
        <f>$D$26</f>
        <v>1.3188619066129268</v>
      </c>
      <c r="O37" s="19">
        <f>(G37+H37)/F37</f>
        <v>1.1394765048751718</v>
      </c>
      <c r="P37" s="19">
        <f>N37/O37</f>
        <v>1.1574279074384306</v>
      </c>
      <c r="Q37" s="19">
        <f>P37*G37</f>
        <v>5.1519430669793209</v>
      </c>
      <c r="R37" s="19">
        <f>P37*H37</f>
        <v>0.78689565942583617</v>
      </c>
      <c r="S37" s="19" t="e">
        <f>P37*(I37*(1+$D$31)-G37)</f>
        <v>#N/A</v>
      </c>
      <c r="T37" s="19">
        <f>P37*(J37-H37)</f>
        <v>0</v>
      </c>
      <c r="U37" s="19">
        <f>G37+H37</f>
        <v>5.1310657780394617</v>
      </c>
      <c r="V37" s="19" t="e">
        <f>(I37*(1+$D$31)+J37)/(1+M37)</f>
        <v>#N/A</v>
      </c>
      <c r="W37" s="19">
        <f>(I37+J37)/(1+M37)</f>
        <v>5.1310657780394617</v>
      </c>
    </row>
    <row r="38" spans="2:23" x14ac:dyDescent="0.45">
      <c r="B38" t="s">
        <v>43</v>
      </c>
      <c r="C38" t="s">
        <v>3742</v>
      </c>
      <c r="D38">
        <v>375</v>
      </c>
      <c r="E38">
        <v>386</v>
      </c>
      <c r="F38" s="19">
        <f>Mitigation_Industry!N375+Mitigation_Industry!N386</f>
        <v>3.5318816489999998</v>
      </c>
      <c r="G38" s="19">
        <f>Mitigation_Industry!T375</f>
        <v>4.0494599341595423</v>
      </c>
      <c r="H38" s="19">
        <f>Mitigation_Industry!T386</f>
        <v>0.52362359727935659</v>
      </c>
      <c r="I38" s="19">
        <f>Mitigation_Industry!T774</f>
        <v>4.0494599341595423</v>
      </c>
      <c r="J38" s="19">
        <f>Mitigation_Industry!T785</f>
        <v>0.52362359727935659</v>
      </c>
      <c r="K38" s="19">
        <f>SUM(Mitigation_Industry!T276:T278)</f>
        <v>12818.528892117214</v>
      </c>
      <c r="L38" s="19">
        <f>SUM(Mitigation_Industry!T675:T677)</f>
        <v>12818.528892117214</v>
      </c>
      <c r="M38" s="19">
        <f>L38/K38-1</f>
        <v>0</v>
      </c>
      <c r="N38" s="19">
        <f>$D$24</f>
        <v>1.2635446530457402</v>
      </c>
      <c r="O38" s="19">
        <f>(G38+H38)/F38</f>
        <v>1.2948008981936583</v>
      </c>
      <c r="P38" s="19">
        <f>N38/O38</f>
        <v>0.9758601919480262</v>
      </c>
      <c r="Q38" s="19">
        <f>P38*G38</f>
        <v>3.9517067486347726</v>
      </c>
      <c r="R38" s="19">
        <f>P38*H38</f>
        <v>0.51098342414954889</v>
      </c>
      <c r="S38" s="19" t="e">
        <f>P38*(I38*(1+$D$31)-G38)</f>
        <v>#N/A</v>
      </c>
      <c r="T38" s="19">
        <f>P38*(J38-H38)</f>
        <v>0</v>
      </c>
      <c r="U38" s="19">
        <f>G38+H38</f>
        <v>4.5730835314388987</v>
      </c>
      <c r="V38" s="19" t="e">
        <f>(I38*(1+$D$31)+J38)/(1+M38)</f>
        <v>#N/A</v>
      </c>
      <c r="W38" s="19">
        <f>(I38+J38)/(1+M38)</f>
        <v>4.5730835314388987</v>
      </c>
    </row>
    <row r="39" spans="2:23" x14ac:dyDescent="0.45">
      <c r="B39" t="s">
        <v>115</v>
      </c>
      <c r="C39" t="s">
        <v>3743</v>
      </c>
      <c r="D39">
        <v>376</v>
      </c>
      <c r="E39">
        <v>387</v>
      </c>
      <c r="F39" s="19">
        <f>Mitigation_Industry!N376+Mitigation_Industry!N387</f>
        <v>0.75627391200000005</v>
      </c>
      <c r="G39" s="19">
        <f>Mitigation_Industry!T376</f>
        <v>5.105303376316575E-2</v>
      </c>
      <c r="H39" s="19">
        <f>Mitigation_Industry!T387</f>
        <v>0.99172980973970914</v>
      </c>
      <c r="I39" s="19">
        <f>Mitigation_Industry!T775</f>
        <v>5.105303376316575E-2</v>
      </c>
      <c r="J39" s="19">
        <f>Mitigation_Industry!T786</f>
        <v>0.99172980973970914</v>
      </c>
      <c r="K39" s="19">
        <f>SUM(Mitigation_Industry!T283:T283)</f>
        <v>413.65284202856708</v>
      </c>
      <c r="L39" s="19">
        <f>SUM(Mitigation_Industry!T682:T682)</f>
        <v>413.65284202856708</v>
      </c>
      <c r="M39" s="19">
        <f>L39/K39-1</f>
        <v>0</v>
      </c>
      <c r="N39" s="19">
        <f>$D$26</f>
        <v>1.3188619066129268</v>
      </c>
      <c r="O39" s="19">
        <f>(G39+H39)/F39</f>
        <v>1.3788428067618903</v>
      </c>
      <c r="P39" s="19">
        <f>N39/O39</f>
        <v>0.95649910210589983</v>
      </c>
      <c r="Q39" s="19">
        <f>P39*G39</f>
        <v>4.883218095425023E-2</v>
      </c>
      <c r="R39" s="19">
        <f>P39*H39</f>
        <v>0.94858867254768664</v>
      </c>
      <c r="S39" s="19" t="e">
        <f>P39*(I39*(1+$D$31)-G39)</f>
        <v>#N/A</v>
      </c>
      <c r="T39" s="19">
        <f>P39*(J39-H39)</f>
        <v>0</v>
      </c>
      <c r="U39" s="19">
        <f>G39+H39</f>
        <v>1.042782843502875</v>
      </c>
      <c r="V39" s="19" t="e">
        <f>(I39*(1+$D$31)+J39)/(1+M39)</f>
        <v>#N/A</v>
      </c>
      <c r="W39" s="19">
        <f>(I39+J39)/(1+M39)</f>
        <v>1.042782843502875</v>
      </c>
    </row>
    <row r="40" spans="2:23" x14ac:dyDescent="0.45">
      <c r="B40" t="s">
        <v>113</v>
      </c>
      <c r="C40" t="s">
        <v>3744</v>
      </c>
      <c r="D40">
        <v>378</v>
      </c>
      <c r="E40">
        <v>389</v>
      </c>
      <c r="F40" s="19">
        <f>Mitigation_Industry!N378+Mitigation_Industry!N389</f>
        <v>42.529733</v>
      </c>
      <c r="G40" s="19">
        <f>Mitigation_Industry!T378</f>
        <v>19.050411535897432</v>
      </c>
      <c r="H40" s="19">
        <f>Mitigation_Industry!T389</f>
        <v>32.626266201938975</v>
      </c>
      <c r="I40" s="19">
        <f>Mitigation_Industry!T777</f>
        <v>19.050411535897432</v>
      </c>
      <c r="J40" s="19">
        <f>Mitigation_Industry!T788</f>
        <v>32.626266201938975</v>
      </c>
      <c r="K40" s="19">
        <f>SUM(Mitigation_Industry!T279:T279)</f>
        <v>60753.588245941261</v>
      </c>
      <c r="L40" s="19">
        <f>SUM(Mitigation_Industry!T678:T678)</f>
        <v>60753.588245941261</v>
      </c>
      <c r="M40" s="19">
        <f>L40/K40-1</f>
        <v>0</v>
      </c>
      <c r="N40" s="19">
        <f>$D$25</f>
        <v>1.2161641007698121</v>
      </c>
      <c r="O40" s="19">
        <f>(G40+H40)/F40</f>
        <v>1.2150717649188254</v>
      </c>
      <c r="P40" s="19">
        <f>N40/O40</f>
        <v>1.0008989887531949</v>
      </c>
      <c r="Q40" s="19">
        <f>P40*G40</f>
        <v>19.067537641611938</v>
      </c>
      <c r="R40" s="19">
        <f>P40*H40</f>
        <v>32.655596848313266</v>
      </c>
      <c r="S40" s="19" t="e">
        <f>P40*(I40*(1+$D$31)-G40)</f>
        <v>#N/A</v>
      </c>
      <c r="T40" s="19">
        <f>P40*(J40-H40)</f>
        <v>0</v>
      </c>
      <c r="U40" s="19">
        <f>G40+H40</f>
        <v>51.676677737836407</v>
      </c>
      <c r="V40" s="19" t="e">
        <f>(I40*(1+$D$31)+J40)/(1+M40)</f>
        <v>#N/A</v>
      </c>
      <c r="W40" s="19">
        <f>(I40+J40)/(1+M40)</f>
        <v>51.676677737836407</v>
      </c>
    </row>
    <row r="41" spans="2:23" x14ac:dyDescent="0.45">
      <c r="B41" s="52" t="s">
        <v>111</v>
      </c>
      <c r="F41" s="19">
        <f t="shared" ref="F41:L41" si="0">SUM(F37:F40)</f>
        <v>51.320891261</v>
      </c>
      <c r="G41" s="19">
        <f t="shared" si="0"/>
        <v>27.602124473917094</v>
      </c>
      <c r="H41" s="19">
        <f t="shared" si="0"/>
        <v>34.821485416900551</v>
      </c>
      <c r="I41" s="19">
        <f t="shared" si="0"/>
        <v>27.602124473917094</v>
      </c>
      <c r="J41" s="19">
        <f t="shared" si="0"/>
        <v>34.821485416900551</v>
      </c>
      <c r="K41" s="19">
        <f t="shared" si="0"/>
        <v>79893.955657864804</v>
      </c>
      <c r="L41" s="19">
        <f t="shared" si="0"/>
        <v>79893.955657864804</v>
      </c>
      <c r="Q41" s="19">
        <f t="shared" ref="Q41:W41" si="1">SUM(Q37:Q40)</f>
        <v>28.220019638180283</v>
      </c>
      <c r="R41" s="19">
        <f t="shared" si="1"/>
        <v>34.90206460443634</v>
      </c>
      <c r="S41" s="19" t="e">
        <f t="shared" si="1"/>
        <v>#N/A</v>
      </c>
      <c r="T41" s="19">
        <f t="shared" si="1"/>
        <v>0</v>
      </c>
      <c r="U41" s="19">
        <f t="shared" si="1"/>
        <v>62.423609890817644</v>
      </c>
      <c r="V41" s="19" t="e">
        <f t="shared" si="1"/>
        <v>#N/A</v>
      </c>
      <c r="W41" s="19">
        <f t="shared" si="1"/>
        <v>62.423609890817644</v>
      </c>
    </row>
    <row r="43" spans="2:23" x14ac:dyDescent="0.45">
      <c r="B43" s="52" t="s">
        <v>3745</v>
      </c>
    </row>
    <row r="44" spans="2:23" x14ac:dyDescent="0.45">
      <c r="B44" t="s">
        <v>3746</v>
      </c>
      <c r="C44" t="s">
        <v>2068</v>
      </c>
      <c r="D44" s="145">
        <f>Q41</f>
        <v>28.220019638180283</v>
      </c>
    </row>
    <row r="45" spans="2:23" x14ac:dyDescent="0.45">
      <c r="B45" t="s">
        <v>3747</v>
      </c>
      <c r="C45" t="s">
        <v>2068</v>
      </c>
      <c r="D45" s="145">
        <f>R41</f>
        <v>34.90206460443634</v>
      </c>
    </row>
    <row r="46" spans="2:23" x14ac:dyDescent="0.45">
      <c r="B46" t="s">
        <v>3748</v>
      </c>
      <c r="C46" t="s">
        <v>2068</v>
      </c>
      <c r="D46" s="145" t="e">
        <f>S41</f>
        <v>#N/A</v>
      </c>
    </row>
    <row r="47" spans="2:23" x14ac:dyDescent="0.45">
      <c r="B47" t="s">
        <v>3749</v>
      </c>
      <c r="C47" t="s">
        <v>2068</v>
      </c>
      <c r="D47" s="145">
        <f>T41</f>
        <v>0</v>
      </c>
    </row>
    <row r="48" spans="2:23" x14ac:dyDescent="0.45">
      <c r="B48" t="s">
        <v>3750</v>
      </c>
      <c r="C48" t="s">
        <v>2068</v>
      </c>
      <c r="D48" s="145" t="e">
        <f>D30*(D44+D45)</f>
        <v>#DIV/0!</v>
      </c>
    </row>
    <row r="49" spans="2:5" x14ac:dyDescent="0.45">
      <c r="B49" t="s">
        <v>3751</v>
      </c>
      <c r="C49" t="s">
        <v>2068</v>
      </c>
      <c r="D49" s="145" t="e">
        <f>D46-D30*D44</f>
        <v>#N/A</v>
      </c>
    </row>
    <row r="50" spans="2:5" x14ac:dyDescent="0.45">
      <c r="B50" t="s">
        <v>3752</v>
      </c>
      <c r="C50" t="s">
        <v>2068</v>
      </c>
      <c r="D50" s="145" t="e">
        <f>D47-D30*D45</f>
        <v>#DIV/0!</v>
      </c>
    </row>
    <row r="51" spans="2:5" x14ac:dyDescent="0.45">
      <c r="B51" t="s">
        <v>3753</v>
      </c>
      <c r="C51" t="s">
        <v>3754</v>
      </c>
      <c r="D51" s="145" t="e">
        <f>100*(V41-W41)/U41</f>
        <v>#N/A</v>
      </c>
    </row>
    <row r="52" spans="2:5" x14ac:dyDescent="0.45">
      <c r="B52" t="s">
        <v>3755</v>
      </c>
      <c r="C52" t="s">
        <v>3754</v>
      </c>
      <c r="D52" s="145">
        <f>100*(W41/U41-1)-Table2_Industry!$T$87</f>
        <v>0</v>
      </c>
      <c r="E52" t="s">
        <v>3756</v>
      </c>
    </row>
    <row r="54" spans="2:5" x14ac:dyDescent="0.45">
      <c r="B54" t="s">
        <v>3757</v>
      </c>
      <c r="C54" t="s">
        <v>1852</v>
      </c>
      <c r="D54" s="145">
        <f>Table2_Industry!$T$49</f>
        <v>0</v>
      </c>
    </row>
    <row r="55" spans="2:5" x14ac:dyDescent="0.45">
      <c r="B55" t="s">
        <v>3758</v>
      </c>
      <c r="C55" t="s">
        <v>3408</v>
      </c>
      <c r="D55" s="145">
        <f>Table2_Industry!$T$47</f>
        <v>0</v>
      </c>
    </row>
    <row r="56" spans="2:5" x14ac:dyDescent="0.45">
      <c r="B56" t="s">
        <v>3759</v>
      </c>
      <c r="C56" t="s">
        <v>3262</v>
      </c>
      <c r="D56" s="131">
        <f>Table2_Industry!$T$48</f>
        <v>0</v>
      </c>
    </row>
    <row r="57" spans="2:5" x14ac:dyDescent="0.45">
      <c r="B57" t="s">
        <v>3760</v>
      </c>
      <c r="C57" t="s">
        <v>2068</v>
      </c>
      <c r="D57" s="145">
        <f>Table2_Industry!$T$51</f>
        <v>0</v>
      </c>
    </row>
    <row r="58" spans="2:5" x14ac:dyDescent="0.45">
      <c r="B58" t="s">
        <v>3761</v>
      </c>
      <c r="C58" t="s">
        <v>3408</v>
      </c>
      <c r="D58" s="145">
        <f>Table2_Industry!$T$73</f>
        <v>0</v>
      </c>
    </row>
    <row r="59" spans="2:5" x14ac:dyDescent="0.45">
      <c r="B59" t="s">
        <v>3762</v>
      </c>
      <c r="C59" t="s">
        <v>3408</v>
      </c>
      <c r="D59" s="145">
        <f>Table2_Industry!$T$74</f>
        <v>0</v>
      </c>
    </row>
    <row r="60" spans="2:5" x14ac:dyDescent="0.45">
      <c r="B60" t="s">
        <v>3763</v>
      </c>
      <c r="C60" t="s">
        <v>3408</v>
      </c>
      <c r="D60" s="145">
        <f>Table2_Industry!$T$75</f>
        <v>0</v>
      </c>
    </row>
    <row r="61" spans="2:5" x14ac:dyDescent="0.45">
      <c r="B61" t="s">
        <v>3764</v>
      </c>
      <c r="C61" t="s">
        <v>84</v>
      </c>
      <c r="D61" s="145">
        <f>Table2_Industry!$T$87</f>
        <v>0</v>
      </c>
    </row>
    <row r="62" spans="2:5" x14ac:dyDescent="0.45">
      <c r="B62" t="s">
        <v>3765</v>
      </c>
      <c r="C62" t="s">
        <v>84</v>
      </c>
      <c r="D62" s="145">
        <f>Table2_Industry!$T$88</f>
        <v>-53.410854810573127</v>
      </c>
    </row>
    <row r="63" spans="2:5" x14ac:dyDescent="0.45">
      <c r="B63" t="s">
        <v>3766</v>
      </c>
      <c r="C63" t="s">
        <v>84</v>
      </c>
      <c r="D63" s="145">
        <f>Table2_Industry!$T$86</f>
        <v>44.217443563732914</v>
      </c>
    </row>
    <row r="65" spans="2:13" x14ac:dyDescent="0.45">
      <c r="B65" s="52" t="s">
        <v>3767</v>
      </c>
    </row>
    <row r="66" spans="2:13" x14ac:dyDescent="0.45">
      <c r="B66" t="s">
        <v>3570</v>
      </c>
      <c r="C66" t="s">
        <v>84</v>
      </c>
      <c r="D66" s="168" t="e">
        <f>100*(IF(D8="All sectors",D13,D16*D14)+IF(D9=1,D45,0))/D12</f>
        <v>#DIV/0!</v>
      </c>
      <c r="E66" t="s">
        <v>3768</v>
      </c>
    </row>
    <row r="67" spans="2:13" x14ac:dyDescent="0.45">
      <c r="B67" t="s">
        <v>3769</v>
      </c>
      <c r="C67" t="s">
        <v>1852</v>
      </c>
      <c r="D67" s="170" t="e">
        <f>D54+D49+D50+D96</f>
        <v>#N/A</v>
      </c>
      <c r="E67" t="s">
        <v>3826</v>
      </c>
    </row>
    <row r="68" spans="2:13" x14ac:dyDescent="0.45">
      <c r="B68" t="s">
        <v>3770</v>
      </c>
      <c r="C68" t="s">
        <v>84</v>
      </c>
      <c r="D68" s="170" t="e">
        <f>100*D67/D12</f>
        <v>#N/A</v>
      </c>
    </row>
    <row r="69" spans="2:13" x14ac:dyDescent="0.45">
      <c r="B69" t="s">
        <v>3573</v>
      </c>
      <c r="C69" t="s">
        <v>84</v>
      </c>
      <c r="D69" s="168">
        <f>D63</f>
        <v>44.217443563732914</v>
      </c>
      <c r="E69" t="s">
        <v>1160</v>
      </c>
    </row>
    <row r="70" spans="2:13" x14ac:dyDescent="0.45">
      <c r="B70" t="s">
        <v>3771</v>
      </c>
      <c r="C70" t="s">
        <v>84</v>
      </c>
      <c r="D70" s="170" t="e">
        <f>D61+D51</f>
        <v>#N/A</v>
      </c>
      <c r="E70" t="s">
        <v>3772</v>
      </c>
    </row>
    <row r="71" spans="2:13" x14ac:dyDescent="0.45">
      <c r="B71" t="s">
        <v>3790</v>
      </c>
      <c r="C71" t="s">
        <v>84</v>
      </c>
      <c r="D71" s="170" t="e">
        <f>D62+D32*D51</f>
        <v>#N/A</v>
      </c>
      <c r="E71" t="s">
        <v>3773</v>
      </c>
    </row>
    <row r="72" spans="2:13" x14ac:dyDescent="0.45">
      <c r="B72" t="s">
        <v>3774</v>
      </c>
      <c r="C72" t="s">
        <v>84</v>
      </c>
      <c r="D72" s="170" t="e">
        <f>D27+D33*D51</f>
        <v>#N/A</v>
      </c>
      <c r="E72" t="s">
        <v>3775</v>
      </c>
    </row>
    <row r="73" spans="2:13" x14ac:dyDescent="0.45">
      <c r="B73" t="s">
        <v>3576</v>
      </c>
      <c r="C73" t="s">
        <v>3408</v>
      </c>
      <c r="D73" s="170" t="e">
        <f>D55+D17*D49/1000+D58-D59-D60-D98</f>
        <v>#N/A</v>
      </c>
      <c r="E73" t="s">
        <v>3827</v>
      </c>
    </row>
    <row r="74" spans="2:13" x14ac:dyDescent="0.45">
      <c r="B74" t="s">
        <v>3577</v>
      </c>
      <c r="C74" t="s">
        <v>3262</v>
      </c>
      <c r="D74" s="168" t="e">
        <f>D56*(D57+D49+D97)/D57</f>
        <v>#N/A</v>
      </c>
      <c r="E74" t="s">
        <v>3828</v>
      </c>
    </row>
    <row r="75" spans="2:13" x14ac:dyDescent="0.45">
      <c r="B75" t="s">
        <v>3776</v>
      </c>
      <c r="C75" t="s">
        <v>84</v>
      </c>
      <c r="D75" s="170" t="e">
        <f>100*(D46+D47)/(D44+D45)</f>
        <v>#N/A</v>
      </c>
    </row>
    <row r="78" spans="2:13" x14ac:dyDescent="0.45">
      <c r="B78" s="52" t="s">
        <v>3831</v>
      </c>
      <c r="M78" t="s">
        <v>3792</v>
      </c>
    </row>
    <row r="79" spans="2:13" x14ac:dyDescent="0.45">
      <c r="B79" s="52" t="s">
        <v>1726</v>
      </c>
      <c r="C79" s="52" t="s">
        <v>3542</v>
      </c>
      <c r="D79" s="52" t="s">
        <v>3540</v>
      </c>
      <c r="E79" s="52" t="s">
        <v>3544</v>
      </c>
      <c r="F79" s="52" t="s">
        <v>3546</v>
      </c>
      <c r="G79" s="52" t="s">
        <v>3549</v>
      </c>
      <c r="H79" s="52" t="s">
        <v>3552</v>
      </c>
      <c r="I79" s="52" t="s">
        <v>3777</v>
      </c>
      <c r="J79" s="52" t="s">
        <v>3561</v>
      </c>
      <c r="K79" s="52" t="s">
        <v>3563</v>
      </c>
      <c r="L79" s="52" t="s">
        <v>3555</v>
      </c>
      <c r="M79" s="52" t="s">
        <v>3791</v>
      </c>
    </row>
    <row r="80" spans="2:13" x14ac:dyDescent="0.45">
      <c r="B80" t="s">
        <v>1741</v>
      </c>
      <c r="C80" s="169">
        <v>63.209336136123014</v>
      </c>
      <c r="D80" s="169">
        <v>-37.389792301353275</v>
      </c>
      <c r="E80" s="169">
        <v>-6.2929251410998583</v>
      </c>
      <c r="F80" s="169">
        <v>100</v>
      </c>
      <c r="G80" s="169">
        <v>-5.7721191674164682</v>
      </c>
      <c r="H80" s="169">
        <v>-44.184109648682565</v>
      </c>
      <c r="I80" s="169">
        <v>-24.016324483627272</v>
      </c>
      <c r="J80" s="169">
        <v>6.8594937250370798</v>
      </c>
      <c r="K80" s="169">
        <v>1501.1341153516501</v>
      </c>
      <c r="L80" s="169">
        <v>-11.550384490597358</v>
      </c>
      <c r="M80">
        <v>-5.42</v>
      </c>
    </row>
    <row r="81" spans="2:13" x14ac:dyDescent="0.45">
      <c r="B81" t="s">
        <v>1744</v>
      </c>
      <c r="C81" s="169">
        <v>57.335110644342571</v>
      </c>
      <c r="D81" s="169">
        <v>-33.077154647427115</v>
      </c>
      <c r="E81" s="169">
        <v>-5.567082491370468</v>
      </c>
      <c r="F81" s="169">
        <v>44.212685103625091</v>
      </c>
      <c r="G81" s="169">
        <v>-2.1443870416018251</v>
      </c>
      <c r="H81" s="169">
        <v>-22.883843080919881</v>
      </c>
      <c r="I81" s="169">
        <v>-12.215509633281451</v>
      </c>
      <c r="J81" s="169">
        <v>6.2668866648981085</v>
      </c>
      <c r="K81" s="169">
        <v>1456.3479307694702</v>
      </c>
      <c r="L81" s="169">
        <v>-4.7181673963572184</v>
      </c>
      <c r="M81">
        <v>-2.5499999999999998</v>
      </c>
    </row>
    <row r="82" spans="2:13" x14ac:dyDescent="0.45">
      <c r="B82" t="s">
        <v>1746</v>
      </c>
      <c r="C82" s="169">
        <v>57.335110644342571</v>
      </c>
      <c r="D82" s="169">
        <v>-34.827655299254971</v>
      </c>
      <c r="E82" s="169">
        <v>-5.8617021959308619</v>
      </c>
      <c r="F82" s="169">
        <v>44.212685103625091</v>
      </c>
      <c r="G82" s="169">
        <v>-2.2593898397569312</v>
      </c>
      <c r="H82" s="169">
        <v>-22.951422044784223</v>
      </c>
      <c r="I82" s="169">
        <v>-12.307511871805536</v>
      </c>
      <c r="J82" s="169">
        <v>6.2294418069623259</v>
      </c>
      <c r="K82" s="169">
        <v>1517.1987207126515</v>
      </c>
      <c r="L82" s="169">
        <v>-4.8318297164994597</v>
      </c>
      <c r="M82">
        <v>-2.69</v>
      </c>
    </row>
    <row r="83" spans="2:13" x14ac:dyDescent="0.45">
      <c r="B83" t="s">
        <v>1749</v>
      </c>
      <c r="C83" s="169">
        <v>13.915632294034401</v>
      </c>
      <c r="D83" s="169">
        <v>-22.76631822644433</v>
      </c>
      <c r="E83" s="169">
        <v>-3.8317071991942071</v>
      </c>
      <c r="F83" s="169">
        <v>100</v>
      </c>
      <c r="G83" s="169">
        <v>-5.7721191674164682</v>
      </c>
      <c r="H83" s="169">
        <v>-44.184109648682565</v>
      </c>
      <c r="I83" s="169">
        <v>-24.016324483627272</v>
      </c>
      <c r="J83" s="169">
        <v>1.5352488618688684</v>
      </c>
      <c r="K83" s="169">
        <v>551.58950848201914</v>
      </c>
      <c r="L83" s="169">
        <v>-11.550384490597358</v>
      </c>
      <c r="M83">
        <v>-5.42</v>
      </c>
    </row>
    <row r="84" spans="2:13" x14ac:dyDescent="0.45">
      <c r="B84" t="s">
        <v>1752</v>
      </c>
      <c r="C84" s="169">
        <v>13.921208504910556</v>
      </c>
      <c r="D84" s="169">
        <v>-11.976031347226275</v>
      </c>
      <c r="E84" s="169">
        <v>-2.0156375341200419</v>
      </c>
      <c r="F84" s="169">
        <v>100</v>
      </c>
      <c r="G84" s="169">
        <v>-5.798414912468858</v>
      </c>
      <c r="H84" s="169">
        <v>-5.0224650920339737</v>
      </c>
      <c r="I84" s="169">
        <v>-5.0528069084591092</v>
      </c>
      <c r="J84" s="169">
        <v>0.31512739847496368</v>
      </c>
      <c r="K84" s="169">
        <v>329.75066741669281</v>
      </c>
      <c r="L84" s="169">
        <v>-5.8060076890201664</v>
      </c>
      <c r="M84">
        <v>-5.42</v>
      </c>
    </row>
    <row r="85" spans="2:13" x14ac:dyDescent="0.45">
      <c r="B85" t="s">
        <v>1755</v>
      </c>
      <c r="C85" s="169">
        <v>13.915632294034401</v>
      </c>
      <c r="D85" s="169">
        <v>-33.039563461624198</v>
      </c>
      <c r="E85" s="169">
        <v>-5.5607556705013836</v>
      </c>
      <c r="F85" s="169">
        <v>100</v>
      </c>
      <c r="G85" s="169">
        <v>-23.071731175222151</v>
      </c>
      <c r="H85" s="169">
        <v>-53.075174944106841</v>
      </c>
      <c r="I85" s="169">
        <v>-36.165318414664284</v>
      </c>
      <c r="J85" s="169">
        <v>0.4060502367633877</v>
      </c>
      <c r="K85" s="169">
        <v>646.30920346902712</v>
      </c>
      <c r="L85" s="169">
        <v>-27.825584806862715</v>
      </c>
      <c r="M85">
        <v>-20.74</v>
      </c>
    </row>
    <row r="86" spans="2:13" x14ac:dyDescent="0.45">
      <c r="B86" t="s">
        <v>3583</v>
      </c>
      <c r="C86" s="169" t="e">
        <f>D66</f>
        <v>#DIV/0!</v>
      </c>
      <c r="D86" s="169" t="e">
        <f>D67</f>
        <v>#N/A</v>
      </c>
      <c r="E86" s="169" t="e">
        <f>D68</f>
        <v>#N/A</v>
      </c>
      <c r="F86" s="169">
        <f>D69</f>
        <v>44.217443563732914</v>
      </c>
      <c r="G86" s="169" t="e">
        <f>D70</f>
        <v>#N/A</v>
      </c>
      <c r="H86" s="169" t="e">
        <f>D71</f>
        <v>#N/A</v>
      </c>
      <c r="I86" s="169" t="e">
        <f>D72</f>
        <v>#N/A</v>
      </c>
      <c r="J86" s="169" t="e">
        <f>D73</f>
        <v>#N/A</v>
      </c>
      <c r="K86" s="169" t="e">
        <f>D74</f>
        <v>#N/A</v>
      </c>
      <c r="L86" s="169" t="e">
        <f>D75</f>
        <v>#N/A</v>
      </c>
    </row>
    <row r="87" spans="2:13" x14ac:dyDescent="0.45">
      <c r="B87" t="s">
        <v>3778</v>
      </c>
      <c r="C87" s="145" t="str">
        <f t="shared" ref="C87:L87" si="2">IFERROR(C86-INDEX(C$80:C$85,MATCH($D$6,$B$80:$B$85,0)),"n/a")</f>
        <v>n/a</v>
      </c>
      <c r="D87" s="145" t="str">
        <f t="shared" si="2"/>
        <v>n/a</v>
      </c>
      <c r="E87" s="145" t="str">
        <f t="shared" si="2"/>
        <v>n/a</v>
      </c>
      <c r="F87" s="145" t="str">
        <f t="shared" si="2"/>
        <v>n/a</v>
      </c>
      <c r="G87" s="145" t="str">
        <f t="shared" si="2"/>
        <v>n/a</v>
      </c>
      <c r="H87" s="145" t="str">
        <f t="shared" si="2"/>
        <v>n/a</v>
      </c>
      <c r="I87" s="145" t="str">
        <f t="shared" si="2"/>
        <v>n/a</v>
      </c>
      <c r="J87" s="145" t="str">
        <f t="shared" si="2"/>
        <v>n/a</v>
      </c>
      <c r="K87" s="145" t="str">
        <f t="shared" si="2"/>
        <v>n/a</v>
      </c>
      <c r="L87" s="145" t="str">
        <f t="shared" si="2"/>
        <v>n/a</v>
      </c>
    </row>
    <row r="88" spans="2:13" x14ac:dyDescent="0.45">
      <c r="B88" t="s">
        <v>3779</v>
      </c>
      <c r="D88" s="89" t="str">
        <f>IFERROR(MAX(INDEX(ABS(C87:L87),0)),"n/a")</f>
        <v>n/a</v>
      </c>
    </row>
    <row r="90" spans="2:13" x14ac:dyDescent="0.45">
      <c r="B90" t="s">
        <v>3830</v>
      </c>
    </row>
    <row r="92" spans="2:13" x14ac:dyDescent="0.45">
      <c r="B92" s="52" t="s">
        <v>3819</v>
      </c>
    </row>
    <row r="93" spans="2:13" x14ac:dyDescent="0.45">
      <c r="B93" t="s">
        <v>3820</v>
      </c>
      <c r="C93" t="s">
        <v>2842</v>
      </c>
      <c r="D93" s="176">
        <f>IF(AND(D11=1,'Manual inputs'!$E$112=1),1,0)</f>
        <v>0</v>
      </c>
    </row>
    <row r="94" spans="2:13" x14ac:dyDescent="0.45">
      <c r="B94" t="s">
        <v>3821</v>
      </c>
      <c r="C94" t="s">
        <v>1852</v>
      </c>
      <c r="D94" s="176">
        <f>Table2_Industry!$T$50</f>
        <v>0</v>
      </c>
    </row>
    <row r="95" spans="2:13" x14ac:dyDescent="0.45">
      <c r="B95" t="s">
        <v>3822</v>
      </c>
      <c r="C95" t="s">
        <v>1852</v>
      </c>
      <c r="D95" s="176" t="e">
        <f>(D15-D14)+D94-D30*(D44+D45)</f>
        <v>#DIV/0!</v>
      </c>
    </row>
    <row r="96" spans="2:13" x14ac:dyDescent="0.45">
      <c r="B96" t="s">
        <v>3823</v>
      </c>
      <c r="C96" t="s">
        <v>1852</v>
      </c>
      <c r="D96" s="176" t="e">
        <f>-(1-D20)*D95*D93</f>
        <v>#DIV/0!</v>
      </c>
    </row>
    <row r="97" spans="2:4" x14ac:dyDescent="0.45">
      <c r="B97" t="s">
        <v>3824</v>
      </c>
      <c r="C97" t="s">
        <v>2068</v>
      </c>
      <c r="D97" s="176" t="e">
        <f>-(1-D20)*((D15-D14)-D30*D44)*D93</f>
        <v>#DIV/0!</v>
      </c>
    </row>
    <row r="98" spans="2:4" x14ac:dyDescent="0.45">
      <c r="B98" t="s">
        <v>3825</v>
      </c>
      <c r="C98" t="s">
        <v>3408</v>
      </c>
      <c r="D98" s="176" t="e">
        <f>D93*D17*(D16*D15-(D44+D46))/1000</f>
        <v>#N/A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C1EA-6E8D-4BA0-988A-6BC8DC97B2C5}">
  <dimension ref="B1:L65"/>
  <sheetViews>
    <sheetView tabSelected="1" workbookViewId="0"/>
  </sheetViews>
  <sheetFormatPr defaultRowHeight="14.25" x14ac:dyDescent="0.45"/>
  <cols>
    <col min="2" max="2" width="62.59765625" customWidth="1"/>
    <col min="3" max="3" width="14.59765625" customWidth="1"/>
    <col min="4" max="12" width="13.59765625" customWidth="1"/>
  </cols>
  <sheetData>
    <row r="1" spans="2:10" ht="15.75" x14ac:dyDescent="0.5">
      <c r="B1" s="177" t="s">
        <v>3832</v>
      </c>
    </row>
    <row r="2" spans="2:10" x14ac:dyDescent="0.45">
      <c r="B2" t="s">
        <v>3833</v>
      </c>
    </row>
    <row r="4" spans="2:10" x14ac:dyDescent="0.45">
      <c r="B4" s="178" t="s">
        <v>3834</v>
      </c>
      <c r="C4" s="36"/>
      <c r="D4" s="36"/>
      <c r="E4" s="36"/>
      <c r="F4" s="36"/>
      <c r="G4" s="36"/>
      <c r="H4" s="36"/>
      <c r="I4" s="36"/>
      <c r="J4" s="36"/>
    </row>
    <row r="5" spans="2:10" x14ac:dyDescent="0.45">
      <c r="B5" s="52" t="s">
        <v>3835</v>
      </c>
      <c r="C5" s="52" t="s">
        <v>35</v>
      </c>
      <c r="D5" s="52" t="s">
        <v>1741</v>
      </c>
      <c r="E5" s="52" t="s">
        <v>1744</v>
      </c>
      <c r="F5" s="52" t="s">
        <v>1746</v>
      </c>
      <c r="G5" s="52" t="s">
        <v>1749</v>
      </c>
      <c r="H5" s="52" t="s">
        <v>1752</v>
      </c>
      <c r="I5" s="52" t="s">
        <v>1755</v>
      </c>
    </row>
    <row r="6" spans="2:10" x14ac:dyDescent="0.45">
      <c r="B6" t="s">
        <v>3836</v>
      </c>
      <c r="C6" t="s">
        <v>84</v>
      </c>
      <c r="D6" s="179">
        <f>INDEX(CarveOut_Table2!$C$80:$C$85,MATCH(D$5,CarveOut_Table2!$B$80:$B$85,0))</f>
        <v>63.209336136123014</v>
      </c>
      <c r="E6" s="179">
        <f>INDEX(CarveOut_Table2!$C$80:$C$85,MATCH(E$5,CarveOut_Table2!$B$80:$B$85,0))</f>
        <v>57.335110644342571</v>
      </c>
      <c r="F6" s="179">
        <f>INDEX(CarveOut_Table2!$C$80:$C$85,MATCH(F$5,CarveOut_Table2!$B$80:$B$85,0))</f>
        <v>57.335110644342571</v>
      </c>
      <c r="G6" s="179">
        <f>INDEX(CarveOut_Table2!$C$80:$C$85,MATCH(G$5,CarveOut_Table2!$B$80:$B$85,0))</f>
        <v>13.915632294034401</v>
      </c>
      <c r="H6" s="179">
        <f>INDEX(CarveOut_Table2!$C$80:$C$85,MATCH(H$5,CarveOut_Table2!$B$80:$B$85,0))</f>
        <v>13.921208504910556</v>
      </c>
      <c r="I6" s="179">
        <f>INDEX(CarveOut_Table2!$C$80:$C$85,MATCH(I$5,CarveOut_Table2!$B$80:$B$85,0))</f>
        <v>13.915632294034401</v>
      </c>
      <c r="J6" t="s">
        <v>36</v>
      </c>
    </row>
    <row r="7" spans="2:10" x14ac:dyDescent="0.45">
      <c r="B7" t="s">
        <v>3837</v>
      </c>
      <c r="C7" t="s">
        <v>3838</v>
      </c>
      <c r="D7" s="180">
        <f>INDEX(CarveOut_Table2!$J$80:$J$85,MATCH(D$5,CarveOut_Table2!$B$80:$B$85,0))</f>
        <v>6.8594937250370798</v>
      </c>
      <c r="E7" s="180">
        <f>INDEX(CarveOut_Table2!$J$80:$J$85,MATCH(E$5,CarveOut_Table2!$B$80:$B$85,0))</f>
        <v>6.2668866648981085</v>
      </c>
      <c r="F7" s="180">
        <f>INDEX(CarveOut_Table2!$J$80:$J$85,MATCH(F$5,CarveOut_Table2!$B$80:$B$85,0))</f>
        <v>6.2294418069623259</v>
      </c>
      <c r="G7" s="180">
        <f>INDEX(CarveOut_Table2!$J$80:$J$85,MATCH(G$5,CarveOut_Table2!$B$80:$B$85,0))</f>
        <v>1.5352488618688684</v>
      </c>
      <c r="H7" s="180">
        <f>INDEX(CarveOut_Table2!$J$80:$J$85,MATCH(H$5,CarveOut_Table2!$B$80:$B$85,0))</f>
        <v>0.31512739847496368</v>
      </c>
      <c r="I7" s="180">
        <f>INDEX(CarveOut_Table2!$J$80:$J$85,MATCH(I$5,CarveOut_Table2!$B$80:$B$85,0))</f>
        <v>0.4060502367633877</v>
      </c>
      <c r="J7" t="s">
        <v>3846</v>
      </c>
    </row>
    <row r="8" spans="2:10" x14ac:dyDescent="0.45">
      <c r="B8" t="s">
        <v>3839</v>
      </c>
      <c r="C8" t="s">
        <v>1852</v>
      </c>
      <c r="D8" s="180">
        <f>INDEX(CarveOut_Table2!$D$80:$D$85,MATCH(D$5,CarveOut_Table2!$B$80:$B$85,0))</f>
        <v>-37.389792301353275</v>
      </c>
      <c r="E8" s="180">
        <f>INDEX(CarveOut_Table2!$D$80:$D$85,MATCH(E$5,CarveOut_Table2!$B$80:$B$85,0))</f>
        <v>-33.077154647427115</v>
      </c>
      <c r="F8" s="180">
        <f>INDEX(CarveOut_Table2!$D$80:$D$85,MATCH(F$5,CarveOut_Table2!$B$80:$B$85,0))</f>
        <v>-34.827655299254971</v>
      </c>
      <c r="G8" s="180">
        <f>INDEX(CarveOut_Table2!$D$80:$D$85,MATCH(G$5,CarveOut_Table2!$B$80:$B$85,0))</f>
        <v>-22.76631822644433</v>
      </c>
      <c r="H8" s="180">
        <f>INDEX(CarveOut_Table2!$D$80:$D$85,MATCH(H$5,CarveOut_Table2!$B$80:$B$85,0))</f>
        <v>-11.976031347226275</v>
      </c>
      <c r="I8" s="180">
        <f>INDEX(CarveOut_Table2!$D$80:$D$85,MATCH(I$5,CarveOut_Table2!$B$80:$B$85,0))</f>
        <v>-33.039563461624198</v>
      </c>
    </row>
    <row r="9" spans="2:10" x14ac:dyDescent="0.45">
      <c r="B9" t="s">
        <v>3840</v>
      </c>
      <c r="C9" t="s">
        <v>84</v>
      </c>
      <c r="D9" s="180">
        <f>INDEX(CarveOut_Table2!$E$80:$E$85,MATCH(D$5,CarveOut_Table2!$B$80:$B$85,0))</f>
        <v>-6.2929251410998583</v>
      </c>
      <c r="E9" s="180">
        <f>INDEX(CarveOut_Table2!$E$80:$E$85,MATCH(E$5,CarveOut_Table2!$B$80:$B$85,0))</f>
        <v>-5.567082491370468</v>
      </c>
      <c r="F9" s="180">
        <f>INDEX(CarveOut_Table2!$E$80:$E$85,MATCH(F$5,CarveOut_Table2!$B$80:$B$85,0))</f>
        <v>-5.8617021959308619</v>
      </c>
      <c r="G9" s="180">
        <f>INDEX(CarveOut_Table2!$E$80:$E$85,MATCH(G$5,CarveOut_Table2!$B$80:$B$85,0))</f>
        <v>-3.8317071991942071</v>
      </c>
      <c r="H9" s="180">
        <f>INDEX(CarveOut_Table2!$E$80:$E$85,MATCH(H$5,CarveOut_Table2!$B$80:$B$85,0))</f>
        <v>-2.0156375341200419</v>
      </c>
      <c r="I9" s="180">
        <f>INDEX(CarveOut_Table2!$E$80:$E$85,MATCH(I$5,CarveOut_Table2!$B$80:$B$85,0))</f>
        <v>-5.5607556705013836</v>
      </c>
    </row>
    <row r="10" spans="2:10" x14ac:dyDescent="0.45">
      <c r="B10" t="s">
        <v>3841</v>
      </c>
      <c r="C10" t="s">
        <v>84</v>
      </c>
      <c r="D10" s="179">
        <f>INDEX(CarveOut_Table2!$F$80:$F$85,MATCH(D$5,CarveOut_Table2!$B$80:$B$85,0))</f>
        <v>100</v>
      </c>
      <c r="E10" s="179">
        <f>INDEX(CarveOut_Table2!$F$80:$F$85,MATCH(E$5,CarveOut_Table2!$B$80:$B$85,0))</f>
        <v>44.212685103625091</v>
      </c>
      <c r="F10" s="179">
        <f>INDEX(CarveOut_Table2!$F$80:$F$85,MATCH(F$5,CarveOut_Table2!$B$80:$B$85,0))</f>
        <v>44.212685103625091</v>
      </c>
      <c r="G10" s="179">
        <f>INDEX(CarveOut_Table2!$F$80:$F$85,MATCH(G$5,CarveOut_Table2!$B$80:$B$85,0))</f>
        <v>100</v>
      </c>
      <c r="H10" s="179">
        <f>INDEX(CarveOut_Table2!$F$80:$F$85,MATCH(H$5,CarveOut_Table2!$B$80:$B$85,0))</f>
        <v>100</v>
      </c>
      <c r="I10" s="179">
        <f>INDEX(CarveOut_Table2!$F$80:$F$85,MATCH(I$5,CarveOut_Table2!$B$80:$B$85,0))</f>
        <v>100</v>
      </c>
    </row>
    <row r="11" spans="2:10" x14ac:dyDescent="0.45">
      <c r="B11" t="s">
        <v>3842</v>
      </c>
      <c r="C11" t="s">
        <v>84</v>
      </c>
      <c r="D11" s="180">
        <f>INDEX(CarveOut_Table2!$G$80:$G$85,MATCH(D$5,CarveOut_Table2!$B$80:$B$85,0))</f>
        <v>-5.7721191674164682</v>
      </c>
      <c r="E11" s="180">
        <f>INDEX(CarveOut_Table2!$G$80:$G$85,MATCH(E$5,CarveOut_Table2!$B$80:$B$85,0))</f>
        <v>-2.1443870416018251</v>
      </c>
      <c r="F11" s="180">
        <f>INDEX(CarveOut_Table2!$G$80:$G$85,MATCH(F$5,CarveOut_Table2!$B$80:$B$85,0))</f>
        <v>-2.2593898397569312</v>
      </c>
      <c r="G11" s="180">
        <f>INDEX(CarveOut_Table2!$G$80:$G$85,MATCH(G$5,CarveOut_Table2!$B$80:$B$85,0))</f>
        <v>-5.7721191674164682</v>
      </c>
      <c r="H11" s="180">
        <f>INDEX(CarveOut_Table2!$G$80:$G$85,MATCH(H$5,CarveOut_Table2!$B$80:$B$85,0))</f>
        <v>-5.798414912468858</v>
      </c>
      <c r="I11" s="180">
        <f>INDEX(CarveOut_Table2!$G$80:$G$85,MATCH(I$5,CarveOut_Table2!$B$80:$B$85,0))</f>
        <v>-23.071731175222151</v>
      </c>
    </row>
    <row r="12" spans="2:10" x14ac:dyDescent="0.45">
      <c r="B12" t="s">
        <v>3843</v>
      </c>
      <c r="C12" t="s">
        <v>84</v>
      </c>
      <c r="D12" s="180">
        <f>INDEX(CarveOut_Table2!$M$80:$M$85,MATCH(D$5,CarveOut_Table2!$B$80:$B$85,0))</f>
        <v>-5.42</v>
      </c>
      <c r="E12" s="180">
        <f>INDEX(CarveOut_Table2!$M$80:$M$85,MATCH(E$5,CarveOut_Table2!$B$80:$B$85,0))</f>
        <v>-2.5499999999999998</v>
      </c>
      <c r="F12" s="180">
        <f>INDEX(CarveOut_Table2!$M$80:$M$85,MATCH(F$5,CarveOut_Table2!$B$80:$B$85,0))</f>
        <v>-2.69</v>
      </c>
      <c r="G12" s="180">
        <f>INDEX(CarveOut_Table2!$M$80:$M$85,MATCH(G$5,CarveOut_Table2!$B$80:$B$85,0))</f>
        <v>-5.42</v>
      </c>
      <c r="H12" s="180">
        <f>INDEX(CarveOut_Table2!$M$80:$M$85,MATCH(H$5,CarveOut_Table2!$B$80:$B$85,0))</f>
        <v>-5.42</v>
      </c>
      <c r="I12" s="180">
        <f>INDEX(CarveOut_Table2!$M$80:$M$85,MATCH(I$5,CarveOut_Table2!$B$80:$B$85,0))</f>
        <v>-20.74</v>
      </c>
    </row>
    <row r="13" spans="2:10" x14ac:dyDescent="0.45">
      <c r="B13" t="s">
        <v>3844</v>
      </c>
      <c r="C13" t="s">
        <v>84</v>
      </c>
      <c r="D13" s="180">
        <f>INDEX(CarveOut_Table2!$L$80:$L$85,MATCH(D$5,CarveOut_Table2!$B$80:$B$85,0))</f>
        <v>-11.550384490597358</v>
      </c>
      <c r="E13" s="180">
        <f>INDEX(CarveOut_Table2!$L$80:$L$85,MATCH(E$5,CarveOut_Table2!$B$80:$B$85,0))</f>
        <v>-4.7181673963572184</v>
      </c>
      <c r="F13" s="180">
        <f>INDEX(CarveOut_Table2!$L$80:$L$85,MATCH(F$5,CarveOut_Table2!$B$80:$B$85,0))</f>
        <v>-4.8318297164994597</v>
      </c>
      <c r="G13" s="180">
        <f>INDEX(CarveOut_Table2!$L$80:$L$85,MATCH(G$5,CarveOut_Table2!$B$80:$B$85,0))</f>
        <v>-11.550384490597358</v>
      </c>
      <c r="H13" s="180">
        <f>INDEX(CarveOut_Table2!$L$80:$L$85,MATCH(H$5,CarveOut_Table2!$B$80:$B$85,0))</f>
        <v>-5.8060076890201664</v>
      </c>
      <c r="I13" s="180">
        <f>INDEX(CarveOut_Table2!$L$80:$L$85,MATCH(I$5,CarveOut_Table2!$B$80:$B$85,0))</f>
        <v>-27.825584806862715</v>
      </c>
    </row>
    <row r="14" spans="2:10" x14ac:dyDescent="0.45">
      <c r="B14" t="s">
        <v>3845</v>
      </c>
      <c r="C14" t="s">
        <v>3262</v>
      </c>
      <c r="D14" s="179">
        <f>INDEX(CarveOut_Table2!$K$80:$K$85,MATCH(D$5,CarveOut_Table2!$B$80:$B$85,0))</f>
        <v>1501.1341153516501</v>
      </c>
      <c r="E14" s="179">
        <f>INDEX(CarveOut_Table2!$K$80:$K$85,MATCH(E$5,CarveOut_Table2!$B$80:$B$85,0))</f>
        <v>1456.3479307694702</v>
      </c>
      <c r="F14" s="179">
        <f>INDEX(CarveOut_Table2!$K$80:$K$85,MATCH(F$5,CarveOut_Table2!$B$80:$B$85,0))</f>
        <v>1517.1987207126515</v>
      </c>
      <c r="G14" s="179">
        <f>INDEX(CarveOut_Table2!$K$80:$K$85,MATCH(G$5,CarveOut_Table2!$B$80:$B$85,0))</f>
        <v>551.58950848201914</v>
      </c>
      <c r="H14" s="179">
        <f>INDEX(CarveOut_Table2!$K$80:$K$85,MATCH(H$5,CarveOut_Table2!$B$80:$B$85,0))</f>
        <v>329.75066741669281</v>
      </c>
      <c r="I14" s="179">
        <f>INDEX(CarveOut_Table2!$K$80:$K$85,MATCH(I$5,CarveOut_Table2!$B$80:$B$85,0))</f>
        <v>646.30920346902712</v>
      </c>
    </row>
    <row r="17" spans="2:10" x14ac:dyDescent="0.45">
      <c r="B17" s="178" t="s">
        <v>3847</v>
      </c>
      <c r="C17" s="36"/>
      <c r="D17" s="36"/>
      <c r="E17" s="36"/>
      <c r="F17" s="36"/>
      <c r="G17" s="36"/>
      <c r="H17" s="36"/>
      <c r="I17" s="36"/>
      <c r="J17" s="36"/>
    </row>
    <row r="18" spans="2:10" x14ac:dyDescent="0.45">
      <c r="B18" s="52" t="s">
        <v>3835</v>
      </c>
      <c r="C18" s="52" t="s">
        <v>35</v>
      </c>
      <c r="D18" s="52" t="s">
        <v>1741</v>
      </c>
      <c r="E18" s="52" t="s">
        <v>1744</v>
      </c>
      <c r="F18" s="52" t="s">
        <v>1746</v>
      </c>
      <c r="G18" s="52" t="s">
        <v>1749</v>
      </c>
      <c r="H18" s="52" t="s">
        <v>1752</v>
      </c>
      <c r="I18" s="52" t="s">
        <v>1755</v>
      </c>
    </row>
    <row r="19" spans="2:10" x14ac:dyDescent="0.45">
      <c r="B19" t="s">
        <v>3836</v>
      </c>
      <c r="C19" t="s">
        <v>84</v>
      </c>
      <c r="D19" s="181">
        <v>63</v>
      </c>
      <c r="E19" s="181">
        <v>57</v>
      </c>
      <c r="F19" s="181">
        <v>57</v>
      </c>
      <c r="G19" s="181">
        <v>14</v>
      </c>
      <c r="H19" s="181">
        <v>14</v>
      </c>
      <c r="I19" s="181">
        <v>14</v>
      </c>
    </row>
    <row r="20" spans="2:10" x14ac:dyDescent="0.45">
      <c r="B20" t="s">
        <v>3837</v>
      </c>
      <c r="C20" t="s">
        <v>3838</v>
      </c>
      <c r="D20" s="170">
        <v>6.9</v>
      </c>
      <c r="E20" s="170">
        <v>6.3</v>
      </c>
      <c r="F20" s="170">
        <v>6.2</v>
      </c>
      <c r="G20" s="170">
        <v>1.5</v>
      </c>
      <c r="H20" s="170">
        <v>0.3</v>
      </c>
      <c r="I20" s="170">
        <v>0.4</v>
      </c>
    </row>
    <row r="21" spans="2:10" x14ac:dyDescent="0.45">
      <c r="B21" t="s">
        <v>3839</v>
      </c>
      <c r="C21" t="s">
        <v>1852</v>
      </c>
      <c r="D21" s="170">
        <v>-37.4</v>
      </c>
      <c r="E21" s="170">
        <v>-33.1</v>
      </c>
      <c r="F21" s="170">
        <v>-34.799999999999997</v>
      </c>
      <c r="G21" s="170">
        <v>-22.8</v>
      </c>
      <c r="H21" s="170">
        <v>-12</v>
      </c>
      <c r="I21" s="170">
        <v>-33</v>
      </c>
    </row>
    <row r="22" spans="2:10" x14ac:dyDescent="0.45">
      <c r="B22" t="s">
        <v>3840</v>
      </c>
      <c r="C22" t="s">
        <v>84</v>
      </c>
      <c r="D22" s="170">
        <v>-6.3</v>
      </c>
      <c r="E22" s="170">
        <v>-5.6</v>
      </c>
      <c r="F22" s="170">
        <v>-5.9</v>
      </c>
      <c r="G22" s="170">
        <v>-3.8</v>
      </c>
      <c r="H22" s="170">
        <v>-2</v>
      </c>
      <c r="I22" s="170">
        <v>-5.6</v>
      </c>
    </row>
    <row r="23" spans="2:10" x14ac:dyDescent="0.45">
      <c r="B23" t="s">
        <v>3841</v>
      </c>
      <c r="C23" t="s">
        <v>84</v>
      </c>
      <c r="D23" s="181">
        <v>100</v>
      </c>
      <c r="E23" s="181">
        <v>44</v>
      </c>
      <c r="F23" s="181">
        <v>44</v>
      </c>
      <c r="G23" s="181">
        <v>100</v>
      </c>
      <c r="H23" s="181">
        <v>100</v>
      </c>
      <c r="I23" s="181">
        <v>100</v>
      </c>
    </row>
    <row r="24" spans="2:10" x14ac:dyDescent="0.45">
      <c r="B24" t="s">
        <v>3842</v>
      </c>
      <c r="C24" t="s">
        <v>84</v>
      </c>
      <c r="D24" s="170">
        <v>-5.8</v>
      </c>
      <c r="E24" s="170">
        <v>-2.1</v>
      </c>
      <c r="F24" s="170">
        <v>-2.2999999999999998</v>
      </c>
      <c r="G24" s="170">
        <v>-5.8</v>
      </c>
      <c r="H24" s="170">
        <v>-5.8</v>
      </c>
      <c r="I24" s="170">
        <v>-23.1</v>
      </c>
    </row>
    <row r="25" spans="2:10" x14ac:dyDescent="0.45">
      <c r="B25" t="s">
        <v>3843</v>
      </c>
      <c r="C25" t="s">
        <v>84</v>
      </c>
      <c r="D25" s="170">
        <v>-5.4</v>
      </c>
      <c r="E25" s="170">
        <v>-2.6</v>
      </c>
      <c r="F25" s="170">
        <v>-2.7</v>
      </c>
      <c r="G25" s="170">
        <v>-5.4</v>
      </c>
      <c r="H25" s="170">
        <v>-5.4</v>
      </c>
      <c r="I25" s="170">
        <v>-20.7</v>
      </c>
    </row>
    <row r="26" spans="2:10" x14ac:dyDescent="0.45">
      <c r="B26" t="s">
        <v>3844</v>
      </c>
      <c r="C26" t="s">
        <v>84</v>
      </c>
      <c r="D26" s="170">
        <v>-11.6</v>
      </c>
      <c r="E26" s="170">
        <v>-4.7</v>
      </c>
      <c r="F26" s="170">
        <v>-4.8</v>
      </c>
      <c r="G26" s="170">
        <v>-11.6</v>
      </c>
      <c r="H26" s="170">
        <v>-5.8</v>
      </c>
      <c r="I26" s="170">
        <v>-27.8</v>
      </c>
    </row>
    <row r="27" spans="2:10" x14ac:dyDescent="0.45">
      <c r="B27" t="s">
        <v>3845</v>
      </c>
      <c r="C27" t="s">
        <v>3262</v>
      </c>
      <c r="D27" s="181">
        <v>1501</v>
      </c>
      <c r="E27" s="181">
        <v>1456</v>
      </c>
      <c r="F27" s="181">
        <v>1517</v>
      </c>
      <c r="G27" s="181">
        <v>552</v>
      </c>
      <c r="H27" s="181">
        <v>330</v>
      </c>
      <c r="I27" s="181">
        <v>646</v>
      </c>
    </row>
    <row r="30" spans="2:10" x14ac:dyDescent="0.45">
      <c r="B30" s="178" t="s">
        <v>3848</v>
      </c>
      <c r="C30" s="36"/>
      <c r="D30" s="36"/>
      <c r="E30" s="36"/>
      <c r="F30" s="36"/>
      <c r="G30" s="36"/>
      <c r="H30" s="36"/>
      <c r="I30" s="36"/>
      <c r="J30" s="36"/>
    </row>
    <row r="31" spans="2:10" x14ac:dyDescent="0.45">
      <c r="B31" s="52" t="s">
        <v>3835</v>
      </c>
      <c r="C31" s="52" t="s">
        <v>35</v>
      </c>
      <c r="D31" s="52" t="s">
        <v>1741</v>
      </c>
      <c r="E31" s="52" t="s">
        <v>1744</v>
      </c>
      <c r="F31" s="52" t="s">
        <v>1746</v>
      </c>
      <c r="G31" s="52" t="s">
        <v>1749</v>
      </c>
      <c r="H31" s="52" t="s">
        <v>1752</v>
      </c>
      <c r="I31" s="52" t="s">
        <v>1755</v>
      </c>
    </row>
    <row r="32" spans="2:10" x14ac:dyDescent="0.45">
      <c r="B32" t="s">
        <v>3836</v>
      </c>
      <c r="C32" t="s">
        <v>3849</v>
      </c>
      <c r="D32" s="169">
        <f>ROUND(D6,0)-D19</f>
        <v>0</v>
      </c>
      <c r="E32" s="169">
        <f>ROUND(E6,0)-E19</f>
        <v>0</v>
      </c>
      <c r="F32" s="169">
        <f>ROUND(F6,0)-F19</f>
        <v>0</v>
      </c>
      <c r="G32" s="169">
        <f>ROUND(G6,0)-G19</f>
        <v>0</v>
      </c>
      <c r="H32" s="169">
        <f>ROUND(H6,0)-H19</f>
        <v>0</v>
      </c>
      <c r="I32" s="169">
        <f>ROUND(I6,0)-I19</f>
        <v>0</v>
      </c>
    </row>
    <row r="33" spans="2:10" x14ac:dyDescent="0.45">
      <c r="B33" t="s">
        <v>3837</v>
      </c>
      <c r="C33" t="s">
        <v>3850</v>
      </c>
      <c r="D33" s="169">
        <f>ROUND(D7,1)-D20</f>
        <v>0</v>
      </c>
      <c r="E33" s="169">
        <f>ROUND(E7,1)-E20</f>
        <v>0</v>
      </c>
      <c r="F33" s="169">
        <f>ROUND(F7,1)-F20</f>
        <v>0</v>
      </c>
      <c r="G33" s="169">
        <f>ROUND(G7,1)-G20</f>
        <v>0</v>
      </c>
      <c r="H33" s="169">
        <f>ROUND(H7,1)-H20</f>
        <v>0</v>
      </c>
      <c r="I33" s="169">
        <f>ROUND(I7,1)-I20</f>
        <v>0</v>
      </c>
    </row>
    <row r="34" spans="2:10" x14ac:dyDescent="0.45">
      <c r="B34" t="s">
        <v>3839</v>
      </c>
      <c r="C34" t="s">
        <v>3850</v>
      </c>
      <c r="D34" s="169">
        <f>ROUND(D8,1)-D21</f>
        <v>0</v>
      </c>
      <c r="E34" s="169">
        <f>ROUND(E8,1)-E21</f>
        <v>0</v>
      </c>
      <c r="F34" s="169">
        <f>ROUND(F8,1)-F21</f>
        <v>0</v>
      </c>
      <c r="G34" s="169">
        <f>ROUND(G8,1)-G21</f>
        <v>0</v>
      </c>
      <c r="H34" s="169">
        <f>ROUND(H8,1)-H21</f>
        <v>0</v>
      </c>
      <c r="I34" s="169">
        <f>ROUND(I8,1)-I21</f>
        <v>0</v>
      </c>
    </row>
    <row r="35" spans="2:10" x14ac:dyDescent="0.45">
      <c r="B35" t="s">
        <v>3840</v>
      </c>
      <c r="C35" t="s">
        <v>3850</v>
      </c>
      <c r="D35" s="169">
        <f>ROUND(D9,1)-D22</f>
        <v>0</v>
      </c>
      <c r="E35" s="169">
        <f>ROUND(E9,1)-E22</f>
        <v>0</v>
      </c>
      <c r="F35" s="169">
        <f>ROUND(F9,1)-F22</f>
        <v>0</v>
      </c>
      <c r="G35" s="169">
        <f>ROUND(G9,1)-G22</f>
        <v>0</v>
      </c>
      <c r="H35" s="169">
        <f>ROUND(H9,1)-H22</f>
        <v>0</v>
      </c>
      <c r="I35" s="169">
        <f>ROUND(I9,1)-I22</f>
        <v>0</v>
      </c>
    </row>
    <row r="36" spans="2:10" x14ac:dyDescent="0.45">
      <c r="B36" t="s">
        <v>3841</v>
      </c>
      <c r="C36" t="s">
        <v>3849</v>
      </c>
      <c r="D36" s="169">
        <f>ROUND(D10,0)-D23</f>
        <v>0</v>
      </c>
      <c r="E36" s="169">
        <f>ROUND(E10,0)-E23</f>
        <v>0</v>
      </c>
      <c r="F36" s="169">
        <f>ROUND(F10,0)-F23</f>
        <v>0</v>
      </c>
      <c r="G36" s="169">
        <f>ROUND(G10,0)-G23</f>
        <v>0</v>
      </c>
      <c r="H36" s="169">
        <f>ROUND(H10,0)-H23</f>
        <v>0</v>
      </c>
      <c r="I36" s="169">
        <f>ROUND(I10,0)-I23</f>
        <v>0</v>
      </c>
    </row>
    <row r="37" spans="2:10" x14ac:dyDescent="0.45">
      <c r="B37" t="s">
        <v>3842</v>
      </c>
      <c r="C37" t="s">
        <v>3850</v>
      </c>
      <c r="D37" s="169">
        <f>ROUND(D11,1)-D24</f>
        <v>0</v>
      </c>
      <c r="E37" s="169">
        <f>ROUND(E11,1)-E24</f>
        <v>0</v>
      </c>
      <c r="F37" s="169">
        <f>ROUND(F11,1)-F24</f>
        <v>0</v>
      </c>
      <c r="G37" s="169">
        <f>ROUND(G11,1)-G24</f>
        <v>0</v>
      </c>
      <c r="H37" s="169">
        <f>ROUND(H11,1)-H24</f>
        <v>0</v>
      </c>
      <c r="I37" s="169">
        <f>ROUND(I11,1)-I24</f>
        <v>0</v>
      </c>
    </row>
    <row r="38" spans="2:10" x14ac:dyDescent="0.45">
      <c r="B38" t="s">
        <v>3843</v>
      </c>
      <c r="C38" t="s">
        <v>3850</v>
      </c>
      <c r="D38" s="169">
        <f>ROUND(D12,1)-D25</f>
        <v>0</v>
      </c>
      <c r="E38" s="169">
        <f>ROUND(E12,1)-E25</f>
        <v>0</v>
      </c>
      <c r="F38" s="169">
        <f>ROUND(F12,1)-F25</f>
        <v>0</v>
      </c>
      <c r="G38" s="169">
        <f>ROUND(G12,1)-G25</f>
        <v>0</v>
      </c>
      <c r="H38" s="169">
        <f>ROUND(H12,1)-H25</f>
        <v>0</v>
      </c>
      <c r="I38" s="169">
        <f>ROUND(I12,1)-I25</f>
        <v>0</v>
      </c>
    </row>
    <row r="39" spans="2:10" x14ac:dyDescent="0.45">
      <c r="B39" t="s">
        <v>3844</v>
      </c>
      <c r="C39" t="s">
        <v>3850</v>
      </c>
      <c r="D39" s="169">
        <f>ROUND(D13,1)-D26</f>
        <v>0</v>
      </c>
      <c r="E39" s="169">
        <f>ROUND(E13,1)-E26</f>
        <v>0</v>
      </c>
      <c r="F39" s="169">
        <f>ROUND(F13,1)-F26</f>
        <v>0</v>
      </c>
      <c r="G39" s="169">
        <f>ROUND(G13,1)-G26</f>
        <v>0</v>
      </c>
      <c r="H39" s="169">
        <f>ROUND(H13,1)-H26</f>
        <v>0</v>
      </c>
      <c r="I39" s="169">
        <f>ROUND(I13,1)-I26</f>
        <v>0</v>
      </c>
    </row>
    <row r="40" spans="2:10" x14ac:dyDescent="0.45">
      <c r="B40" t="s">
        <v>3845</v>
      </c>
      <c r="C40" t="s">
        <v>3849</v>
      </c>
      <c r="D40" s="169">
        <f>ROUND(D14,0)-D27</f>
        <v>0</v>
      </c>
      <c r="E40" s="169">
        <f>ROUND(E14,0)-E27</f>
        <v>0</v>
      </c>
      <c r="F40" s="169">
        <f>ROUND(F14,0)-F27</f>
        <v>0</v>
      </c>
      <c r="G40" s="169">
        <f>ROUND(G14,0)-G27</f>
        <v>0</v>
      </c>
      <c r="H40" s="169">
        <f>ROUND(H14,0)-H27</f>
        <v>0</v>
      </c>
      <c r="I40" s="169">
        <f>ROUND(I14,0)-I27</f>
        <v>0</v>
      </c>
    </row>
    <row r="42" spans="2:10" x14ac:dyDescent="0.45">
      <c r="B42" s="52" t="s">
        <v>3851</v>
      </c>
      <c r="D42" s="89">
        <f>SUMPRODUCT(--(ABS(D32:I40)&gt;0.00001))</f>
        <v>0</v>
      </c>
    </row>
    <row r="45" spans="2:10" x14ac:dyDescent="0.45">
      <c r="B45" s="178" t="s">
        <v>3852</v>
      </c>
      <c r="C45" s="36"/>
      <c r="D45" s="36"/>
      <c r="E45" s="36"/>
      <c r="F45" s="36"/>
      <c r="G45" s="36"/>
      <c r="H45" s="36"/>
      <c r="I45" s="36"/>
      <c r="J45" s="36"/>
    </row>
    <row r="46" spans="2:10" x14ac:dyDescent="0.45">
      <c r="B46" s="52" t="s">
        <v>3835</v>
      </c>
      <c r="C46" s="52" t="s">
        <v>35</v>
      </c>
      <c r="D46" s="52" t="s">
        <v>1741</v>
      </c>
      <c r="E46" s="52" t="s">
        <v>1744</v>
      </c>
      <c r="F46" s="52" t="s">
        <v>1746</v>
      </c>
      <c r="G46" s="52" t="s">
        <v>1749</v>
      </c>
      <c r="H46" s="52" t="s">
        <v>1752</v>
      </c>
      <c r="I46" s="52" t="s">
        <v>1755</v>
      </c>
    </row>
    <row r="47" spans="2:10" x14ac:dyDescent="0.45">
      <c r="B47" t="s">
        <v>3853</v>
      </c>
      <c r="C47" t="s">
        <v>84</v>
      </c>
      <c r="D47" s="180">
        <f>INDEX(CarveOut_Table2!$H$80:$H$85,MATCH(D$46,CarveOut_Table2!$B$80:$B$85,0))</f>
        <v>-44.184109648682565</v>
      </c>
      <c r="E47" s="180">
        <f>INDEX(CarveOut_Table2!$H$80:$H$85,MATCH(E$46,CarveOut_Table2!$B$80:$B$85,0))</f>
        <v>-22.883843080919881</v>
      </c>
      <c r="F47" s="180">
        <f>INDEX(CarveOut_Table2!$H$80:$H$85,MATCH(F$46,CarveOut_Table2!$B$80:$B$85,0))</f>
        <v>-22.951422044784223</v>
      </c>
      <c r="G47" s="180">
        <f>INDEX(CarveOut_Table2!$H$80:$H$85,MATCH(G$46,CarveOut_Table2!$B$80:$B$85,0))</f>
        <v>-44.184109648682565</v>
      </c>
      <c r="H47" s="180">
        <f>INDEX(CarveOut_Table2!$H$80:$H$85,MATCH(H$46,CarveOut_Table2!$B$80:$B$85,0))</f>
        <v>-5.0224650920339737</v>
      </c>
      <c r="I47" s="180">
        <f>INDEX(CarveOut_Table2!$H$80:$H$85,MATCH(I$46,CarveOut_Table2!$B$80:$B$85,0))</f>
        <v>-53.075174944106841</v>
      </c>
    </row>
    <row r="48" spans="2:10" x14ac:dyDescent="0.45">
      <c r="B48" t="s">
        <v>3854</v>
      </c>
      <c r="C48" t="s">
        <v>84</v>
      </c>
      <c r="D48" s="180">
        <f>INDEX(CarveOut_Table2!$I$80:$I$85,MATCH(D$46,CarveOut_Table2!$B$80:$B$85,0))</f>
        <v>-24.016324483627272</v>
      </c>
      <c r="E48" s="180">
        <f>INDEX(CarveOut_Table2!$I$80:$I$85,MATCH(E$46,CarveOut_Table2!$B$80:$B$85,0))</f>
        <v>-12.215509633281451</v>
      </c>
      <c r="F48" s="180">
        <f>INDEX(CarveOut_Table2!$I$80:$I$85,MATCH(F$46,CarveOut_Table2!$B$80:$B$85,0))</f>
        <v>-12.307511871805536</v>
      </c>
      <c r="G48" s="180">
        <f>INDEX(CarveOut_Table2!$I$80:$I$85,MATCH(G$46,CarveOut_Table2!$B$80:$B$85,0))</f>
        <v>-24.016324483627272</v>
      </c>
      <c r="H48" s="180">
        <f>INDEX(CarveOut_Table2!$I$80:$I$85,MATCH(H$46,CarveOut_Table2!$B$80:$B$85,0))</f>
        <v>-5.0528069084591092</v>
      </c>
      <c r="I48" s="180">
        <f>INDEX(CarveOut_Table2!$I$80:$I$85,MATCH(I$46,CarveOut_Table2!$B$80:$B$85,0))</f>
        <v>-36.165318414664284</v>
      </c>
    </row>
    <row r="49" spans="2:12" x14ac:dyDescent="0.45">
      <c r="B49" t="s">
        <v>3855</v>
      </c>
    </row>
    <row r="52" spans="2:12" x14ac:dyDescent="0.45">
      <c r="B52" s="178" t="s">
        <v>3856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</row>
    <row r="53" spans="2:12" ht="45" customHeight="1" x14ac:dyDescent="0.45">
      <c r="B53" s="167" t="s">
        <v>1323</v>
      </c>
      <c r="C53" s="167" t="s">
        <v>3857</v>
      </c>
      <c r="D53" s="167" t="s">
        <v>3858</v>
      </c>
      <c r="E53" s="167" t="s">
        <v>3859</v>
      </c>
      <c r="F53" s="167" t="s">
        <v>3860</v>
      </c>
      <c r="G53" s="167" t="s">
        <v>3861</v>
      </c>
      <c r="H53" s="167" t="s">
        <v>3862</v>
      </c>
      <c r="I53" s="167" t="s">
        <v>3863</v>
      </c>
      <c r="J53" s="167" t="s">
        <v>3864</v>
      </c>
      <c r="K53" s="167" t="s">
        <v>3865</v>
      </c>
      <c r="L53" s="167" t="s">
        <v>3866</v>
      </c>
    </row>
    <row r="54" spans="2:12" x14ac:dyDescent="0.45">
      <c r="B54" s="176" t="str">
        <f>Mitigation_Industry!D675</f>
        <v>DRI-EAF steel</v>
      </c>
      <c r="C54" s="179">
        <f>Mitigation_Industry!I675</f>
        <v>580</v>
      </c>
      <c r="D54" s="182">
        <f>Mitigation_Industry!T675</f>
        <v>6603.4845807876563</v>
      </c>
      <c r="E54" s="183">
        <f>Mitigation_Industry!F729</f>
        <v>0.57099076999999998</v>
      </c>
      <c r="F54" s="183">
        <f>Mitigation_Industry!G729</f>
        <v>3.7901020000000001E-2</v>
      </c>
      <c r="G54" s="183">
        <f>IF(D54&gt;0,Mitigation_Industry!T751*1000/D54,0)</f>
        <v>0</v>
      </c>
      <c r="H54" s="183">
        <f>IF(D54&gt;0,(Mitigation_Industry!T740+Mitigation_Industry!T762)*1000/D54,0)</f>
        <v>3.7901020000000007E-2</v>
      </c>
      <c r="I54" s="183">
        <f>E54+F54</f>
        <v>0.60889178999999993</v>
      </c>
      <c r="J54" s="183" t="e">
        <f>E54*(1+CarveOut_Table2!$D$31)+G54+H54</f>
        <v>#N/A</v>
      </c>
      <c r="K54" s="183">
        <f>C54*I54</f>
        <v>353.15723819999994</v>
      </c>
      <c r="L54" s="183" t="e">
        <f>C54*J54</f>
        <v>#N/A</v>
      </c>
    </row>
    <row r="55" spans="2:12" x14ac:dyDescent="0.45">
      <c r="B55" s="176" t="str">
        <f>Mitigation_Industry!D676</f>
        <v>Scrap-EAF steel</v>
      </c>
      <c r="C55" s="179">
        <f>Mitigation_Industry!I676</f>
        <v>300</v>
      </c>
      <c r="D55" s="182">
        <f>Mitigation_Industry!T676</f>
        <v>6215.0443113295587</v>
      </c>
      <c r="E55" s="183">
        <f>Mitigation_Industry!F730</f>
        <v>4.4880000000000003E-2</v>
      </c>
      <c r="F55" s="183">
        <f>Mitigation_Industry!G730</f>
        <v>4.3981149999999997E-2</v>
      </c>
      <c r="G55" s="183">
        <f>IF(D55&gt;0,Mitigation_Industry!T752*1000/D55,0)</f>
        <v>0</v>
      </c>
      <c r="H55" s="183">
        <f>IF(D55&gt;0,(Mitigation_Industry!T741+Mitigation_Industry!T763)*1000/D55,0)</f>
        <v>4.3981149999999997E-2</v>
      </c>
      <c r="I55" s="183">
        <f>E55+F55</f>
        <v>8.886115E-2</v>
      </c>
      <c r="J55" s="183" t="e">
        <f>E55*(1+CarveOut_Table2!$D$31)+G55+H55</f>
        <v>#N/A</v>
      </c>
      <c r="K55" s="183">
        <f>C55*I55</f>
        <v>26.658345000000001</v>
      </c>
      <c r="L55" s="183" t="e">
        <f>C55*J55</f>
        <v>#N/A</v>
      </c>
    </row>
    <row r="56" spans="2:12" x14ac:dyDescent="0.45">
      <c r="B56" s="176" t="str">
        <f>Mitigation_Industry!D677</f>
        <v>BF-BOF steel (reference)</v>
      </c>
      <c r="C56" s="179">
        <f>Mitigation_Industry!I677</f>
        <v>0</v>
      </c>
      <c r="D56" s="182">
        <f>Mitigation_Industry!T677</f>
        <v>0</v>
      </c>
      <c r="E56" s="183">
        <f>Mitigation_Industry!F731</f>
        <v>1.4249802699999998</v>
      </c>
      <c r="F56" s="183">
        <f>Mitigation_Industry!G731</f>
        <v>5.276542E-2</v>
      </c>
      <c r="G56" s="183">
        <f>IF(D56&gt;0,Mitigation_Industry!T753*1000/D56,0)</f>
        <v>0</v>
      </c>
      <c r="H56" s="183">
        <f>IF(D56&gt;0,(Mitigation_Industry!T742+Mitigation_Industry!T764)*1000/D56,0)</f>
        <v>0</v>
      </c>
      <c r="I56" s="183">
        <f>E56+F56</f>
        <v>1.4777456899999999</v>
      </c>
      <c r="J56" s="183" t="e">
        <f>E56*(1+CarveOut_Table2!$D$31)+G56+H56</f>
        <v>#N/A</v>
      </c>
      <c r="K56" s="183">
        <f>C56*I56</f>
        <v>0</v>
      </c>
      <c r="L56" s="183" t="e">
        <f>C56*J56</f>
        <v>#N/A</v>
      </c>
    </row>
    <row r="57" spans="2:12" x14ac:dyDescent="0.45">
      <c r="B57" s="176" t="str">
        <f>Mitigation_Industry!D678</f>
        <v>Grey clinker (dry-process)</v>
      </c>
      <c r="C57" s="179">
        <f>Mitigation_Industry!I678</f>
        <v>800</v>
      </c>
      <c r="D57" s="182">
        <f>Mitigation_Industry!T678</f>
        <v>60753.588245941261</v>
      </c>
      <c r="E57" s="183">
        <f>Mitigation_Industry!F732</f>
        <v>0.31356849999999997</v>
      </c>
      <c r="F57" s="183">
        <f>Mitigation_Industry!G732</f>
        <v>0.53702616000000003</v>
      </c>
      <c r="G57" s="183">
        <f>IF(D57&gt;0,Mitigation_Industry!T754*1000/D57,0)</f>
        <v>0</v>
      </c>
      <c r="H57" s="183">
        <f>IF(D57&gt;0,(Mitigation_Industry!T743+Mitigation_Industry!T765)*1000/D57,0)</f>
        <v>0.53702616000000003</v>
      </c>
      <c r="I57" s="183">
        <f>E57+F57</f>
        <v>0.85059466000000006</v>
      </c>
      <c r="J57" s="183" t="e">
        <f>E57*(1+CarveOut_Table2!$D$31)+G57+H57</f>
        <v>#N/A</v>
      </c>
      <c r="K57" s="183">
        <f>C57*I57</f>
        <v>680.475728</v>
      </c>
      <c r="L57" s="183" t="e">
        <f>C57*J57</f>
        <v>#N/A</v>
      </c>
    </row>
    <row r="58" spans="2:12" x14ac:dyDescent="0.45">
      <c r="B58" s="176" t="str">
        <f>Mitigation_Industry!D679</f>
        <v>Ammonia (net)</v>
      </c>
      <c r="C58" s="179">
        <f>Mitigation_Industry!I679</f>
        <v>120</v>
      </c>
      <c r="D58" s="182">
        <f>Mitigation_Industry!T679</f>
        <v>2033.9655612021818</v>
      </c>
      <c r="E58" s="183">
        <f>Mitigation_Industry!F733</f>
        <v>1.97472</v>
      </c>
      <c r="F58" s="183">
        <f>Mitigation_Industry!G733</f>
        <v>0</v>
      </c>
      <c r="G58" s="183">
        <f>IF(D58&gt;0,Mitigation_Industry!T755*1000/D58,0)</f>
        <v>0</v>
      </c>
      <c r="H58" s="183">
        <f>IF(D58&gt;0,(Mitigation_Industry!T744+Mitigation_Industry!T766)*1000/D58,0)</f>
        <v>0</v>
      </c>
      <c r="I58" s="183">
        <f>E58+F58</f>
        <v>1.97472</v>
      </c>
      <c r="J58" s="183" t="e">
        <f>E58*(1+CarveOut_Table2!$D$31)+G58+H58</f>
        <v>#N/A</v>
      </c>
      <c r="K58" s="183">
        <f>C58*I58</f>
        <v>236.96639999999999</v>
      </c>
      <c r="L58" s="183" t="e">
        <f>C58*J58</f>
        <v>#N/A</v>
      </c>
    </row>
    <row r="59" spans="2:12" x14ac:dyDescent="0.45">
      <c r="B59" s="176" t="str">
        <f>Mitigation_Industry!D680</f>
        <v>Urea</v>
      </c>
      <c r="C59" s="179">
        <f>Mitigation_Industry!I680</f>
        <v>1600</v>
      </c>
      <c r="D59" s="182">
        <f>Mitigation_Industry!T680</f>
        <v>3190.534213650481</v>
      </c>
      <c r="E59" s="183">
        <f>Mitigation_Industry!F734</f>
        <v>0.11219999999999999</v>
      </c>
      <c r="F59" s="183">
        <f>Mitigation_Industry!G734</f>
        <v>0</v>
      </c>
      <c r="G59" s="183">
        <f>IF(D59&gt;0,Mitigation_Industry!T756*1000/D59,0)</f>
        <v>0</v>
      </c>
      <c r="H59" s="183">
        <f>IF(D59&gt;0,(Mitigation_Industry!T745+Mitigation_Industry!T767)*1000/D59,0)</f>
        <v>0</v>
      </c>
      <c r="I59" s="183">
        <f>E59+F59</f>
        <v>0.11219999999999999</v>
      </c>
      <c r="J59" s="183" t="e">
        <f>E59*(1+CarveOut_Table2!$D$31)+G59+H59</f>
        <v>#N/A</v>
      </c>
      <c r="K59" s="183">
        <f>C59*I59</f>
        <v>179.51999999999998</v>
      </c>
      <c r="L59" s="183" t="e">
        <f>C59*J59</f>
        <v>#N/A</v>
      </c>
    </row>
    <row r="60" spans="2:12" x14ac:dyDescent="0.45">
      <c r="B60" s="176" t="str">
        <f>Mitigation_Industry!D681</f>
        <v>Ammonium nitrate</v>
      </c>
      <c r="C60" s="179">
        <f>Mitigation_Industry!I681</f>
        <v>80</v>
      </c>
      <c r="D60" s="182">
        <f>Mitigation_Industry!T681</f>
        <v>683.68590292510305</v>
      </c>
      <c r="E60" s="183">
        <f>Mitigation_Industry!F735</f>
        <v>0.11219999999999999</v>
      </c>
      <c r="F60" s="183">
        <f>Mitigation_Industry!G735</f>
        <v>0.99441250000000003</v>
      </c>
      <c r="G60" s="183">
        <f>IF(D60&gt;0,Mitigation_Industry!T757*1000/D60,0)</f>
        <v>0</v>
      </c>
      <c r="H60" s="183">
        <f>IF(D60&gt;0,(Mitigation_Industry!T746+Mitigation_Industry!T768)*1000/D60,0)</f>
        <v>0.99441250000000003</v>
      </c>
      <c r="I60" s="183">
        <f>E60+F60</f>
        <v>1.1066125</v>
      </c>
      <c r="J60" s="183" t="e">
        <f>E60*(1+CarveOut_Table2!$D$31)+G60+H60</f>
        <v>#N/A</v>
      </c>
      <c r="K60" s="183">
        <f>C60*I60</f>
        <v>88.528999999999996</v>
      </c>
      <c r="L60" s="183" t="e">
        <f>C60*J60</f>
        <v>#N/A</v>
      </c>
    </row>
    <row r="61" spans="2:12" x14ac:dyDescent="0.45">
      <c r="B61" s="176" t="str">
        <f>Mitigation_Industry!D682</f>
        <v>Primary aluminium</v>
      </c>
      <c r="C61" s="179">
        <f>Mitigation_Industry!I682</f>
        <v>167</v>
      </c>
      <c r="D61" s="182">
        <f>Mitigation_Industry!T682</f>
        <v>413.65284202856708</v>
      </c>
      <c r="E61" s="183">
        <f>Mitigation_Industry!F736</f>
        <v>0.12342</v>
      </c>
      <c r="F61" s="183">
        <f>Mitigation_Industry!G736</f>
        <v>2.3974930400000001</v>
      </c>
      <c r="G61" s="183">
        <f>IF(D61&gt;0,Mitigation_Industry!T758*1000/D61,0)</f>
        <v>0</v>
      </c>
      <c r="H61" s="183">
        <f>IF(D61&gt;0,(Mitigation_Industry!T747+Mitigation_Industry!T769)*1000/D61,0)</f>
        <v>2.3974930400000001</v>
      </c>
      <c r="I61" s="183">
        <f>E61+F61</f>
        <v>2.5209130399999999</v>
      </c>
      <c r="J61" s="183" t="e">
        <f>E61*(1+CarveOut_Table2!$D$31)+G61+H61</f>
        <v>#N/A</v>
      </c>
      <c r="K61" s="183">
        <f>C61*I61</f>
        <v>420.99247767999998</v>
      </c>
      <c r="L61" s="183" t="e">
        <f>C61*J61</f>
        <v>#N/A</v>
      </c>
    </row>
    <row r="63" spans="2:12" x14ac:dyDescent="0.45">
      <c r="B63" t="s">
        <v>3867</v>
      </c>
      <c r="D63" s="184" t="str">
        <f>IFERROR(100*(SUM(L54:L61)/SUM(K54:K61)-1),"n/a")</f>
        <v>n/a</v>
      </c>
    </row>
    <row r="64" spans="2:12" x14ac:dyDescent="0.45">
      <c r="B64" t="s">
        <v>3868</v>
      </c>
      <c r="D64" s="184" t="str">
        <f>IFERROR(INDEX(CarveOut_Table2!$M$80:$M$85,MATCH(CarveOut_Table2!$D$6,CarveOut_Table2!$B$80:$B$85,0)),"n/a")</f>
        <v>n/a</v>
      </c>
    </row>
    <row r="65" spans="2:4" x14ac:dyDescent="0.45">
      <c r="B65" t="s">
        <v>3869</v>
      </c>
      <c r="D65" s="184" t="str">
        <f>IFERROR(D63-D64,"n/a")</f>
        <v>n/a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1827</v>
      </c>
      <c r="H64" s="5" t="s">
        <v>1828</v>
      </c>
      <c r="I64" s="28" t="s">
        <v>1023</v>
      </c>
      <c r="J64" t="s">
        <v>1709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1827</v>
      </c>
      <c r="H66" s="5" t="s">
        <v>1829</v>
      </c>
      <c r="I66" s="28" t="s">
        <v>1025</v>
      </c>
      <c r="J66" t="s">
        <v>1709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1827</v>
      </c>
      <c r="H68" s="5" t="s">
        <v>1830</v>
      </c>
      <c r="I68" s="28" t="s">
        <v>1029</v>
      </c>
      <c r="J68" t="s">
        <v>1709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1827</v>
      </c>
      <c r="H70" s="5" t="s">
        <v>1831</v>
      </c>
      <c r="I70" s="28" t="s">
        <v>1033</v>
      </c>
      <c r="J70" t="s">
        <v>1709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1827</v>
      </c>
      <c r="H72" s="5" t="s">
        <v>1832</v>
      </c>
      <c r="I72" s="28" t="s">
        <v>1037</v>
      </c>
      <c r="J72" t="s">
        <v>1709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1827</v>
      </c>
      <c r="H74" s="5" t="s">
        <v>1833</v>
      </c>
      <c r="I74" s="28" t="s">
        <v>1041</v>
      </c>
      <c r="J74" t="s">
        <v>1709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1827</v>
      </c>
      <c r="H76" s="5" t="s">
        <v>1834</v>
      </c>
      <c r="I76" s="28" t="s">
        <v>1045</v>
      </c>
      <c r="J76" t="s">
        <v>1709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1827</v>
      </c>
      <c r="H78" s="5" t="s">
        <v>1835</v>
      </c>
      <c r="I78" s="28" t="s">
        <v>1049</v>
      </c>
      <c r="J78" t="s">
        <v>1709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1827</v>
      </c>
      <c r="H80" s="5" t="s">
        <v>1836</v>
      </c>
      <c r="I80" s="28" t="s">
        <v>1053</v>
      </c>
      <c r="J80" t="s">
        <v>1709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2869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2870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2871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2872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2873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2874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2875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2876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2877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2878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2878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2878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2878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1395</v>
      </c>
      <c r="B124" s="5" t="s">
        <v>77</v>
      </c>
      <c r="C124" s="5" t="s">
        <v>1396</v>
      </c>
      <c r="D124" s="5" t="s">
        <v>1397</v>
      </c>
      <c r="E124" s="5">
        <v>1</v>
      </c>
      <c r="F124" s="5" t="s">
        <v>1398</v>
      </c>
      <c r="G124" s="5" t="s">
        <v>1399</v>
      </c>
      <c r="H124" s="5">
        <v>2251</v>
      </c>
      <c r="I124" s="28" t="s">
        <v>1395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1400</v>
      </c>
      <c r="B125" s="5" t="s">
        <v>77</v>
      </c>
      <c r="C125" s="5" t="s">
        <v>1396</v>
      </c>
      <c r="D125" s="5" t="s">
        <v>1401</v>
      </c>
      <c r="E125" s="5">
        <v>1</v>
      </c>
      <c r="F125" s="5" t="s">
        <v>1398</v>
      </c>
      <c r="G125" s="5" t="s">
        <v>1402</v>
      </c>
      <c r="H125" s="5">
        <v>2252</v>
      </c>
      <c r="I125" s="28" t="s">
        <v>1400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1403</v>
      </c>
      <c r="B126" s="5" t="s">
        <v>77</v>
      </c>
      <c r="C126" s="5" t="s">
        <v>1396</v>
      </c>
      <c r="D126" s="5" t="s">
        <v>1397</v>
      </c>
      <c r="E126" s="5">
        <v>2</v>
      </c>
      <c r="F126" s="5" t="s">
        <v>1398</v>
      </c>
      <c r="G126" s="5" t="s">
        <v>1823</v>
      </c>
      <c r="H126" s="5" t="s">
        <v>1824</v>
      </c>
      <c r="I126" s="28" t="s">
        <v>1403</v>
      </c>
      <c r="J126" t="s">
        <v>1709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1404</v>
      </c>
      <c r="B127" s="5" t="s">
        <v>77</v>
      </c>
      <c r="C127" s="5" t="s">
        <v>1396</v>
      </c>
      <c r="D127" s="5" t="s">
        <v>1401</v>
      </c>
      <c r="E127" s="5">
        <v>2</v>
      </c>
      <c r="F127" s="5" t="s">
        <v>1398</v>
      </c>
      <c r="G127" s="5" t="s">
        <v>1825</v>
      </c>
      <c r="H127" s="5" t="s">
        <v>1826</v>
      </c>
      <c r="I127" s="28" t="s">
        <v>1404</v>
      </c>
      <c r="J127" t="s">
        <v>1709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1837</v>
      </c>
      <c r="B128" s="5" t="s">
        <v>77</v>
      </c>
      <c r="C128" s="5" t="s">
        <v>1396</v>
      </c>
      <c r="D128" s="5" t="s">
        <v>1775</v>
      </c>
      <c r="E128" s="5">
        <v>1</v>
      </c>
      <c r="F128" s="5" t="s">
        <v>1398</v>
      </c>
      <c r="G128" s="5" t="s">
        <v>1776</v>
      </c>
      <c r="H128" s="5" t="s">
        <v>1838</v>
      </c>
      <c r="I128" s="28" t="s">
        <v>1837</v>
      </c>
      <c r="J128" t="s">
        <v>1709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1839</v>
      </c>
      <c r="B129" s="5" t="s">
        <v>77</v>
      </c>
      <c r="C129" s="5" t="s">
        <v>1396</v>
      </c>
      <c r="D129" s="5" t="s">
        <v>1778</v>
      </c>
      <c r="E129" s="5">
        <v>1</v>
      </c>
      <c r="F129" s="5" t="s">
        <v>79</v>
      </c>
      <c r="G129" s="5" t="s">
        <v>1779</v>
      </c>
      <c r="H129" s="5" t="s">
        <v>1838</v>
      </c>
      <c r="I129" s="28" t="s">
        <v>1839</v>
      </c>
      <c r="J129" t="s">
        <v>1709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1840</v>
      </c>
      <c r="B130" s="5" t="s">
        <v>77</v>
      </c>
      <c r="C130" s="5" t="s">
        <v>1396</v>
      </c>
      <c r="D130" s="5" t="s">
        <v>1782</v>
      </c>
      <c r="E130" s="5">
        <v>1</v>
      </c>
      <c r="F130" s="5" t="s">
        <v>79</v>
      </c>
      <c r="G130" s="5" t="s">
        <v>1783</v>
      </c>
      <c r="H130" s="5" t="s">
        <v>1838</v>
      </c>
      <c r="I130" s="28" t="s">
        <v>1840</v>
      </c>
      <c r="J130" t="s">
        <v>1709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1841</v>
      </c>
      <c r="B131" s="5" t="s">
        <v>77</v>
      </c>
      <c r="C131" s="5" t="s">
        <v>1396</v>
      </c>
      <c r="D131" s="5" t="s">
        <v>1786</v>
      </c>
      <c r="E131" s="5">
        <v>1</v>
      </c>
      <c r="F131" s="5" t="s">
        <v>1398</v>
      </c>
      <c r="G131" s="5" t="s">
        <v>1787</v>
      </c>
      <c r="H131" s="5" t="s">
        <v>1838</v>
      </c>
      <c r="I131" s="28" t="s">
        <v>1841</v>
      </c>
      <c r="J131" t="s">
        <v>1709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1842</v>
      </c>
      <c r="B132" s="5" t="s">
        <v>77</v>
      </c>
      <c r="C132" s="5" t="s">
        <v>1396</v>
      </c>
      <c r="D132" s="5" t="s">
        <v>1789</v>
      </c>
      <c r="E132" s="5">
        <v>1</v>
      </c>
      <c r="F132" s="5" t="s">
        <v>79</v>
      </c>
      <c r="G132" s="5" t="s">
        <v>1790</v>
      </c>
      <c r="H132" s="5" t="s">
        <v>1838</v>
      </c>
      <c r="I132" s="28" t="s">
        <v>1842</v>
      </c>
      <c r="J132" t="s">
        <v>1709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1843</v>
      </c>
      <c r="B133" s="5" t="s">
        <v>77</v>
      </c>
      <c r="C133" s="5" t="s">
        <v>1396</v>
      </c>
      <c r="D133" s="5" t="s">
        <v>1793</v>
      </c>
      <c r="E133" s="5">
        <v>1</v>
      </c>
      <c r="F133" s="5" t="s">
        <v>1398</v>
      </c>
      <c r="G133" s="5" t="s">
        <v>1794</v>
      </c>
      <c r="H133" s="5" t="s">
        <v>1838</v>
      </c>
      <c r="I133" s="28" t="s">
        <v>1843</v>
      </c>
      <c r="J133" t="s">
        <v>1709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1777</v>
      </c>
      <c r="B134" s="5" t="s">
        <v>77</v>
      </c>
      <c r="C134" s="5" t="s">
        <v>1396</v>
      </c>
      <c r="D134" s="5" t="s">
        <v>1775</v>
      </c>
      <c r="E134" s="5">
        <v>2</v>
      </c>
      <c r="F134" s="5" t="s">
        <v>1398</v>
      </c>
      <c r="G134" s="5" t="s">
        <v>1776</v>
      </c>
      <c r="H134" s="5" t="s">
        <v>1772</v>
      </c>
      <c r="I134" s="28" t="s">
        <v>1777</v>
      </c>
      <c r="J134" t="s">
        <v>1709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1780</v>
      </c>
      <c r="B135" s="5" t="s">
        <v>77</v>
      </c>
      <c r="C135" s="5" t="s">
        <v>1396</v>
      </c>
      <c r="D135" s="5" t="s">
        <v>1778</v>
      </c>
      <c r="E135" s="5">
        <v>2</v>
      </c>
      <c r="F135" s="5" t="s">
        <v>79</v>
      </c>
      <c r="G135" s="5" t="s">
        <v>1779</v>
      </c>
      <c r="H135" s="5" t="s">
        <v>1772</v>
      </c>
      <c r="I135" s="28" t="s">
        <v>1780</v>
      </c>
      <c r="J135" t="s">
        <v>1709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1785</v>
      </c>
      <c r="B136" s="5" t="s">
        <v>77</v>
      </c>
      <c r="C136" s="5" t="s">
        <v>1396</v>
      </c>
      <c r="D136" s="5" t="s">
        <v>1782</v>
      </c>
      <c r="E136" s="5">
        <v>2</v>
      </c>
      <c r="F136" s="5" t="s">
        <v>79</v>
      </c>
      <c r="G136" s="5" t="s">
        <v>1783</v>
      </c>
      <c r="H136" s="5" t="s">
        <v>1772</v>
      </c>
      <c r="I136" s="28" t="s">
        <v>1785</v>
      </c>
      <c r="J136" t="s">
        <v>1709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1788</v>
      </c>
      <c r="B137" s="5" t="s">
        <v>77</v>
      </c>
      <c r="C137" s="5" t="s">
        <v>1396</v>
      </c>
      <c r="D137" s="5" t="s">
        <v>1786</v>
      </c>
      <c r="E137" s="5">
        <v>2</v>
      </c>
      <c r="F137" s="5" t="s">
        <v>1398</v>
      </c>
      <c r="G137" s="5" t="s">
        <v>1787</v>
      </c>
      <c r="H137" s="5" t="s">
        <v>1772</v>
      </c>
      <c r="I137" s="28" t="s">
        <v>1788</v>
      </c>
      <c r="J137" t="s">
        <v>1709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1792</v>
      </c>
      <c r="B138" s="5" t="s">
        <v>77</v>
      </c>
      <c r="C138" s="5" t="s">
        <v>1396</v>
      </c>
      <c r="D138" s="5" t="s">
        <v>1789</v>
      </c>
      <c r="E138" s="5">
        <v>2</v>
      </c>
      <c r="F138" s="5" t="s">
        <v>79</v>
      </c>
      <c r="G138" s="5" t="s">
        <v>1790</v>
      </c>
      <c r="H138" s="5" t="s">
        <v>1772</v>
      </c>
      <c r="I138" s="28" t="s">
        <v>1792</v>
      </c>
      <c r="J138" t="s">
        <v>1709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1796</v>
      </c>
      <c r="B139" s="5" t="s">
        <v>77</v>
      </c>
      <c r="C139" s="5" t="s">
        <v>1396</v>
      </c>
      <c r="D139" s="5" t="s">
        <v>1793</v>
      </c>
      <c r="E139" s="5">
        <v>2</v>
      </c>
      <c r="F139" s="5" t="s">
        <v>1398</v>
      </c>
      <c r="G139" s="5" t="s">
        <v>1794</v>
      </c>
      <c r="H139" s="5" t="s">
        <v>1772</v>
      </c>
      <c r="I139" s="28" t="s">
        <v>1796</v>
      </c>
      <c r="J139" t="s">
        <v>1709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RowHeight="13.5" x14ac:dyDescent="0.35"/>
  <cols>
    <col min="1" max="1" width="22.59765625" style="112" customWidth="1"/>
    <col min="2" max="2" width="24.59765625" style="112" customWidth="1"/>
    <col min="3" max="3" width="6.59765625" style="112" customWidth="1"/>
    <col min="4" max="7" width="12.59765625" style="112" customWidth="1"/>
    <col min="8" max="8" width="14.59765625" style="112" customWidth="1"/>
    <col min="9" max="9" width="10.59765625" style="112" customWidth="1"/>
    <col min="10" max="10" width="22.59765625" style="112" customWidth="1"/>
    <col min="11" max="11" width="90.59765625" style="112" customWidth="1"/>
    <col min="12" max="16384" width="9.06640625" style="112"/>
  </cols>
  <sheetData>
    <row r="1" spans="1:11" ht="13.9" x14ac:dyDescent="0.4">
      <c r="A1" s="113" t="s">
        <v>2028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x14ac:dyDescent="0.35">
      <c r="A2" s="112" t="s">
        <v>2029</v>
      </c>
    </row>
    <row r="3" spans="1:11" ht="13.9" x14ac:dyDescent="0.4">
      <c r="A3" s="115" t="s">
        <v>877</v>
      </c>
      <c r="B3" s="115" t="s">
        <v>32</v>
      </c>
      <c r="C3" s="115" t="s">
        <v>878</v>
      </c>
      <c r="D3" s="115" t="s">
        <v>2030</v>
      </c>
      <c r="E3" s="115" t="s">
        <v>2031</v>
      </c>
      <c r="F3" s="115" t="s">
        <v>2032</v>
      </c>
      <c r="G3" s="115" t="s">
        <v>2033</v>
      </c>
      <c r="H3" s="115" t="s">
        <v>2034</v>
      </c>
      <c r="I3" s="115" t="s">
        <v>2035</v>
      </c>
      <c r="J3" s="115" t="s">
        <v>2036</v>
      </c>
      <c r="K3" s="115" t="s">
        <v>2037</v>
      </c>
    </row>
    <row r="4" spans="1:11" x14ac:dyDescent="0.35">
      <c r="A4" s="116" t="str">
        <f>Settings!$B$3&amp;".mit.efc."&amp;C4</f>
        <v>egy.mit.efc.coa</v>
      </c>
      <c r="B4" s="112" t="s">
        <v>50</v>
      </c>
      <c r="C4" s="112" t="s">
        <v>49</v>
      </c>
      <c r="D4" s="117">
        <v>0.1</v>
      </c>
      <c r="E4" s="118">
        <f t="shared" ref="E4:E12" si="0">D4*$D$17</f>
        <v>4186.8</v>
      </c>
      <c r="F4" s="118">
        <f t="shared" ref="F4:F12" si="1">$D$21</f>
        <v>0.92961501403768609</v>
      </c>
      <c r="G4" s="118">
        <f t="shared" ref="G4:G12" si="2">E4*F4</f>
        <v>3892.1121407729843</v>
      </c>
      <c r="H4" s="119">
        <v>3892.1121407729843</v>
      </c>
      <c r="I4" s="120">
        <f t="shared" ref="I4:I12" si="3">G4-H4</f>
        <v>0</v>
      </c>
      <c r="J4" s="112" t="s">
        <v>2038</v>
      </c>
      <c r="K4" s="112" t="s">
        <v>2039</v>
      </c>
    </row>
    <row r="5" spans="1:11" x14ac:dyDescent="0.35">
      <c r="A5" s="116" t="str">
        <f>Settings!$B$3&amp;".mit.efc."&amp;C5</f>
        <v>egy.mit.efc.nga</v>
      </c>
      <c r="B5" s="112" t="s">
        <v>54</v>
      </c>
      <c r="C5" s="112" t="s">
        <v>53</v>
      </c>
      <c r="D5" s="117">
        <v>5.5799999999999995E-2</v>
      </c>
      <c r="E5" s="118">
        <f t="shared" si="0"/>
        <v>2336.2343999999998</v>
      </c>
      <c r="F5" s="118">
        <f t="shared" si="1"/>
        <v>0.92961501403768609</v>
      </c>
      <c r="G5" s="118">
        <f t="shared" si="2"/>
        <v>2171.7985745513251</v>
      </c>
      <c r="H5" s="119">
        <v>2171.7985745513251</v>
      </c>
      <c r="I5" s="120">
        <f t="shared" si="3"/>
        <v>0</v>
      </c>
      <c r="J5" s="112" t="s">
        <v>2040</v>
      </c>
      <c r="K5" s="112" t="s">
        <v>2041</v>
      </c>
    </row>
    <row r="6" spans="1:11" x14ac:dyDescent="0.35">
      <c r="A6" s="116" t="str">
        <f>Settings!$B$3&amp;".mit.efc."&amp;C6</f>
        <v>egy.mit.efc.gso</v>
      </c>
      <c r="B6" s="112" t="s">
        <v>56</v>
      </c>
      <c r="C6" s="112" t="s">
        <v>55</v>
      </c>
      <c r="D6" s="117">
        <v>6.7793000000000006E-2</v>
      </c>
      <c r="E6" s="118">
        <f t="shared" si="0"/>
        <v>2838.3573240000001</v>
      </c>
      <c r="F6" s="118">
        <f t="shared" si="1"/>
        <v>0.92961501403768609</v>
      </c>
      <c r="G6" s="118">
        <f t="shared" si="2"/>
        <v>2638.579583594229</v>
      </c>
      <c r="H6" s="119">
        <v>2638.579583594229</v>
      </c>
      <c r="I6" s="120">
        <f t="shared" si="3"/>
        <v>0</v>
      </c>
      <c r="J6" s="112" t="s">
        <v>2042</v>
      </c>
      <c r="K6" s="112" t="s">
        <v>2043</v>
      </c>
    </row>
    <row r="7" spans="1:11" x14ac:dyDescent="0.35">
      <c r="A7" s="116" t="str">
        <f>Settings!$B$3&amp;".mit.efc."&amp;C7</f>
        <v>egy.mit.efc.die</v>
      </c>
      <c r="B7" s="112" t="s">
        <v>59</v>
      </c>
      <c r="C7" s="112" t="s">
        <v>58</v>
      </c>
      <c r="D7" s="117">
        <v>7.1844999999999992E-2</v>
      </c>
      <c r="E7" s="118">
        <f t="shared" si="0"/>
        <v>3008.0064599999996</v>
      </c>
      <c r="F7" s="118">
        <f t="shared" si="1"/>
        <v>0.92961501403768609</v>
      </c>
      <c r="G7" s="118">
        <f t="shared" si="2"/>
        <v>2796.2879675383501</v>
      </c>
      <c r="H7" s="119">
        <v>2796.2879675383501</v>
      </c>
      <c r="I7" s="120">
        <f t="shared" si="3"/>
        <v>0</v>
      </c>
      <c r="J7" s="112" t="s">
        <v>2044</v>
      </c>
      <c r="K7" s="112" t="s">
        <v>2045</v>
      </c>
    </row>
    <row r="8" spans="1:11" x14ac:dyDescent="0.35">
      <c r="A8" s="116" t="str">
        <f>Settings!$B$3&amp;".mit.efc."&amp;C8</f>
        <v>egy.mit.efc.lpg</v>
      </c>
      <c r="B8" s="112" t="s">
        <v>61</v>
      </c>
      <c r="C8" s="112" t="s">
        <v>60</v>
      </c>
      <c r="D8" s="117">
        <v>6.8599999999999994E-2</v>
      </c>
      <c r="E8" s="118">
        <f t="shared" si="0"/>
        <v>2872.1447999999996</v>
      </c>
      <c r="F8" s="118">
        <f t="shared" si="1"/>
        <v>0.92961501403768609</v>
      </c>
      <c r="G8" s="118">
        <f t="shared" si="2"/>
        <v>2669.9889285702666</v>
      </c>
      <c r="H8" s="119">
        <v>2669.9889285702666</v>
      </c>
      <c r="I8" s="120">
        <f t="shared" si="3"/>
        <v>0</v>
      </c>
      <c r="J8" s="112" t="s">
        <v>2046</v>
      </c>
      <c r="K8" s="112" t="s">
        <v>2047</v>
      </c>
    </row>
    <row r="9" spans="1:11" x14ac:dyDescent="0.35">
      <c r="A9" s="116" t="str">
        <f>Settings!$B$3&amp;".mit.efc."&amp;C9</f>
        <v>egy.mit.efc.ker</v>
      </c>
      <c r="B9" s="112" t="s">
        <v>63</v>
      </c>
      <c r="C9" s="112" t="s">
        <v>62</v>
      </c>
      <c r="D9" s="117">
        <v>6.7793000000000006E-2</v>
      </c>
      <c r="E9" s="118">
        <f t="shared" si="0"/>
        <v>2838.3573240000001</v>
      </c>
      <c r="F9" s="118">
        <f t="shared" si="1"/>
        <v>0.92961501403768609</v>
      </c>
      <c r="G9" s="118">
        <f t="shared" si="2"/>
        <v>2638.579583594229</v>
      </c>
      <c r="H9" s="119">
        <v>2638.579583594229</v>
      </c>
      <c r="I9" s="120">
        <f t="shared" si="3"/>
        <v>0</v>
      </c>
      <c r="J9" s="112" t="s">
        <v>2048</v>
      </c>
      <c r="K9" s="112" t="s">
        <v>2049</v>
      </c>
    </row>
    <row r="10" spans="1:11" x14ac:dyDescent="0.35">
      <c r="A10" s="116" t="str">
        <f>Settings!$B$3&amp;".mit.efc."&amp;C10</f>
        <v>egy.mit.efc.oop</v>
      </c>
      <c r="B10" s="112" t="s">
        <v>65</v>
      </c>
      <c r="C10" s="112" t="s">
        <v>64</v>
      </c>
      <c r="D10" s="117">
        <v>7.6700000000000004E-2</v>
      </c>
      <c r="E10" s="118">
        <f t="shared" si="0"/>
        <v>3211.2756000000004</v>
      </c>
      <c r="F10" s="118">
        <f t="shared" si="1"/>
        <v>0.92961501403768609</v>
      </c>
      <c r="G10" s="118">
        <f t="shared" si="2"/>
        <v>2985.2500119728793</v>
      </c>
      <c r="H10" s="119">
        <v>2985.2500119728793</v>
      </c>
      <c r="I10" s="120">
        <f t="shared" si="3"/>
        <v>0</v>
      </c>
      <c r="J10" s="112" t="s">
        <v>2050</v>
      </c>
      <c r="K10" s="112" t="s">
        <v>2051</v>
      </c>
    </row>
    <row r="11" spans="1:11" x14ac:dyDescent="0.35">
      <c r="A11" s="116" t="str">
        <f>Settings!$B$3&amp;".mit.efc."&amp;C11</f>
        <v>egy.mit.efc.bio</v>
      </c>
      <c r="B11" s="112" t="s">
        <v>68</v>
      </c>
      <c r="C11" s="112" t="s">
        <v>67</v>
      </c>
      <c r="D11" s="117">
        <v>0</v>
      </c>
      <c r="E11" s="118">
        <f t="shared" si="0"/>
        <v>0</v>
      </c>
      <c r="F11" s="118">
        <f t="shared" si="1"/>
        <v>0.92961501403768609</v>
      </c>
      <c r="G11" s="118">
        <f t="shared" si="2"/>
        <v>0</v>
      </c>
      <c r="H11" s="119">
        <v>0</v>
      </c>
      <c r="I11" s="120">
        <f t="shared" si="3"/>
        <v>0</v>
      </c>
      <c r="K11" s="112" t="s">
        <v>2052</v>
      </c>
    </row>
    <row r="12" spans="1:11" x14ac:dyDescent="0.35">
      <c r="A12" s="116" t="str">
        <f>Settings!$B$3&amp;".mit.efc."&amp;C12</f>
        <v>egy.mit.efc.ren</v>
      </c>
      <c r="B12" s="112" t="s">
        <v>70</v>
      </c>
      <c r="C12" s="112" t="s">
        <v>69</v>
      </c>
      <c r="D12" s="117">
        <v>0</v>
      </c>
      <c r="E12" s="118">
        <f t="shared" si="0"/>
        <v>0</v>
      </c>
      <c r="F12" s="118">
        <f t="shared" si="1"/>
        <v>0.92961501403768609</v>
      </c>
      <c r="G12" s="118">
        <f t="shared" si="2"/>
        <v>0</v>
      </c>
      <c r="H12" s="119">
        <v>0</v>
      </c>
      <c r="I12" s="120">
        <f t="shared" si="3"/>
        <v>0</v>
      </c>
      <c r="K12" s="112" t="s">
        <v>2053</v>
      </c>
    </row>
    <row r="16" spans="1:11" ht="13.9" x14ac:dyDescent="0.4">
      <c r="A16" s="121" t="s">
        <v>125</v>
      </c>
    </row>
    <row r="17" spans="1:11" x14ac:dyDescent="0.35">
      <c r="A17" s="112" t="s">
        <v>2054</v>
      </c>
      <c r="D17" s="114">
        <v>41868</v>
      </c>
      <c r="K17" s="112" t="s">
        <v>2055</v>
      </c>
    </row>
    <row r="18" spans="1:11" x14ac:dyDescent="0.35">
      <c r="A18" s="112" t="s">
        <v>2056</v>
      </c>
      <c r="D18" s="112" t="str">
        <f>INDEX(MTInputs!$F$8:$F$415,MATCH("EmissionsFactCO2",MTInputs!$H$8:$H$415,0))</f>
        <v>IIASA*</v>
      </c>
      <c r="K18" s="124" t="s">
        <v>2057</v>
      </c>
    </row>
    <row r="19" spans="1:11" x14ac:dyDescent="0.35">
      <c r="A19" s="112" t="s">
        <v>2058</v>
      </c>
      <c r="D19" s="112" t="str">
        <f>INDEX(MTInputs!$F$8:$F$415,MATCH("EFsAdjustmentNonAnnexI",MTInputs!$H$8:$H$415,0))</f>
        <v>Yes*</v>
      </c>
      <c r="K19" s="112" t="s">
        <v>2059</v>
      </c>
    </row>
    <row r="20" spans="1:11" x14ac:dyDescent="0.35">
      <c r="A20" s="112" t="s">
        <v>2060</v>
      </c>
      <c r="D20" s="122">
        <v>0.92961501403768609</v>
      </c>
      <c r="K20" s="112" t="s">
        <v>2061</v>
      </c>
    </row>
    <row r="21" spans="1:11" x14ac:dyDescent="0.35">
      <c r="A21" s="112" t="s">
        <v>2062</v>
      </c>
      <c r="D21" s="123">
        <f>IF(LEFT(D19,3)="Yes",D20,1)</f>
        <v>0.92961501403768609</v>
      </c>
      <c r="K21" s="112" t="s">
        <v>2063</v>
      </c>
    </row>
    <row r="23" spans="1:11" x14ac:dyDescent="0.35">
      <c r="A23" s="112" t="s">
        <v>2064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31"/>
  <sheetViews>
    <sheetView zoomScaleNormal="100" workbookViewId="0">
      <pane xSplit="5" ySplit="5" topLeftCell="F1895" activePane="bottomRight" state="frozen"/>
      <selection pane="topRight" activeCell="F1" sqref="F1"/>
      <selection pane="bottomLeft" activeCell="A6" sqref="A6"/>
      <selection pane="bottomRight" activeCell="A1909" sqref="A1909:XFD1909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1485</v>
      </c>
    </row>
    <row r="584" spans="1:35" x14ac:dyDescent="0.45">
      <c r="A584" t="s">
        <v>1694</v>
      </c>
      <c r="D584" s="89">
        <f>SUMPRODUCT(MAX((I587:I1378="same")    *F587:F1378))</f>
        <v>2.1940924958231562</v>
      </c>
    </row>
    <row r="585" spans="1:35" x14ac:dyDescent="0.45">
      <c r="A585" t="s">
        <v>1695</v>
      </c>
      <c r="D585" s="89">
        <f>SUMPRODUCT(MAX((I587:I1378="changed")*F587:F1378))</f>
        <v>7402.012510962054</v>
      </c>
    </row>
    <row r="586" spans="1:35" x14ac:dyDescent="0.45">
      <c r="A586" s="50" t="s">
        <v>1486</v>
      </c>
      <c r="B586" s="50" t="s">
        <v>1487</v>
      </c>
      <c r="C586" s="50" t="s">
        <v>1488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1489</v>
      </c>
      <c r="J586" s="50" t="s">
        <v>1490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1491</v>
      </c>
      <c r="B587" t="s">
        <v>1406</v>
      </c>
      <c r="C587" t="s">
        <v>1407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1491</v>
      </c>
      <c r="B588" t="s">
        <v>1406</v>
      </c>
      <c r="C588" t="s">
        <v>1407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1491</v>
      </c>
      <c r="B589" t="s">
        <v>1406</v>
      </c>
      <c r="C589" t="s">
        <v>1407</v>
      </c>
      <c r="D589">
        <v>1</v>
      </c>
      <c r="E589" t="s">
        <v>1161</v>
      </c>
      <c r="F589">
        <f>MAX(MAX(L589:AE589),-MIN(L589:AE589))</f>
        <v>0</v>
      </c>
      <c r="I589" t="s">
        <v>1492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1493</v>
      </c>
      <c r="B591" t="s">
        <v>1406</v>
      </c>
      <c r="C591" t="s">
        <v>1408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1493</v>
      </c>
      <c r="B592" t="s">
        <v>1406</v>
      </c>
      <c r="C592" t="s">
        <v>1408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1493</v>
      </c>
      <c r="B593" t="s">
        <v>1406</v>
      </c>
      <c r="C593" t="s">
        <v>1408</v>
      </c>
      <c r="D593">
        <v>1</v>
      </c>
      <c r="E593" t="s">
        <v>1161</v>
      </c>
      <c r="F593">
        <f>MAX(MAX(L593:AE593),-MIN(L593:AE593))</f>
        <v>0</v>
      </c>
      <c r="I593" t="s">
        <v>1492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1494</v>
      </c>
      <c r="B595" t="s">
        <v>1417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1494</v>
      </c>
      <c r="B596" t="s">
        <v>1417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1494</v>
      </c>
      <c r="B597" t="s">
        <v>1417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1492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1495</v>
      </c>
      <c r="B599" t="s">
        <v>1417</v>
      </c>
      <c r="C599" t="s">
        <v>1355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1495</v>
      </c>
      <c r="B600" t="s">
        <v>1417</v>
      </c>
      <c r="C600" t="s">
        <v>1355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1495</v>
      </c>
      <c r="B601" t="s">
        <v>1417</v>
      </c>
      <c r="C601" t="s">
        <v>1355</v>
      </c>
      <c r="D601">
        <v>1</v>
      </c>
      <c r="E601" t="s">
        <v>1161</v>
      </c>
      <c r="F601">
        <f>MAX(MAX(L601:AE601),-MIN(L601:AE601))</f>
        <v>1.8189894035458565E-12</v>
      </c>
      <c r="I601" t="s">
        <v>1492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1496</v>
      </c>
      <c r="B603" t="s">
        <v>1417</v>
      </c>
      <c r="C603" t="s">
        <v>1359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1496</v>
      </c>
      <c r="B604" t="s">
        <v>1417</v>
      </c>
      <c r="C604" t="s">
        <v>1359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1496</v>
      </c>
      <c r="B605" t="s">
        <v>1417</v>
      </c>
      <c r="C605" t="s">
        <v>1359</v>
      </c>
      <c r="D605">
        <v>1</v>
      </c>
      <c r="E605" t="s">
        <v>1161</v>
      </c>
      <c r="F605">
        <f>MAX(MAX(L605:AE605),-MIN(L605:AE605))</f>
        <v>0</v>
      </c>
      <c r="I605" t="s">
        <v>1492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1497</v>
      </c>
      <c r="B607" t="s">
        <v>1417</v>
      </c>
      <c r="C607" t="s">
        <v>1363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1497</v>
      </c>
      <c r="B608" t="s">
        <v>1417</v>
      </c>
      <c r="C608" t="s">
        <v>1363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1497</v>
      </c>
      <c r="B609" t="s">
        <v>1417</v>
      </c>
      <c r="C609" t="s">
        <v>1363</v>
      </c>
      <c r="D609">
        <v>1</v>
      </c>
      <c r="E609" t="s">
        <v>1161</v>
      </c>
      <c r="F609">
        <f>MAX(MAX(L609:AE609),-MIN(L609:AE609))</f>
        <v>5.8207660913467407E-11</v>
      </c>
      <c r="I609" t="s">
        <v>1492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1498</v>
      </c>
      <c r="B611" t="s">
        <v>1417</v>
      </c>
      <c r="C611" t="s">
        <v>1425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1498</v>
      </c>
      <c r="B612" t="s">
        <v>1417</v>
      </c>
      <c r="C612" t="s">
        <v>1425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1498</v>
      </c>
      <c r="B613" t="s">
        <v>1417</v>
      </c>
      <c r="C613" t="s">
        <v>1425</v>
      </c>
      <c r="D613">
        <v>1</v>
      </c>
      <c r="E613" t="s">
        <v>1161</v>
      </c>
      <c r="F613">
        <f>MAX(MAX(L613:AE613),-MIN(L613:AE613))</f>
        <v>4.5474735088646412E-13</v>
      </c>
      <c r="I613" t="s">
        <v>1492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1499</v>
      </c>
      <c r="B615" t="s">
        <v>1417</v>
      </c>
      <c r="C615" t="s">
        <v>1373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1499</v>
      </c>
      <c r="B616" t="s">
        <v>1417</v>
      </c>
      <c r="C616" t="s">
        <v>1373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1499</v>
      </c>
      <c r="B617" t="s">
        <v>1417</v>
      </c>
      <c r="C617" t="s">
        <v>1373</v>
      </c>
      <c r="D617">
        <v>1</v>
      </c>
      <c r="E617" t="s">
        <v>1161</v>
      </c>
      <c r="F617">
        <f>MAX(MAX(L617:AE617),-MIN(L617:AE617))</f>
        <v>1.3642420526593924E-12</v>
      </c>
      <c r="I617" t="s">
        <v>1492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1500</v>
      </c>
      <c r="B619" t="s">
        <v>1417</v>
      </c>
      <c r="C619" t="s">
        <v>1378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1500</v>
      </c>
      <c r="B620" t="s">
        <v>1417</v>
      </c>
      <c r="C620" t="s">
        <v>1378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1500</v>
      </c>
      <c r="B621" t="s">
        <v>1417</v>
      </c>
      <c r="C621" t="s">
        <v>1378</v>
      </c>
      <c r="D621">
        <v>1</v>
      </c>
      <c r="E621" t="s">
        <v>1161</v>
      </c>
      <c r="F621">
        <f>MAX(MAX(L621:AE621),-MIN(L621:AE621))</f>
        <v>1.1368683772161603E-13</v>
      </c>
      <c r="I621" t="s">
        <v>1492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1501</v>
      </c>
      <c r="B623" t="s">
        <v>1417</v>
      </c>
      <c r="C623" t="s">
        <v>1383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1501</v>
      </c>
      <c r="B624" t="s">
        <v>1417</v>
      </c>
      <c r="C624" t="s">
        <v>1383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1501</v>
      </c>
      <c r="B625" t="s">
        <v>1417</v>
      </c>
      <c r="C625" t="s">
        <v>1383</v>
      </c>
      <c r="D625">
        <v>1</v>
      </c>
      <c r="E625" t="s">
        <v>1161</v>
      </c>
      <c r="F625">
        <f>MAX(MAX(L625:AE625),-MIN(L625:AE625))</f>
        <v>1.1368683772161603E-13</v>
      </c>
      <c r="I625" t="s">
        <v>1492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1502</v>
      </c>
      <c r="B627" t="s">
        <v>1430</v>
      </c>
      <c r="C627" t="s">
        <v>1433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1502</v>
      </c>
      <c r="B628" t="s">
        <v>1430</v>
      </c>
      <c r="C628" t="s">
        <v>1433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1502</v>
      </c>
      <c r="B629" t="s">
        <v>1430</v>
      </c>
      <c r="C629" t="s">
        <v>1433</v>
      </c>
      <c r="D629">
        <v>1</v>
      </c>
      <c r="E629" t="s">
        <v>1161</v>
      </c>
      <c r="F629">
        <f>MAX(MAX(L629:AE629),-MIN(L629:AE629))</f>
        <v>0</v>
      </c>
      <c r="I629" t="s">
        <v>1492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1503</v>
      </c>
      <c r="B631" t="s">
        <v>1430</v>
      </c>
      <c r="C631" t="s">
        <v>1436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1503</v>
      </c>
      <c r="B632" t="s">
        <v>1430</v>
      </c>
      <c r="C632" t="s">
        <v>1436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1503</v>
      </c>
      <c r="B633" t="s">
        <v>1430</v>
      </c>
      <c r="C633" t="s">
        <v>1436</v>
      </c>
      <c r="D633">
        <v>1</v>
      </c>
      <c r="E633" t="s">
        <v>1161</v>
      </c>
      <c r="F633">
        <f>MAX(MAX(L633:AE633),-MIN(L633:AE633))</f>
        <v>0</v>
      </c>
      <c r="I633" t="s">
        <v>1492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1504</v>
      </c>
      <c r="B635" t="s">
        <v>1430</v>
      </c>
      <c r="C635" t="s">
        <v>1439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1504</v>
      </c>
      <c r="B636" t="s">
        <v>1430</v>
      </c>
      <c r="C636" t="s">
        <v>1439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1504</v>
      </c>
      <c r="B637" t="s">
        <v>1430</v>
      </c>
      <c r="C637" t="s">
        <v>1439</v>
      </c>
      <c r="D637">
        <v>1</v>
      </c>
      <c r="E637" t="s">
        <v>1161</v>
      </c>
      <c r="F637">
        <f>MAX(MAX(L637:AE637),-MIN(L637:AE637))</f>
        <v>0</v>
      </c>
      <c r="I637" t="s">
        <v>1492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1505</v>
      </c>
      <c r="B639" t="s">
        <v>1430</v>
      </c>
      <c r="C639" t="s">
        <v>1442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1505</v>
      </c>
      <c r="B640" t="s">
        <v>1430</v>
      </c>
      <c r="C640" t="s">
        <v>1442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1505</v>
      </c>
      <c r="B641" t="s">
        <v>1430</v>
      </c>
      <c r="C641" t="s">
        <v>1442</v>
      </c>
      <c r="D641">
        <v>1</v>
      </c>
      <c r="E641" t="s">
        <v>1161</v>
      </c>
      <c r="F641">
        <f>MAX(MAX(L641:AE641),-MIN(L641:AE641))</f>
        <v>0</v>
      </c>
      <c r="I641" t="s">
        <v>1492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1506</v>
      </c>
      <c r="B643" t="s">
        <v>1430</v>
      </c>
      <c r="C643" t="s">
        <v>1445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1506</v>
      </c>
      <c r="B644" t="s">
        <v>1430</v>
      </c>
      <c r="C644" t="s">
        <v>1445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1506</v>
      </c>
      <c r="B645" t="s">
        <v>1430</v>
      </c>
      <c r="C645" t="s">
        <v>1445</v>
      </c>
      <c r="D645">
        <v>1</v>
      </c>
      <c r="E645" t="s">
        <v>1161</v>
      </c>
      <c r="F645">
        <f>MAX(MAX(L645:AE645),-MIN(L645:AE645))</f>
        <v>0</v>
      </c>
      <c r="I645" t="s">
        <v>1492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1507</v>
      </c>
      <c r="B647" t="s">
        <v>1430</v>
      </c>
      <c r="C647" t="s">
        <v>1448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1507</v>
      </c>
      <c r="B648" t="s">
        <v>1430</v>
      </c>
      <c r="C648" t="s">
        <v>1448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1507</v>
      </c>
      <c r="B649" t="s">
        <v>1430</v>
      </c>
      <c r="C649" t="s">
        <v>1448</v>
      </c>
      <c r="D649">
        <v>1</v>
      </c>
      <c r="E649" t="s">
        <v>1161</v>
      </c>
      <c r="F649">
        <f>MAX(MAX(L649:AE649),-MIN(L649:AE649))</f>
        <v>0</v>
      </c>
      <c r="I649" t="s">
        <v>1492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1508</v>
      </c>
      <c r="B651" t="s">
        <v>1430</v>
      </c>
      <c r="C651" t="s">
        <v>1451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1508</v>
      </c>
      <c r="B652" t="s">
        <v>1430</v>
      </c>
      <c r="C652" t="s">
        <v>1451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1508</v>
      </c>
      <c r="B653" t="s">
        <v>1430</v>
      </c>
      <c r="C653" t="s">
        <v>1451</v>
      </c>
      <c r="D653">
        <v>1</v>
      </c>
      <c r="E653" t="s">
        <v>1161</v>
      </c>
      <c r="F653">
        <f>MAX(MAX(L653:AE653),-MIN(L653:AE653))</f>
        <v>0</v>
      </c>
      <c r="I653" t="s">
        <v>1492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1509</v>
      </c>
      <c r="B655" t="s">
        <v>1430</v>
      </c>
      <c r="C655" t="s">
        <v>1454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1509</v>
      </c>
      <c r="B656" t="s">
        <v>1430</v>
      </c>
      <c r="C656" t="s">
        <v>1454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1509</v>
      </c>
      <c r="B657" t="s">
        <v>1430</v>
      </c>
      <c r="C657" t="s">
        <v>1454</v>
      </c>
      <c r="D657">
        <v>1</v>
      </c>
      <c r="E657" t="s">
        <v>1161</v>
      </c>
      <c r="F657">
        <f>MAX(MAX(L657:AE657),-MIN(L657:AE657))</f>
        <v>0</v>
      </c>
      <c r="I657" t="s">
        <v>1492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1510</v>
      </c>
      <c r="B659" t="s">
        <v>1457</v>
      </c>
      <c r="C659" t="s">
        <v>1433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1510</v>
      </c>
      <c r="B660" t="s">
        <v>1457</v>
      </c>
      <c r="C660" t="s">
        <v>1433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1510</v>
      </c>
      <c r="B661" t="s">
        <v>1457</v>
      </c>
      <c r="C661" t="s">
        <v>1433</v>
      </c>
      <c r="D661">
        <v>1</v>
      </c>
      <c r="E661" t="s">
        <v>1161</v>
      </c>
      <c r="F661">
        <f>MAX(MAX(L661:AE661),-MIN(L661:AE661))</f>
        <v>0</v>
      </c>
      <c r="I661" t="s">
        <v>1492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1511</v>
      </c>
      <c r="B663" t="s">
        <v>1457</v>
      </c>
      <c r="C663" t="s">
        <v>1436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1511</v>
      </c>
      <c r="B664" t="s">
        <v>1457</v>
      </c>
      <c r="C664" t="s">
        <v>1436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1511</v>
      </c>
      <c r="B665" t="s">
        <v>1457</v>
      </c>
      <c r="C665" t="s">
        <v>1436</v>
      </c>
      <c r="D665">
        <v>1</v>
      </c>
      <c r="E665" t="s">
        <v>1161</v>
      </c>
      <c r="F665">
        <f>MAX(MAX(L665:AE665),-MIN(L665:AE665))</f>
        <v>0</v>
      </c>
      <c r="I665" t="s">
        <v>1492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1512</v>
      </c>
      <c r="B667" t="s">
        <v>1457</v>
      </c>
      <c r="C667" t="s">
        <v>1439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1512</v>
      </c>
      <c r="B668" t="s">
        <v>1457</v>
      </c>
      <c r="C668" t="s">
        <v>1439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1512</v>
      </c>
      <c r="B669" t="s">
        <v>1457</v>
      </c>
      <c r="C669" t="s">
        <v>1439</v>
      </c>
      <c r="D669">
        <v>1</v>
      </c>
      <c r="E669" t="s">
        <v>1161</v>
      </c>
      <c r="F669">
        <f>MAX(MAX(L669:AE669),-MIN(L669:AE669))</f>
        <v>0</v>
      </c>
      <c r="I669" t="s">
        <v>1492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1513</v>
      </c>
      <c r="B671" t="s">
        <v>1457</v>
      </c>
      <c r="C671" t="s">
        <v>1442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1513</v>
      </c>
      <c r="B672" t="s">
        <v>1457</v>
      </c>
      <c r="C672" t="s">
        <v>1442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1513</v>
      </c>
      <c r="B673" t="s">
        <v>1457</v>
      </c>
      <c r="C673" t="s">
        <v>1442</v>
      </c>
      <c r="D673">
        <v>1</v>
      </c>
      <c r="E673" t="s">
        <v>1161</v>
      </c>
      <c r="F673">
        <f>MAX(MAX(L673:AE673),-MIN(L673:AE673))</f>
        <v>0</v>
      </c>
      <c r="I673" t="s">
        <v>1492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1514</v>
      </c>
      <c r="B675" t="s">
        <v>1457</v>
      </c>
      <c r="C675" t="s">
        <v>1445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1514</v>
      </c>
      <c r="B676" t="s">
        <v>1457</v>
      </c>
      <c r="C676" t="s">
        <v>1445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1514</v>
      </c>
      <c r="B677" t="s">
        <v>1457</v>
      </c>
      <c r="C677" t="s">
        <v>1445</v>
      </c>
      <c r="D677">
        <v>1</v>
      </c>
      <c r="E677" t="s">
        <v>1161</v>
      </c>
      <c r="F677">
        <f>MAX(MAX(L677:AE677),-MIN(L677:AE677))</f>
        <v>0</v>
      </c>
      <c r="I677" t="s">
        <v>1492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1515</v>
      </c>
      <c r="B679" t="s">
        <v>1457</v>
      </c>
      <c r="C679" t="s">
        <v>1448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1515</v>
      </c>
      <c r="B680" t="s">
        <v>1457</v>
      </c>
      <c r="C680" t="s">
        <v>1448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1515</v>
      </c>
      <c r="B681" t="s">
        <v>1457</v>
      </c>
      <c r="C681" t="s">
        <v>1448</v>
      </c>
      <c r="D681">
        <v>1</v>
      </c>
      <c r="E681" t="s">
        <v>1161</v>
      </c>
      <c r="F681">
        <f>MAX(MAX(L681:AE681),-MIN(L681:AE681))</f>
        <v>0</v>
      </c>
      <c r="I681" t="s">
        <v>1492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1516</v>
      </c>
      <c r="B683" t="s">
        <v>1457</v>
      </c>
      <c r="C683" t="s">
        <v>1451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1516</v>
      </c>
      <c r="B684" t="s">
        <v>1457</v>
      </c>
      <c r="C684" t="s">
        <v>1451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1516</v>
      </c>
      <c r="B685" t="s">
        <v>1457</v>
      </c>
      <c r="C685" t="s">
        <v>1451</v>
      </c>
      <c r="D685">
        <v>1</v>
      </c>
      <c r="E685" t="s">
        <v>1161</v>
      </c>
      <c r="F685">
        <f>MAX(MAX(L685:AE685),-MIN(L685:AE685))</f>
        <v>0</v>
      </c>
      <c r="I685" t="s">
        <v>1492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1517</v>
      </c>
      <c r="B687" t="s">
        <v>1457</v>
      </c>
      <c r="C687" t="s">
        <v>1454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1517</v>
      </c>
      <c r="B688" t="s">
        <v>1457</v>
      </c>
      <c r="C688" t="s">
        <v>1454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1517</v>
      </c>
      <c r="B689" t="s">
        <v>1457</v>
      </c>
      <c r="C689" t="s">
        <v>1454</v>
      </c>
      <c r="D689">
        <v>1</v>
      </c>
      <c r="E689" t="s">
        <v>1161</v>
      </c>
      <c r="F689">
        <f>MAX(MAX(L689:AE689),-MIN(L689:AE689))</f>
        <v>0</v>
      </c>
      <c r="I689" t="s">
        <v>1492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1518</v>
      </c>
      <c r="B691" t="s">
        <v>1460</v>
      </c>
      <c r="C691" t="s">
        <v>1433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1518</v>
      </c>
      <c r="B692" t="s">
        <v>1460</v>
      </c>
      <c r="C692" t="s">
        <v>1433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1518</v>
      </c>
      <c r="B693" t="s">
        <v>1460</v>
      </c>
      <c r="C693" t="s">
        <v>1433</v>
      </c>
      <c r="D693">
        <v>1</v>
      </c>
      <c r="E693" t="s">
        <v>1161</v>
      </c>
      <c r="F693">
        <f>MAX(MAX(L693:AE693),-MIN(L693:AE693))</f>
        <v>0</v>
      </c>
      <c r="I693" t="s">
        <v>1492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1519</v>
      </c>
      <c r="B695" t="s">
        <v>1460</v>
      </c>
      <c r="C695" t="s">
        <v>1436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1519</v>
      </c>
      <c r="B696" t="s">
        <v>1460</v>
      </c>
      <c r="C696" t="s">
        <v>1436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1519</v>
      </c>
      <c r="B697" t="s">
        <v>1460</v>
      </c>
      <c r="C697" t="s">
        <v>1436</v>
      </c>
      <c r="D697">
        <v>1</v>
      </c>
      <c r="E697" t="s">
        <v>1161</v>
      </c>
      <c r="F697">
        <f>MAX(MAX(L697:AE697),-MIN(L697:AE697))</f>
        <v>0</v>
      </c>
      <c r="I697" t="s">
        <v>1492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1520</v>
      </c>
      <c r="B699" t="s">
        <v>1460</v>
      </c>
      <c r="C699" t="s">
        <v>1439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1520</v>
      </c>
      <c r="B700" t="s">
        <v>1460</v>
      </c>
      <c r="C700" t="s">
        <v>1439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1520</v>
      </c>
      <c r="B701" t="s">
        <v>1460</v>
      </c>
      <c r="C701" t="s">
        <v>1439</v>
      </c>
      <c r="D701">
        <v>1</v>
      </c>
      <c r="E701" t="s">
        <v>1161</v>
      </c>
      <c r="F701">
        <f>MAX(MAX(L701:AE701),-MIN(L701:AE701))</f>
        <v>0</v>
      </c>
      <c r="I701" t="s">
        <v>1492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1521</v>
      </c>
      <c r="B703" t="s">
        <v>1460</v>
      </c>
      <c r="C703" t="s">
        <v>1442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1521</v>
      </c>
      <c r="B704" t="s">
        <v>1460</v>
      </c>
      <c r="C704" t="s">
        <v>1442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1521</v>
      </c>
      <c r="B705" t="s">
        <v>1460</v>
      </c>
      <c r="C705" t="s">
        <v>1442</v>
      </c>
      <c r="D705">
        <v>1</v>
      </c>
      <c r="E705" t="s">
        <v>1161</v>
      </c>
      <c r="F705">
        <f>MAX(MAX(L705:AE705),-MIN(L705:AE705))</f>
        <v>0</v>
      </c>
      <c r="I705" t="s">
        <v>1492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1522</v>
      </c>
      <c r="B707" t="s">
        <v>1460</v>
      </c>
      <c r="C707" t="s">
        <v>1445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1522</v>
      </c>
      <c r="B708" t="s">
        <v>1460</v>
      </c>
      <c r="C708" t="s">
        <v>1445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1522</v>
      </c>
      <c r="B709" t="s">
        <v>1460</v>
      </c>
      <c r="C709" t="s">
        <v>1445</v>
      </c>
      <c r="D709">
        <v>1</v>
      </c>
      <c r="E709" t="s">
        <v>1161</v>
      </c>
      <c r="F709">
        <f>MAX(MAX(L709:AE709),-MIN(L709:AE709))</f>
        <v>0</v>
      </c>
      <c r="I709" t="s">
        <v>1492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1523</v>
      </c>
      <c r="B711" t="s">
        <v>1460</v>
      </c>
      <c r="C711" t="s">
        <v>1448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1523</v>
      </c>
      <c r="B712" t="s">
        <v>1460</v>
      </c>
      <c r="C712" t="s">
        <v>1448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1523</v>
      </c>
      <c r="B713" t="s">
        <v>1460</v>
      </c>
      <c r="C713" t="s">
        <v>1448</v>
      </c>
      <c r="D713">
        <v>1</v>
      </c>
      <c r="E713" t="s">
        <v>1161</v>
      </c>
      <c r="F713">
        <f>MAX(MAX(L713:AE713),-MIN(L713:AE713))</f>
        <v>0</v>
      </c>
      <c r="I713" t="s">
        <v>1492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1524</v>
      </c>
      <c r="B715" t="s">
        <v>1460</v>
      </c>
      <c r="C715" t="s">
        <v>1451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1524</v>
      </c>
      <c r="B716" t="s">
        <v>1460</v>
      </c>
      <c r="C716" t="s">
        <v>1451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1524</v>
      </c>
      <c r="B717" t="s">
        <v>1460</v>
      </c>
      <c r="C717" t="s">
        <v>1451</v>
      </c>
      <c r="D717">
        <v>1</v>
      </c>
      <c r="E717" t="s">
        <v>1161</v>
      </c>
      <c r="F717">
        <f>MAX(MAX(L717:AE717),-MIN(L717:AE717))</f>
        <v>0</v>
      </c>
      <c r="I717" t="s">
        <v>1492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1525</v>
      </c>
      <c r="B719" t="s">
        <v>1460</v>
      </c>
      <c r="C719" t="s">
        <v>1454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1525</v>
      </c>
      <c r="B720" t="s">
        <v>1460</v>
      </c>
      <c r="C720" t="s">
        <v>1454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1525</v>
      </c>
      <c r="B721" t="s">
        <v>1460</v>
      </c>
      <c r="C721" t="s">
        <v>1454</v>
      </c>
      <c r="D721">
        <v>1</v>
      </c>
      <c r="E721" t="s">
        <v>1161</v>
      </c>
      <c r="F721">
        <f>MAX(MAX(L721:AE721),-MIN(L721:AE721))</f>
        <v>0</v>
      </c>
      <c r="I721" t="s">
        <v>1492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1526</v>
      </c>
      <c r="B723" t="s">
        <v>1463</v>
      </c>
      <c r="C723" t="s">
        <v>1433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1526</v>
      </c>
      <c r="B724" t="s">
        <v>1463</v>
      </c>
      <c r="C724" t="s">
        <v>1433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1526</v>
      </c>
      <c r="B725" t="s">
        <v>1463</v>
      </c>
      <c r="C725" t="s">
        <v>1433</v>
      </c>
      <c r="D725">
        <v>1</v>
      </c>
      <c r="E725" t="s">
        <v>1161</v>
      </c>
      <c r="F725">
        <f>MAX(MAX(L725:AE725),-MIN(L725:AE725))</f>
        <v>0</v>
      </c>
      <c r="I725" t="s">
        <v>1492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1527</v>
      </c>
      <c r="B727" t="s">
        <v>1463</v>
      </c>
      <c r="C727" t="s">
        <v>1436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1527</v>
      </c>
      <c r="B728" t="s">
        <v>1463</v>
      </c>
      <c r="C728" t="s">
        <v>1436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1527</v>
      </c>
      <c r="B729" t="s">
        <v>1463</v>
      </c>
      <c r="C729" t="s">
        <v>1436</v>
      </c>
      <c r="D729">
        <v>1</v>
      </c>
      <c r="E729" t="s">
        <v>1161</v>
      </c>
      <c r="F729">
        <f>MAX(MAX(L729:AE729),-MIN(L729:AE729))</f>
        <v>0</v>
      </c>
      <c r="I729" t="s">
        <v>1492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1528</v>
      </c>
      <c r="B731" t="s">
        <v>1463</v>
      </c>
      <c r="C731" t="s">
        <v>1439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1528</v>
      </c>
      <c r="B732" t="s">
        <v>1463</v>
      </c>
      <c r="C732" t="s">
        <v>1439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1528</v>
      </c>
      <c r="B733" t="s">
        <v>1463</v>
      </c>
      <c r="C733" t="s">
        <v>1439</v>
      </c>
      <c r="D733">
        <v>1</v>
      </c>
      <c r="E733" t="s">
        <v>1161</v>
      </c>
      <c r="F733">
        <f>MAX(MAX(L733:AE733),-MIN(L733:AE733))</f>
        <v>0</v>
      </c>
      <c r="I733" t="s">
        <v>1492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1529</v>
      </c>
      <c r="B735" t="s">
        <v>1463</v>
      </c>
      <c r="C735" t="s">
        <v>1442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1529</v>
      </c>
      <c r="B736" t="s">
        <v>1463</v>
      </c>
      <c r="C736" t="s">
        <v>1442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1529</v>
      </c>
      <c r="B737" t="s">
        <v>1463</v>
      </c>
      <c r="C737" t="s">
        <v>1442</v>
      </c>
      <c r="D737">
        <v>1</v>
      </c>
      <c r="E737" t="s">
        <v>1161</v>
      </c>
      <c r="F737">
        <f>MAX(MAX(L737:AE737),-MIN(L737:AE737))</f>
        <v>0</v>
      </c>
      <c r="I737" t="s">
        <v>1492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1530</v>
      </c>
      <c r="B739" t="s">
        <v>1463</v>
      </c>
      <c r="C739" t="s">
        <v>1445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1530</v>
      </c>
      <c r="B740" t="s">
        <v>1463</v>
      </c>
      <c r="C740" t="s">
        <v>1445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1530</v>
      </c>
      <c r="B741" t="s">
        <v>1463</v>
      </c>
      <c r="C741" t="s">
        <v>1445</v>
      </c>
      <c r="D741">
        <v>1</v>
      </c>
      <c r="E741" t="s">
        <v>1161</v>
      </c>
      <c r="F741">
        <f>MAX(MAX(L741:AE741),-MIN(L741:AE741))</f>
        <v>0</v>
      </c>
      <c r="I741" t="s">
        <v>1492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1531</v>
      </c>
      <c r="B743" t="s">
        <v>1463</v>
      </c>
      <c r="C743" t="s">
        <v>1448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1531</v>
      </c>
      <c r="B744" t="s">
        <v>1463</v>
      </c>
      <c r="C744" t="s">
        <v>1448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1531</v>
      </c>
      <c r="B745" t="s">
        <v>1463</v>
      </c>
      <c r="C745" t="s">
        <v>1448</v>
      </c>
      <c r="D745">
        <v>1</v>
      </c>
      <c r="E745" t="s">
        <v>1161</v>
      </c>
      <c r="F745">
        <f>MAX(MAX(L745:AE745),-MIN(L745:AE745))</f>
        <v>0</v>
      </c>
      <c r="I745" t="s">
        <v>1492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1532</v>
      </c>
      <c r="B747" t="s">
        <v>1463</v>
      </c>
      <c r="C747" t="s">
        <v>1451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1532</v>
      </c>
      <c r="B748" t="s">
        <v>1463</v>
      </c>
      <c r="C748" t="s">
        <v>1451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1532</v>
      </c>
      <c r="B749" t="s">
        <v>1463</v>
      </c>
      <c r="C749" t="s">
        <v>1451</v>
      </c>
      <c r="D749">
        <v>1</v>
      </c>
      <c r="E749" t="s">
        <v>1161</v>
      </c>
      <c r="F749">
        <f>MAX(MAX(L749:AE749),-MIN(L749:AE749))</f>
        <v>0</v>
      </c>
      <c r="I749" t="s">
        <v>1492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1533</v>
      </c>
      <c r="B751" t="s">
        <v>1463</v>
      </c>
      <c r="C751" t="s">
        <v>1454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1533</v>
      </c>
      <c r="B752" t="s">
        <v>1463</v>
      </c>
      <c r="C752" t="s">
        <v>1454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1533</v>
      </c>
      <c r="B753" t="s">
        <v>1463</v>
      </c>
      <c r="C753" t="s">
        <v>1454</v>
      </c>
      <c r="D753">
        <v>1</v>
      </c>
      <c r="E753" t="s">
        <v>1161</v>
      </c>
      <c r="F753">
        <f>MAX(MAX(L753:AE753),-MIN(L753:AE753))</f>
        <v>0</v>
      </c>
      <c r="I753" t="s">
        <v>1492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1534</v>
      </c>
      <c r="B755" t="s">
        <v>1464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1534</v>
      </c>
      <c r="B756" t="s">
        <v>1464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2.6717650641872548</v>
      </c>
      <c r="M756">
        <f>IF(ISBLANK(Mitigation_Industry!M330),"",Mitigation_Industry!M330)</f>
        <v>2.789322727011494</v>
      </c>
      <c r="N756">
        <f>IF(ISBLANK(Mitigation_Industry!N330),"",Mitigation_Industry!N330)</f>
        <v>2.9120529269999995</v>
      </c>
      <c r="O756">
        <f>IF(ISBLANK(Mitigation_Industry!O330),"",Mitigation_Industry!O330)</f>
        <v>3.0401832557880004</v>
      </c>
      <c r="P756">
        <f>IF(ISBLANK(Mitigation_Industry!P330),"",Mitigation_Industry!P330)</f>
        <v>3.173951319042672</v>
      </c>
      <c r="Q756">
        <f>IF(ISBLANK(Mitigation_Industry!Q330),"",Mitigation_Industry!Q330)</f>
        <v>3.3136051770805501</v>
      </c>
      <c r="R756">
        <f>IF(ISBLANK(Mitigation_Industry!R330),"",Mitigation_Industry!R330)</f>
        <v>3.4594038048720939</v>
      </c>
      <c r="S756">
        <f>IF(ISBLANK(Mitigation_Industry!S330),"",Mitigation_Industry!S330)</f>
        <v>3.6116175722864661</v>
      </c>
      <c r="T756">
        <f>IF(ISBLANK(Mitigation_Industry!T330),"",Mitigation_Industry!T330)</f>
        <v>3.7705287454670713</v>
      </c>
      <c r="U756">
        <f>IF(ISBLANK(Mitigation_Industry!U330),"",Mitigation_Industry!U330)</f>
        <v>3.9364320102676222</v>
      </c>
      <c r="V756">
        <f>IF(ISBLANK(Mitigation_Industry!V330),"",Mitigation_Industry!V330)</f>
        <v>4.1096350187193975</v>
      </c>
      <c r="W756">
        <f>IF(ISBLANK(Mitigation_Industry!W330),"",Mitigation_Industry!W330)</f>
        <v>4.2904589595430505</v>
      </c>
      <c r="X756">
        <f>IF(ISBLANK(Mitigation_Industry!X330),"",Mitigation_Industry!X330)</f>
        <v>4.4792391537629452</v>
      </c>
      <c r="Y756">
        <f>IF(ISBLANK(Mitigation_Industry!Y330),"",Mitigation_Industry!Y330)</f>
        <v>4.6763256765285162</v>
      </c>
      <c r="Z756">
        <f>IF(ISBLANK(Mitigation_Industry!Z330),"",Mitigation_Industry!Z330)</f>
        <v>4.8820840062957691</v>
      </c>
      <c r="AA756">
        <f>IF(ISBLANK(Mitigation_Industry!AA330),"",Mitigation_Industry!AA330)</f>
        <v>5.096895702572783</v>
      </c>
      <c r="AB756">
        <f>IF(ISBLANK(Mitigation_Industry!AB330),"",Mitigation_Industry!AB330)</f>
        <v>5.3211591134859875</v>
      </c>
      <c r="AC756">
        <f>IF(ISBLANK(Mitigation_Industry!AC330),"",Mitigation_Industry!AC330)</f>
        <v>5.5552901144793703</v>
      </c>
      <c r="AD756">
        <f>IF(ISBLANK(Mitigation_Industry!AD330),"",Mitigation_Industry!AD330)</f>
        <v>5.7997228795164624</v>
      </c>
      <c r="AE756">
        <f>IF(ISBLANK(Mitigation_Industry!AE330),"",Mitigation_Industry!AE330)</f>
        <v>6.0549106862151856</v>
      </c>
    </row>
    <row r="757" spans="1:31" x14ac:dyDescent="0.45">
      <c r="A757" t="s">
        <v>1534</v>
      </c>
      <c r="B757" t="s">
        <v>1464</v>
      </c>
      <c r="C757" t="s">
        <v>1350</v>
      </c>
      <c r="D757">
        <v>1</v>
      </c>
      <c r="E757" t="s">
        <v>1161</v>
      </c>
      <c r="F757">
        <f>MAX(MAX(L757:AE757),-MIN(L757:AE757))</f>
        <v>1.26231796322352</v>
      </c>
      <c r="I757" t="s">
        <v>1492</v>
      </c>
      <c r="K757">
        <f t="shared" ref="K757:AE757" si="186">IF(ISNUMBER(K755),IF(ISNUMBER(K756),K756-K755,999999),0)</f>
        <v>0</v>
      </c>
      <c r="L757">
        <f t="shared" si="186"/>
        <v>-0.55700524893204761</v>
      </c>
      <c r="M757">
        <f t="shared" si="186"/>
        <v>-0.58151347988505764</v>
      </c>
      <c r="N757">
        <f t="shared" si="186"/>
        <v>-0.60710007300000068</v>
      </c>
      <c r="O757">
        <f t="shared" si="186"/>
        <v>-0.63381247621200032</v>
      </c>
      <c r="P757">
        <f t="shared" si="186"/>
        <v>-0.66170022516532878</v>
      </c>
      <c r="Q757">
        <f t="shared" si="186"/>
        <v>-0.69081503507260322</v>
      </c>
      <c r="R757">
        <f t="shared" si="186"/>
        <v>-0.72121089661579729</v>
      </c>
      <c r="S757">
        <f t="shared" si="186"/>
        <v>-0.75294417606689379</v>
      </c>
      <c r="T757">
        <f t="shared" si="186"/>
        <v>-0.78607371981383567</v>
      </c>
      <c r="U757">
        <f t="shared" si="186"/>
        <v>-0.82066096348564521</v>
      </c>
      <c r="V757">
        <f t="shared" si="186"/>
        <v>-0.8567700458790144</v>
      </c>
      <c r="W757">
        <f t="shared" si="186"/>
        <v>-0.89446792789769081</v>
      </c>
      <c r="X757">
        <f t="shared" si="186"/>
        <v>-0.93382451672518929</v>
      </c>
      <c r="Y757">
        <f t="shared" si="186"/>
        <v>-0.97491279546109677</v>
      </c>
      <c r="Z757">
        <f t="shared" si="186"/>
        <v>-1.0178089584613863</v>
      </c>
      <c r="AA757">
        <f t="shared" si="186"/>
        <v>-1.0625925526336877</v>
      </c>
      <c r="AB757">
        <f t="shared" si="186"/>
        <v>-1.109346624949568</v>
      </c>
      <c r="AC757">
        <f t="shared" si="186"/>
        <v>-1.1581578764473504</v>
      </c>
      <c r="AD757">
        <f t="shared" si="186"/>
        <v>-1.2091168230110343</v>
      </c>
      <c r="AE757">
        <f t="shared" si="186"/>
        <v>-1.26231796322352</v>
      </c>
    </row>
    <row r="759" spans="1:31" x14ac:dyDescent="0.45">
      <c r="A759" t="s">
        <v>1535</v>
      </c>
      <c r="B759" t="s">
        <v>1464</v>
      </c>
      <c r="C759" t="s">
        <v>1355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1535</v>
      </c>
      <c r="B760" t="s">
        <v>1464</v>
      </c>
      <c r="C760" t="s">
        <v>1355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0.19764830228563882</v>
      </c>
      <c r="M760">
        <f>IF(ISBLANK(Mitigation_Industry!M331),"",Mitigation_Industry!M331)</f>
        <v>0.20634482758620692</v>
      </c>
      <c r="N760">
        <f>IF(ISBLANK(Mitigation_Industry!N331),"",Mitigation_Industry!N331)</f>
        <v>0.215424</v>
      </c>
      <c r="O760">
        <f>IF(ISBLANK(Mitigation_Industry!O331),"",Mitigation_Industry!O331)</f>
        <v>0.22490265600000001</v>
      </c>
      <c r="P760">
        <f>IF(ISBLANK(Mitigation_Industry!P331),"",Mitigation_Industry!P331)</f>
        <v>0.23479837286400002</v>
      </c>
      <c r="Q760">
        <f>IF(ISBLANK(Mitigation_Industry!Q331),"",Mitigation_Industry!Q331)</f>
        <v>0.24512950127001604</v>
      </c>
      <c r="R760">
        <f>IF(ISBLANK(Mitigation_Industry!R331),"",Mitigation_Industry!R331)</f>
        <v>0.25591519932589668</v>
      </c>
      <c r="S760">
        <f>IF(ISBLANK(Mitigation_Industry!S331),"",Mitigation_Industry!S331)</f>
        <v>0.26717546809623621</v>
      </c>
      <c r="T760">
        <f>IF(ISBLANK(Mitigation_Industry!T331),"",Mitigation_Industry!T331)</f>
        <v>0.27893118869247063</v>
      </c>
      <c r="U760">
        <f>IF(ISBLANK(Mitigation_Industry!U331),"",Mitigation_Industry!U331)</f>
        <v>0.29120416099493934</v>
      </c>
      <c r="V760">
        <f>IF(ISBLANK(Mitigation_Industry!V331),"",Mitigation_Industry!V331)</f>
        <v>0.30401714407871661</v>
      </c>
      <c r="W760">
        <f>IF(ISBLANK(Mitigation_Industry!W331),"",Mitigation_Industry!W331)</f>
        <v>0.31739389841818022</v>
      </c>
      <c r="X760">
        <f>IF(ISBLANK(Mitigation_Industry!X331),"",Mitigation_Industry!X331)</f>
        <v>0.33135922994858014</v>
      </c>
      <c r="Y760">
        <f>IF(ISBLANK(Mitigation_Industry!Y331),"",Mitigation_Industry!Y331)</f>
        <v>0.34593903606631771</v>
      </c>
      <c r="Z760">
        <f>IF(ISBLANK(Mitigation_Industry!Z331),"",Mitigation_Industry!Z331)</f>
        <v>0.36116035365323562</v>
      </c>
      <c r="AA760">
        <f>IF(ISBLANK(Mitigation_Industry!AA331),"",Mitigation_Industry!AA331)</f>
        <v>0.37705140921397801</v>
      </c>
      <c r="AB760">
        <f>IF(ISBLANK(Mitigation_Industry!AB331),"",Mitigation_Industry!AB331)</f>
        <v>0.39364167121939314</v>
      </c>
      <c r="AC760">
        <f>IF(ISBLANK(Mitigation_Industry!AC331),"",Mitigation_Industry!AC331)</f>
        <v>0.41096190475304639</v>
      </c>
      <c r="AD760">
        <f>IF(ISBLANK(Mitigation_Industry!AD331),"",Mitigation_Industry!AD331)</f>
        <v>0.42904422856218044</v>
      </c>
      <c r="AE760">
        <f>IF(ISBLANK(Mitigation_Industry!AE331),"",Mitigation_Industry!AE331)</f>
        <v>0.44792217461891631</v>
      </c>
    </row>
    <row r="761" spans="1:31" x14ac:dyDescent="0.45">
      <c r="A761" t="s">
        <v>1535</v>
      </c>
      <c r="B761" t="s">
        <v>1464</v>
      </c>
      <c r="C761" t="s">
        <v>1355</v>
      </c>
      <c r="D761">
        <v>1</v>
      </c>
      <c r="E761" t="s">
        <v>1161</v>
      </c>
      <c r="F761">
        <f>MAX(MAX(L761:AE761),-MIN(L761:AE761))</f>
        <v>0.95183462106519712</v>
      </c>
      <c r="I761" t="s">
        <v>1492</v>
      </c>
      <c r="K761">
        <f t="shared" ref="K761:AE761" si="187">IF(ISNUMBER(K759),IF(ISNUMBER(K760),K760-K759,999999),0)</f>
        <v>0</v>
      </c>
      <c r="L761">
        <f t="shared" si="187"/>
        <v>-0.42000264235698248</v>
      </c>
      <c r="M761">
        <f t="shared" si="187"/>
        <v>-0.43848275862068969</v>
      </c>
      <c r="N761">
        <f t="shared" si="187"/>
        <v>-0.45777600000000002</v>
      </c>
      <c r="O761">
        <f t="shared" si="187"/>
        <v>-0.47791814399999999</v>
      </c>
      <c r="P761">
        <f t="shared" si="187"/>
        <v>-0.49894654233600005</v>
      </c>
      <c r="Q761">
        <f t="shared" si="187"/>
        <v>-0.52090019019878397</v>
      </c>
      <c r="R761">
        <f t="shared" si="187"/>
        <v>-0.5438197985675306</v>
      </c>
      <c r="S761">
        <f t="shared" si="187"/>
        <v>-0.56774786970450197</v>
      </c>
      <c r="T761">
        <f t="shared" si="187"/>
        <v>-0.59272877597150009</v>
      </c>
      <c r="U761">
        <f t="shared" si="187"/>
        <v>-0.61880884211424614</v>
      </c>
      <c r="V761">
        <f t="shared" si="187"/>
        <v>-0.64603643116727294</v>
      </c>
      <c r="W761">
        <f t="shared" si="187"/>
        <v>-0.67446203413863282</v>
      </c>
      <c r="X761">
        <f t="shared" si="187"/>
        <v>-0.70413836364073301</v>
      </c>
      <c r="Y761">
        <f t="shared" si="187"/>
        <v>-0.73512045164092488</v>
      </c>
      <c r="Z761">
        <f t="shared" si="187"/>
        <v>-0.76746575151312568</v>
      </c>
      <c r="AA761">
        <f t="shared" si="187"/>
        <v>-0.80123424457970316</v>
      </c>
      <c r="AB761">
        <f t="shared" si="187"/>
        <v>-0.83648855134121014</v>
      </c>
      <c r="AC761">
        <f t="shared" si="187"/>
        <v>-0.87329404760022333</v>
      </c>
      <c r="AD761">
        <f t="shared" si="187"/>
        <v>-0.91171898569463306</v>
      </c>
      <c r="AE761">
        <f t="shared" si="187"/>
        <v>-0.95183462106519712</v>
      </c>
    </row>
    <row r="763" spans="1:31" x14ac:dyDescent="0.45">
      <c r="A763" t="s">
        <v>1536</v>
      </c>
      <c r="B763" t="s">
        <v>1464</v>
      </c>
      <c r="C763" t="s">
        <v>1359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1536</v>
      </c>
      <c r="B764" t="s">
        <v>1464</v>
      </c>
      <c r="C764" t="s">
        <v>1359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1536</v>
      </c>
      <c r="B765" t="s">
        <v>1464</v>
      </c>
      <c r="C765" t="s">
        <v>1359</v>
      </c>
      <c r="D765">
        <v>1</v>
      </c>
      <c r="E765" t="s">
        <v>1161</v>
      </c>
      <c r="F765">
        <f>MAX(MAX(L765:AE765),-MIN(L765:AE765))</f>
        <v>0</v>
      </c>
      <c r="I765" t="s">
        <v>1492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1537</v>
      </c>
      <c r="B767" t="s">
        <v>1464</v>
      </c>
      <c r="C767" t="s">
        <v>1363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1537</v>
      </c>
      <c r="B768" t="s">
        <v>1464</v>
      </c>
      <c r="C768" t="s">
        <v>1363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14.692706044200628</v>
      </c>
      <c r="M768">
        <f>IF(ISBLANK(Mitigation_Industry!M333),"",Mitigation_Industry!M333)</f>
        <v>15.177565343659246</v>
      </c>
      <c r="N768">
        <f>IF(ISBLANK(Mitigation_Industry!N333),"",Mitigation_Industry!N333)</f>
        <v>15.678424999999999</v>
      </c>
      <c r="O768">
        <f>IF(ISBLANK(Mitigation_Industry!O333),"",Mitigation_Industry!O333)</f>
        <v>16.195813024999996</v>
      </c>
      <c r="P768">
        <f>IF(ISBLANK(Mitigation_Industry!P333),"",Mitigation_Industry!P333)</f>
        <v>16.730274854824994</v>
      </c>
      <c r="Q768">
        <f>IF(ISBLANK(Mitigation_Industry!Q333),"",Mitigation_Industry!Q333)</f>
        <v>17.282373925034218</v>
      </c>
      <c r="R768">
        <f>IF(ISBLANK(Mitigation_Industry!R333),"",Mitigation_Industry!R333)</f>
        <v>17.852692264560343</v>
      </c>
      <c r="S768">
        <f>IF(ISBLANK(Mitigation_Industry!S333),"",Mitigation_Industry!S333)</f>
        <v>18.441831109290838</v>
      </c>
      <c r="T768">
        <f>IF(ISBLANK(Mitigation_Industry!T333),"",Mitigation_Industry!T333)</f>
        <v>19.050411535897432</v>
      </c>
      <c r="U768">
        <f>IF(ISBLANK(Mitigation_Industry!U333),"",Mitigation_Industry!U333)</f>
        <v>19.679075116582045</v>
      </c>
      <c r="V768">
        <f>IF(ISBLANK(Mitigation_Industry!V333),"",Mitigation_Industry!V333)</f>
        <v>20.328484595429249</v>
      </c>
      <c r="W768">
        <f>IF(ISBLANK(Mitigation_Industry!W333),"",Mitigation_Industry!W333)</f>
        <v>20.999324587078412</v>
      </c>
      <c r="X768">
        <f>IF(ISBLANK(Mitigation_Industry!X333),"",Mitigation_Industry!X333)</f>
        <v>21.692302298451992</v>
      </c>
      <c r="Y768">
        <f>IF(ISBLANK(Mitigation_Industry!Y333),"",Mitigation_Industry!Y333)</f>
        <v>22.40814827430091</v>
      </c>
      <c r="Z768">
        <f>IF(ISBLANK(Mitigation_Industry!Z333),"",Mitigation_Industry!Z333)</f>
        <v>23.147617167352838</v>
      </c>
      <c r="AA768">
        <f>IF(ISBLANK(Mitigation_Industry!AA333),"",Mitigation_Industry!AA333)</f>
        <v>23.911488533875481</v>
      </c>
      <c r="AB768">
        <f>IF(ISBLANK(Mitigation_Industry!AB333),"",Mitigation_Industry!AB333)</f>
        <v>24.700567655493362</v>
      </c>
      <c r="AC768">
        <f>IF(ISBLANK(Mitigation_Industry!AC333),"",Mitigation_Industry!AC333)</f>
        <v>25.515686388124642</v>
      </c>
      <c r="AD768">
        <f>IF(ISBLANK(Mitigation_Industry!AD333),"",Mitigation_Industry!AD333)</f>
        <v>26.357704038932756</v>
      </c>
      <c r="AE768">
        <f>IF(ISBLANK(Mitigation_Industry!AE333),"",Mitigation_Industry!AE333)</f>
        <v>27.227508272217527</v>
      </c>
    </row>
    <row r="769" spans="1:31" x14ac:dyDescent="0.45">
      <c r="A769" t="s">
        <v>1537</v>
      </c>
      <c r="B769" t="s">
        <v>1464</v>
      </c>
      <c r="C769" t="s">
        <v>1363</v>
      </c>
      <c r="D769">
        <v>1</v>
      </c>
      <c r="E769" t="s">
        <v>1161</v>
      </c>
      <c r="F769">
        <f>MAX(MAX(L769:AE769),-MIN(L769:AE769))</f>
        <v>2.1940924958231562</v>
      </c>
      <c r="I769" t="s">
        <v>1492</v>
      </c>
      <c r="K769">
        <f t="shared" ref="K769:AE769" si="189">IF(ISNUMBER(K767),IF(ISNUMBER(K768),K768-K767,999999),0)</f>
        <v>0</v>
      </c>
      <c r="L769">
        <f t="shared" si="189"/>
        <v>1.183992150607871</v>
      </c>
      <c r="M769">
        <f t="shared" si="189"/>
        <v>1.2230638915779295</v>
      </c>
      <c r="N769">
        <f t="shared" si="189"/>
        <v>1.2634250000000034</v>
      </c>
      <c r="O769">
        <f t="shared" si="189"/>
        <v>1.3051180250000023</v>
      </c>
      <c r="P769">
        <f t="shared" si="189"/>
        <v>1.3481869198250003</v>
      </c>
      <c r="Q769">
        <f t="shared" si="189"/>
        <v>1.3926770881792265</v>
      </c>
      <c r="R769">
        <f t="shared" si="189"/>
        <v>1.4386354320891392</v>
      </c>
      <c r="S769">
        <f t="shared" si="189"/>
        <v>1.4861104013480855</v>
      </c>
      <c r="T769">
        <f t="shared" si="189"/>
        <v>1.5351520445925679</v>
      </c>
      <c r="U769">
        <f t="shared" si="189"/>
        <v>1.5858120620641216</v>
      </c>
      <c r="V769">
        <f t="shared" si="189"/>
        <v>1.6381438601122369</v>
      </c>
      <c r="W769">
        <f t="shared" si="189"/>
        <v>1.6922026074959398</v>
      </c>
      <c r="X769">
        <f t="shared" si="189"/>
        <v>1.7480452935432993</v>
      </c>
      <c r="Y769">
        <f t="shared" si="189"/>
        <v>1.8057307882302318</v>
      </c>
      <c r="Z769">
        <f t="shared" si="189"/>
        <v>1.8653199042418294</v>
      </c>
      <c r="AA769">
        <f t="shared" si="189"/>
        <v>1.92687546108181</v>
      </c>
      <c r="AB769">
        <f t="shared" si="189"/>
        <v>1.9904623512974986</v>
      </c>
      <c r="AC769">
        <f t="shared" si="189"/>
        <v>2.0561476088903206</v>
      </c>
      <c r="AD769">
        <f t="shared" si="189"/>
        <v>2.1240004799836996</v>
      </c>
      <c r="AE769">
        <f t="shared" si="189"/>
        <v>2.1940924958231562</v>
      </c>
    </row>
    <row r="771" spans="1:31" x14ac:dyDescent="0.45">
      <c r="A771" t="s">
        <v>1538</v>
      </c>
      <c r="B771" t="s">
        <v>1464</v>
      </c>
      <c r="C771" t="s">
        <v>1425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1538</v>
      </c>
      <c r="B772" t="s">
        <v>1464</v>
      </c>
      <c r="C772" t="s">
        <v>1425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3.3747527008551588</v>
      </c>
      <c r="M772">
        <f>IF(ISBLANK(Mitigation_Industry!M334),"",Mitigation_Industry!M334)</f>
        <v>3.4489972602739725</v>
      </c>
      <c r="N772">
        <f>IF(ISBLANK(Mitigation_Industry!N334),"",Mitigation_Industry!N334)</f>
        <v>3.5248751999999999</v>
      </c>
      <c r="O772">
        <f>IF(ISBLANK(Mitigation_Industry!O334),"",Mitigation_Industry!O334)</f>
        <v>3.6024224544000001</v>
      </c>
      <c r="P772">
        <f>IF(ISBLANK(Mitigation_Industry!P334),"",Mitigation_Industry!P334)</f>
        <v>3.6816757483967999</v>
      </c>
      <c r="Q772">
        <f>IF(ISBLANK(Mitigation_Industry!Q334),"",Mitigation_Industry!Q334)</f>
        <v>3.7626726148615299</v>
      </c>
      <c r="R772">
        <f>IF(ISBLANK(Mitigation_Industry!R334),"",Mitigation_Industry!R334)</f>
        <v>3.8454514123884831</v>
      </c>
      <c r="S772">
        <f>IF(ISBLANK(Mitigation_Industry!S334),"",Mitigation_Industry!S334)</f>
        <v>3.9300513434610296</v>
      </c>
      <c r="T772">
        <f>IF(ISBLANK(Mitigation_Industry!T334),"",Mitigation_Industry!T334)</f>
        <v>4.0165124730171726</v>
      </c>
      <c r="U772">
        <f>IF(ISBLANK(Mitigation_Industry!U334),"",Mitigation_Industry!U334)</f>
        <v>4.1048757474235504</v>
      </c>
      <c r="V772">
        <f>IF(ISBLANK(Mitigation_Industry!V334),"",Mitigation_Industry!V334)</f>
        <v>4.1951830138668695</v>
      </c>
      <c r="W772">
        <f>IF(ISBLANK(Mitigation_Industry!W334),"",Mitigation_Industry!W334)</f>
        <v>4.2874770401719395</v>
      </c>
      <c r="X772">
        <f>IF(ISBLANK(Mitigation_Industry!X334),"",Mitigation_Industry!X334)</f>
        <v>4.3818015350557227</v>
      </c>
      <c r="Y772">
        <f>IF(ISBLANK(Mitigation_Industry!Y334),"",Mitigation_Industry!Y334)</f>
        <v>4.4782011688269483</v>
      </c>
      <c r="Z772">
        <f>IF(ISBLANK(Mitigation_Industry!Z334),"",Mitigation_Industry!Z334)</f>
        <v>4.5767215945411417</v>
      </c>
      <c r="AA772">
        <f>IF(ISBLANK(Mitigation_Industry!AA334),"",Mitigation_Industry!AA334)</f>
        <v>4.6774094696210469</v>
      </c>
      <c r="AB772">
        <f>IF(ISBLANK(Mitigation_Industry!AB334),"",Mitigation_Industry!AB334)</f>
        <v>4.7803124779527089</v>
      </c>
      <c r="AC772">
        <f>IF(ISBLANK(Mitigation_Industry!AC334),"",Mitigation_Industry!AC334)</f>
        <v>4.8854793524676694</v>
      </c>
      <c r="AD772">
        <f>IF(ISBLANK(Mitigation_Industry!AD334),"",Mitigation_Industry!AD334)</f>
        <v>4.9929598982219581</v>
      </c>
      <c r="AE772">
        <f>IF(ISBLANK(Mitigation_Industry!AE334),"",Mitigation_Industry!AE334)</f>
        <v>5.1028050159828409</v>
      </c>
    </row>
    <row r="773" spans="1:31" x14ac:dyDescent="0.45">
      <c r="A773" t="s">
        <v>1538</v>
      </c>
      <c r="B773" t="s">
        <v>1464</v>
      </c>
      <c r="C773" t="s">
        <v>1425</v>
      </c>
      <c r="D773">
        <v>1</v>
      </c>
      <c r="E773" t="s">
        <v>1161</v>
      </c>
      <c r="F773">
        <f>MAX(MAX(L773:AE773),-MIN(L773:AE773))</f>
        <v>0.3189253134989265</v>
      </c>
      <c r="I773" t="s">
        <v>1492</v>
      </c>
      <c r="K773">
        <f t="shared" ref="K773:AE773" si="190">IF(ISNUMBER(K771),IF(ISNUMBER(K772),K772-K771,999999),0)</f>
        <v>0</v>
      </c>
      <c r="L773">
        <f t="shared" si="190"/>
        <v>0.21092204380344715</v>
      </c>
      <c r="M773">
        <f t="shared" si="190"/>
        <v>0.21556232876712267</v>
      </c>
      <c r="N773">
        <f t="shared" si="190"/>
        <v>0.2203046999999998</v>
      </c>
      <c r="O773">
        <f t="shared" si="190"/>
        <v>0.22515140339999995</v>
      </c>
      <c r="P773">
        <f t="shared" si="190"/>
        <v>0.23010473427479994</v>
      </c>
      <c r="Q773">
        <f t="shared" si="190"/>
        <v>0.23516703842884601</v>
      </c>
      <c r="R773">
        <f t="shared" si="190"/>
        <v>0.24034071327427986</v>
      </c>
      <c r="S773">
        <f t="shared" si="190"/>
        <v>0.24562820896631399</v>
      </c>
      <c r="T773">
        <f t="shared" si="190"/>
        <v>0.25103202956357329</v>
      </c>
      <c r="U773">
        <f t="shared" si="190"/>
        <v>0.25655473421397179</v>
      </c>
      <c r="V773">
        <f t="shared" si="190"/>
        <v>0.26219893836668007</v>
      </c>
      <c r="W773">
        <f t="shared" si="190"/>
        <v>0.26796731501074511</v>
      </c>
      <c r="X773">
        <f t="shared" si="190"/>
        <v>0.27386259594098217</v>
      </c>
      <c r="Y773">
        <f t="shared" si="190"/>
        <v>0.27988757305168388</v>
      </c>
      <c r="Z773">
        <f t="shared" si="190"/>
        <v>0.28604509965882041</v>
      </c>
      <c r="AA773">
        <f t="shared" si="190"/>
        <v>0.29233809185131499</v>
      </c>
      <c r="AB773">
        <f t="shared" si="190"/>
        <v>0.29876952987204319</v>
      </c>
      <c r="AC773">
        <f t="shared" si="190"/>
        <v>0.30534245952922845</v>
      </c>
      <c r="AD773">
        <f t="shared" si="190"/>
        <v>0.31205999363887216</v>
      </c>
      <c r="AE773">
        <f t="shared" si="190"/>
        <v>0.3189253134989265</v>
      </c>
    </row>
    <row r="775" spans="1:31" x14ac:dyDescent="0.45">
      <c r="A775" t="s">
        <v>1539</v>
      </c>
      <c r="B775" t="s">
        <v>1464</v>
      </c>
      <c r="C775" t="s">
        <v>1373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1539</v>
      </c>
      <c r="B776" t="s">
        <v>1464</v>
      </c>
      <c r="C776" t="s">
        <v>1373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1539</v>
      </c>
      <c r="B777" t="s">
        <v>1464</v>
      </c>
      <c r="C777" t="s">
        <v>1373</v>
      </c>
      <c r="D777">
        <v>1</v>
      </c>
      <c r="E777" t="s">
        <v>1161</v>
      </c>
      <c r="F777">
        <f>MAX(MAX(L777:AE777),-MIN(L777:AE777))</f>
        <v>2.2204460492503131E-16</v>
      </c>
      <c r="I777" t="s">
        <v>1492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1540</v>
      </c>
      <c r="B779" t="s">
        <v>1464</v>
      </c>
      <c r="C779" t="s">
        <v>1378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1540</v>
      </c>
      <c r="B780" t="s">
        <v>1464</v>
      </c>
      <c r="C780" t="s">
        <v>1378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1540</v>
      </c>
      <c r="B781" t="s">
        <v>1464</v>
      </c>
      <c r="C781" t="s">
        <v>1378</v>
      </c>
      <c r="D781">
        <v>1</v>
      </c>
      <c r="E781" t="s">
        <v>1161</v>
      </c>
      <c r="F781">
        <f>MAX(MAX(L781:AE781),-MIN(L781:AE781))</f>
        <v>2.7755575615628914E-17</v>
      </c>
      <c r="I781" t="s">
        <v>1492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1541</v>
      </c>
      <c r="B783" t="s">
        <v>1464</v>
      </c>
      <c r="C783" t="s">
        <v>1383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1541</v>
      </c>
      <c r="B784" t="s">
        <v>1464</v>
      </c>
      <c r="C784" t="s">
        <v>1383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3.3266099144224071E-2</v>
      </c>
      <c r="M784">
        <f>IF(ISBLANK(Mitigation_Industry!M337),"",Mitigation_Industry!M337)</f>
        <v>3.5095734597156404E-2</v>
      </c>
      <c r="N784">
        <f>IF(ISBLANK(Mitigation_Industry!N337),"",Mitigation_Industry!N337)</f>
        <v>3.7026000000000003E-2</v>
      </c>
      <c r="O784">
        <f>IF(ISBLANK(Mitigation_Industry!O337),"",Mitigation_Industry!O337)</f>
        <v>3.9062430000000002E-2</v>
      </c>
      <c r="P784">
        <f>IF(ISBLANK(Mitigation_Industry!P337),"",Mitigation_Industry!P337)</f>
        <v>4.1210863649999999E-2</v>
      </c>
      <c r="Q784">
        <f>IF(ISBLANK(Mitigation_Industry!Q337),"",Mitigation_Industry!Q337)</f>
        <v>4.3477461150749991E-2</v>
      </c>
      <c r="R784">
        <f>IF(ISBLANK(Mitigation_Industry!R337),"",Mitigation_Industry!R337)</f>
        <v>4.5868721514041248E-2</v>
      </c>
      <c r="S784">
        <f>IF(ISBLANK(Mitigation_Industry!S337),"",Mitigation_Industry!S337)</f>
        <v>4.8391501197313509E-2</v>
      </c>
      <c r="T784">
        <f>IF(ISBLANK(Mitigation_Industry!T337),"",Mitigation_Industry!T337)</f>
        <v>5.105303376316575E-2</v>
      </c>
      <c r="U784">
        <f>IF(ISBLANK(Mitigation_Industry!U337),"",Mitigation_Industry!U337)</f>
        <v>5.3860950620139861E-2</v>
      </c>
      <c r="V784">
        <f>IF(ISBLANK(Mitigation_Industry!V337),"",Mitigation_Industry!V337)</f>
        <v>5.6823302904247558E-2</v>
      </c>
      <c r="W784">
        <f>IF(ISBLANK(Mitigation_Industry!W337),"",Mitigation_Industry!W337)</f>
        <v>5.9948584563981173E-2</v>
      </c>
      <c r="X784">
        <f>IF(ISBLANK(Mitigation_Industry!X337),"",Mitigation_Industry!X337)</f>
        <v>6.3245756715000129E-2</v>
      </c>
      <c r="Y784">
        <f>IF(ISBLANK(Mitigation_Industry!Y337),"",Mitigation_Industry!Y337)</f>
        <v>6.6724273334325138E-2</v>
      </c>
      <c r="Z784">
        <f>IF(ISBLANK(Mitigation_Industry!Z337),"",Mitigation_Industry!Z337)</f>
        <v>7.039410836771301E-2</v>
      </c>
      <c r="AA784">
        <f>IF(ISBLANK(Mitigation_Industry!AA337),"",Mitigation_Industry!AA337)</f>
        <v>7.426578432793722E-2</v>
      </c>
      <c r="AB784">
        <f>IF(ISBLANK(Mitigation_Industry!AB337),"",Mitigation_Industry!AB337)</f>
        <v>7.8350402465973787E-2</v>
      </c>
      <c r="AC784">
        <f>IF(ISBLANK(Mitigation_Industry!AC337),"",Mitigation_Industry!AC337)</f>
        <v>8.2659674601602312E-2</v>
      </c>
      <c r="AD784">
        <f>IF(ISBLANK(Mitigation_Industry!AD337),"",Mitigation_Industry!AD337)</f>
        <v>8.7205956704690446E-2</v>
      </c>
      <c r="AE784">
        <f>IF(ISBLANK(Mitigation_Industry!AE337),"",Mitigation_Industry!AE337)</f>
        <v>9.2002284323448424E-2</v>
      </c>
    </row>
    <row r="785" spans="1:31" x14ac:dyDescent="0.45">
      <c r="A785" t="s">
        <v>1541</v>
      </c>
      <c r="B785" t="s">
        <v>1464</v>
      </c>
      <c r="C785" t="s">
        <v>1383</v>
      </c>
      <c r="D785">
        <v>1</v>
      </c>
      <c r="E785" t="s">
        <v>1161</v>
      </c>
      <c r="F785">
        <f>MAX(MAX(L785:AE785),-MIN(L785:AE785))</f>
        <v>2.4286456192334688E-2</v>
      </c>
      <c r="I785" t="s">
        <v>1492</v>
      </c>
      <c r="K785">
        <f t="shared" ref="K785:AE785" si="193">IF(ISNUMBER(K783),IF(ISNUMBER(K784),K784-K783,999999),0)</f>
        <v>0</v>
      </c>
      <c r="L785">
        <f t="shared" si="193"/>
        <v>-8.7814739111879841E-3</v>
      </c>
      <c r="M785">
        <f t="shared" si="193"/>
        <v>-9.2644549763033074E-3</v>
      </c>
      <c r="N785">
        <f t="shared" si="193"/>
        <v>-9.773999999999991E-3</v>
      </c>
      <c r="O785">
        <f t="shared" si="193"/>
        <v>-1.0311569999999999E-2</v>
      </c>
      <c r="P785">
        <f t="shared" si="193"/>
        <v>-1.0878706349999996E-2</v>
      </c>
      <c r="Q785">
        <f t="shared" si="193"/>
        <v>-1.1477035199250002E-2</v>
      </c>
      <c r="R785">
        <f t="shared" si="193"/>
        <v>-1.210827213520875E-2</v>
      </c>
      <c r="S785">
        <f t="shared" si="193"/>
        <v>-1.2774227102645232E-2</v>
      </c>
      <c r="T785">
        <f t="shared" si="193"/>
        <v>-1.3476809593290714E-2</v>
      </c>
      <c r="U785">
        <f t="shared" si="193"/>
        <v>-1.4218034120921708E-2</v>
      </c>
      <c r="V785">
        <f t="shared" si="193"/>
        <v>-1.5000025997572386E-2</v>
      </c>
      <c r="W785">
        <f t="shared" si="193"/>
        <v>-1.5825027427438874E-2</v>
      </c>
      <c r="X785">
        <f t="shared" si="193"/>
        <v>-1.6695403935948025E-2</v>
      </c>
      <c r="Y785">
        <f t="shared" si="193"/>
        <v>-1.7613651152425164E-2</v>
      </c>
      <c r="Z785">
        <f t="shared" si="193"/>
        <v>-1.8582401965808557E-2</v>
      </c>
      <c r="AA785">
        <f t="shared" si="193"/>
        <v>-1.960443407392802E-2</v>
      </c>
      <c r="AB785">
        <f t="shared" si="193"/>
        <v>-2.0682677947994041E-2</v>
      </c>
      <c r="AC785">
        <f t="shared" si="193"/>
        <v>-2.1820225235133744E-2</v>
      </c>
      <c r="AD785">
        <f t="shared" si="193"/>
        <v>-2.3020337623066073E-2</v>
      </c>
      <c r="AE785">
        <f t="shared" si="193"/>
        <v>-2.4286456192334688E-2</v>
      </c>
    </row>
    <row r="787" spans="1:31" x14ac:dyDescent="0.45">
      <c r="A787" t="s">
        <v>1542</v>
      </c>
      <c r="B787" t="s">
        <v>1464</v>
      </c>
      <c r="C787" t="s">
        <v>1469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1542</v>
      </c>
      <c r="B788" t="s">
        <v>1464</v>
      </c>
      <c r="C788" t="s">
        <v>1469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21.335371186955928</v>
      </c>
      <c r="M788">
        <f>IF(ISBLANK(Mitigation_Industry!M338),"",Mitigation_Industry!M338)</f>
        <v>22.03059399488933</v>
      </c>
      <c r="N788">
        <f>IF(ISBLANK(Mitigation_Industry!N338),"",Mitigation_Industry!N338)</f>
        <v>22.749283126999998</v>
      </c>
      <c r="O788">
        <f>IF(ISBLANK(Mitigation_Industry!O338),"",Mitigation_Industry!O338)</f>
        <v>23.492256381187996</v>
      </c>
      <c r="P788">
        <f>IF(ISBLANK(Mitigation_Industry!P338),"",Mitigation_Industry!P338)</f>
        <v>24.260360915098467</v>
      </c>
      <c r="Q788">
        <f>IF(ISBLANK(Mitigation_Industry!Q338),"",Mitigation_Industry!Q338)</f>
        <v>25.054474330356101</v>
      </c>
      <c r="R788">
        <f>IF(ISBLANK(Mitigation_Industry!R338),"",Mitigation_Industry!R338)</f>
        <v>25.875505797940995</v>
      </c>
      <c r="S788">
        <f>IF(ISBLANK(Mitigation_Industry!S338),"",Mitigation_Industry!S338)</f>
        <v>26.724397226308188</v>
      </c>
      <c r="T788">
        <f>IF(ISBLANK(Mitigation_Industry!T338),"",Mitigation_Industry!T338)</f>
        <v>27.60212447391709</v>
      </c>
      <c r="U788">
        <f>IF(ISBLANK(Mitigation_Industry!U338),"",Mitigation_Industry!U338)</f>
        <v>28.509698607903836</v>
      </c>
      <c r="V788">
        <f>IF(ISBLANK(Mitigation_Industry!V338),"",Mitigation_Industry!V338)</f>
        <v>29.448167210698362</v>
      </c>
      <c r="W788">
        <f>IF(ISBLANK(Mitigation_Industry!W338),"",Mitigation_Industry!W338)</f>
        <v>30.418615736460836</v>
      </c>
      <c r="X788">
        <f>IF(ISBLANK(Mitigation_Industry!X338),"",Mitigation_Industry!X338)</f>
        <v>31.422168919286591</v>
      </c>
      <c r="Y788">
        <f>IF(ISBLANK(Mitigation_Industry!Y338),"",Mitigation_Industry!Y338)</f>
        <v>32.459992235207118</v>
      </c>
      <c r="Z788">
        <f>IF(ISBLANK(Mitigation_Industry!Z338),"",Mitigation_Industry!Z338)</f>
        <v>33.533293420096108</v>
      </c>
      <c r="AA788">
        <f>IF(ISBLANK(Mitigation_Industry!AA338),"",Mitigation_Industry!AA338)</f>
        <v>34.643324045674106</v>
      </c>
      <c r="AB788">
        <f>IF(ISBLANK(Mitigation_Industry!AB338),"",Mitigation_Industry!AB338)</f>
        <v>35.791381155893689</v>
      </c>
      <c r="AC788">
        <f>IF(ISBLANK(Mitigation_Industry!AC338),"",Mitigation_Industry!AC338)</f>
        <v>36.978808966078674</v>
      </c>
      <c r="AD788">
        <f>IF(ISBLANK(Mitigation_Industry!AD338),"",Mitigation_Industry!AD338)</f>
        <v>38.207000627286739</v>
      </c>
      <c r="AE788">
        <f>IF(ISBLANK(Mitigation_Industry!AE338),"",Mitigation_Industry!AE338)</f>
        <v>39.477400058464283</v>
      </c>
    </row>
    <row r="789" spans="1:31" x14ac:dyDescent="0.45">
      <c r="A789" t="s">
        <v>1542</v>
      </c>
      <c r="B789" t="s">
        <v>1464</v>
      </c>
      <c r="C789" t="s">
        <v>1469</v>
      </c>
      <c r="D789">
        <v>1</v>
      </c>
      <c r="E789" t="s">
        <v>1161</v>
      </c>
      <c r="F789">
        <f>MAX(MAX(L789:AE789),-MIN(L789:AE789))</f>
        <v>0.40936552686300232</v>
      </c>
      <c r="I789" t="s">
        <v>1492</v>
      </c>
      <c r="K789">
        <f t="shared" ref="K789:AE789" si="194">IF(ISNUMBER(K787),IF(ISNUMBER(K788),K788-K787,999999),0)</f>
        <v>0</v>
      </c>
      <c r="L789">
        <f t="shared" si="194"/>
        <v>0.40912482921109827</v>
      </c>
      <c r="M789">
        <f t="shared" si="194"/>
        <v>0.40936552686300232</v>
      </c>
      <c r="N789">
        <f t="shared" si="194"/>
        <v>0.40907962700000056</v>
      </c>
      <c r="O789">
        <f t="shared" si="194"/>
        <v>0.408227238188001</v>
      </c>
      <c r="P789">
        <f t="shared" si="194"/>
        <v>0.40676618024847144</v>
      </c>
      <c r="Q789">
        <f t="shared" si="194"/>
        <v>0.40465186613743143</v>
      </c>
      <c r="R789">
        <f t="shared" si="194"/>
        <v>0.40183717804488595</v>
      </c>
      <c r="S789">
        <f t="shared" si="194"/>
        <v>0.39827233744036405</v>
      </c>
      <c r="T789">
        <f t="shared" si="194"/>
        <v>0.39390476877751723</v>
      </c>
      <c r="U789">
        <f t="shared" si="194"/>
        <v>0.38867895655728546</v>
      </c>
      <c r="V789">
        <f t="shared" si="194"/>
        <v>0.38253629543505596</v>
      </c>
      <c r="W789">
        <f t="shared" si="194"/>
        <v>0.37541493304291862</v>
      </c>
      <c r="X789">
        <f t="shared" si="194"/>
        <v>0.3672496051824119</v>
      </c>
      <c r="Y789">
        <f t="shared" si="194"/>
        <v>0.35797146302746086</v>
      </c>
      <c r="Z789">
        <f t="shared" si="194"/>
        <v>0.34750789196033338</v>
      </c>
      <c r="AA789">
        <f t="shared" si="194"/>
        <v>0.33578232164580157</v>
      </c>
      <c r="AB789">
        <f t="shared" si="194"/>
        <v>0.32271402693076112</v>
      </c>
      <c r="AC789">
        <f t="shared" si="194"/>
        <v>0.30821791913685104</v>
      </c>
      <c r="AD789">
        <f t="shared" si="194"/>
        <v>0.29220432729383106</v>
      </c>
      <c r="AE789">
        <f t="shared" si="194"/>
        <v>0.27457876884102461</v>
      </c>
    </row>
    <row r="791" spans="1:31" x14ac:dyDescent="0.45">
      <c r="A791" t="s">
        <v>1543</v>
      </c>
      <c r="B791" t="s">
        <v>1470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1543</v>
      </c>
      <c r="B792" t="s">
        <v>1470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0.17734546065090059</v>
      </c>
      <c r="M792">
        <f>IF(ISBLANK(Mitigation_Industry!M341),"",Mitigation_Industry!M341)</f>
        <v>0.18514866091954021</v>
      </c>
      <c r="N792">
        <f>IF(ISBLANK(Mitigation_Industry!N341),"",Mitigation_Industry!N341)</f>
        <v>0.193295202</v>
      </c>
      <c r="O792">
        <f>IF(ISBLANK(Mitigation_Industry!O341),"",Mitigation_Industry!O341)</f>
        <v>0.20180019088800003</v>
      </c>
      <c r="P792">
        <f>IF(ISBLANK(Mitigation_Industry!P341),"",Mitigation_Industry!P341)</f>
        <v>0.21067939928707202</v>
      </c>
      <c r="Q792">
        <f>IF(ISBLANK(Mitigation_Industry!Q341),"",Mitigation_Industry!Q341)</f>
        <v>0.21994929285570322</v>
      </c>
      <c r="R792">
        <f>IF(ISBLANK(Mitigation_Industry!R341),"",Mitigation_Industry!R341)</f>
        <v>0.22962706174135414</v>
      </c>
      <c r="S792">
        <f>IF(ISBLANK(Mitigation_Industry!S341),"",Mitigation_Industry!S341)</f>
        <v>0.2397306524579737</v>
      </c>
      <c r="T792">
        <f>IF(ISBLANK(Mitigation_Industry!T341),"",Mitigation_Industry!T341)</f>
        <v>0.25027880116612461</v>
      </c>
      <c r="U792">
        <f>IF(ISBLANK(Mitigation_Industry!U341),"",Mitigation_Industry!U341)</f>
        <v>0.2612910684174341</v>
      </c>
      <c r="V792">
        <f>IF(ISBLANK(Mitigation_Industry!V341),"",Mitigation_Industry!V341)</f>
        <v>0.27278787542780114</v>
      </c>
      <c r="W792">
        <f>IF(ISBLANK(Mitigation_Industry!W341),"",Mitigation_Industry!W341)</f>
        <v>0.28479054194662445</v>
      </c>
      <c r="X792">
        <f>IF(ISBLANK(Mitigation_Industry!X341),"",Mitigation_Industry!X341)</f>
        <v>0.29732132579227588</v>
      </c>
      <c r="Y792">
        <f>IF(ISBLANK(Mitigation_Industry!Y341),"",Mitigation_Industry!Y341)</f>
        <v>0.3104034641271361</v>
      </c>
      <c r="Z792">
        <f>IF(ISBLANK(Mitigation_Industry!Z341),"",Mitigation_Industry!Z341)</f>
        <v>0.32406121654872999</v>
      </c>
      <c r="AA792">
        <f>IF(ISBLANK(Mitigation_Industry!AA341),"",Mitigation_Industry!AA341)</f>
        <v>0.33831991007687412</v>
      </c>
      <c r="AB792">
        <f>IF(ISBLANK(Mitigation_Industry!AB341),"",Mitigation_Industry!AB341)</f>
        <v>0.35320598612025667</v>
      </c>
      <c r="AC792">
        <f>IF(ISBLANK(Mitigation_Industry!AC341),"",Mitigation_Industry!AC341)</f>
        <v>0.36874704950954795</v>
      </c>
      <c r="AD792">
        <f>IF(ISBLANK(Mitigation_Industry!AD341),"",Mitigation_Industry!AD341)</f>
        <v>0.38497191968796801</v>
      </c>
      <c r="AE792">
        <f>IF(ISBLANK(Mitigation_Industry!AE341),"",Mitigation_Industry!AE341)</f>
        <v>0.40191068415423858</v>
      </c>
    </row>
    <row r="793" spans="1:31" x14ac:dyDescent="0.45">
      <c r="A793" t="s">
        <v>1543</v>
      </c>
      <c r="B793" t="s">
        <v>1470</v>
      </c>
      <c r="C793" t="s">
        <v>1350</v>
      </c>
      <c r="D793">
        <v>1</v>
      </c>
      <c r="E793" t="s">
        <v>1161</v>
      </c>
      <c r="F793">
        <f>MAX(MAX(L793:AE793),-MIN(L793:AE793))</f>
        <v>2.2258041810644391E-2</v>
      </c>
      <c r="I793" t="s">
        <v>1492</v>
      </c>
      <c r="K793">
        <f t="shared" ref="K793:AE793" si="195">IF(ISNUMBER(K791),IF(ISNUMBER(K792),K792-K791,999999),0)</f>
        <v>0</v>
      </c>
      <c r="L793">
        <f t="shared" si="195"/>
        <v>-9.8214922711058472E-3</v>
      </c>
      <c r="M793">
        <f t="shared" si="195"/>
        <v>-1.0253637931034482E-2</v>
      </c>
      <c r="N793">
        <f t="shared" si="195"/>
        <v>-1.0704797999999988E-2</v>
      </c>
      <c r="O793">
        <f t="shared" si="195"/>
        <v>-1.1175809112000001E-2</v>
      </c>
      <c r="P793">
        <f t="shared" si="195"/>
        <v>-1.1667544712928024E-2</v>
      </c>
      <c r="Q793">
        <f t="shared" si="195"/>
        <v>-1.2180916680296833E-2</v>
      </c>
      <c r="R793">
        <f t="shared" si="195"/>
        <v>-1.2716877014229938E-2</v>
      </c>
      <c r="S793">
        <f t="shared" si="195"/>
        <v>-1.3276419602856082E-2</v>
      </c>
      <c r="T793">
        <f t="shared" si="195"/>
        <v>-1.386058206538171E-2</v>
      </c>
      <c r="U793">
        <f t="shared" si="195"/>
        <v>-1.4470447676258491E-2</v>
      </c>
      <c r="V793">
        <f t="shared" si="195"/>
        <v>-1.5107147374013918E-2</v>
      </c>
      <c r="W793">
        <f t="shared" si="195"/>
        <v>-1.5771861858470515E-2</v>
      </c>
      <c r="X793">
        <f t="shared" si="195"/>
        <v>-1.6465823780243249E-2</v>
      </c>
      <c r="Y793">
        <f t="shared" si="195"/>
        <v>-1.7190320026573891E-2</v>
      </c>
      <c r="Z793">
        <f t="shared" si="195"/>
        <v>-1.7946694107743244E-2</v>
      </c>
      <c r="AA793">
        <f t="shared" si="195"/>
        <v>-1.8736348648483947E-2</v>
      </c>
      <c r="AB793">
        <f t="shared" si="195"/>
        <v>-1.9560747989017191E-2</v>
      </c>
      <c r="AC793">
        <f t="shared" si="195"/>
        <v>-2.0421420900533893E-2</v>
      </c>
      <c r="AD793">
        <f t="shared" si="195"/>
        <v>-2.1319963420157462E-2</v>
      </c>
      <c r="AE793">
        <f t="shared" si="195"/>
        <v>-2.2258041810644391E-2</v>
      </c>
    </row>
    <row r="795" spans="1:31" x14ac:dyDescent="0.45">
      <c r="A795" t="s">
        <v>1544</v>
      </c>
      <c r="B795" t="s">
        <v>1470</v>
      </c>
      <c r="C795" t="s">
        <v>1355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1544</v>
      </c>
      <c r="B796" t="s">
        <v>1470</v>
      </c>
      <c r="C796" t="s">
        <v>1355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0.19368983132954593</v>
      </c>
      <c r="M796">
        <f>IF(ISBLANK(Mitigation_Industry!M342),"",Mitigation_Industry!M342)</f>
        <v>0.20221218390804596</v>
      </c>
      <c r="N796">
        <f>IF(ISBLANK(Mitigation_Industry!N342),"",Mitigation_Industry!N342)</f>
        <v>0.21110951999999997</v>
      </c>
      <c r="O796">
        <f>IF(ISBLANK(Mitigation_Industry!O342),"",Mitigation_Industry!O342)</f>
        <v>0.22039833887999999</v>
      </c>
      <c r="P796">
        <f>IF(ISBLANK(Mitigation_Industry!P342),"",Mitigation_Industry!P342)</f>
        <v>0.23009586579071997</v>
      </c>
      <c r="Q796">
        <f>IF(ISBLANK(Mitigation_Industry!Q342),"",Mitigation_Industry!Q342)</f>
        <v>0.24022008388551169</v>
      </c>
      <c r="R796">
        <f>IF(ISBLANK(Mitigation_Industry!R342),"",Mitigation_Industry!R342)</f>
        <v>0.25078976757647414</v>
      </c>
      <c r="S796">
        <f>IF(ISBLANK(Mitigation_Industry!S342),"",Mitigation_Industry!S342)</f>
        <v>0.26182451734983908</v>
      </c>
      <c r="T796">
        <f>IF(ISBLANK(Mitigation_Industry!T342),"",Mitigation_Industry!T342)</f>
        <v>0.27334479611323198</v>
      </c>
      <c r="U796">
        <f>IF(ISBLANK(Mitigation_Industry!U342),"",Mitigation_Industry!U342)</f>
        <v>0.28537196714221424</v>
      </c>
      <c r="V796">
        <f>IF(ISBLANK(Mitigation_Industry!V342),"",Mitigation_Industry!V342)</f>
        <v>0.29792833369647159</v>
      </c>
      <c r="W796">
        <f>IF(ISBLANK(Mitigation_Industry!W342),"",Mitigation_Industry!W342)</f>
        <v>0.31103718037911643</v>
      </c>
      <c r="X796">
        <f>IF(ISBLANK(Mitigation_Industry!X342),"",Mitigation_Industry!X342)</f>
        <v>0.32472281631579752</v>
      </c>
      <c r="Y796">
        <f>IF(ISBLANK(Mitigation_Industry!Y342),"",Mitigation_Industry!Y342)</f>
        <v>0.33901062023369266</v>
      </c>
      <c r="Z796">
        <f>IF(ISBLANK(Mitigation_Industry!Z342),"",Mitigation_Industry!Z342)</f>
        <v>0.35392708752397511</v>
      </c>
      <c r="AA796">
        <f>IF(ISBLANK(Mitigation_Industry!AA342),"",Mitigation_Industry!AA342)</f>
        <v>0.36949987937502998</v>
      </c>
      <c r="AB796">
        <f>IF(ISBLANK(Mitigation_Industry!AB342),"",Mitigation_Industry!AB342)</f>
        <v>0.38575787406753137</v>
      </c>
      <c r="AC796">
        <f>IF(ISBLANK(Mitigation_Industry!AC342),"",Mitigation_Industry!AC342)</f>
        <v>0.40273122052650273</v>
      </c>
      <c r="AD796">
        <f>IF(ISBLANK(Mitigation_Industry!AD342),"",Mitigation_Industry!AD342)</f>
        <v>0.42045139422966882</v>
      </c>
      <c r="AE796">
        <f>IF(ISBLANK(Mitigation_Industry!AE342),"",Mitigation_Industry!AE342)</f>
        <v>0.43895125557577425</v>
      </c>
    </row>
    <row r="797" spans="1:31" x14ac:dyDescent="0.45">
      <c r="A797" t="s">
        <v>1544</v>
      </c>
      <c r="B797" t="s">
        <v>1470</v>
      </c>
      <c r="C797" t="s">
        <v>1355</v>
      </c>
      <c r="D797">
        <v>1</v>
      </c>
      <c r="E797" t="s">
        <v>1161</v>
      </c>
      <c r="F797">
        <f>MAX(MAX(L797:AE797),-MIN(L797:AE797))</f>
        <v>0.28924464641169795</v>
      </c>
      <c r="I797" t="s">
        <v>1492</v>
      </c>
      <c r="K797">
        <f t="shared" ref="K797:AE797" si="196">IF(ISNUMBER(K795),IF(ISNUMBER(K796),K796-K795,999999),0)</f>
        <v>0</v>
      </c>
      <c r="L797">
        <f t="shared" si="196"/>
        <v>0.12763090676883776</v>
      </c>
      <c r="M797">
        <f t="shared" si="196"/>
        <v>0.13324666666666665</v>
      </c>
      <c r="N797">
        <f t="shared" si="196"/>
        <v>0.13910951999999999</v>
      </c>
      <c r="O797">
        <f t="shared" si="196"/>
        <v>0.14523033887999998</v>
      </c>
      <c r="P797">
        <f t="shared" si="196"/>
        <v>0.15162047379071997</v>
      </c>
      <c r="Q797">
        <f t="shared" si="196"/>
        <v>0.15829177463751171</v>
      </c>
      <c r="R797">
        <f t="shared" si="196"/>
        <v>0.16525661272156214</v>
      </c>
      <c r="S797">
        <f t="shared" si="196"/>
        <v>0.17252790368131096</v>
      </c>
      <c r="T797">
        <f t="shared" si="196"/>
        <v>0.18011913144328862</v>
      </c>
      <c r="U797">
        <f t="shared" si="196"/>
        <v>0.18804437322679335</v>
      </c>
      <c r="V797">
        <f t="shared" si="196"/>
        <v>0.19631832564877216</v>
      </c>
      <c r="W797">
        <f t="shared" si="196"/>
        <v>0.20495633197731825</v>
      </c>
      <c r="X797">
        <f t="shared" si="196"/>
        <v>0.21397441058432021</v>
      </c>
      <c r="Y797">
        <f t="shared" si="196"/>
        <v>0.22338928465003036</v>
      </c>
      <c r="Z797">
        <f t="shared" si="196"/>
        <v>0.23321841317463166</v>
      </c>
      <c r="AA797">
        <f t="shared" si="196"/>
        <v>0.24348002335431543</v>
      </c>
      <c r="AB797">
        <f t="shared" si="196"/>
        <v>0.25419314438190538</v>
      </c>
      <c r="AC797">
        <f t="shared" si="196"/>
        <v>0.26537764273470921</v>
      </c>
      <c r="AD797">
        <f t="shared" si="196"/>
        <v>0.27705425901503639</v>
      </c>
      <c r="AE797">
        <f t="shared" si="196"/>
        <v>0.28924464641169795</v>
      </c>
    </row>
    <row r="799" spans="1:31" x14ac:dyDescent="0.45">
      <c r="A799" t="s">
        <v>1545</v>
      </c>
      <c r="B799" t="s">
        <v>1470</v>
      </c>
      <c r="C799" t="s">
        <v>1359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1545</v>
      </c>
      <c r="B800" t="s">
        <v>1470</v>
      </c>
      <c r="C800" t="s">
        <v>1359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1545</v>
      </c>
      <c r="B801" t="s">
        <v>1470</v>
      </c>
      <c r="C801" t="s">
        <v>1359</v>
      </c>
      <c r="D801">
        <v>1</v>
      </c>
      <c r="E801" t="s">
        <v>1161</v>
      </c>
      <c r="F801">
        <f>MAX(MAX(L801:AE801),-MIN(L801:AE801))</f>
        <v>0</v>
      </c>
      <c r="I801" t="s">
        <v>1492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1546</v>
      </c>
      <c r="B803" t="s">
        <v>1470</v>
      </c>
      <c r="C803" t="s">
        <v>1363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1546</v>
      </c>
      <c r="B804" t="s">
        <v>1470</v>
      </c>
      <c r="C804" t="s">
        <v>1363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25.163138219961041</v>
      </c>
      <c r="M804">
        <f>IF(ISBLANK(Mitigation_Industry!M344),"",Mitigation_Industry!M344)</f>
        <v>25.993521781219755</v>
      </c>
      <c r="N804">
        <f>IF(ISBLANK(Mitigation_Industry!N344),"",Mitigation_Industry!N344)</f>
        <v>26.851308</v>
      </c>
      <c r="O804">
        <f>IF(ISBLANK(Mitigation_Industry!O344),"",Mitigation_Industry!O344)</f>
        <v>27.737401163999998</v>
      </c>
      <c r="P804">
        <f>IF(ISBLANK(Mitigation_Industry!P344),"",Mitigation_Industry!P344)</f>
        <v>28.652735402411995</v>
      </c>
      <c r="Q804">
        <f>IF(ISBLANK(Mitigation_Industry!Q344),"",Mitigation_Industry!Q344)</f>
        <v>29.598275670691589</v>
      </c>
      <c r="R804">
        <f>IF(ISBLANK(Mitigation_Industry!R344),"",Mitigation_Industry!R344)</f>
        <v>30.575018767824407</v>
      </c>
      <c r="S804">
        <f>IF(ISBLANK(Mitigation_Industry!S344),"",Mitigation_Industry!S344)</f>
        <v>31.583994387162612</v>
      </c>
      <c r="T804">
        <f>IF(ISBLANK(Mitigation_Industry!T344),"",Mitigation_Industry!T344)</f>
        <v>32.626266201938975</v>
      </c>
      <c r="U804">
        <f>IF(ISBLANK(Mitigation_Industry!U344),"",Mitigation_Industry!U344)</f>
        <v>33.70293298660296</v>
      </c>
      <c r="V804">
        <f>IF(ISBLANK(Mitigation_Industry!V344),"",Mitigation_Industry!V344)</f>
        <v>34.815129775160841</v>
      </c>
      <c r="W804">
        <f>IF(ISBLANK(Mitigation_Industry!W344),"",Mitigation_Industry!W344)</f>
        <v>35.964029057741151</v>
      </c>
      <c r="X804">
        <f>IF(ISBLANK(Mitigation_Industry!X344),"",Mitigation_Industry!X344)</f>
        <v>37.150842016646592</v>
      </c>
      <c r="Y804">
        <f>IF(ISBLANK(Mitigation_Industry!Y344),"",Mitigation_Industry!Y344)</f>
        <v>38.376819803195943</v>
      </c>
      <c r="Z804">
        <f>IF(ISBLANK(Mitigation_Industry!Z344),"",Mitigation_Industry!Z344)</f>
        <v>39.643254856701404</v>
      </c>
      <c r="AA804">
        <f>IF(ISBLANK(Mitigation_Industry!AA344),"",Mitigation_Industry!AA344)</f>
        <v>40.951482266972548</v>
      </c>
      <c r="AB804">
        <f>IF(ISBLANK(Mitigation_Industry!AB344),"",Mitigation_Industry!AB344)</f>
        <v>42.302881181782631</v>
      </c>
      <c r="AC804">
        <f>IF(ISBLANK(Mitigation_Industry!AC344),"",Mitigation_Industry!AC344)</f>
        <v>43.698876260781446</v>
      </c>
      <c r="AD804">
        <f>IF(ISBLANK(Mitigation_Industry!AD344),"",Mitigation_Industry!AD344)</f>
        <v>45.140939177387231</v>
      </c>
      <c r="AE804">
        <f>IF(ISBLANK(Mitigation_Industry!AE344),"",Mitigation_Industry!AE344)</f>
        <v>46.630590170241007</v>
      </c>
    </row>
    <row r="805" spans="1:31" x14ac:dyDescent="0.45">
      <c r="A805" t="s">
        <v>1546</v>
      </c>
      <c r="B805" t="s">
        <v>1470</v>
      </c>
      <c r="C805" t="s">
        <v>1363</v>
      </c>
      <c r="D805">
        <v>1</v>
      </c>
      <c r="E805" t="s">
        <v>1161</v>
      </c>
      <c r="F805">
        <f>MAX(MAX(L805:AE805),-MIN(L805:AE805))</f>
        <v>0.95741397050655763</v>
      </c>
      <c r="I805" t="s">
        <v>1492</v>
      </c>
      <c r="K805">
        <f t="shared" ref="K805:AE805" si="198">IF(ISNUMBER(K803),IF(ISNUMBER(K804),K804-K803,999999),0)</f>
        <v>0</v>
      </c>
      <c r="L805">
        <f t="shared" si="198"/>
        <v>0.51664669020109599</v>
      </c>
      <c r="M805">
        <f t="shared" si="198"/>
        <v>0.53369603097773322</v>
      </c>
      <c r="N805">
        <f t="shared" si="198"/>
        <v>0.5513079999999988</v>
      </c>
      <c r="O805">
        <f t="shared" si="198"/>
        <v>0.56950116399999828</v>
      </c>
      <c r="P805">
        <f t="shared" si="198"/>
        <v>0.58829470241199999</v>
      </c>
      <c r="Q805">
        <f t="shared" si="198"/>
        <v>0.60770842759159649</v>
      </c>
      <c r="R805">
        <f t="shared" si="198"/>
        <v>0.6277628057021154</v>
      </c>
      <c r="S805">
        <f t="shared" si="198"/>
        <v>0.64847897829028867</v>
      </c>
      <c r="T805">
        <f t="shared" si="198"/>
        <v>0.66987878457386429</v>
      </c>
      <c r="U805">
        <f t="shared" si="198"/>
        <v>0.69198478446480749</v>
      </c>
      <c r="V805">
        <f t="shared" si="198"/>
        <v>0.71482028235213591</v>
      </c>
      <c r="W805">
        <f t="shared" si="198"/>
        <v>0.73840935166975186</v>
      </c>
      <c r="X805">
        <f t="shared" si="198"/>
        <v>0.76277686027484748</v>
      </c>
      <c r="Y805">
        <f t="shared" si="198"/>
        <v>0.78794849666392963</v>
      </c>
      <c r="Z805">
        <f t="shared" si="198"/>
        <v>0.81395079705383466</v>
      </c>
      <c r="AA805">
        <f t="shared" si="198"/>
        <v>0.84081117335661304</v>
      </c>
      <c r="AB805">
        <f t="shared" si="198"/>
        <v>0.86855794207737347</v>
      </c>
      <c r="AC805">
        <f t="shared" si="198"/>
        <v>0.89722035416592405</v>
      </c>
      <c r="AD805">
        <f t="shared" si="198"/>
        <v>0.9268286258533962</v>
      </c>
      <c r="AE805">
        <f t="shared" si="198"/>
        <v>0.95741397050655763</v>
      </c>
    </row>
    <row r="807" spans="1:31" x14ac:dyDescent="0.45">
      <c r="A807" t="s">
        <v>1547</v>
      </c>
      <c r="B807" t="s">
        <v>1470</v>
      </c>
      <c r="C807" t="s">
        <v>1425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1547</v>
      </c>
      <c r="B808" t="s">
        <v>1470</v>
      </c>
      <c r="C808" t="s">
        <v>1425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1547</v>
      </c>
      <c r="B809" t="s">
        <v>1470</v>
      </c>
      <c r="C809" t="s">
        <v>1425</v>
      </c>
      <c r="D809">
        <v>1</v>
      </c>
      <c r="E809" t="s">
        <v>1161</v>
      </c>
      <c r="F809">
        <f>MAX(MAX(L809:AE809),-MIN(L809:AE809))</f>
        <v>0</v>
      </c>
      <c r="I809" t="s">
        <v>1492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1548</v>
      </c>
      <c r="B811" t="s">
        <v>1470</v>
      </c>
      <c r="C811" t="s">
        <v>1373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1548</v>
      </c>
      <c r="B812" t="s">
        <v>1470</v>
      </c>
      <c r="C812" t="s">
        <v>1373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1548</v>
      </c>
      <c r="B813" t="s">
        <v>1470</v>
      </c>
      <c r="C813" t="s">
        <v>1373</v>
      </c>
      <c r="D813">
        <v>1</v>
      </c>
      <c r="E813" t="s">
        <v>1161</v>
      </c>
      <c r="F813">
        <f>MAX(MAX(L813:AE813),-MIN(L813:AE813))</f>
        <v>0</v>
      </c>
      <c r="I813" t="s">
        <v>1492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1549</v>
      </c>
      <c r="B815" t="s">
        <v>1470</v>
      </c>
      <c r="C815" t="s">
        <v>1378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1549</v>
      </c>
      <c r="B816" t="s">
        <v>1470</v>
      </c>
      <c r="C816" t="s">
        <v>1378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0.57123661061347031</v>
      </c>
      <c r="M816">
        <f>IF(ISBLANK(Mitigation_Industry!M347),"",Mitigation_Industry!M347)</f>
        <v>0.58380381604696674</v>
      </c>
      <c r="N816">
        <f>IF(ISBLANK(Mitigation_Industry!N347),"",Mitigation_Industry!N347)</f>
        <v>0.5966475</v>
      </c>
      <c r="O816">
        <f>IF(ISBLANK(Mitigation_Industry!O347),"",Mitigation_Industry!O347)</f>
        <v>0.60977374500000003</v>
      </c>
      <c r="P816">
        <f>IF(ISBLANK(Mitigation_Industry!P347),"",Mitigation_Industry!P347)</f>
        <v>0.62318876738999995</v>
      </c>
      <c r="Q816">
        <f>IF(ISBLANK(Mitigation_Industry!Q347),"",Mitigation_Industry!Q347)</f>
        <v>0.6368989202725801</v>
      </c>
      <c r="R816">
        <f>IF(ISBLANK(Mitigation_Industry!R347),"",Mitigation_Industry!R347)</f>
        <v>0.65091069651857669</v>
      </c>
      <c r="S816">
        <f>IF(ISBLANK(Mitigation_Industry!S347),"",Mitigation_Industry!S347)</f>
        <v>0.66523073184198556</v>
      </c>
      <c r="T816">
        <f>IF(ISBLANK(Mitigation_Industry!T347),"",Mitigation_Industry!T347)</f>
        <v>0.67986580794250906</v>
      </c>
      <c r="U816">
        <f>IF(ISBLANK(Mitigation_Industry!U347),"",Mitigation_Industry!U347)</f>
        <v>0.69482285571724434</v>
      </c>
      <c r="V816">
        <f>IF(ISBLANK(Mitigation_Industry!V347),"",Mitigation_Industry!V347)</f>
        <v>0.7101089585430238</v>
      </c>
      <c r="W816">
        <f>IF(ISBLANK(Mitigation_Industry!W347),"",Mitigation_Industry!W347)</f>
        <v>0.72573135563097024</v>
      </c>
      <c r="X816">
        <f>IF(ISBLANK(Mitigation_Industry!X347),"",Mitigation_Industry!X347)</f>
        <v>0.74169744545485172</v>
      </c>
      <c r="Y816">
        <f>IF(ISBLANK(Mitigation_Industry!Y347),"",Mitigation_Industry!Y347)</f>
        <v>0.75801478925485843</v>
      </c>
      <c r="Z816">
        <f>IF(ISBLANK(Mitigation_Industry!Z347),"",Mitigation_Industry!Z347)</f>
        <v>0.7746911146184654</v>
      </c>
      <c r="AA816">
        <f>IF(ISBLANK(Mitigation_Industry!AA347),"",Mitigation_Industry!AA347)</f>
        <v>0.79173431914007153</v>
      </c>
      <c r="AB816">
        <f>IF(ISBLANK(Mitigation_Industry!AB347),"",Mitigation_Industry!AB347)</f>
        <v>0.8091524741611531</v>
      </c>
      <c r="AC816">
        <f>IF(ISBLANK(Mitigation_Industry!AC347),"",Mitigation_Industry!AC347)</f>
        <v>0.8269538285926985</v>
      </c>
      <c r="AD816">
        <f>IF(ISBLANK(Mitigation_Industry!AD347),"",Mitigation_Industry!AD347)</f>
        <v>0.84514681282173787</v>
      </c>
      <c r="AE816">
        <f>IF(ISBLANK(Mitigation_Industry!AE347),"",Mitigation_Industry!AE347)</f>
        <v>0.8637400427038161</v>
      </c>
    </row>
    <row r="817" spans="1:31" x14ac:dyDescent="0.45">
      <c r="A817" t="s">
        <v>1549</v>
      </c>
      <c r="B817" t="s">
        <v>1470</v>
      </c>
      <c r="C817" t="s">
        <v>1378</v>
      </c>
      <c r="D817">
        <v>1</v>
      </c>
      <c r="E817" t="s">
        <v>1161</v>
      </c>
      <c r="F817">
        <f>MAX(MAX(L817:AE817),-MIN(L817:AE817))</f>
        <v>2.1204534126941121E-2</v>
      </c>
      <c r="I817" t="s">
        <v>1492</v>
      </c>
      <c r="K817">
        <f t="shared" ref="K817:AE817" si="201">IF(ISNUMBER(K815),IF(ISNUMBER(K816),K816-K815,999999),0)</f>
        <v>0</v>
      </c>
      <c r="L817">
        <f t="shared" si="201"/>
        <v>1.4023671018416728E-2</v>
      </c>
      <c r="M817">
        <f t="shared" si="201"/>
        <v>1.4332191780822012E-2</v>
      </c>
      <c r="N817">
        <f t="shared" si="201"/>
        <v>1.4647500000000035E-2</v>
      </c>
      <c r="O817">
        <f t="shared" si="201"/>
        <v>1.4969745000000034E-2</v>
      </c>
      <c r="P817">
        <f t="shared" si="201"/>
        <v>1.5299079389999859E-2</v>
      </c>
      <c r="Q817">
        <f t="shared" si="201"/>
        <v>1.563565913658016E-2</v>
      </c>
      <c r="R817">
        <f t="shared" si="201"/>
        <v>1.5979643637584751E-2</v>
      </c>
      <c r="S817">
        <f t="shared" si="201"/>
        <v>1.6331195797611775E-2</v>
      </c>
      <c r="T817">
        <f t="shared" si="201"/>
        <v>1.6690482105158999E-2</v>
      </c>
      <c r="U817">
        <f t="shared" si="201"/>
        <v>1.7057672711472516E-2</v>
      </c>
      <c r="V817">
        <f t="shared" si="201"/>
        <v>1.7432941511124955E-2</v>
      </c>
      <c r="W817">
        <f t="shared" si="201"/>
        <v>1.781646622436972E-2</v>
      </c>
      <c r="X817">
        <f t="shared" si="201"/>
        <v>1.8208428481305994E-2</v>
      </c>
      <c r="Y817">
        <f t="shared" si="201"/>
        <v>1.8609013907894711E-2</v>
      </c>
      <c r="Z817">
        <f t="shared" si="201"/>
        <v>1.9018412213868352E-2</v>
      </c>
      <c r="AA817">
        <f t="shared" si="201"/>
        <v>1.9436817282573293E-2</v>
      </c>
      <c r="AB817">
        <f t="shared" si="201"/>
        <v>1.9864427262789919E-2</v>
      </c>
      <c r="AC817">
        <f t="shared" si="201"/>
        <v>2.0301444662571333E-2</v>
      </c>
      <c r="AD817">
        <f t="shared" si="201"/>
        <v>2.0748076445147867E-2</v>
      </c>
      <c r="AE817">
        <f t="shared" si="201"/>
        <v>2.1204534126941121E-2</v>
      </c>
    </row>
    <row r="819" spans="1:31" x14ac:dyDescent="0.45">
      <c r="A819" t="s">
        <v>1550</v>
      </c>
      <c r="B819" t="s">
        <v>1470</v>
      </c>
      <c r="C819" t="s">
        <v>1383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1550</v>
      </c>
      <c r="B820" t="s">
        <v>1470</v>
      </c>
      <c r="C820" t="s">
        <v>1383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0.64621002403360217</v>
      </c>
      <c r="M820">
        <f>IF(ISBLANK(Mitigation_Industry!M348),"",Mitigation_Industry!M348)</f>
        <v>0.68175157535545017</v>
      </c>
      <c r="N820">
        <f>IF(ISBLANK(Mitigation_Industry!N348),"",Mitigation_Industry!N348)</f>
        <v>0.71924791200000004</v>
      </c>
      <c r="O820">
        <f>IF(ISBLANK(Mitigation_Industry!O348),"",Mitigation_Industry!O348)</f>
        <v>0.75880654716000007</v>
      </c>
      <c r="P820">
        <f>IF(ISBLANK(Mitigation_Industry!P348),"",Mitigation_Industry!P348)</f>
        <v>0.80054090725379989</v>
      </c>
      <c r="Q820">
        <f>IF(ISBLANK(Mitigation_Industry!Q348),"",Mitigation_Industry!Q348)</f>
        <v>0.84457065715275881</v>
      </c>
      <c r="R820">
        <f>IF(ISBLANK(Mitigation_Industry!R348),"",Mitigation_Industry!R348)</f>
        <v>0.89102204329616075</v>
      </c>
      <c r="S820">
        <f>IF(ISBLANK(Mitigation_Industry!S348),"",Mitigation_Industry!S348)</f>
        <v>0.9400282556774493</v>
      </c>
      <c r="T820">
        <f>IF(ISBLANK(Mitigation_Industry!T348),"",Mitigation_Industry!T348)</f>
        <v>0.99172980973970914</v>
      </c>
      <c r="U820">
        <f>IF(ISBLANK(Mitigation_Industry!U348),"",Mitigation_Industry!U348)</f>
        <v>1.0462749492753931</v>
      </c>
      <c r="V820">
        <f>IF(ISBLANK(Mitigation_Industry!V348),"",Mitigation_Industry!V348)</f>
        <v>1.1038200714855397</v>
      </c>
      <c r="W820">
        <f>IF(ISBLANK(Mitigation_Industry!W348),"",Mitigation_Industry!W348)</f>
        <v>1.1645301754172441</v>
      </c>
      <c r="X820">
        <f>IF(ISBLANK(Mitigation_Industry!X348),"",Mitigation_Industry!X348)</f>
        <v>1.2285793350651928</v>
      </c>
      <c r="Y820">
        <f>IF(ISBLANK(Mitigation_Industry!Y348),"",Mitigation_Industry!Y348)</f>
        <v>1.2961511984937784</v>
      </c>
      <c r="Z820">
        <f>IF(ISBLANK(Mitigation_Industry!Z348),"",Mitigation_Industry!Z348)</f>
        <v>1.3674395144109359</v>
      </c>
      <c r="AA820">
        <f>IF(ISBLANK(Mitigation_Industry!AA348),"",Mitigation_Industry!AA348)</f>
        <v>1.4426486877035372</v>
      </c>
      <c r="AB820">
        <f>IF(ISBLANK(Mitigation_Industry!AB348),"",Mitigation_Industry!AB348)</f>
        <v>1.5219943655272321</v>
      </c>
      <c r="AC820">
        <f>IF(ISBLANK(Mitigation_Industry!AC348),"",Mitigation_Industry!AC348)</f>
        <v>1.6057040556312294</v>
      </c>
      <c r="AD820">
        <f>IF(ISBLANK(Mitigation_Industry!AD348),"",Mitigation_Industry!AD348)</f>
        <v>1.6940177786909472</v>
      </c>
      <c r="AE820">
        <f>IF(ISBLANK(Mitigation_Industry!AE348),"",Mitigation_Industry!AE348)</f>
        <v>1.787188756518949</v>
      </c>
    </row>
    <row r="821" spans="1:31" x14ac:dyDescent="0.45">
      <c r="A821" t="s">
        <v>1550</v>
      </c>
      <c r="B821" t="s">
        <v>1470</v>
      </c>
      <c r="C821" t="s">
        <v>1383</v>
      </c>
      <c r="D821">
        <v>1</v>
      </c>
      <c r="E821" t="s">
        <v>1161</v>
      </c>
      <c r="F821">
        <f>MAX(MAX(L821:AE821),-MIN(L821:AE821))</f>
        <v>3.5403242338882812E-2</v>
      </c>
      <c r="I821" t="s">
        <v>1492</v>
      </c>
      <c r="K821">
        <f t="shared" ref="K821:AE821" si="202">IF(ISNUMBER(K819),IF(ISNUMBER(K820),K820-K819,999999),0)</f>
        <v>0</v>
      </c>
      <c r="L821">
        <f t="shared" si="202"/>
        <v>1.2801070955279603E-2</v>
      </c>
      <c r="M821">
        <f t="shared" si="202"/>
        <v>1.350512985781982E-2</v>
      </c>
      <c r="N821">
        <f t="shared" si="202"/>
        <v>1.4247912000000085E-2</v>
      </c>
      <c r="O821">
        <f t="shared" si="202"/>
        <v>1.5031547160000103E-2</v>
      </c>
      <c r="P821">
        <f t="shared" si="202"/>
        <v>1.5858282253799927E-2</v>
      </c>
      <c r="Q821">
        <f t="shared" si="202"/>
        <v>1.6730487777758873E-2</v>
      </c>
      <c r="R821">
        <f t="shared" si="202"/>
        <v>1.7650664605535771E-2</v>
      </c>
      <c r="S821">
        <f t="shared" si="202"/>
        <v>1.8621451158839952E-2</v>
      </c>
      <c r="T821">
        <f t="shared" si="202"/>
        <v>1.9645630972576322E-2</v>
      </c>
      <c r="U821">
        <f t="shared" si="202"/>
        <v>2.072614067606815E-2</v>
      </c>
      <c r="V821">
        <f t="shared" si="202"/>
        <v>2.1866078413251833E-2</v>
      </c>
      <c r="W821">
        <f t="shared" si="202"/>
        <v>2.3068712725980323E-2</v>
      </c>
      <c r="X821">
        <f t="shared" si="202"/>
        <v>2.4337491925909616E-2</v>
      </c>
      <c r="Y821">
        <f t="shared" si="202"/>
        <v>2.5676053981834812E-2</v>
      </c>
      <c r="Z821">
        <f t="shared" si="202"/>
        <v>2.708823695083562E-2</v>
      </c>
      <c r="AA821">
        <f t="shared" si="202"/>
        <v>2.8578089983130939E-2</v>
      </c>
      <c r="AB821">
        <f t="shared" si="202"/>
        <v>3.0149884932203941E-2</v>
      </c>
      <c r="AC821">
        <f t="shared" si="202"/>
        <v>3.1808128603474817E-2</v>
      </c>
      <c r="AD821">
        <f t="shared" si="202"/>
        <v>3.3557575676666174E-2</v>
      </c>
      <c r="AE821">
        <f t="shared" si="202"/>
        <v>3.5403242338882812E-2</v>
      </c>
    </row>
    <row r="823" spans="1:31" x14ac:dyDescent="0.45">
      <c r="A823" t="s">
        <v>1551</v>
      </c>
      <c r="B823" t="s">
        <v>1470</v>
      </c>
      <c r="C823" t="s">
        <v>1469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1551</v>
      </c>
      <c r="B824" t="s">
        <v>1470</v>
      </c>
      <c r="C824" t="s">
        <v>1469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26.751620146588564</v>
      </c>
      <c r="M824">
        <f>IF(ISBLANK(Mitigation_Industry!M349),"",Mitigation_Industry!M349)</f>
        <v>27.646438017449757</v>
      </c>
      <c r="N824">
        <f>IF(ISBLANK(Mitigation_Industry!N349),"",Mitigation_Industry!N349)</f>
        <v>28.571608133999998</v>
      </c>
      <c r="O824">
        <f>IF(ISBLANK(Mitigation_Industry!O349),"",Mitigation_Industry!O349)</f>
        <v>29.528179985927999</v>
      </c>
      <c r="P824">
        <f>IF(ISBLANK(Mitigation_Industry!P349),"",Mitigation_Industry!P349)</f>
        <v>30.51724034213359</v>
      </c>
      <c r="Q824">
        <f>IF(ISBLANK(Mitigation_Industry!Q349),"",Mitigation_Industry!Q349)</f>
        <v>31.539914624858142</v>
      </c>
      <c r="R824">
        <f>IF(ISBLANK(Mitigation_Industry!R349),"",Mitigation_Industry!R349)</f>
        <v>32.597368336956968</v>
      </c>
      <c r="S824">
        <f>IF(ISBLANK(Mitigation_Industry!S349),"",Mitigation_Industry!S349)</f>
        <v>33.690808544489862</v>
      </c>
      <c r="T824">
        <f>IF(ISBLANK(Mitigation_Industry!T349),"",Mitigation_Industry!T349)</f>
        <v>34.821485416900551</v>
      </c>
      <c r="U824">
        <f>IF(ISBLANK(Mitigation_Industry!U349),"",Mitigation_Industry!U349)</f>
        <v>35.990693827155241</v>
      </c>
      <c r="V824">
        <f>IF(ISBLANK(Mitigation_Industry!V349),"",Mitigation_Industry!V349)</f>
        <v>37.199775014313673</v>
      </c>
      <c r="W824">
        <f>IF(ISBLANK(Mitigation_Industry!W349),"",Mitigation_Industry!W349)</f>
        <v>38.450118311115105</v>
      </c>
      <c r="X824">
        <f>IF(ISBLANK(Mitigation_Industry!X349),"",Mitigation_Industry!X349)</f>
        <v>39.743162939274711</v>
      </c>
      <c r="Y824">
        <f>IF(ISBLANK(Mitigation_Industry!Y349),"",Mitigation_Industry!Y349)</f>
        <v>41.08039987530541</v>
      </c>
      <c r="Z824">
        <f>IF(ISBLANK(Mitigation_Industry!Z349),"",Mitigation_Industry!Z349)</f>
        <v>42.463373789803505</v>
      </c>
      <c r="AA824">
        <f>IF(ISBLANK(Mitigation_Industry!AA349),"",Mitigation_Industry!AA349)</f>
        <v>43.893685063268059</v>
      </c>
      <c r="AB824">
        <f>IF(ISBLANK(Mitigation_Industry!AB349),"",Mitigation_Industry!AB349)</f>
        <v>45.372991881658805</v>
      </c>
      <c r="AC824">
        <f>IF(ISBLANK(Mitigation_Industry!AC349),"",Mitigation_Industry!AC349)</f>
        <v>46.903012415041424</v>
      </c>
      <c r="AD824">
        <f>IF(ISBLANK(Mitigation_Industry!AD349),"",Mitigation_Industry!AD349)</f>
        <v>48.485527082817555</v>
      </c>
      <c r="AE824">
        <f>IF(ISBLANK(Mitigation_Industry!AE349),"",Mitigation_Industry!AE349)</f>
        <v>50.122380909193787</v>
      </c>
    </row>
    <row r="825" spans="1:31" x14ac:dyDescent="0.45">
      <c r="A825" t="s">
        <v>1551</v>
      </c>
      <c r="B825" t="s">
        <v>1470</v>
      </c>
      <c r="C825" t="s">
        <v>1469</v>
      </c>
      <c r="D825">
        <v>1</v>
      </c>
      <c r="E825" t="s">
        <v>1161</v>
      </c>
      <c r="F825">
        <f>MAX(MAX(L825:AE825),-MIN(L825:AE825))</f>
        <v>1.2810083515734405</v>
      </c>
      <c r="I825" t="s">
        <v>1492</v>
      </c>
      <c r="K825">
        <f t="shared" ref="K825:AE825" si="203">IF(ISNUMBER(K823),IF(ISNUMBER(K824),K824-K823,999999),0)</f>
        <v>0</v>
      </c>
      <c r="L825">
        <f t="shared" si="203"/>
        <v>0.66128084667252551</v>
      </c>
      <c r="M825">
        <f t="shared" si="203"/>
        <v>0.68452638135200417</v>
      </c>
      <c r="N825">
        <f t="shared" si="203"/>
        <v>0.70860813399999856</v>
      </c>
      <c r="O825">
        <f t="shared" si="203"/>
        <v>0.73355698592800067</v>
      </c>
      <c r="P825">
        <f t="shared" si="203"/>
        <v>0.75940499313359666</v>
      </c>
      <c r="Q825">
        <f t="shared" si="203"/>
        <v>0.78618543246314587</v>
      </c>
      <c r="R825">
        <f t="shared" si="203"/>
        <v>0.81393284965256285</v>
      </c>
      <c r="S825">
        <f t="shared" si="203"/>
        <v>0.84268310932519341</v>
      </c>
      <c r="T825">
        <f t="shared" si="203"/>
        <v>0.87247344702950613</v>
      </c>
      <c r="U825">
        <f t="shared" si="203"/>
        <v>0.90334252340287691</v>
      </c>
      <c r="V825">
        <f t="shared" si="203"/>
        <v>0.935330480551265</v>
      </c>
      <c r="W825">
        <f t="shared" si="203"/>
        <v>0.96847900073895232</v>
      </c>
      <c r="X825">
        <f t="shared" si="203"/>
        <v>1.002831367486138</v>
      </c>
      <c r="Y825">
        <f t="shared" si="203"/>
        <v>1.0384325291771148</v>
      </c>
      <c r="Z825">
        <f t="shared" si="203"/>
        <v>1.0753291652854244</v>
      </c>
      <c r="AA825">
        <f t="shared" si="203"/>
        <v>1.1135697553281503</v>
      </c>
      <c r="AB825">
        <f t="shared" si="203"/>
        <v>1.1532046506652591</v>
      </c>
      <c r="AC825">
        <f t="shared" si="203"/>
        <v>1.1942861492661407</v>
      </c>
      <c r="AD825">
        <f t="shared" si="203"/>
        <v>1.2368685735700922</v>
      </c>
      <c r="AE825">
        <f t="shared" si="203"/>
        <v>1.2810083515734405</v>
      </c>
    </row>
    <row r="827" spans="1:31" x14ac:dyDescent="0.45">
      <c r="A827" t="s">
        <v>1552</v>
      </c>
      <c r="B827" t="s">
        <v>1471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1552</v>
      </c>
      <c r="B828" t="s">
        <v>1471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1552</v>
      </c>
      <c r="B829" t="s">
        <v>1471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1492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1553</v>
      </c>
      <c r="B831" t="s">
        <v>1471</v>
      </c>
      <c r="C831" t="s">
        <v>1355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1553</v>
      </c>
      <c r="B832" t="s">
        <v>1471</v>
      </c>
      <c r="C832" t="s">
        <v>1355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1553</v>
      </c>
      <c r="B833" t="s">
        <v>1471</v>
      </c>
      <c r="C833" t="s">
        <v>1355</v>
      </c>
      <c r="D833">
        <v>1</v>
      </c>
      <c r="E833" t="s">
        <v>1161</v>
      </c>
      <c r="F833">
        <f>MAX(MAX(L833:AE833),-MIN(L833:AE833))</f>
        <v>0</v>
      </c>
      <c r="I833" t="s">
        <v>1492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1554</v>
      </c>
      <c r="B835" t="s">
        <v>1471</v>
      </c>
      <c r="C835" t="s">
        <v>1391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1554</v>
      </c>
      <c r="B836" t="s">
        <v>1471</v>
      </c>
      <c r="C836" t="s">
        <v>1391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1554</v>
      </c>
      <c r="B837" t="s">
        <v>1471</v>
      </c>
      <c r="C837" t="s">
        <v>1391</v>
      </c>
      <c r="D837">
        <v>1</v>
      </c>
      <c r="E837" t="s">
        <v>1161</v>
      </c>
      <c r="F837">
        <f>MAX(MAX(L837:AE837),-MIN(L837:AE837))</f>
        <v>0</v>
      </c>
      <c r="I837" t="s">
        <v>1492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1555</v>
      </c>
      <c r="B839" t="s">
        <v>1471</v>
      </c>
      <c r="C839" t="s">
        <v>1392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1555</v>
      </c>
      <c r="B840" t="s">
        <v>1471</v>
      </c>
      <c r="C840" t="s">
        <v>1392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1555</v>
      </c>
      <c r="B841" t="s">
        <v>1471</v>
      </c>
      <c r="C841" t="s">
        <v>1392</v>
      </c>
      <c r="D841">
        <v>1</v>
      </c>
      <c r="E841" t="s">
        <v>1161</v>
      </c>
      <c r="F841">
        <f>MAX(MAX(L841:AE841),-MIN(L841:AE841))</f>
        <v>0</v>
      </c>
      <c r="I841" t="s">
        <v>1492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1556</v>
      </c>
      <c r="B843" t="s">
        <v>1471</v>
      </c>
      <c r="C843" t="s">
        <v>1393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1556</v>
      </c>
      <c r="B844" t="s">
        <v>1471</v>
      </c>
      <c r="C844" t="s">
        <v>1393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1556</v>
      </c>
      <c r="B845" t="s">
        <v>1471</v>
      </c>
      <c r="C845" t="s">
        <v>1393</v>
      </c>
      <c r="D845">
        <v>1</v>
      </c>
      <c r="E845" t="s">
        <v>1161</v>
      </c>
      <c r="F845">
        <f>MAX(MAX(L845:AE845),-MIN(L845:AE845))</f>
        <v>0</v>
      </c>
      <c r="I845" t="s">
        <v>1492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1557</v>
      </c>
      <c r="B847" t="s">
        <v>1471</v>
      </c>
      <c r="C847" t="s">
        <v>1373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1557</v>
      </c>
      <c r="B848" t="s">
        <v>1471</v>
      </c>
      <c r="C848" t="s">
        <v>1373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1557</v>
      </c>
      <c r="B849" t="s">
        <v>1471</v>
      </c>
      <c r="C849" t="s">
        <v>1373</v>
      </c>
      <c r="D849">
        <v>1</v>
      </c>
      <c r="E849" t="s">
        <v>1161</v>
      </c>
      <c r="F849">
        <f>MAX(MAX(L849:AE849),-MIN(L849:AE849))</f>
        <v>0</v>
      </c>
      <c r="I849" t="s">
        <v>1492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1558</v>
      </c>
      <c r="B851" t="s">
        <v>1471</v>
      </c>
      <c r="C851" t="s">
        <v>1394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1558</v>
      </c>
      <c r="B852" t="s">
        <v>1471</v>
      </c>
      <c r="C852" t="s">
        <v>1394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1558</v>
      </c>
      <c r="B853" t="s">
        <v>1471</v>
      </c>
      <c r="C853" t="s">
        <v>1394</v>
      </c>
      <c r="D853">
        <v>1</v>
      </c>
      <c r="E853" t="s">
        <v>1161</v>
      </c>
      <c r="F853">
        <f>MAX(MAX(L853:AE853),-MIN(L853:AE853))</f>
        <v>0</v>
      </c>
      <c r="I853" t="s">
        <v>1492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1559</v>
      </c>
      <c r="B855" t="s">
        <v>1471</v>
      </c>
      <c r="C855" t="s">
        <v>1383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1559</v>
      </c>
      <c r="B856" t="s">
        <v>1471</v>
      </c>
      <c r="C856" t="s">
        <v>1383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1559</v>
      </c>
      <c r="B857" t="s">
        <v>1471</v>
      </c>
      <c r="C857" t="s">
        <v>1383</v>
      </c>
      <c r="D857">
        <v>1</v>
      </c>
      <c r="E857" t="s">
        <v>1161</v>
      </c>
      <c r="F857">
        <f>MAX(MAX(L857:AE857),-MIN(L857:AE857))</f>
        <v>0</v>
      </c>
      <c r="I857" t="s">
        <v>1492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1560</v>
      </c>
      <c r="B859" t="s">
        <v>1471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1560</v>
      </c>
      <c r="B860" t="s">
        <v>1471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1560</v>
      </c>
      <c r="B861" t="s">
        <v>1471</v>
      </c>
      <c r="D861">
        <v>1</v>
      </c>
      <c r="E861" t="s">
        <v>1161</v>
      </c>
      <c r="F861">
        <f>MAX(MAX(L861:AE861),-MIN(L861:AE861))</f>
        <v>0</v>
      </c>
      <c r="I861" t="s">
        <v>1492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1561</v>
      </c>
      <c r="B863" t="s">
        <v>1474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1561</v>
      </c>
      <c r="B864" t="s">
        <v>1474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1561</v>
      </c>
      <c r="B865" t="s">
        <v>1474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1492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1562</v>
      </c>
      <c r="B867" t="s">
        <v>1474</v>
      </c>
      <c r="C867" t="s">
        <v>1355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1562</v>
      </c>
      <c r="B868" t="s">
        <v>1474</v>
      </c>
      <c r="C868" t="s">
        <v>1355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1562</v>
      </c>
      <c r="B869" t="s">
        <v>1474</v>
      </c>
      <c r="C869" t="s">
        <v>1355</v>
      </c>
      <c r="D869">
        <v>1</v>
      </c>
      <c r="E869" t="s">
        <v>1161</v>
      </c>
      <c r="F869">
        <f>MAX(MAX(L869:AE869),-MIN(L869:AE869))</f>
        <v>0</v>
      </c>
      <c r="I869" t="s">
        <v>1492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1563</v>
      </c>
      <c r="B871" t="s">
        <v>1474</v>
      </c>
      <c r="C871" t="s">
        <v>1391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1563</v>
      </c>
      <c r="B872" t="s">
        <v>1474</v>
      </c>
      <c r="C872" t="s">
        <v>1391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1563</v>
      </c>
      <c r="B873" t="s">
        <v>1474</v>
      </c>
      <c r="C873" t="s">
        <v>1391</v>
      </c>
      <c r="D873">
        <v>1</v>
      </c>
      <c r="E873" t="s">
        <v>1161</v>
      </c>
      <c r="F873">
        <f>MAX(MAX(L873:AE873),-MIN(L873:AE873))</f>
        <v>0</v>
      </c>
      <c r="I873" t="s">
        <v>1492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1564</v>
      </c>
      <c r="B875" t="s">
        <v>1474</v>
      </c>
      <c r="C875" t="s">
        <v>1392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1564</v>
      </c>
      <c r="B876" t="s">
        <v>1474</v>
      </c>
      <c r="C876" t="s">
        <v>1392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1564</v>
      </c>
      <c r="B877" t="s">
        <v>1474</v>
      </c>
      <c r="C877" t="s">
        <v>1392</v>
      </c>
      <c r="D877">
        <v>1</v>
      </c>
      <c r="E877" t="s">
        <v>1161</v>
      </c>
      <c r="F877">
        <f>MAX(MAX(L877:AE877),-MIN(L877:AE877))</f>
        <v>0</v>
      </c>
      <c r="I877" t="s">
        <v>1492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1565</v>
      </c>
      <c r="B879" t="s">
        <v>1474</v>
      </c>
      <c r="C879" t="s">
        <v>1393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1565</v>
      </c>
      <c r="B880" t="s">
        <v>1474</v>
      </c>
      <c r="C880" t="s">
        <v>1393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1565</v>
      </c>
      <c r="B881" t="s">
        <v>1474</v>
      </c>
      <c r="C881" t="s">
        <v>1393</v>
      </c>
      <c r="D881">
        <v>1</v>
      </c>
      <c r="E881" t="s">
        <v>1161</v>
      </c>
      <c r="F881">
        <f>MAX(MAX(L881:AE881),-MIN(L881:AE881))</f>
        <v>0</v>
      </c>
      <c r="I881" t="s">
        <v>1492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1566</v>
      </c>
      <c r="B883" t="s">
        <v>1474</v>
      </c>
      <c r="C883" t="s">
        <v>1373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1566</v>
      </c>
      <c r="B884" t="s">
        <v>1474</v>
      </c>
      <c r="C884" t="s">
        <v>1373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1566</v>
      </c>
      <c r="B885" t="s">
        <v>1474</v>
      </c>
      <c r="C885" t="s">
        <v>1373</v>
      </c>
      <c r="D885">
        <v>1</v>
      </c>
      <c r="E885" t="s">
        <v>1161</v>
      </c>
      <c r="F885">
        <f>MAX(MAX(L885:AE885),-MIN(L885:AE885))</f>
        <v>0</v>
      </c>
      <c r="I885" t="s">
        <v>1492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1567</v>
      </c>
      <c r="B887" t="s">
        <v>1474</v>
      </c>
      <c r="C887" t="s">
        <v>1394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1567</v>
      </c>
      <c r="B888" t="s">
        <v>1474</v>
      </c>
      <c r="C888" t="s">
        <v>1394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1567</v>
      </c>
      <c r="B889" t="s">
        <v>1474</v>
      </c>
      <c r="C889" t="s">
        <v>1394</v>
      </c>
      <c r="D889">
        <v>1</v>
      </c>
      <c r="E889" t="s">
        <v>1161</v>
      </c>
      <c r="F889">
        <f>MAX(MAX(L889:AE889),-MIN(L889:AE889))</f>
        <v>0</v>
      </c>
      <c r="I889" t="s">
        <v>1492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1568</v>
      </c>
      <c r="B891" t="s">
        <v>1474</v>
      </c>
      <c r="C891" t="s">
        <v>1383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1568</v>
      </c>
      <c r="B892" t="s">
        <v>1474</v>
      </c>
      <c r="C892" t="s">
        <v>1383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1568</v>
      </c>
      <c r="B893" t="s">
        <v>1474</v>
      </c>
      <c r="C893" t="s">
        <v>1383</v>
      </c>
      <c r="D893">
        <v>1</v>
      </c>
      <c r="E893" t="s">
        <v>1161</v>
      </c>
      <c r="F893">
        <f>MAX(MAX(L893:AE893),-MIN(L893:AE893))</f>
        <v>0</v>
      </c>
      <c r="I893" t="s">
        <v>1492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1569</v>
      </c>
      <c r="B895" t="s">
        <v>1474</v>
      </c>
      <c r="C895" t="s">
        <v>1475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1569</v>
      </c>
      <c r="B896" t="s">
        <v>1474</v>
      </c>
      <c r="C896" t="s">
        <v>1475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1569</v>
      </c>
      <c r="B897" t="s">
        <v>1474</v>
      </c>
      <c r="C897" t="s">
        <v>1475</v>
      </c>
      <c r="D897">
        <v>1</v>
      </c>
      <c r="E897" t="s">
        <v>1161</v>
      </c>
      <c r="F897">
        <f>MAX(MAX(L897:AE897),-MIN(L897:AE897))</f>
        <v>0</v>
      </c>
      <c r="I897" t="s">
        <v>1492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1570</v>
      </c>
      <c r="B899" t="s">
        <v>1476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1570</v>
      </c>
      <c r="B900" t="s">
        <v>1476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3.7399856771381845</v>
      </c>
      <c r="M900">
        <f>IF(ISBLANK(Mitigation_Industry!M374),"",Mitigation_Industry!M374)</f>
        <v>3.8222653620352247</v>
      </c>
      <c r="N900">
        <f>IF(ISBLANK(Mitigation_Industry!N374),"",Mitigation_Industry!N374)</f>
        <v>3.9063551999999997</v>
      </c>
      <c r="O900">
        <f>IF(ISBLANK(Mitigation_Industry!O374),"",Mitigation_Industry!O374)</f>
        <v>3.9922950143999998</v>
      </c>
      <c r="P900">
        <f>IF(ISBLANK(Mitigation_Industry!P374),"",Mitigation_Industry!P374)</f>
        <v>4.0801255047168006</v>
      </c>
      <c r="Q900">
        <f>IF(ISBLANK(Mitigation_Industry!Q374),"",Mitigation_Industry!Q374)</f>
        <v>4.1698882658205694</v>
      </c>
      <c r="R900">
        <f>IF(ISBLANK(Mitigation_Industry!R374),"",Mitigation_Industry!R374)</f>
        <v>4.2616258076686222</v>
      </c>
      <c r="S900">
        <f>IF(ISBLANK(Mitigation_Industry!S374),"",Mitigation_Industry!S374)</f>
        <v>4.3553815754373311</v>
      </c>
      <c r="T900">
        <f>IF(ISBLANK(Mitigation_Industry!T374),"",Mitigation_Industry!T374)</f>
        <v>4.4511999700969529</v>
      </c>
      <c r="U900">
        <f>IF(ISBLANK(Mitigation_Industry!U374),"",Mitigation_Industry!U374)</f>
        <v>4.5491263694390858</v>
      </c>
      <c r="V900">
        <f>IF(ISBLANK(Mitigation_Industry!V374),"",Mitigation_Industry!V374)</f>
        <v>4.6492071495667471</v>
      </c>
      <c r="W900">
        <f>IF(ISBLANK(Mitigation_Industry!W374),"",Mitigation_Industry!W374)</f>
        <v>4.7514897068572139</v>
      </c>
      <c r="X900">
        <f>IF(ISBLANK(Mitigation_Industry!X374),"",Mitigation_Industry!X374)</f>
        <v>4.8560224804080736</v>
      </c>
      <c r="Y900">
        <f>IF(ISBLANK(Mitigation_Industry!Y374),"",Mitigation_Industry!Y374)</f>
        <v>4.9628549749770512</v>
      </c>
      <c r="Z900">
        <f>IF(ISBLANK(Mitigation_Industry!Z374),"",Mitigation_Industry!Z374)</f>
        <v>5.0720377844265467</v>
      </c>
      <c r="AA900">
        <f>IF(ISBLANK(Mitigation_Industry!AA374),"",Mitigation_Industry!AA374)</f>
        <v>5.1836226156839302</v>
      </c>
      <c r="AB900">
        <f>IF(ISBLANK(Mitigation_Industry!AB374),"",Mitigation_Industry!AB374)</f>
        <v>5.297662313228976</v>
      </c>
      <c r="AC900">
        <f>IF(ISBLANK(Mitigation_Industry!AC374),"",Mitigation_Industry!AC374)</f>
        <v>5.4142108841200143</v>
      </c>
      <c r="AD900">
        <f>IF(ISBLANK(Mitigation_Industry!AD374),"",Mitigation_Industry!AD374)</f>
        <v>5.5333235235706555</v>
      </c>
      <c r="AE900">
        <f>IF(ISBLANK(Mitigation_Industry!AE374),"",Mitigation_Industry!AE374)</f>
        <v>5.6550566410892094</v>
      </c>
    </row>
    <row r="901" spans="1:31" x14ac:dyDescent="0.45">
      <c r="A901" t="s">
        <v>1570</v>
      </c>
      <c r="B901" t="s">
        <v>1476</v>
      </c>
      <c r="C901" t="s">
        <v>283</v>
      </c>
      <c r="D901">
        <v>1</v>
      </c>
      <c r="E901" t="s">
        <v>1161</v>
      </c>
      <c r="F901">
        <f>MAX(MAX(L901:AE901),-MIN(L901:AE901))</f>
        <v>4.8125211325123347</v>
      </c>
      <c r="I901" t="s">
        <v>1571</v>
      </c>
      <c r="J901" t="s">
        <v>1572</v>
      </c>
      <c r="K901">
        <f t="shared" ref="K901:AE901" si="222">IF(ISNUMBER(K899),IF(ISNUMBER(K900),K900-K899,999999),0)</f>
        <v>0</v>
      </c>
      <c r="L901">
        <f t="shared" si="222"/>
        <v>0.21092204380344715</v>
      </c>
      <c r="M901">
        <f t="shared" si="222"/>
        <v>3.2527937377690801</v>
      </c>
      <c r="N901">
        <f t="shared" si="222"/>
        <v>3.3243551999999998</v>
      </c>
      <c r="O901">
        <f t="shared" si="222"/>
        <v>3.3974910143999999</v>
      </c>
      <c r="P901">
        <f t="shared" si="222"/>
        <v>3.4722358167168004</v>
      </c>
      <c r="Q901">
        <f t="shared" si="222"/>
        <v>3.5486250046845695</v>
      </c>
      <c r="R901">
        <f t="shared" si="222"/>
        <v>3.6266947547876303</v>
      </c>
      <c r="S901">
        <f t="shared" si="222"/>
        <v>3.7064820393929572</v>
      </c>
      <c r="T901">
        <f t="shared" si="222"/>
        <v>3.7880246442596031</v>
      </c>
      <c r="U901">
        <f t="shared" si="222"/>
        <v>3.871361186433314</v>
      </c>
      <c r="V901">
        <f t="shared" si="222"/>
        <v>3.956531132534848</v>
      </c>
      <c r="W901">
        <f t="shared" si="222"/>
        <v>4.0435748174506134</v>
      </c>
      <c r="X901">
        <f t="shared" si="222"/>
        <v>4.1325334634345277</v>
      </c>
      <c r="Y901">
        <f t="shared" si="222"/>
        <v>4.2234491996300871</v>
      </c>
      <c r="Z901">
        <f t="shared" si="222"/>
        <v>4.3163650820219495</v>
      </c>
      <c r="AA901">
        <f t="shared" si="222"/>
        <v>4.4113251138264324</v>
      </c>
      <c r="AB901">
        <f t="shared" si="222"/>
        <v>4.5083742663306126</v>
      </c>
      <c r="AC901">
        <f t="shared" si="222"/>
        <v>4.6075585001898869</v>
      </c>
      <c r="AD901">
        <f t="shared" si="222"/>
        <v>4.7089247871940652</v>
      </c>
      <c r="AE901">
        <f t="shared" si="222"/>
        <v>4.8125211325123347</v>
      </c>
    </row>
    <row r="903" spans="1:31" x14ac:dyDescent="0.45">
      <c r="A903" t="s">
        <v>1573</v>
      </c>
      <c r="B903" t="s">
        <v>1476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1573</v>
      </c>
      <c r="B904" t="s">
        <v>1476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2.8694133664728936</v>
      </c>
      <c r="M904">
        <f>IF(ISBLANK(Mitigation_Industry!M375),"",Mitigation_Industry!M375)</f>
        <v>2.9956675545977007</v>
      </c>
      <c r="N904">
        <f>IF(ISBLANK(Mitigation_Industry!N375),"",Mitigation_Industry!N375)</f>
        <v>3.1274769269999996</v>
      </c>
      <c r="O904">
        <f>IF(ISBLANK(Mitigation_Industry!O375),"",Mitigation_Industry!O375)</f>
        <v>3.2650859117880002</v>
      </c>
      <c r="P904">
        <f>IF(ISBLANK(Mitigation_Industry!P375),"",Mitigation_Industry!P375)</f>
        <v>3.4087496919066722</v>
      </c>
      <c r="Q904">
        <f>IF(ISBLANK(Mitigation_Industry!Q375),"",Mitigation_Industry!Q375)</f>
        <v>3.5587346783505662</v>
      </c>
      <c r="R904">
        <f>IF(ISBLANK(Mitigation_Industry!R375),"",Mitigation_Industry!R375)</f>
        <v>3.7153190041979904</v>
      </c>
      <c r="S904">
        <f>IF(ISBLANK(Mitigation_Industry!S375),"",Mitigation_Industry!S375)</f>
        <v>3.8787930403827025</v>
      </c>
      <c r="T904">
        <f>IF(ISBLANK(Mitigation_Industry!T375),"",Mitigation_Industry!T375)</f>
        <v>4.0494599341595423</v>
      </c>
      <c r="U904">
        <f>IF(ISBLANK(Mitigation_Industry!U375),"",Mitigation_Industry!U375)</f>
        <v>4.2276361712625619</v>
      </c>
      <c r="V904">
        <f>IF(ISBLANK(Mitigation_Industry!V375),"",Mitigation_Industry!V375)</f>
        <v>4.4136521627981145</v>
      </c>
      <c r="W904">
        <f>IF(ISBLANK(Mitigation_Industry!W375),"",Mitigation_Industry!W375)</f>
        <v>4.6078528579612303</v>
      </c>
      <c r="X904">
        <f>IF(ISBLANK(Mitigation_Industry!X375),"",Mitigation_Industry!X375)</f>
        <v>4.8105983837115254</v>
      </c>
      <c r="Y904">
        <f>IF(ISBLANK(Mitigation_Industry!Y375),"",Mitigation_Industry!Y375)</f>
        <v>5.0222647125948336</v>
      </c>
      <c r="Z904">
        <f>IF(ISBLANK(Mitigation_Industry!Z375),"",Mitigation_Industry!Z375)</f>
        <v>5.2432443599490046</v>
      </c>
      <c r="AA904">
        <f>IF(ISBLANK(Mitigation_Industry!AA375),"",Mitigation_Industry!AA375)</f>
        <v>5.4739471117867611</v>
      </c>
      <c r="AB904">
        <f>IF(ISBLANK(Mitigation_Industry!AB375),"",Mitigation_Industry!AB375)</f>
        <v>5.714800784705381</v>
      </c>
      <c r="AC904">
        <f>IF(ISBLANK(Mitigation_Industry!AC375),"",Mitigation_Industry!AC375)</f>
        <v>5.9662520192324164</v>
      </c>
      <c r="AD904">
        <f>IF(ISBLANK(Mitigation_Industry!AD375),"",Mitigation_Industry!AD375)</f>
        <v>6.2287671080786424</v>
      </c>
      <c r="AE904">
        <f>IF(ISBLANK(Mitigation_Industry!AE375),"",Mitigation_Industry!AE375)</f>
        <v>6.5028328608341015</v>
      </c>
    </row>
    <row r="905" spans="1:31" x14ac:dyDescent="0.45">
      <c r="A905" t="s">
        <v>1573</v>
      </c>
      <c r="B905" t="s">
        <v>1476</v>
      </c>
      <c r="C905" t="s">
        <v>284</v>
      </c>
      <c r="D905">
        <v>1</v>
      </c>
      <c r="E905" t="s">
        <v>1161</v>
      </c>
      <c r="F905">
        <f>MAX(MAX(L905:AE905),-MIN(L905:AE905))</f>
        <v>5.9289575257051421</v>
      </c>
      <c r="I905" t="s">
        <v>1571</v>
      </c>
      <c r="J905" t="s">
        <v>1572</v>
      </c>
      <c r="K905">
        <f t="shared" ref="K905:AE905" si="223">IF(ISNUMBER(K903),IF(ISNUMBER(K904),K904-K903,999999),0)</f>
        <v>0</v>
      </c>
      <c r="L905">
        <f t="shared" si="223"/>
        <v>-0.97700789128903009</v>
      </c>
      <c r="M905">
        <f t="shared" si="223"/>
        <v>2.7312997385057467</v>
      </c>
      <c r="N905">
        <f t="shared" si="223"/>
        <v>2.8514769269999998</v>
      </c>
      <c r="O905">
        <f t="shared" si="223"/>
        <v>2.9769419117880003</v>
      </c>
      <c r="P905">
        <f t="shared" si="223"/>
        <v>3.1079273559066722</v>
      </c>
      <c r="Q905">
        <f t="shared" si="223"/>
        <v>3.2446761595665663</v>
      </c>
      <c r="R905">
        <f t="shared" si="223"/>
        <v>3.3874419105874942</v>
      </c>
      <c r="S905">
        <f t="shared" si="223"/>
        <v>3.5364893546533445</v>
      </c>
      <c r="T905">
        <f t="shared" si="223"/>
        <v>3.6920948862580927</v>
      </c>
      <c r="U905">
        <f t="shared" si="223"/>
        <v>3.8545470612534483</v>
      </c>
      <c r="V905">
        <f t="shared" si="223"/>
        <v>4.0241471319485997</v>
      </c>
      <c r="W905">
        <f t="shared" si="223"/>
        <v>4.2012096057543369</v>
      </c>
      <c r="X905">
        <f t="shared" si="223"/>
        <v>4.3860628284075291</v>
      </c>
      <c r="Y905">
        <f t="shared" si="223"/>
        <v>4.5790495928574613</v>
      </c>
      <c r="Z905">
        <f t="shared" si="223"/>
        <v>4.780527774943188</v>
      </c>
      <c r="AA905">
        <f t="shared" si="223"/>
        <v>4.9908709970406884</v>
      </c>
      <c r="AB905">
        <f t="shared" si="223"/>
        <v>5.2104693209104811</v>
      </c>
      <c r="AC905">
        <f t="shared" si="223"/>
        <v>5.4397299710305411</v>
      </c>
      <c r="AD905">
        <f t="shared" si="223"/>
        <v>5.679078089755885</v>
      </c>
      <c r="AE905">
        <f t="shared" si="223"/>
        <v>5.9289575257051421</v>
      </c>
    </row>
    <row r="907" spans="1:31" x14ac:dyDescent="0.45">
      <c r="A907" t="s">
        <v>1574</v>
      </c>
      <c r="B907" t="s">
        <v>1476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1574</v>
      </c>
      <c r="B908" t="s">
        <v>1476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3.3266099144224071E-2</v>
      </c>
      <c r="M908">
        <f>IF(ISBLANK(Mitigation_Industry!M376),"",Mitigation_Industry!M376)</f>
        <v>3.5095734597156404E-2</v>
      </c>
      <c r="N908">
        <f>IF(ISBLANK(Mitigation_Industry!N376),"",Mitigation_Industry!N376)</f>
        <v>3.7026000000000003E-2</v>
      </c>
      <c r="O908">
        <f>IF(ISBLANK(Mitigation_Industry!O376),"",Mitigation_Industry!O376)</f>
        <v>3.9062430000000002E-2</v>
      </c>
      <c r="P908">
        <f>IF(ISBLANK(Mitigation_Industry!P376),"",Mitigation_Industry!P376)</f>
        <v>4.1210863649999999E-2</v>
      </c>
      <c r="Q908">
        <f>IF(ISBLANK(Mitigation_Industry!Q376),"",Mitigation_Industry!Q376)</f>
        <v>4.3477461150749991E-2</v>
      </c>
      <c r="R908">
        <f>IF(ISBLANK(Mitigation_Industry!R376),"",Mitigation_Industry!R376)</f>
        <v>4.5868721514041248E-2</v>
      </c>
      <c r="S908">
        <f>IF(ISBLANK(Mitigation_Industry!S376),"",Mitigation_Industry!S376)</f>
        <v>4.8391501197313509E-2</v>
      </c>
      <c r="T908">
        <f>IF(ISBLANK(Mitigation_Industry!T376),"",Mitigation_Industry!T376)</f>
        <v>5.105303376316575E-2</v>
      </c>
      <c r="U908">
        <f>IF(ISBLANK(Mitigation_Industry!U376),"",Mitigation_Industry!U376)</f>
        <v>5.3860950620139861E-2</v>
      </c>
      <c r="V908">
        <f>IF(ISBLANK(Mitigation_Industry!V376),"",Mitigation_Industry!V376)</f>
        <v>5.6823302904247558E-2</v>
      </c>
      <c r="W908">
        <f>IF(ISBLANK(Mitigation_Industry!W376),"",Mitigation_Industry!W376)</f>
        <v>5.9948584563981173E-2</v>
      </c>
      <c r="X908">
        <f>IF(ISBLANK(Mitigation_Industry!X376),"",Mitigation_Industry!X376)</f>
        <v>6.3245756715000129E-2</v>
      </c>
      <c r="Y908">
        <f>IF(ISBLANK(Mitigation_Industry!Y376),"",Mitigation_Industry!Y376)</f>
        <v>6.6724273334325138E-2</v>
      </c>
      <c r="Z908">
        <f>IF(ISBLANK(Mitigation_Industry!Z376),"",Mitigation_Industry!Z376)</f>
        <v>7.039410836771301E-2</v>
      </c>
      <c r="AA908">
        <f>IF(ISBLANK(Mitigation_Industry!AA376),"",Mitigation_Industry!AA376)</f>
        <v>7.426578432793722E-2</v>
      </c>
      <c r="AB908">
        <f>IF(ISBLANK(Mitigation_Industry!AB376),"",Mitigation_Industry!AB376)</f>
        <v>7.8350402465973787E-2</v>
      </c>
      <c r="AC908">
        <f>IF(ISBLANK(Mitigation_Industry!AC376),"",Mitigation_Industry!AC376)</f>
        <v>8.2659674601602312E-2</v>
      </c>
      <c r="AD908">
        <f>IF(ISBLANK(Mitigation_Industry!AD376),"",Mitigation_Industry!AD376)</f>
        <v>8.7205956704690446E-2</v>
      </c>
      <c r="AE908">
        <f>IF(ISBLANK(Mitigation_Industry!AE376),"",Mitigation_Industry!AE376)</f>
        <v>9.2002284323448424E-2</v>
      </c>
    </row>
    <row r="909" spans="1:31" x14ac:dyDescent="0.45">
      <c r="A909" t="s">
        <v>1574</v>
      </c>
      <c r="B909" t="s">
        <v>1476</v>
      </c>
      <c r="C909" t="s">
        <v>285</v>
      </c>
      <c r="D909">
        <v>1</v>
      </c>
      <c r="E909" t="s">
        <v>1161</v>
      </c>
      <c r="F909">
        <f>MAX(MAX(L909:AE909),-MIN(L909:AE909))</f>
        <v>1.6597832298566177</v>
      </c>
      <c r="I909" t="s">
        <v>1571</v>
      </c>
      <c r="J909" t="s">
        <v>1572</v>
      </c>
      <c r="K909">
        <f t="shared" ref="K909:AE909" si="224">IF(ISNUMBER(K907),IF(ISNUMBER(K908),K908-K907,999999),0)</f>
        <v>0</v>
      </c>
      <c r="L909">
        <f t="shared" si="224"/>
        <v>-8.7814739111879841E-3</v>
      </c>
      <c r="M909">
        <f t="shared" si="224"/>
        <v>-0.63315071090047392</v>
      </c>
      <c r="N909">
        <f t="shared" si="224"/>
        <v>-0.66797399999999996</v>
      </c>
      <c r="O909">
        <f t="shared" si="224"/>
        <v>-0.70471256999999998</v>
      </c>
      <c r="P909">
        <f t="shared" si="224"/>
        <v>-0.74347176134999993</v>
      </c>
      <c r="Q909">
        <f t="shared" si="224"/>
        <v>-0.78436270822424992</v>
      </c>
      <c r="R909">
        <f t="shared" si="224"/>
        <v>-0.82750265717658378</v>
      </c>
      <c r="S909">
        <f t="shared" si="224"/>
        <v>-0.87301530332129584</v>
      </c>
      <c r="T909">
        <f t="shared" si="224"/>
        <v>-0.9210311450039671</v>
      </c>
      <c r="U909">
        <f t="shared" si="224"/>
        <v>-0.97168785797918511</v>
      </c>
      <c r="V909">
        <f t="shared" si="224"/>
        <v>-1.0251306901680404</v>
      </c>
      <c r="W909">
        <f t="shared" si="224"/>
        <v>-1.0815128781272827</v>
      </c>
      <c r="X909">
        <f t="shared" si="224"/>
        <v>-1.140996086424283</v>
      </c>
      <c r="Y909">
        <f t="shared" si="224"/>
        <v>-1.2037508711776184</v>
      </c>
      <c r="Z909">
        <f t="shared" si="224"/>
        <v>-1.2699571690923872</v>
      </c>
      <c r="AA909">
        <f t="shared" si="224"/>
        <v>-1.3398048133924689</v>
      </c>
      <c r="AB909">
        <f t="shared" si="224"/>
        <v>-1.4134940781290544</v>
      </c>
      <c r="AC909">
        <f t="shared" si="224"/>
        <v>-1.4912362524261522</v>
      </c>
      <c r="AD909">
        <f t="shared" si="224"/>
        <v>-1.5732542463095904</v>
      </c>
      <c r="AE909">
        <f t="shared" si="224"/>
        <v>-1.6597832298566177</v>
      </c>
    </row>
    <row r="911" spans="1:31" x14ac:dyDescent="0.45">
      <c r="A911" t="s">
        <v>1575</v>
      </c>
      <c r="B911" t="s">
        <v>1476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1575</v>
      </c>
      <c r="B912" t="s">
        <v>1476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1575</v>
      </c>
      <c r="B913" t="s">
        <v>1476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1571</v>
      </c>
      <c r="J913" t="s">
        <v>1572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1576</v>
      </c>
      <c r="B915" t="s">
        <v>1476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1576</v>
      </c>
      <c r="B916" t="s">
        <v>1476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14.692706044200628</v>
      </c>
      <c r="M916">
        <f>IF(ISBLANK(Mitigation_Industry!M378),"",Mitigation_Industry!M378)</f>
        <v>15.177565343659246</v>
      </c>
      <c r="N916">
        <f>IF(ISBLANK(Mitigation_Industry!N378),"",Mitigation_Industry!N378)</f>
        <v>15.678424999999999</v>
      </c>
      <c r="O916">
        <f>IF(ISBLANK(Mitigation_Industry!O378),"",Mitigation_Industry!O378)</f>
        <v>16.195813024999996</v>
      </c>
      <c r="P916">
        <f>IF(ISBLANK(Mitigation_Industry!P378),"",Mitigation_Industry!P378)</f>
        <v>16.730274854824994</v>
      </c>
      <c r="Q916">
        <f>IF(ISBLANK(Mitigation_Industry!Q378),"",Mitigation_Industry!Q378)</f>
        <v>17.282373925034218</v>
      </c>
      <c r="R916">
        <f>IF(ISBLANK(Mitigation_Industry!R378),"",Mitigation_Industry!R378)</f>
        <v>17.852692264560343</v>
      </c>
      <c r="S916">
        <f>IF(ISBLANK(Mitigation_Industry!S378),"",Mitigation_Industry!S378)</f>
        <v>18.441831109290838</v>
      </c>
      <c r="T916">
        <f>IF(ISBLANK(Mitigation_Industry!T378),"",Mitigation_Industry!T378)</f>
        <v>19.050411535897432</v>
      </c>
      <c r="U916">
        <f>IF(ISBLANK(Mitigation_Industry!U378),"",Mitigation_Industry!U378)</f>
        <v>19.679075116582045</v>
      </c>
      <c r="V916">
        <f>IF(ISBLANK(Mitigation_Industry!V378),"",Mitigation_Industry!V378)</f>
        <v>20.328484595429249</v>
      </c>
      <c r="W916">
        <f>IF(ISBLANK(Mitigation_Industry!W378),"",Mitigation_Industry!W378)</f>
        <v>20.999324587078412</v>
      </c>
      <c r="X916">
        <f>IF(ISBLANK(Mitigation_Industry!X378),"",Mitigation_Industry!X378)</f>
        <v>21.692302298451992</v>
      </c>
      <c r="Y916">
        <f>IF(ISBLANK(Mitigation_Industry!Y378),"",Mitigation_Industry!Y378)</f>
        <v>22.40814827430091</v>
      </c>
      <c r="Z916">
        <f>IF(ISBLANK(Mitigation_Industry!Z378),"",Mitigation_Industry!Z378)</f>
        <v>23.147617167352838</v>
      </c>
      <c r="AA916">
        <f>IF(ISBLANK(Mitigation_Industry!AA378),"",Mitigation_Industry!AA378)</f>
        <v>23.911488533875481</v>
      </c>
      <c r="AB916">
        <f>IF(ISBLANK(Mitigation_Industry!AB378),"",Mitigation_Industry!AB378)</f>
        <v>24.700567655493362</v>
      </c>
      <c r="AC916">
        <f>IF(ISBLANK(Mitigation_Industry!AC378),"",Mitigation_Industry!AC378)</f>
        <v>25.515686388124642</v>
      </c>
      <c r="AD916">
        <f>IF(ISBLANK(Mitigation_Industry!AD378),"",Mitigation_Industry!AD378)</f>
        <v>26.357704038932756</v>
      </c>
      <c r="AE916">
        <f>IF(ISBLANK(Mitigation_Industry!AE378),"",Mitigation_Industry!AE378)</f>
        <v>27.227508272217527</v>
      </c>
    </row>
    <row r="917" spans="1:31" x14ac:dyDescent="0.45">
      <c r="A917" t="s">
        <v>1576</v>
      </c>
      <c r="B917" t="s">
        <v>1476</v>
      </c>
      <c r="C917" t="s">
        <v>287</v>
      </c>
      <c r="D917">
        <v>1</v>
      </c>
      <c r="E917" t="s">
        <v>1161</v>
      </c>
      <c r="F917">
        <f>MAX(MAX(L917:AE917),-MIN(L917:AE917))</f>
        <v>18.445667927516922</v>
      </c>
      <c r="I917" t="s">
        <v>1571</v>
      </c>
      <c r="J917" t="s">
        <v>1572</v>
      </c>
      <c r="K917">
        <f t="shared" ref="K917:AE917" si="226">IF(ISNUMBER(K915),IF(ISNUMBER(K916),K916-K915,999999),0)</f>
        <v>0</v>
      </c>
      <c r="L917">
        <f t="shared" si="226"/>
        <v>1.183992150607871</v>
      </c>
      <c r="M917">
        <f t="shared" si="226"/>
        <v>-10.282260406582775</v>
      </c>
      <c r="N917">
        <f t="shared" si="226"/>
        <v>-10.621575000000002</v>
      </c>
      <c r="O917">
        <f t="shared" si="226"/>
        <v>-10.972086975000003</v>
      </c>
      <c r="P917">
        <f t="shared" si="226"/>
        <v>-11.334165845175001</v>
      </c>
      <c r="Q917">
        <f t="shared" si="226"/>
        <v>-11.708193318065774</v>
      </c>
      <c r="R917">
        <f t="shared" si="226"/>
        <v>-12.094563697561949</v>
      </c>
      <c r="S917">
        <f t="shared" si="226"/>
        <v>-12.493684299581485</v>
      </c>
      <c r="T917">
        <f t="shared" si="226"/>
        <v>-12.905975881467679</v>
      </c>
      <c r="U917">
        <f t="shared" si="226"/>
        <v>-13.331873085556108</v>
      </c>
      <c r="V917">
        <f t="shared" si="226"/>
        <v>-13.771824897379457</v>
      </c>
      <c r="W917">
        <f t="shared" si="226"/>
        <v>-14.226295118992986</v>
      </c>
      <c r="X917">
        <f t="shared" si="226"/>
        <v>-14.695762857919753</v>
      </c>
      <c r="Y917">
        <f t="shared" si="226"/>
        <v>-15.180723032231104</v>
      </c>
      <c r="Z917">
        <f t="shared" si="226"/>
        <v>-15.681686892294731</v>
      </c>
      <c r="AA917">
        <f t="shared" si="226"/>
        <v>-16.199182559740454</v>
      </c>
      <c r="AB917">
        <f t="shared" si="226"/>
        <v>-16.733755584211895</v>
      </c>
      <c r="AC917">
        <f t="shared" si="226"/>
        <v>-17.28596951849088</v>
      </c>
      <c r="AD917">
        <f t="shared" si="226"/>
        <v>-17.85640651260108</v>
      </c>
      <c r="AE917">
        <f t="shared" si="226"/>
        <v>-18.445667927516922</v>
      </c>
    </row>
    <row r="919" spans="1:31" x14ac:dyDescent="0.45">
      <c r="A919" t="s">
        <v>1577</v>
      </c>
      <c r="B919" t="s">
        <v>1476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1577</v>
      </c>
      <c r="B920" t="s">
        <v>1476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21.335371186955932</v>
      </c>
      <c r="M920">
        <f>IF(ISBLANK(Mitigation_Industry!M379),"",Mitigation_Industry!M379)</f>
        <v>22.03059399488933</v>
      </c>
      <c r="N920">
        <f>IF(ISBLANK(Mitigation_Industry!N379),"",Mitigation_Industry!N379)</f>
        <v>22.749283126999998</v>
      </c>
      <c r="O920">
        <f>IF(ISBLANK(Mitigation_Industry!O379),"",Mitigation_Industry!O379)</f>
        <v>23.492256381187996</v>
      </c>
      <c r="P920">
        <f>IF(ISBLANK(Mitigation_Industry!P379),"",Mitigation_Industry!P379)</f>
        <v>24.260360915098467</v>
      </c>
      <c r="Q920">
        <f>IF(ISBLANK(Mitigation_Industry!Q379),"",Mitigation_Industry!Q379)</f>
        <v>25.054474330356104</v>
      </c>
      <c r="R920">
        <f>IF(ISBLANK(Mitigation_Industry!R379),"",Mitigation_Industry!R379)</f>
        <v>25.875505797940995</v>
      </c>
      <c r="S920">
        <f>IF(ISBLANK(Mitigation_Industry!S379),"",Mitigation_Industry!S379)</f>
        <v>26.724397226308184</v>
      </c>
      <c r="T920">
        <f>IF(ISBLANK(Mitigation_Industry!T379),"",Mitigation_Industry!T379)</f>
        <v>27.602124473917094</v>
      </c>
      <c r="U920">
        <f>IF(ISBLANK(Mitigation_Industry!U379),"",Mitigation_Industry!U379)</f>
        <v>28.509698607903829</v>
      </c>
      <c r="V920">
        <f>IF(ISBLANK(Mitigation_Industry!V379),"",Mitigation_Industry!V379)</f>
        <v>29.448167210698358</v>
      </c>
      <c r="W920">
        <f>IF(ISBLANK(Mitigation_Industry!W379),"",Mitigation_Industry!W379)</f>
        <v>30.418615736460836</v>
      </c>
      <c r="X920">
        <f>IF(ISBLANK(Mitigation_Industry!X379),"",Mitigation_Industry!X379)</f>
        <v>31.422168919286591</v>
      </c>
      <c r="Y920">
        <f>IF(ISBLANK(Mitigation_Industry!Y379),"",Mitigation_Industry!Y379)</f>
        <v>32.459992235207118</v>
      </c>
      <c r="Z920">
        <f>IF(ISBLANK(Mitigation_Industry!Z379),"",Mitigation_Industry!Z379)</f>
        <v>33.533293420096101</v>
      </c>
      <c r="AA920">
        <f>IF(ISBLANK(Mitigation_Industry!AA379),"",Mitigation_Industry!AA379)</f>
        <v>34.643324045674106</v>
      </c>
      <c r="AB920">
        <f>IF(ISBLANK(Mitigation_Industry!AB379),"",Mitigation_Industry!AB379)</f>
        <v>35.791381155893696</v>
      </c>
      <c r="AC920">
        <f>IF(ISBLANK(Mitigation_Industry!AC379),"",Mitigation_Industry!AC379)</f>
        <v>36.978808966078674</v>
      </c>
      <c r="AD920">
        <f>IF(ISBLANK(Mitigation_Industry!AD379),"",Mitigation_Industry!AD379)</f>
        <v>38.207000627286746</v>
      </c>
      <c r="AE920">
        <f>IF(ISBLANK(Mitigation_Industry!AE379),"",Mitigation_Industry!AE379)</f>
        <v>39.477400058464283</v>
      </c>
    </row>
    <row r="921" spans="1:31" x14ac:dyDescent="0.45">
      <c r="A921" t="s">
        <v>1577</v>
      </c>
      <c r="B921" t="s">
        <v>1476</v>
      </c>
      <c r="C921" t="s">
        <v>111</v>
      </c>
      <c r="D921">
        <v>1</v>
      </c>
      <c r="E921" t="s">
        <v>1161</v>
      </c>
      <c r="F921">
        <f>MAX(MAX(L921:AE921),-MIN(L921:AE921))</f>
        <v>9.3639724991560627</v>
      </c>
      <c r="I921" t="s">
        <v>1571</v>
      </c>
      <c r="J921" t="s">
        <v>1572</v>
      </c>
      <c r="K921">
        <f t="shared" ref="K921:AE921" si="227">IF(ISNUMBER(K919),IF(ISNUMBER(K920),K920-K919,999999),0)</f>
        <v>0</v>
      </c>
      <c r="L921">
        <f t="shared" si="227"/>
        <v>0.40912482921110183</v>
      </c>
      <c r="M921">
        <f t="shared" si="227"/>
        <v>-4.9313176412084196</v>
      </c>
      <c r="N921">
        <f t="shared" si="227"/>
        <v>-5.1137168730000013</v>
      </c>
      <c r="O921">
        <f t="shared" si="227"/>
        <v>-5.3023666188120053</v>
      </c>
      <c r="P921">
        <f t="shared" si="227"/>
        <v>-5.4974744339015302</v>
      </c>
      <c r="Q921">
        <f t="shared" si="227"/>
        <v>-5.6992548620388881</v>
      </c>
      <c r="R921">
        <f t="shared" si="227"/>
        <v>-5.9079296893634101</v>
      </c>
      <c r="S921">
        <f t="shared" si="227"/>
        <v>-6.1237282088564768</v>
      </c>
      <c r="T921">
        <f t="shared" si="227"/>
        <v>-6.3468874959539505</v>
      </c>
      <c r="U921">
        <f t="shared" si="227"/>
        <v>-6.5776526958485348</v>
      </c>
      <c r="V921">
        <f t="shared" si="227"/>
        <v>-6.8162773230640497</v>
      </c>
      <c r="W921">
        <f t="shared" si="227"/>
        <v>-7.0630235739153164</v>
      </c>
      <c r="X921">
        <f t="shared" si="227"/>
        <v>-7.3181626525019823</v>
      </c>
      <c r="Y921">
        <f t="shared" si="227"/>
        <v>-7.5819751109211779</v>
      </c>
      <c r="Z921">
        <f t="shared" si="227"/>
        <v>-7.85475120442198</v>
      </c>
      <c r="AA921">
        <f t="shared" si="227"/>
        <v>-8.1367912622658025</v>
      </c>
      <c r="AB921">
        <f t="shared" si="227"/>
        <v>-8.4284060750998506</v>
      </c>
      <c r="AC921">
        <f t="shared" si="227"/>
        <v>-8.7299172996966092</v>
      </c>
      <c r="AD921">
        <f t="shared" si="227"/>
        <v>-9.0416578819607167</v>
      </c>
      <c r="AE921">
        <f t="shared" si="227"/>
        <v>-9.3639724991560627</v>
      </c>
    </row>
    <row r="923" spans="1:31" x14ac:dyDescent="0.45">
      <c r="A923" t="s">
        <v>1578</v>
      </c>
      <c r="B923" t="s">
        <v>1482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1578</v>
      </c>
      <c r="B924" t="s">
        <v>1482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0.57123661061347031</v>
      </c>
      <c r="M924">
        <f>IF(ISBLANK(Mitigation_Industry!M385),"",Mitigation_Industry!M385)</f>
        <v>0.58380381604696674</v>
      </c>
      <c r="N924">
        <f>IF(ISBLANK(Mitigation_Industry!N385),"",Mitigation_Industry!N385)</f>
        <v>0.5966475</v>
      </c>
      <c r="O924">
        <f>IF(ISBLANK(Mitigation_Industry!O385),"",Mitigation_Industry!O385)</f>
        <v>0.60977374500000003</v>
      </c>
      <c r="P924">
        <f>IF(ISBLANK(Mitigation_Industry!P385),"",Mitigation_Industry!P385)</f>
        <v>0.62318876738999995</v>
      </c>
      <c r="Q924">
        <f>IF(ISBLANK(Mitigation_Industry!Q385),"",Mitigation_Industry!Q385)</f>
        <v>0.6368989202725801</v>
      </c>
      <c r="R924">
        <f>IF(ISBLANK(Mitigation_Industry!R385),"",Mitigation_Industry!R385)</f>
        <v>0.65091069651857669</v>
      </c>
      <c r="S924">
        <f>IF(ISBLANK(Mitigation_Industry!S385),"",Mitigation_Industry!S385)</f>
        <v>0.66523073184198556</v>
      </c>
      <c r="T924">
        <f>IF(ISBLANK(Mitigation_Industry!T385),"",Mitigation_Industry!T385)</f>
        <v>0.67986580794250906</v>
      </c>
      <c r="U924">
        <f>IF(ISBLANK(Mitigation_Industry!U385),"",Mitigation_Industry!U385)</f>
        <v>0.69482285571724434</v>
      </c>
      <c r="V924">
        <f>IF(ISBLANK(Mitigation_Industry!V385),"",Mitigation_Industry!V385)</f>
        <v>0.7101089585430238</v>
      </c>
      <c r="W924">
        <f>IF(ISBLANK(Mitigation_Industry!W385),"",Mitigation_Industry!W385)</f>
        <v>0.72573135563097024</v>
      </c>
      <c r="X924">
        <f>IF(ISBLANK(Mitigation_Industry!X385),"",Mitigation_Industry!X385)</f>
        <v>0.74169744545485172</v>
      </c>
      <c r="Y924">
        <f>IF(ISBLANK(Mitigation_Industry!Y385),"",Mitigation_Industry!Y385)</f>
        <v>0.75801478925485843</v>
      </c>
      <c r="Z924">
        <f>IF(ISBLANK(Mitigation_Industry!Z385),"",Mitigation_Industry!Z385)</f>
        <v>0.7746911146184654</v>
      </c>
      <c r="AA924">
        <f>IF(ISBLANK(Mitigation_Industry!AA385),"",Mitigation_Industry!AA385)</f>
        <v>0.79173431914007153</v>
      </c>
      <c r="AB924">
        <f>IF(ISBLANK(Mitigation_Industry!AB385),"",Mitigation_Industry!AB385)</f>
        <v>0.8091524741611531</v>
      </c>
      <c r="AC924">
        <f>IF(ISBLANK(Mitigation_Industry!AC385),"",Mitigation_Industry!AC385)</f>
        <v>0.8269538285926985</v>
      </c>
      <c r="AD924">
        <f>IF(ISBLANK(Mitigation_Industry!AD385),"",Mitigation_Industry!AD385)</f>
        <v>0.84514681282173787</v>
      </c>
      <c r="AE924">
        <f>IF(ISBLANK(Mitigation_Industry!AE385),"",Mitigation_Industry!AE385)</f>
        <v>0.8637400427038161</v>
      </c>
    </row>
    <row r="925" spans="1:31" x14ac:dyDescent="0.45">
      <c r="A925" t="s">
        <v>1578</v>
      </c>
      <c r="B925" t="s">
        <v>1482</v>
      </c>
      <c r="C925" t="s">
        <v>283</v>
      </c>
      <c r="D925">
        <v>1</v>
      </c>
      <c r="E925" t="s">
        <v>1161</v>
      </c>
      <c r="F925">
        <f>MAX(MAX(L925:AE925),-MIN(L925:AE925))</f>
        <v>2.1204534126941121E-2</v>
      </c>
      <c r="I925" t="s">
        <v>1492</v>
      </c>
      <c r="K925">
        <f t="shared" ref="K925:AE925" si="228">IF(ISNUMBER(K923),IF(ISNUMBER(K924),K924-K923,999999),0)</f>
        <v>0</v>
      </c>
      <c r="L925">
        <f t="shared" si="228"/>
        <v>1.4023671018416728E-2</v>
      </c>
      <c r="M925">
        <f t="shared" si="228"/>
        <v>1.4332191780822012E-2</v>
      </c>
      <c r="N925">
        <f t="shared" si="228"/>
        <v>1.4647500000000035E-2</v>
      </c>
      <c r="O925">
        <f t="shared" si="228"/>
        <v>1.4969745000000034E-2</v>
      </c>
      <c r="P925">
        <f t="shared" si="228"/>
        <v>1.5299079389999859E-2</v>
      </c>
      <c r="Q925">
        <f t="shared" si="228"/>
        <v>1.563565913658016E-2</v>
      </c>
      <c r="R925">
        <f t="shared" si="228"/>
        <v>1.5979643637584751E-2</v>
      </c>
      <c r="S925">
        <f t="shared" si="228"/>
        <v>1.6331195797611775E-2</v>
      </c>
      <c r="T925">
        <f t="shared" si="228"/>
        <v>1.6690482105158999E-2</v>
      </c>
      <c r="U925">
        <f t="shared" si="228"/>
        <v>1.7057672711472516E-2</v>
      </c>
      <c r="V925">
        <f t="shared" si="228"/>
        <v>1.7432941511124955E-2</v>
      </c>
      <c r="W925">
        <f t="shared" si="228"/>
        <v>1.781646622436972E-2</v>
      </c>
      <c r="X925">
        <f t="shared" si="228"/>
        <v>1.8208428481305994E-2</v>
      </c>
      <c r="Y925">
        <f t="shared" si="228"/>
        <v>1.8609013907894711E-2</v>
      </c>
      <c r="Z925">
        <f t="shared" si="228"/>
        <v>1.9018412213868352E-2</v>
      </c>
      <c r="AA925">
        <f t="shared" si="228"/>
        <v>1.9436817282573293E-2</v>
      </c>
      <c r="AB925">
        <f t="shared" si="228"/>
        <v>1.9864427262789919E-2</v>
      </c>
      <c r="AC925">
        <f t="shared" si="228"/>
        <v>2.0301444662571333E-2</v>
      </c>
      <c r="AD925">
        <f t="shared" si="228"/>
        <v>2.0748076445147867E-2</v>
      </c>
      <c r="AE925">
        <f t="shared" si="228"/>
        <v>2.1204534126941121E-2</v>
      </c>
    </row>
    <row r="927" spans="1:31" x14ac:dyDescent="0.45">
      <c r="A927" t="s">
        <v>1579</v>
      </c>
      <c r="B927" t="s">
        <v>1482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1579</v>
      </c>
      <c r="B928" t="s">
        <v>1482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0.37103529198044649</v>
      </c>
      <c r="M928">
        <f>IF(ISBLANK(Mitigation_Industry!M386),"",Mitigation_Industry!M386)</f>
        <v>0.38736084482758615</v>
      </c>
      <c r="N928">
        <f>IF(ISBLANK(Mitigation_Industry!N386),"",Mitigation_Industry!N386)</f>
        <v>0.40440472199999999</v>
      </c>
      <c r="O928">
        <f>IF(ISBLANK(Mitigation_Industry!O386),"",Mitigation_Industry!O386)</f>
        <v>0.42219852976799999</v>
      </c>
      <c r="P928">
        <f>IF(ISBLANK(Mitigation_Industry!P386),"",Mitigation_Industry!P386)</f>
        <v>0.44077526507779197</v>
      </c>
      <c r="Q928">
        <f>IF(ISBLANK(Mitigation_Industry!Q386),"",Mitigation_Industry!Q386)</f>
        <v>0.46016937674121494</v>
      </c>
      <c r="R928">
        <f>IF(ISBLANK(Mitigation_Industry!R386),"",Mitigation_Industry!R386)</f>
        <v>0.48041682931782825</v>
      </c>
      <c r="S928">
        <f>IF(ISBLANK(Mitigation_Industry!S386),"",Mitigation_Industry!S386)</f>
        <v>0.50155516980781278</v>
      </c>
      <c r="T928">
        <f>IF(ISBLANK(Mitigation_Industry!T386),"",Mitigation_Industry!T386)</f>
        <v>0.52362359727935659</v>
      </c>
      <c r="U928">
        <f>IF(ISBLANK(Mitigation_Industry!U386),"",Mitigation_Industry!U386)</f>
        <v>0.54666303555964835</v>
      </c>
      <c r="V928">
        <f>IF(ISBLANK(Mitigation_Industry!V386),"",Mitigation_Industry!V386)</f>
        <v>0.57071620912427279</v>
      </c>
      <c r="W928">
        <f>IF(ISBLANK(Mitigation_Industry!W386),"",Mitigation_Industry!W386)</f>
        <v>0.59582772232574088</v>
      </c>
      <c r="X928">
        <f>IF(ISBLANK(Mitigation_Industry!X386),"",Mitigation_Industry!X386)</f>
        <v>0.62204414210807335</v>
      </c>
      <c r="Y928">
        <f>IF(ISBLANK(Mitigation_Industry!Y386),"",Mitigation_Industry!Y386)</f>
        <v>0.6494140843608287</v>
      </c>
      <c r="Z928">
        <f>IF(ISBLANK(Mitigation_Industry!Z386),"",Mitigation_Industry!Z386)</f>
        <v>0.67798830407270505</v>
      </c>
      <c r="AA928">
        <f>IF(ISBLANK(Mitigation_Industry!AA386),"",Mitigation_Industry!AA386)</f>
        <v>0.70781978945190405</v>
      </c>
      <c r="AB928">
        <f>IF(ISBLANK(Mitigation_Industry!AB386),"",Mitigation_Industry!AB386)</f>
        <v>0.73896386018778804</v>
      </c>
      <c r="AC928">
        <f>IF(ISBLANK(Mitigation_Industry!AC386),"",Mitigation_Industry!AC386)</f>
        <v>0.77147827003605074</v>
      </c>
      <c r="AD928">
        <f>IF(ISBLANK(Mitigation_Industry!AD386),"",Mitigation_Industry!AD386)</f>
        <v>0.80542331391763677</v>
      </c>
      <c r="AE928">
        <f>IF(ISBLANK(Mitigation_Industry!AE386),"",Mitigation_Industry!AE386)</f>
        <v>0.84086193973001278</v>
      </c>
    </row>
    <row r="929" spans="1:31" x14ac:dyDescent="0.45">
      <c r="A929" t="s">
        <v>1579</v>
      </c>
      <c r="B929" t="s">
        <v>1482</v>
      </c>
      <c r="C929" t="s">
        <v>284</v>
      </c>
      <c r="D929">
        <v>1</v>
      </c>
      <c r="E929" t="s">
        <v>1161</v>
      </c>
      <c r="F929">
        <f>MAX(MAX(L929:AE929),-MIN(L929:AE929))</f>
        <v>0.2669866046010535</v>
      </c>
      <c r="I929" t="s">
        <v>1492</v>
      </c>
      <c r="K929">
        <f t="shared" ref="K929:AE929" si="229">IF(ISNUMBER(K927),IF(ISNUMBER(K928),K928-K927,999999),0)</f>
        <v>0</v>
      </c>
      <c r="L929">
        <f t="shared" si="229"/>
        <v>0.11780941449773191</v>
      </c>
      <c r="M929">
        <f t="shared" si="229"/>
        <v>0.12299302873563212</v>
      </c>
      <c r="N929">
        <f t="shared" si="229"/>
        <v>0.12840472200000003</v>
      </c>
      <c r="O929">
        <f t="shared" si="229"/>
        <v>0.13405452976799997</v>
      </c>
      <c r="P929">
        <f t="shared" si="229"/>
        <v>0.13995292907779189</v>
      </c>
      <c r="Q929">
        <f t="shared" si="229"/>
        <v>0.1461108579572149</v>
      </c>
      <c r="R929">
        <f t="shared" si="229"/>
        <v>0.15253973570733215</v>
      </c>
      <c r="S929">
        <f t="shared" si="229"/>
        <v>0.15925148407845491</v>
      </c>
      <c r="T929">
        <f t="shared" si="229"/>
        <v>0.16625854937790691</v>
      </c>
      <c r="U929">
        <f t="shared" si="229"/>
        <v>0.17357392555053486</v>
      </c>
      <c r="V929">
        <f t="shared" si="229"/>
        <v>0.1812111782747583</v>
      </c>
      <c r="W929">
        <f t="shared" si="229"/>
        <v>0.18918447011884776</v>
      </c>
      <c r="X929">
        <f t="shared" si="229"/>
        <v>0.1975085868040769</v>
      </c>
      <c r="Y929">
        <f t="shared" si="229"/>
        <v>0.20619896462345644</v>
      </c>
      <c r="Z929">
        <f t="shared" si="229"/>
        <v>0.21527171906688836</v>
      </c>
      <c r="AA929">
        <f t="shared" si="229"/>
        <v>0.22474367470583145</v>
      </c>
      <c r="AB929">
        <f t="shared" si="229"/>
        <v>0.23463239639288813</v>
      </c>
      <c r="AC929">
        <f t="shared" si="229"/>
        <v>0.24495622183417542</v>
      </c>
      <c r="AD929">
        <f t="shared" si="229"/>
        <v>0.25573429559487892</v>
      </c>
      <c r="AE929">
        <f t="shared" si="229"/>
        <v>0.2669866046010535</v>
      </c>
    </row>
    <row r="931" spans="1:31" x14ac:dyDescent="0.45">
      <c r="A931" t="s">
        <v>1580</v>
      </c>
      <c r="B931" t="s">
        <v>1482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1580</v>
      </c>
      <c r="B932" t="s">
        <v>1482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0.64621002403360217</v>
      </c>
      <c r="M932">
        <f>IF(ISBLANK(Mitigation_Industry!M387),"",Mitigation_Industry!M387)</f>
        <v>0.68175157535545017</v>
      </c>
      <c r="N932">
        <f>IF(ISBLANK(Mitigation_Industry!N387),"",Mitigation_Industry!N387)</f>
        <v>0.71924791200000004</v>
      </c>
      <c r="O932">
        <f>IF(ISBLANK(Mitigation_Industry!O387),"",Mitigation_Industry!O387)</f>
        <v>0.75880654716000007</v>
      </c>
      <c r="P932">
        <f>IF(ISBLANK(Mitigation_Industry!P387),"",Mitigation_Industry!P387)</f>
        <v>0.80054090725379989</v>
      </c>
      <c r="Q932">
        <f>IF(ISBLANK(Mitigation_Industry!Q387),"",Mitigation_Industry!Q387)</f>
        <v>0.84457065715275881</v>
      </c>
      <c r="R932">
        <f>IF(ISBLANK(Mitigation_Industry!R387),"",Mitigation_Industry!R387)</f>
        <v>0.89102204329616075</v>
      </c>
      <c r="S932">
        <f>IF(ISBLANK(Mitigation_Industry!S387),"",Mitigation_Industry!S387)</f>
        <v>0.9400282556774493</v>
      </c>
      <c r="T932">
        <f>IF(ISBLANK(Mitigation_Industry!T387),"",Mitigation_Industry!T387)</f>
        <v>0.99172980973970914</v>
      </c>
      <c r="U932">
        <f>IF(ISBLANK(Mitigation_Industry!U387),"",Mitigation_Industry!U387)</f>
        <v>1.0462749492753931</v>
      </c>
      <c r="V932">
        <f>IF(ISBLANK(Mitigation_Industry!V387),"",Mitigation_Industry!V387)</f>
        <v>1.1038200714855397</v>
      </c>
      <c r="W932">
        <f>IF(ISBLANK(Mitigation_Industry!W387),"",Mitigation_Industry!W387)</f>
        <v>1.1645301754172441</v>
      </c>
      <c r="X932">
        <f>IF(ISBLANK(Mitigation_Industry!X387),"",Mitigation_Industry!X387)</f>
        <v>1.2285793350651928</v>
      </c>
      <c r="Y932">
        <f>IF(ISBLANK(Mitigation_Industry!Y387),"",Mitigation_Industry!Y387)</f>
        <v>1.2961511984937784</v>
      </c>
      <c r="Z932">
        <f>IF(ISBLANK(Mitigation_Industry!Z387),"",Mitigation_Industry!Z387)</f>
        <v>1.3674395144109359</v>
      </c>
      <c r="AA932">
        <f>IF(ISBLANK(Mitigation_Industry!AA387),"",Mitigation_Industry!AA387)</f>
        <v>1.4426486877035372</v>
      </c>
      <c r="AB932">
        <f>IF(ISBLANK(Mitigation_Industry!AB387),"",Mitigation_Industry!AB387)</f>
        <v>1.5219943655272321</v>
      </c>
      <c r="AC932">
        <f>IF(ISBLANK(Mitigation_Industry!AC387),"",Mitigation_Industry!AC387)</f>
        <v>1.6057040556312294</v>
      </c>
      <c r="AD932">
        <f>IF(ISBLANK(Mitigation_Industry!AD387),"",Mitigation_Industry!AD387)</f>
        <v>1.6940177786909472</v>
      </c>
      <c r="AE932">
        <f>IF(ISBLANK(Mitigation_Industry!AE387),"",Mitigation_Industry!AE387)</f>
        <v>1.787188756518949</v>
      </c>
    </row>
    <row r="933" spans="1:31" x14ac:dyDescent="0.45">
      <c r="A933" t="s">
        <v>1580</v>
      </c>
      <c r="B933" t="s">
        <v>1482</v>
      </c>
      <c r="C933" t="s">
        <v>285</v>
      </c>
      <c r="D933">
        <v>1</v>
      </c>
      <c r="E933" t="s">
        <v>1161</v>
      </c>
      <c r="F933">
        <f>MAX(MAX(L933:AE933),-MIN(L933:AE933))</f>
        <v>3.5403242338882812E-2</v>
      </c>
      <c r="I933" t="s">
        <v>1492</v>
      </c>
      <c r="K933">
        <f t="shared" ref="K933:AE933" si="230">IF(ISNUMBER(K931),IF(ISNUMBER(K932),K932-K931,999999),0)</f>
        <v>0</v>
      </c>
      <c r="L933">
        <f t="shared" si="230"/>
        <v>1.2801070955279603E-2</v>
      </c>
      <c r="M933">
        <f t="shared" si="230"/>
        <v>1.350512985781982E-2</v>
      </c>
      <c r="N933">
        <f t="shared" si="230"/>
        <v>1.4247912000000085E-2</v>
      </c>
      <c r="O933">
        <f t="shared" si="230"/>
        <v>1.5031547160000103E-2</v>
      </c>
      <c r="P933">
        <f t="shared" si="230"/>
        <v>1.5858282253799927E-2</v>
      </c>
      <c r="Q933">
        <f t="shared" si="230"/>
        <v>1.6730487777758873E-2</v>
      </c>
      <c r="R933">
        <f t="shared" si="230"/>
        <v>1.7650664605535771E-2</v>
      </c>
      <c r="S933">
        <f t="shared" si="230"/>
        <v>1.8621451158839952E-2</v>
      </c>
      <c r="T933">
        <f t="shared" si="230"/>
        <v>1.9645630972576322E-2</v>
      </c>
      <c r="U933">
        <f t="shared" si="230"/>
        <v>2.072614067606815E-2</v>
      </c>
      <c r="V933">
        <f t="shared" si="230"/>
        <v>2.1866078413251833E-2</v>
      </c>
      <c r="W933">
        <f t="shared" si="230"/>
        <v>2.3068712725980323E-2</v>
      </c>
      <c r="X933">
        <f t="shared" si="230"/>
        <v>2.4337491925909616E-2</v>
      </c>
      <c r="Y933">
        <f t="shared" si="230"/>
        <v>2.5676053981834812E-2</v>
      </c>
      <c r="Z933">
        <f t="shared" si="230"/>
        <v>2.708823695083562E-2</v>
      </c>
      <c r="AA933">
        <f t="shared" si="230"/>
        <v>2.8578089983130939E-2</v>
      </c>
      <c r="AB933">
        <f t="shared" si="230"/>
        <v>3.0149884932203941E-2</v>
      </c>
      <c r="AC933">
        <f t="shared" si="230"/>
        <v>3.1808128603474817E-2</v>
      </c>
      <c r="AD933">
        <f t="shared" si="230"/>
        <v>3.3557575676666174E-2</v>
      </c>
      <c r="AE933">
        <f t="shared" si="230"/>
        <v>3.5403242338882812E-2</v>
      </c>
    </row>
    <row r="935" spans="1:31" x14ac:dyDescent="0.45">
      <c r="A935" t="s">
        <v>1581</v>
      </c>
      <c r="B935" t="s">
        <v>1482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1581</v>
      </c>
      <c r="B936" t="s">
        <v>1482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1581</v>
      </c>
      <c r="B937" t="s">
        <v>1482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1492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1582</v>
      </c>
      <c r="B939" t="s">
        <v>1482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1582</v>
      </c>
      <c r="B940" t="s">
        <v>1482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25.163138219961041</v>
      </c>
      <c r="M940">
        <f>IF(ISBLANK(Mitigation_Industry!M389),"",Mitigation_Industry!M389)</f>
        <v>25.993521781219755</v>
      </c>
      <c r="N940">
        <f>IF(ISBLANK(Mitigation_Industry!N389),"",Mitigation_Industry!N389)</f>
        <v>26.851308</v>
      </c>
      <c r="O940">
        <f>IF(ISBLANK(Mitigation_Industry!O389),"",Mitigation_Industry!O389)</f>
        <v>27.737401163999998</v>
      </c>
      <c r="P940">
        <f>IF(ISBLANK(Mitigation_Industry!P389),"",Mitigation_Industry!P389)</f>
        <v>28.652735402411995</v>
      </c>
      <c r="Q940">
        <f>IF(ISBLANK(Mitigation_Industry!Q389),"",Mitigation_Industry!Q389)</f>
        <v>29.598275670691589</v>
      </c>
      <c r="R940">
        <f>IF(ISBLANK(Mitigation_Industry!R389),"",Mitigation_Industry!R389)</f>
        <v>30.575018767824407</v>
      </c>
      <c r="S940">
        <f>IF(ISBLANK(Mitigation_Industry!S389),"",Mitigation_Industry!S389)</f>
        <v>31.583994387162612</v>
      </c>
      <c r="T940">
        <f>IF(ISBLANK(Mitigation_Industry!T389),"",Mitigation_Industry!T389)</f>
        <v>32.626266201938975</v>
      </c>
      <c r="U940">
        <f>IF(ISBLANK(Mitigation_Industry!U389),"",Mitigation_Industry!U389)</f>
        <v>33.70293298660296</v>
      </c>
      <c r="V940">
        <f>IF(ISBLANK(Mitigation_Industry!V389),"",Mitigation_Industry!V389)</f>
        <v>34.815129775160841</v>
      </c>
      <c r="W940">
        <f>IF(ISBLANK(Mitigation_Industry!W389),"",Mitigation_Industry!W389)</f>
        <v>35.964029057741151</v>
      </c>
      <c r="X940">
        <f>IF(ISBLANK(Mitigation_Industry!X389),"",Mitigation_Industry!X389)</f>
        <v>37.150842016646592</v>
      </c>
      <c r="Y940">
        <f>IF(ISBLANK(Mitigation_Industry!Y389),"",Mitigation_Industry!Y389)</f>
        <v>38.376819803195943</v>
      </c>
      <c r="Z940">
        <f>IF(ISBLANK(Mitigation_Industry!Z389),"",Mitigation_Industry!Z389)</f>
        <v>39.643254856701404</v>
      </c>
      <c r="AA940">
        <f>IF(ISBLANK(Mitigation_Industry!AA389),"",Mitigation_Industry!AA389)</f>
        <v>40.951482266972548</v>
      </c>
      <c r="AB940">
        <f>IF(ISBLANK(Mitigation_Industry!AB389),"",Mitigation_Industry!AB389)</f>
        <v>42.302881181782631</v>
      </c>
      <c r="AC940">
        <f>IF(ISBLANK(Mitigation_Industry!AC389),"",Mitigation_Industry!AC389)</f>
        <v>43.698876260781446</v>
      </c>
      <c r="AD940">
        <f>IF(ISBLANK(Mitigation_Industry!AD389),"",Mitigation_Industry!AD389)</f>
        <v>45.140939177387231</v>
      </c>
      <c r="AE940">
        <f>IF(ISBLANK(Mitigation_Industry!AE389),"",Mitigation_Industry!AE389)</f>
        <v>46.630590170241007</v>
      </c>
    </row>
    <row r="941" spans="1:31" x14ac:dyDescent="0.45">
      <c r="A941" t="s">
        <v>1582</v>
      </c>
      <c r="B941" t="s">
        <v>1482</v>
      </c>
      <c r="C941" t="s">
        <v>287</v>
      </c>
      <c r="D941">
        <v>1</v>
      </c>
      <c r="E941" t="s">
        <v>1161</v>
      </c>
      <c r="F941">
        <f>MAX(MAX(L941:AE941),-MIN(L941:AE941))</f>
        <v>0.95741397050655763</v>
      </c>
      <c r="I941" t="s">
        <v>1492</v>
      </c>
      <c r="K941">
        <f t="shared" ref="K941:AE941" si="232">IF(ISNUMBER(K939),IF(ISNUMBER(K940),K940-K939,999999),0)</f>
        <v>0</v>
      </c>
      <c r="L941">
        <f t="shared" si="232"/>
        <v>0.51664669020109599</v>
      </c>
      <c r="M941">
        <f t="shared" si="232"/>
        <v>0.53369603097773322</v>
      </c>
      <c r="N941">
        <f t="shared" si="232"/>
        <v>0.5513079999999988</v>
      </c>
      <c r="O941">
        <f t="shared" si="232"/>
        <v>0.56950116399999828</v>
      </c>
      <c r="P941">
        <f t="shared" si="232"/>
        <v>0.58829470241199999</v>
      </c>
      <c r="Q941">
        <f t="shared" si="232"/>
        <v>0.60770842759159649</v>
      </c>
      <c r="R941">
        <f t="shared" si="232"/>
        <v>0.6277628057021154</v>
      </c>
      <c r="S941">
        <f t="shared" si="232"/>
        <v>0.64847897829028867</v>
      </c>
      <c r="T941">
        <f t="shared" si="232"/>
        <v>0.66987878457386429</v>
      </c>
      <c r="U941">
        <f t="shared" si="232"/>
        <v>0.69198478446480749</v>
      </c>
      <c r="V941">
        <f t="shared" si="232"/>
        <v>0.71482028235213591</v>
      </c>
      <c r="W941">
        <f t="shared" si="232"/>
        <v>0.73840935166975186</v>
      </c>
      <c r="X941">
        <f t="shared" si="232"/>
        <v>0.76277686027484748</v>
      </c>
      <c r="Y941">
        <f t="shared" si="232"/>
        <v>0.78794849666392963</v>
      </c>
      <c r="Z941">
        <f t="shared" si="232"/>
        <v>0.81395079705383466</v>
      </c>
      <c r="AA941">
        <f t="shared" si="232"/>
        <v>0.84081117335661304</v>
      </c>
      <c r="AB941">
        <f t="shared" si="232"/>
        <v>0.86855794207737347</v>
      </c>
      <c r="AC941">
        <f t="shared" si="232"/>
        <v>0.89722035416592405</v>
      </c>
      <c r="AD941">
        <f t="shared" si="232"/>
        <v>0.9268286258533962</v>
      </c>
      <c r="AE941">
        <f t="shared" si="232"/>
        <v>0.95741397050655763</v>
      </c>
    </row>
    <row r="943" spans="1:31" x14ac:dyDescent="0.45">
      <c r="A943" t="s">
        <v>1583</v>
      </c>
      <c r="B943" t="s">
        <v>1482</v>
      </c>
      <c r="C943" t="s">
        <v>111</v>
      </c>
      <c r="D943">
        <v>1</v>
      </c>
      <c r="E943" t="s">
        <v>1159</v>
      </c>
    </row>
    <row r="944" spans="1:31" x14ac:dyDescent="0.45">
      <c r="A944" t="s">
        <v>1583</v>
      </c>
      <c r="B944" t="s">
        <v>1482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26.751620146588561</v>
      </c>
      <c r="M944">
        <f>IF(ISBLANK(Mitigation_Industry!M390),"",Mitigation_Industry!M390)</f>
        <v>27.646438017449757</v>
      </c>
      <c r="N944">
        <f>IF(ISBLANK(Mitigation_Industry!N390),"",Mitigation_Industry!N390)</f>
        <v>28.571608133999998</v>
      </c>
      <c r="O944">
        <f>IF(ISBLANK(Mitigation_Industry!O390),"",Mitigation_Industry!O390)</f>
        <v>29.528179985927999</v>
      </c>
      <c r="P944">
        <f>IF(ISBLANK(Mitigation_Industry!P390),"",Mitigation_Industry!P390)</f>
        <v>30.517240342133586</v>
      </c>
      <c r="Q944">
        <f>IF(ISBLANK(Mitigation_Industry!Q390),"",Mitigation_Industry!Q390)</f>
        <v>31.539914624858142</v>
      </c>
      <c r="R944">
        <f>IF(ISBLANK(Mitigation_Industry!R390),"",Mitigation_Industry!R390)</f>
        <v>32.597368336956976</v>
      </c>
      <c r="S944">
        <f>IF(ISBLANK(Mitigation_Industry!S390),"",Mitigation_Industry!S390)</f>
        <v>33.690808544489862</v>
      </c>
      <c r="T944">
        <f>IF(ISBLANK(Mitigation_Industry!T390),"",Mitigation_Industry!T390)</f>
        <v>34.821485416900551</v>
      </c>
      <c r="U944">
        <f>IF(ISBLANK(Mitigation_Industry!U390),"",Mitigation_Industry!U390)</f>
        <v>35.990693827155248</v>
      </c>
      <c r="V944">
        <f>IF(ISBLANK(Mitigation_Industry!V390),"",Mitigation_Industry!V390)</f>
        <v>37.19977501431368</v>
      </c>
      <c r="W944">
        <f>IF(ISBLANK(Mitigation_Industry!W390),"",Mitigation_Industry!W390)</f>
        <v>38.450118311115105</v>
      </c>
      <c r="X944">
        <f>IF(ISBLANK(Mitigation_Industry!X390),"",Mitigation_Industry!X390)</f>
        <v>39.743162939274711</v>
      </c>
      <c r="Y944">
        <f>IF(ISBLANK(Mitigation_Industry!Y390),"",Mitigation_Industry!Y390)</f>
        <v>41.08039987530541</v>
      </c>
      <c r="Z944">
        <f>IF(ISBLANK(Mitigation_Industry!Z390),"",Mitigation_Industry!Z390)</f>
        <v>42.463373789803512</v>
      </c>
      <c r="AA944">
        <f>IF(ISBLANK(Mitigation_Industry!AA390),"",Mitigation_Industry!AA390)</f>
        <v>43.893685063268059</v>
      </c>
      <c r="AB944">
        <f>IF(ISBLANK(Mitigation_Industry!AB390),"",Mitigation_Industry!AB390)</f>
        <v>45.372991881658805</v>
      </c>
      <c r="AC944">
        <f>IF(ISBLANK(Mitigation_Industry!AC390),"",Mitigation_Industry!AC390)</f>
        <v>46.903012415041424</v>
      </c>
      <c r="AD944">
        <f>IF(ISBLANK(Mitigation_Industry!AD390),"",Mitigation_Industry!AD390)</f>
        <v>48.485527082817555</v>
      </c>
      <c r="AE944">
        <f>IF(ISBLANK(Mitigation_Industry!AE390),"",Mitigation_Industry!AE390)</f>
        <v>50.122380909193787</v>
      </c>
    </row>
    <row r="945" spans="1:31" x14ac:dyDescent="0.45">
      <c r="A945" t="s">
        <v>1583</v>
      </c>
      <c r="B945" t="s">
        <v>1482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1492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1584</v>
      </c>
      <c r="B947" t="s">
        <v>1483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1584</v>
      </c>
      <c r="B948" t="s">
        <v>1483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1584</v>
      </c>
      <c r="B949" t="s">
        <v>1483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1492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1585</v>
      </c>
      <c r="B951" t="s">
        <v>1483</v>
      </c>
      <c r="C951" t="s">
        <v>1355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1585</v>
      </c>
      <c r="B952" t="s">
        <v>1483</v>
      </c>
      <c r="C952" t="s">
        <v>1355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1585</v>
      </c>
      <c r="B953" t="s">
        <v>1483</v>
      </c>
      <c r="C953" t="s">
        <v>1355</v>
      </c>
      <c r="D953">
        <v>1</v>
      </c>
      <c r="E953" t="s">
        <v>1161</v>
      </c>
      <c r="F953">
        <f>MAX(MAX(L953:AE953),-MIN(L953:AE953))</f>
        <v>0</v>
      </c>
      <c r="I953" t="s">
        <v>1492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1586</v>
      </c>
      <c r="B955" t="s">
        <v>1483</v>
      </c>
      <c r="C955" t="s">
        <v>1359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1586</v>
      </c>
      <c r="B956" t="s">
        <v>1483</v>
      </c>
      <c r="C956" t="s">
        <v>1359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1586</v>
      </c>
      <c r="B957" t="s">
        <v>1483</v>
      </c>
      <c r="C957" t="s">
        <v>1359</v>
      </c>
      <c r="D957">
        <v>1</v>
      </c>
      <c r="E957" t="s">
        <v>1161</v>
      </c>
      <c r="F957">
        <f>MAX(MAX(L957:AE957),-MIN(L957:AE957))</f>
        <v>0</v>
      </c>
      <c r="I957" t="s">
        <v>1492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1587</v>
      </c>
      <c r="B959" t="s">
        <v>1483</v>
      </c>
      <c r="C959" t="s">
        <v>1363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1587</v>
      </c>
      <c r="B960" t="s">
        <v>1483</v>
      </c>
      <c r="C960" t="s">
        <v>1363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1587</v>
      </c>
      <c r="B961" t="s">
        <v>1483</v>
      </c>
      <c r="C961" t="s">
        <v>1363</v>
      </c>
      <c r="D961">
        <v>1</v>
      </c>
      <c r="E961" t="s">
        <v>1161</v>
      </c>
      <c r="F961">
        <f>MAX(MAX(L961:AE961),-MIN(L961:AE961))</f>
        <v>0</v>
      </c>
      <c r="I961" t="s">
        <v>1492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1588</v>
      </c>
      <c r="B963" t="s">
        <v>1483</v>
      </c>
      <c r="C963" t="s">
        <v>1425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1588</v>
      </c>
      <c r="B964" t="s">
        <v>1483</v>
      </c>
      <c r="C964" t="s">
        <v>1425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1588</v>
      </c>
      <c r="B965" t="s">
        <v>1483</v>
      </c>
      <c r="C965" t="s">
        <v>1425</v>
      </c>
      <c r="D965">
        <v>1</v>
      </c>
      <c r="E965" t="s">
        <v>1161</v>
      </c>
      <c r="F965">
        <f>MAX(MAX(L965:AE965),-MIN(L965:AE965))</f>
        <v>0</v>
      </c>
      <c r="I965" t="s">
        <v>1492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1589</v>
      </c>
      <c r="B967" t="s">
        <v>1483</v>
      </c>
      <c r="C967" t="s">
        <v>1373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1589</v>
      </c>
      <c r="B968" t="s">
        <v>1483</v>
      </c>
      <c r="C968" t="s">
        <v>1373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1589</v>
      </c>
      <c r="B969" t="s">
        <v>1483</v>
      </c>
      <c r="C969" t="s">
        <v>1373</v>
      </c>
      <c r="D969">
        <v>1</v>
      </c>
      <c r="E969" t="s">
        <v>1161</v>
      </c>
      <c r="F969">
        <f>MAX(MAX(L969:AE969),-MIN(L969:AE969))</f>
        <v>0</v>
      </c>
      <c r="I969" t="s">
        <v>1492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1590</v>
      </c>
      <c r="B971" t="s">
        <v>1483</v>
      </c>
      <c r="C971" t="s">
        <v>1378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1590</v>
      </c>
      <c r="B972" t="s">
        <v>1483</v>
      </c>
      <c r="C972" t="s">
        <v>1378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1590</v>
      </c>
      <c r="B973" t="s">
        <v>1483</v>
      </c>
      <c r="C973" t="s">
        <v>1378</v>
      </c>
      <c r="D973">
        <v>1</v>
      </c>
      <c r="E973" t="s">
        <v>1161</v>
      </c>
      <c r="F973">
        <f>MAX(MAX(L973:AE973),-MIN(L973:AE973))</f>
        <v>0</v>
      </c>
      <c r="I973" t="s">
        <v>1492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1591</v>
      </c>
      <c r="B975" t="s">
        <v>1483</v>
      </c>
      <c r="C975" t="s">
        <v>1383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1591</v>
      </c>
      <c r="B976" t="s">
        <v>1483</v>
      </c>
      <c r="C976" t="s">
        <v>1383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1591</v>
      </c>
      <c r="B977" t="s">
        <v>1483</v>
      </c>
      <c r="C977" t="s">
        <v>1383</v>
      </c>
      <c r="D977">
        <v>1</v>
      </c>
      <c r="E977" t="s">
        <v>1161</v>
      </c>
      <c r="F977">
        <f>MAX(MAX(L977:AE977),-MIN(L977:AE977))</f>
        <v>0</v>
      </c>
      <c r="I977" t="s">
        <v>1492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1592</v>
      </c>
      <c r="B979" t="s">
        <v>1483</v>
      </c>
      <c r="C979" t="s">
        <v>1484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1592</v>
      </c>
      <c r="B980" t="s">
        <v>1483</v>
      </c>
      <c r="C980" t="s">
        <v>1484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1592</v>
      </c>
      <c r="B981" t="s">
        <v>1483</v>
      </c>
      <c r="C981" t="s">
        <v>1484</v>
      </c>
      <c r="D981">
        <v>1</v>
      </c>
      <c r="E981" t="s">
        <v>1161</v>
      </c>
      <c r="F981">
        <f>MAX(MAX(L981:AE981),-MIN(L981:AE981))</f>
        <v>0</v>
      </c>
      <c r="I981" t="s">
        <v>1492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1593</v>
      </c>
      <c r="B983" t="s">
        <v>1406</v>
      </c>
      <c r="C983" t="s">
        <v>1407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1593</v>
      </c>
      <c r="B984" t="s">
        <v>1406</v>
      </c>
      <c r="C984" t="s">
        <v>1407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1593</v>
      </c>
      <c r="B985" t="s">
        <v>1406</v>
      </c>
      <c r="C985" t="s">
        <v>1407</v>
      </c>
      <c r="D985">
        <v>2</v>
      </c>
      <c r="E985" t="s">
        <v>1161</v>
      </c>
      <c r="F985">
        <f>MAX(MAX(L985:AE985),-MIN(L985:AE985))</f>
        <v>187.5</v>
      </c>
      <c r="I985" t="s">
        <v>1571</v>
      </c>
      <c r="J985" t="s">
        <v>1594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1595</v>
      </c>
      <c r="B987" t="s">
        <v>1406</v>
      </c>
      <c r="C987" t="s">
        <v>1408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1595</v>
      </c>
      <c r="B988" t="s">
        <v>1406</v>
      </c>
      <c r="C988" t="s">
        <v>1408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1595</v>
      </c>
      <c r="B989" t="s">
        <v>1406</v>
      </c>
      <c r="C989" t="s">
        <v>1408</v>
      </c>
      <c r="D989">
        <v>2</v>
      </c>
      <c r="E989" t="s">
        <v>1161</v>
      </c>
      <c r="F989">
        <f>MAX(MAX(L989:AE989),-MIN(L989:AE989))</f>
        <v>0</v>
      </c>
      <c r="I989" t="s">
        <v>1492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1596</v>
      </c>
      <c r="B991" t="s">
        <v>1417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1596</v>
      </c>
      <c r="B992" t="s">
        <v>1417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1596</v>
      </c>
      <c r="B993" t="s">
        <v>1417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1492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1597</v>
      </c>
      <c r="B995" t="s">
        <v>1417</v>
      </c>
      <c r="C995" t="s">
        <v>1355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1597</v>
      </c>
      <c r="B996" t="s">
        <v>1417</v>
      </c>
      <c r="C996" t="s">
        <v>1355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1597</v>
      </c>
      <c r="B997" t="s">
        <v>1417</v>
      </c>
      <c r="C997" t="s">
        <v>1355</v>
      </c>
      <c r="D997">
        <v>2</v>
      </c>
      <c r="E997" t="s">
        <v>1161</v>
      </c>
      <c r="F997">
        <f>MAX(MAX(L997:AE997),-MIN(L997:AE997))</f>
        <v>1.8189894035458565E-12</v>
      </c>
      <c r="I997" t="s">
        <v>1492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1598</v>
      </c>
      <c r="B999" t="s">
        <v>1417</v>
      </c>
      <c r="C999" t="s">
        <v>1359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1598</v>
      </c>
      <c r="B1000" t="s">
        <v>1417</v>
      </c>
      <c r="C1000" t="s">
        <v>1359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1598</v>
      </c>
      <c r="B1001" t="s">
        <v>1417</v>
      </c>
      <c r="C1001" t="s">
        <v>1359</v>
      </c>
      <c r="D1001">
        <v>2</v>
      </c>
      <c r="E1001" t="s">
        <v>1161</v>
      </c>
      <c r="F1001">
        <f>MAX(MAX(L1001:AE1001),-MIN(L1001:AE1001))</f>
        <v>0</v>
      </c>
      <c r="I1001" t="s">
        <v>1492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1599</v>
      </c>
      <c r="B1003" t="s">
        <v>1417</v>
      </c>
      <c r="C1003" t="s">
        <v>1363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1599</v>
      </c>
      <c r="B1004" t="s">
        <v>1417</v>
      </c>
      <c r="C1004" t="s">
        <v>1363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1599</v>
      </c>
      <c r="B1005" t="s">
        <v>1417</v>
      </c>
      <c r="C1005" t="s">
        <v>1363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1492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1600</v>
      </c>
      <c r="B1007" t="s">
        <v>1417</v>
      </c>
      <c r="C1007" t="s">
        <v>1425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1600</v>
      </c>
      <c r="B1008" t="s">
        <v>1417</v>
      </c>
      <c r="C1008" t="s">
        <v>1425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1600</v>
      </c>
      <c r="B1009" t="s">
        <v>1417</v>
      </c>
      <c r="C1009" t="s">
        <v>1425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1492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1601</v>
      </c>
      <c r="B1011" t="s">
        <v>1417</v>
      </c>
      <c r="C1011" t="s">
        <v>1373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1601</v>
      </c>
      <c r="B1012" t="s">
        <v>1417</v>
      </c>
      <c r="C1012" t="s">
        <v>1373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1601</v>
      </c>
      <c r="B1013" t="s">
        <v>1417</v>
      </c>
      <c r="C1013" t="s">
        <v>1373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1492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1602</v>
      </c>
      <c r="B1015" t="s">
        <v>1417</v>
      </c>
      <c r="C1015" t="s">
        <v>1378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1602</v>
      </c>
      <c r="B1016" t="s">
        <v>1417</v>
      </c>
      <c r="C1016" t="s">
        <v>1378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1602</v>
      </c>
      <c r="B1017" t="s">
        <v>1417</v>
      </c>
      <c r="C1017" t="s">
        <v>1378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1492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1603</v>
      </c>
      <c r="B1019" t="s">
        <v>1417</v>
      </c>
      <c r="C1019" t="s">
        <v>1383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1603</v>
      </c>
      <c r="B1020" t="s">
        <v>1417</v>
      </c>
      <c r="C1020" t="s">
        <v>1383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1603</v>
      </c>
      <c r="B1021" t="s">
        <v>1417</v>
      </c>
      <c r="C1021" t="s">
        <v>1383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1492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1604</v>
      </c>
      <c r="B1023" t="s">
        <v>1430</v>
      </c>
      <c r="C1023" t="s">
        <v>1433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1604</v>
      </c>
      <c r="B1024" t="s">
        <v>1430</v>
      </c>
      <c r="C1024" t="s">
        <v>1433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1604</v>
      </c>
      <c r="B1025" t="s">
        <v>1430</v>
      </c>
      <c r="C1025" t="s">
        <v>1433</v>
      </c>
      <c r="D1025">
        <v>2</v>
      </c>
      <c r="E1025" t="s">
        <v>1161</v>
      </c>
      <c r="F1025">
        <f>MAX(MAX(L1025:AE1025),-MIN(L1025:AE1025))</f>
        <v>0</v>
      </c>
      <c r="I1025" t="s">
        <v>1492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1605</v>
      </c>
      <c r="B1027" t="s">
        <v>1430</v>
      </c>
      <c r="C1027" t="s">
        <v>1436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1605</v>
      </c>
      <c r="B1028" t="s">
        <v>1430</v>
      </c>
      <c r="C1028" t="s">
        <v>1436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1605</v>
      </c>
      <c r="B1029" t="s">
        <v>1430</v>
      </c>
      <c r="C1029" t="s">
        <v>1436</v>
      </c>
      <c r="D1029">
        <v>2</v>
      </c>
      <c r="E1029" t="s">
        <v>1161</v>
      </c>
      <c r="F1029">
        <f>MAX(MAX(L1029:AE1029),-MIN(L1029:AE1029))</f>
        <v>0</v>
      </c>
      <c r="I1029" t="s">
        <v>1492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1606</v>
      </c>
      <c r="B1031" t="s">
        <v>1430</v>
      </c>
      <c r="C1031" t="s">
        <v>1439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1606</v>
      </c>
      <c r="B1032" t="s">
        <v>1430</v>
      </c>
      <c r="C1032" t="s">
        <v>1439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1606</v>
      </c>
      <c r="B1033" t="s">
        <v>1430</v>
      </c>
      <c r="C1033" t="s">
        <v>1439</v>
      </c>
      <c r="D1033">
        <v>2</v>
      </c>
      <c r="E1033" t="s">
        <v>1161</v>
      </c>
      <c r="F1033">
        <f>MAX(MAX(L1033:AE1033),-MIN(L1033:AE1033))</f>
        <v>0</v>
      </c>
      <c r="I1033" t="s">
        <v>1492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1607</v>
      </c>
      <c r="B1035" t="s">
        <v>1430</v>
      </c>
      <c r="C1035" t="s">
        <v>1442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1607</v>
      </c>
      <c r="B1036" t="s">
        <v>1430</v>
      </c>
      <c r="C1036" t="s">
        <v>1442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1607</v>
      </c>
      <c r="B1037" t="s">
        <v>1430</v>
      </c>
      <c r="C1037" t="s">
        <v>1442</v>
      </c>
      <c r="D1037">
        <v>2</v>
      </c>
      <c r="E1037" t="s">
        <v>1161</v>
      </c>
      <c r="F1037">
        <f>MAX(MAX(L1037:AE1037),-MIN(L1037:AE1037))</f>
        <v>0</v>
      </c>
      <c r="I1037" t="s">
        <v>1492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1608</v>
      </c>
      <c r="B1039" t="s">
        <v>1430</v>
      </c>
      <c r="C1039" t="s">
        <v>1445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1608</v>
      </c>
      <c r="B1040" t="s">
        <v>1430</v>
      </c>
      <c r="C1040" t="s">
        <v>1445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1608</v>
      </c>
      <c r="B1041" t="s">
        <v>1430</v>
      </c>
      <c r="C1041" t="s">
        <v>1445</v>
      </c>
      <c r="D1041">
        <v>2</v>
      </c>
      <c r="E1041" t="s">
        <v>1161</v>
      </c>
      <c r="F1041">
        <f>MAX(MAX(L1041:AE1041),-MIN(L1041:AE1041))</f>
        <v>0</v>
      </c>
      <c r="I1041" t="s">
        <v>1492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1609</v>
      </c>
      <c r="B1043" t="s">
        <v>1430</v>
      </c>
      <c r="C1043" t="s">
        <v>1448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1609</v>
      </c>
      <c r="B1044" t="s">
        <v>1430</v>
      </c>
      <c r="C1044" t="s">
        <v>1448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1609</v>
      </c>
      <c r="B1045" t="s">
        <v>1430</v>
      </c>
      <c r="C1045" t="s">
        <v>1448</v>
      </c>
      <c r="D1045">
        <v>2</v>
      </c>
      <c r="E1045" t="s">
        <v>1161</v>
      </c>
      <c r="F1045">
        <f>MAX(MAX(L1045:AE1045),-MIN(L1045:AE1045))</f>
        <v>0</v>
      </c>
      <c r="I1045" t="s">
        <v>1492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1610</v>
      </c>
      <c r="B1047" t="s">
        <v>1430</v>
      </c>
      <c r="C1047" t="s">
        <v>1451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1610</v>
      </c>
      <c r="B1048" t="s">
        <v>1430</v>
      </c>
      <c r="C1048" t="s">
        <v>1451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1610</v>
      </c>
      <c r="B1049" t="s">
        <v>1430</v>
      </c>
      <c r="C1049" t="s">
        <v>1451</v>
      </c>
      <c r="D1049">
        <v>2</v>
      </c>
      <c r="E1049" t="s">
        <v>1161</v>
      </c>
      <c r="F1049">
        <f>MAX(MAX(L1049:AE1049),-MIN(L1049:AE1049))</f>
        <v>0</v>
      </c>
      <c r="I1049" t="s">
        <v>1492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1611</v>
      </c>
      <c r="B1051" t="s">
        <v>1430</v>
      </c>
      <c r="C1051" t="s">
        <v>1454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1611</v>
      </c>
      <c r="B1052" t="s">
        <v>1430</v>
      </c>
      <c r="C1052" t="s">
        <v>1454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1611</v>
      </c>
      <c r="B1053" t="s">
        <v>1430</v>
      </c>
      <c r="C1053" t="s">
        <v>1454</v>
      </c>
      <c r="D1053">
        <v>2</v>
      </c>
      <c r="E1053" t="s">
        <v>1161</v>
      </c>
      <c r="F1053">
        <f>MAX(MAX(L1053:AE1053),-MIN(L1053:AE1053))</f>
        <v>0</v>
      </c>
      <c r="I1053" t="s">
        <v>1492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1612</v>
      </c>
      <c r="B1055" t="s">
        <v>1457</v>
      </c>
      <c r="C1055" t="s">
        <v>1433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1612</v>
      </c>
      <c r="B1056" t="s">
        <v>1457</v>
      </c>
      <c r="C1056" t="s">
        <v>1433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7.1373846250000001</v>
      </c>
      <c r="R1056">
        <f>IF(ISBLANK(Mitigation_Industry!R698),"",Mitigation_Industry!R698)</f>
        <v>14.27476925</v>
      </c>
      <c r="S1056">
        <f>IF(ISBLANK(Mitigation_Industry!S698),"",Mitigation_Industry!S698)</f>
        <v>21.412153874999998</v>
      </c>
      <c r="T1056">
        <f>IF(ISBLANK(Mitigation_Industry!T698),"",Mitigation_Industry!T698)</f>
        <v>28.549538500000001</v>
      </c>
      <c r="U1056">
        <f>IF(ISBLANK(Mitigation_Industry!U698),"",Mitigation_Industry!U698)</f>
        <v>35.686923125</v>
      </c>
      <c r="V1056">
        <f>IF(ISBLANK(Mitigation_Industry!V698),"",Mitigation_Industry!V698)</f>
        <v>42.824307749999996</v>
      </c>
      <c r="W1056">
        <f>IF(ISBLANK(Mitigation_Industry!W698),"",Mitigation_Industry!W698)</f>
        <v>49.961692374999998</v>
      </c>
      <c r="X1056">
        <f>IF(ISBLANK(Mitigation_Industry!X698),"",Mitigation_Industry!X698)</f>
        <v>57.099077000000001</v>
      </c>
      <c r="Y1056">
        <f>IF(ISBLANK(Mitigation_Industry!Y698),"",Mitigation_Industry!Y698)</f>
        <v>64.236461625000004</v>
      </c>
      <c r="Z1056">
        <f>IF(ISBLANK(Mitigation_Industry!Z698),"",Mitigation_Industry!Z698)</f>
        <v>71.37384625</v>
      </c>
      <c r="AA1056">
        <f>IF(ISBLANK(Mitigation_Industry!AA698),"",Mitigation_Industry!AA698)</f>
        <v>78.511230874999995</v>
      </c>
      <c r="AB1056">
        <f>IF(ISBLANK(Mitigation_Industry!AB698),"",Mitigation_Industry!AB698)</f>
        <v>85.648615499999991</v>
      </c>
      <c r="AC1056">
        <f>IF(ISBLANK(Mitigation_Industry!AC698),"",Mitigation_Industry!AC698)</f>
        <v>92.786000125000001</v>
      </c>
      <c r="AD1056">
        <f>IF(ISBLANK(Mitigation_Industry!AD698),"",Mitigation_Industry!AD698)</f>
        <v>99.923384749999997</v>
      </c>
      <c r="AE1056">
        <f>IF(ISBLANK(Mitigation_Industry!AE698),"",Mitigation_Industry!AE698)</f>
        <v>107.06076937499999</v>
      </c>
    </row>
    <row r="1057" spans="1:31" x14ac:dyDescent="0.45">
      <c r="A1057" t="s">
        <v>1612</v>
      </c>
      <c r="B1057" t="s">
        <v>1457</v>
      </c>
      <c r="C1057" t="s">
        <v>1433</v>
      </c>
      <c r="D1057">
        <v>2</v>
      </c>
      <c r="E1057" t="s">
        <v>1161</v>
      </c>
      <c r="F1057">
        <f>MAX(MAX(L1057:AE1057),-MIN(L1057:AE1057))</f>
        <v>107.06076937499999</v>
      </c>
      <c r="I1057" t="s">
        <v>1571</v>
      </c>
      <c r="J1057" t="s">
        <v>1613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7.1373846250000001</v>
      </c>
      <c r="R1057">
        <f t="shared" si="261"/>
        <v>14.27476925</v>
      </c>
      <c r="S1057">
        <f t="shared" si="261"/>
        <v>21.412153874999998</v>
      </c>
      <c r="T1057">
        <f t="shared" si="261"/>
        <v>28.549538500000001</v>
      </c>
      <c r="U1057">
        <f t="shared" si="261"/>
        <v>35.686923125</v>
      </c>
      <c r="V1057">
        <f t="shared" si="261"/>
        <v>42.824307749999996</v>
      </c>
      <c r="W1057">
        <f t="shared" si="261"/>
        <v>49.961692374999998</v>
      </c>
      <c r="X1057">
        <f t="shared" si="261"/>
        <v>57.099077000000001</v>
      </c>
      <c r="Y1057">
        <f t="shared" si="261"/>
        <v>64.236461625000004</v>
      </c>
      <c r="Z1057">
        <f t="shared" si="261"/>
        <v>71.37384625</v>
      </c>
      <c r="AA1057">
        <f t="shared" si="261"/>
        <v>78.511230874999995</v>
      </c>
      <c r="AB1057">
        <f t="shared" si="261"/>
        <v>85.648615499999991</v>
      </c>
      <c r="AC1057">
        <f t="shared" si="261"/>
        <v>92.786000125000001</v>
      </c>
      <c r="AD1057">
        <f t="shared" si="261"/>
        <v>99.923384749999997</v>
      </c>
      <c r="AE1057">
        <f t="shared" si="261"/>
        <v>107.06076937499999</v>
      </c>
    </row>
    <row r="1059" spans="1:31" x14ac:dyDescent="0.45">
      <c r="A1059" t="s">
        <v>1614</v>
      </c>
      <c r="B1059" t="s">
        <v>1457</v>
      </c>
      <c r="C1059" t="s">
        <v>1436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1614</v>
      </c>
      <c r="B1060" t="s">
        <v>1457</v>
      </c>
      <c r="C1060" t="s">
        <v>1436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0.56100000000000005</v>
      </c>
      <c r="R1060">
        <f>IF(ISBLANK(Mitigation_Industry!R699),"",Mitigation_Industry!R699)</f>
        <v>1.1220000000000001</v>
      </c>
      <c r="S1060">
        <f>IF(ISBLANK(Mitigation_Industry!S699),"",Mitigation_Industry!S699)</f>
        <v>1.6830000000000001</v>
      </c>
      <c r="T1060">
        <f>IF(ISBLANK(Mitigation_Industry!T699),"",Mitigation_Industry!T699)</f>
        <v>2.2440000000000002</v>
      </c>
      <c r="U1060">
        <f>IF(ISBLANK(Mitigation_Industry!U699),"",Mitigation_Industry!U699)</f>
        <v>2.8050000000000002</v>
      </c>
      <c r="V1060">
        <f>IF(ISBLANK(Mitigation_Industry!V699),"",Mitigation_Industry!V699)</f>
        <v>3.3660000000000001</v>
      </c>
      <c r="W1060">
        <f>IF(ISBLANK(Mitigation_Industry!W699),"",Mitigation_Industry!W699)</f>
        <v>3.9270000000000005</v>
      </c>
      <c r="X1060">
        <f>IF(ISBLANK(Mitigation_Industry!X699),"",Mitigation_Industry!X699)</f>
        <v>4.4880000000000004</v>
      </c>
      <c r="Y1060">
        <f>IF(ISBLANK(Mitigation_Industry!Y699),"",Mitigation_Industry!Y699)</f>
        <v>5.0490000000000004</v>
      </c>
      <c r="Z1060">
        <f>IF(ISBLANK(Mitigation_Industry!Z699),"",Mitigation_Industry!Z699)</f>
        <v>5.61</v>
      </c>
      <c r="AA1060">
        <f>IF(ISBLANK(Mitigation_Industry!AA699),"",Mitigation_Industry!AA699)</f>
        <v>6.1710000000000003</v>
      </c>
      <c r="AB1060">
        <f>IF(ISBLANK(Mitigation_Industry!AB699),"",Mitigation_Industry!AB699)</f>
        <v>6.7320000000000002</v>
      </c>
      <c r="AC1060">
        <f>IF(ISBLANK(Mitigation_Industry!AC699),"",Mitigation_Industry!AC699)</f>
        <v>7.2930000000000001</v>
      </c>
      <c r="AD1060">
        <f>IF(ISBLANK(Mitigation_Industry!AD699),"",Mitigation_Industry!AD699)</f>
        <v>7.854000000000001</v>
      </c>
      <c r="AE1060">
        <f>IF(ISBLANK(Mitigation_Industry!AE699),"",Mitigation_Industry!AE699)</f>
        <v>8.4150000000000009</v>
      </c>
    </row>
    <row r="1061" spans="1:31" x14ac:dyDescent="0.45">
      <c r="A1061" t="s">
        <v>1614</v>
      </c>
      <c r="B1061" t="s">
        <v>1457</v>
      </c>
      <c r="C1061" t="s">
        <v>1436</v>
      </c>
      <c r="D1061">
        <v>2</v>
      </c>
      <c r="E1061" t="s">
        <v>1161</v>
      </c>
      <c r="F1061">
        <f>MAX(MAX(L1061:AE1061),-MIN(L1061:AE1061))</f>
        <v>8.4150000000000009</v>
      </c>
      <c r="I1061" t="s">
        <v>1571</v>
      </c>
      <c r="J1061" t="s">
        <v>1613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0.56100000000000005</v>
      </c>
      <c r="R1061">
        <f t="shared" si="262"/>
        <v>1.1220000000000001</v>
      </c>
      <c r="S1061">
        <f t="shared" si="262"/>
        <v>1.6830000000000001</v>
      </c>
      <c r="T1061">
        <f t="shared" si="262"/>
        <v>2.2440000000000002</v>
      </c>
      <c r="U1061">
        <f t="shared" si="262"/>
        <v>2.8050000000000002</v>
      </c>
      <c r="V1061">
        <f t="shared" si="262"/>
        <v>3.3660000000000001</v>
      </c>
      <c r="W1061">
        <f t="shared" si="262"/>
        <v>3.9270000000000005</v>
      </c>
      <c r="X1061">
        <f t="shared" si="262"/>
        <v>4.4880000000000004</v>
      </c>
      <c r="Y1061">
        <f t="shared" si="262"/>
        <v>5.0490000000000004</v>
      </c>
      <c r="Z1061">
        <f t="shared" si="262"/>
        <v>5.61</v>
      </c>
      <c r="AA1061">
        <f t="shared" si="262"/>
        <v>6.1710000000000003</v>
      </c>
      <c r="AB1061">
        <f t="shared" si="262"/>
        <v>6.7320000000000002</v>
      </c>
      <c r="AC1061">
        <f t="shared" si="262"/>
        <v>7.2930000000000001</v>
      </c>
      <c r="AD1061">
        <f t="shared" si="262"/>
        <v>7.854000000000001</v>
      </c>
      <c r="AE1061">
        <f t="shared" si="262"/>
        <v>8.4150000000000009</v>
      </c>
    </row>
    <row r="1063" spans="1:31" x14ac:dyDescent="0.45">
      <c r="A1063" t="s">
        <v>1615</v>
      </c>
      <c r="B1063" t="s">
        <v>1457</v>
      </c>
      <c r="C1063" t="s">
        <v>1439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1615</v>
      </c>
      <c r="B1064" t="s">
        <v>1457</v>
      </c>
      <c r="C1064" t="s">
        <v>1439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17.812253374999997</v>
      </c>
      <c r="R1064">
        <f>IF(ISBLANK(Mitigation_Industry!R700),"",Mitigation_Industry!R700)</f>
        <v>35.624506749999995</v>
      </c>
      <c r="S1064">
        <f>IF(ISBLANK(Mitigation_Industry!S700),"",Mitigation_Industry!S700)</f>
        <v>53.436760124999992</v>
      </c>
      <c r="T1064">
        <f>IF(ISBLANK(Mitigation_Industry!T700),"",Mitigation_Industry!T700)</f>
        <v>71.24901349999999</v>
      </c>
      <c r="U1064">
        <f>IF(ISBLANK(Mitigation_Industry!U700),"",Mitigation_Industry!U700)</f>
        <v>89.061266874999987</v>
      </c>
      <c r="V1064">
        <f>IF(ISBLANK(Mitigation_Industry!V700),"",Mitigation_Industry!V700)</f>
        <v>106.87352024999998</v>
      </c>
      <c r="W1064">
        <f>IF(ISBLANK(Mitigation_Industry!W700),"",Mitigation_Industry!W700)</f>
        <v>124.68577362499998</v>
      </c>
      <c r="X1064">
        <f>IF(ISBLANK(Mitigation_Industry!X700),"",Mitigation_Industry!X700)</f>
        <v>142.49802699999998</v>
      </c>
      <c r="Y1064">
        <f>IF(ISBLANK(Mitigation_Industry!Y700),"",Mitigation_Industry!Y700)</f>
        <v>160.31028037499999</v>
      </c>
      <c r="Z1064">
        <f>IF(ISBLANK(Mitigation_Industry!Z700),"",Mitigation_Industry!Z700)</f>
        <v>178.12253374999997</v>
      </c>
      <c r="AA1064">
        <f>IF(ISBLANK(Mitigation_Industry!AA700),"",Mitigation_Industry!AA700)</f>
        <v>195.93478712499999</v>
      </c>
      <c r="AB1064">
        <f>IF(ISBLANK(Mitigation_Industry!AB700),"",Mitigation_Industry!AB700)</f>
        <v>213.74704049999997</v>
      </c>
      <c r="AC1064">
        <f>IF(ISBLANK(Mitigation_Industry!AC700),"",Mitigation_Industry!AC700)</f>
        <v>231.55929387499998</v>
      </c>
      <c r="AD1064">
        <f>IF(ISBLANK(Mitigation_Industry!AD700),"",Mitigation_Industry!AD700)</f>
        <v>249.37154724999996</v>
      </c>
      <c r="AE1064">
        <f>IF(ISBLANK(Mitigation_Industry!AE700),"",Mitigation_Industry!AE700)</f>
        <v>267.18380062499995</v>
      </c>
    </row>
    <row r="1065" spans="1:31" x14ac:dyDescent="0.45">
      <c r="A1065" t="s">
        <v>1615</v>
      </c>
      <c r="B1065" t="s">
        <v>1457</v>
      </c>
      <c r="C1065" t="s">
        <v>1439</v>
      </c>
      <c r="D1065">
        <v>2</v>
      </c>
      <c r="E1065" t="s">
        <v>1161</v>
      </c>
      <c r="F1065">
        <f>MAX(MAX(L1065:AE1065),-MIN(L1065:AE1065))</f>
        <v>267.18380062499995</v>
      </c>
      <c r="I1065" t="s">
        <v>1571</v>
      </c>
      <c r="J1065" t="s">
        <v>1613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17.812253374999997</v>
      </c>
      <c r="R1065">
        <f t="shared" si="263"/>
        <v>35.624506749999995</v>
      </c>
      <c r="S1065">
        <f t="shared" si="263"/>
        <v>53.436760124999992</v>
      </c>
      <c r="T1065">
        <f t="shared" si="263"/>
        <v>71.24901349999999</v>
      </c>
      <c r="U1065">
        <f t="shared" si="263"/>
        <v>89.061266874999987</v>
      </c>
      <c r="V1065">
        <f t="shared" si="263"/>
        <v>106.87352024999998</v>
      </c>
      <c r="W1065">
        <f t="shared" si="263"/>
        <v>124.68577362499998</v>
      </c>
      <c r="X1065">
        <f t="shared" si="263"/>
        <v>142.49802699999998</v>
      </c>
      <c r="Y1065">
        <f t="shared" si="263"/>
        <v>160.31028037499999</v>
      </c>
      <c r="Z1065">
        <f t="shared" si="263"/>
        <v>178.12253374999997</v>
      </c>
      <c r="AA1065">
        <f t="shared" si="263"/>
        <v>195.93478712499999</v>
      </c>
      <c r="AB1065">
        <f t="shared" si="263"/>
        <v>213.74704049999997</v>
      </c>
      <c r="AC1065">
        <f t="shared" si="263"/>
        <v>231.55929387499998</v>
      </c>
      <c r="AD1065">
        <f t="shared" si="263"/>
        <v>249.37154724999996</v>
      </c>
      <c r="AE1065">
        <f t="shared" si="263"/>
        <v>267.18380062499995</v>
      </c>
    </row>
    <row r="1067" spans="1:31" x14ac:dyDescent="0.45">
      <c r="A1067" t="s">
        <v>1616</v>
      </c>
      <c r="B1067" t="s">
        <v>1457</v>
      </c>
      <c r="C1067" t="s">
        <v>1442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1616</v>
      </c>
      <c r="B1068" t="s">
        <v>1457</v>
      </c>
      <c r="C1068" t="s">
        <v>1442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3.9196062499999997</v>
      </c>
      <c r="R1068">
        <f>IF(ISBLANK(Mitigation_Industry!R701),"",Mitigation_Industry!R701)</f>
        <v>7.8392124999999995</v>
      </c>
      <c r="S1068">
        <f>IF(ISBLANK(Mitigation_Industry!S701),"",Mitigation_Industry!S701)</f>
        <v>11.75881875</v>
      </c>
      <c r="T1068">
        <f>IF(ISBLANK(Mitigation_Industry!T701),"",Mitigation_Industry!T701)</f>
        <v>15.678424999999999</v>
      </c>
      <c r="U1068">
        <f>IF(ISBLANK(Mitigation_Industry!U701),"",Mitigation_Industry!U701)</f>
        <v>19.598031249999998</v>
      </c>
      <c r="V1068">
        <f>IF(ISBLANK(Mitigation_Industry!V701),"",Mitigation_Industry!V701)</f>
        <v>23.517637499999999</v>
      </c>
      <c r="W1068">
        <f>IF(ISBLANK(Mitigation_Industry!W701),"",Mitigation_Industry!W701)</f>
        <v>27.437243749999997</v>
      </c>
      <c r="X1068">
        <f>IF(ISBLANK(Mitigation_Industry!X701),"",Mitigation_Industry!X701)</f>
        <v>31.356849999999998</v>
      </c>
      <c r="Y1068">
        <f>IF(ISBLANK(Mitigation_Industry!Y701),"",Mitigation_Industry!Y701)</f>
        <v>35.276456249999995</v>
      </c>
      <c r="Z1068">
        <f>IF(ISBLANK(Mitigation_Industry!Z701),"",Mitigation_Industry!Z701)</f>
        <v>39.196062499999996</v>
      </c>
      <c r="AA1068">
        <f>IF(ISBLANK(Mitigation_Industry!AA701),"",Mitigation_Industry!AA701)</f>
        <v>43.115668749999998</v>
      </c>
      <c r="AB1068">
        <f>IF(ISBLANK(Mitigation_Industry!AB701),"",Mitigation_Industry!AB701)</f>
        <v>47.035274999999999</v>
      </c>
      <c r="AC1068">
        <f>IF(ISBLANK(Mitigation_Industry!AC701),"",Mitigation_Industry!AC701)</f>
        <v>50.954881249999993</v>
      </c>
      <c r="AD1068">
        <f>IF(ISBLANK(Mitigation_Industry!AD701),"",Mitigation_Industry!AD701)</f>
        <v>54.874487499999994</v>
      </c>
      <c r="AE1068">
        <f>IF(ISBLANK(Mitigation_Industry!AE701),"",Mitigation_Industry!AE701)</f>
        <v>58.794093749999995</v>
      </c>
    </row>
    <row r="1069" spans="1:31" x14ac:dyDescent="0.45">
      <c r="A1069" t="s">
        <v>1616</v>
      </c>
      <c r="B1069" t="s">
        <v>1457</v>
      </c>
      <c r="C1069" t="s">
        <v>1442</v>
      </c>
      <c r="D1069">
        <v>2</v>
      </c>
      <c r="E1069" t="s">
        <v>1161</v>
      </c>
      <c r="F1069">
        <f>MAX(MAX(L1069:AE1069),-MIN(L1069:AE1069))</f>
        <v>58.794093749999995</v>
      </c>
      <c r="I1069" t="s">
        <v>1571</v>
      </c>
      <c r="J1069" t="s">
        <v>1613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3.9196062499999997</v>
      </c>
      <c r="R1069">
        <f t="shared" si="264"/>
        <v>7.8392124999999995</v>
      </c>
      <c r="S1069">
        <f t="shared" si="264"/>
        <v>11.75881875</v>
      </c>
      <c r="T1069">
        <f t="shared" si="264"/>
        <v>15.678424999999999</v>
      </c>
      <c r="U1069">
        <f t="shared" si="264"/>
        <v>19.598031249999998</v>
      </c>
      <c r="V1069">
        <f t="shared" si="264"/>
        <v>23.517637499999999</v>
      </c>
      <c r="W1069">
        <f t="shared" si="264"/>
        <v>27.437243749999997</v>
      </c>
      <c r="X1069">
        <f t="shared" si="264"/>
        <v>31.356849999999998</v>
      </c>
      <c r="Y1069">
        <f t="shared" si="264"/>
        <v>35.276456249999995</v>
      </c>
      <c r="Z1069">
        <f t="shared" si="264"/>
        <v>39.196062499999996</v>
      </c>
      <c r="AA1069">
        <f t="shared" si="264"/>
        <v>43.115668749999998</v>
      </c>
      <c r="AB1069">
        <f t="shared" si="264"/>
        <v>47.035274999999999</v>
      </c>
      <c r="AC1069">
        <f t="shared" si="264"/>
        <v>50.954881249999993</v>
      </c>
      <c r="AD1069">
        <f t="shared" si="264"/>
        <v>54.874487499999994</v>
      </c>
      <c r="AE1069">
        <f t="shared" si="264"/>
        <v>58.794093749999995</v>
      </c>
    </row>
    <row r="1071" spans="1:31" x14ac:dyDescent="0.45">
      <c r="A1071" t="s">
        <v>1617</v>
      </c>
      <c r="B1071" t="s">
        <v>1457</v>
      </c>
      <c r="C1071" t="s">
        <v>1445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1617</v>
      </c>
      <c r="B1072" t="s">
        <v>1457</v>
      </c>
      <c r="C1072" t="s">
        <v>1445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24.684000000000001</v>
      </c>
      <c r="R1072">
        <f>IF(ISBLANK(Mitigation_Industry!R702),"",Mitigation_Industry!R702)</f>
        <v>49.368000000000002</v>
      </c>
      <c r="S1072">
        <f>IF(ISBLANK(Mitigation_Industry!S702),"",Mitigation_Industry!S702)</f>
        <v>74.052000000000007</v>
      </c>
      <c r="T1072">
        <f>IF(ISBLANK(Mitigation_Industry!T702),"",Mitigation_Industry!T702)</f>
        <v>98.736000000000004</v>
      </c>
      <c r="U1072">
        <f>IF(ISBLANK(Mitigation_Industry!U702),"",Mitigation_Industry!U702)</f>
        <v>123.42</v>
      </c>
      <c r="V1072">
        <f>IF(ISBLANK(Mitigation_Industry!V702),"",Mitigation_Industry!V702)</f>
        <v>148.10400000000001</v>
      </c>
      <c r="W1072">
        <f>IF(ISBLANK(Mitigation_Industry!W702),"",Mitigation_Industry!W702)</f>
        <v>172.78800000000001</v>
      </c>
      <c r="X1072">
        <f>IF(ISBLANK(Mitigation_Industry!X702),"",Mitigation_Industry!X702)</f>
        <v>197.47200000000001</v>
      </c>
      <c r="Y1072">
        <f>IF(ISBLANK(Mitigation_Industry!Y702),"",Mitigation_Industry!Y702)</f>
        <v>222.15600000000001</v>
      </c>
      <c r="Z1072">
        <f>IF(ISBLANK(Mitigation_Industry!Z702),"",Mitigation_Industry!Z702)</f>
        <v>246.84</v>
      </c>
      <c r="AA1072">
        <f>IF(ISBLANK(Mitigation_Industry!AA702),"",Mitigation_Industry!AA702)</f>
        <v>271.524</v>
      </c>
      <c r="AB1072">
        <f>IF(ISBLANK(Mitigation_Industry!AB702),"",Mitigation_Industry!AB702)</f>
        <v>296.20800000000003</v>
      </c>
      <c r="AC1072">
        <f>IF(ISBLANK(Mitigation_Industry!AC702),"",Mitigation_Industry!AC702)</f>
        <v>320.892</v>
      </c>
      <c r="AD1072">
        <f>IF(ISBLANK(Mitigation_Industry!AD702),"",Mitigation_Industry!AD702)</f>
        <v>345.57600000000002</v>
      </c>
      <c r="AE1072">
        <f>IF(ISBLANK(Mitigation_Industry!AE702),"",Mitigation_Industry!AE702)</f>
        <v>370.26</v>
      </c>
    </row>
    <row r="1073" spans="1:31" x14ac:dyDescent="0.45">
      <c r="A1073" t="s">
        <v>1617</v>
      </c>
      <c r="B1073" t="s">
        <v>1457</v>
      </c>
      <c r="C1073" t="s">
        <v>1445</v>
      </c>
      <c r="D1073">
        <v>2</v>
      </c>
      <c r="E1073" t="s">
        <v>1161</v>
      </c>
      <c r="F1073">
        <f>MAX(MAX(L1073:AE1073),-MIN(L1073:AE1073))</f>
        <v>370.26</v>
      </c>
      <c r="I1073" t="s">
        <v>1571</v>
      </c>
      <c r="J1073" t="s">
        <v>1613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24.684000000000001</v>
      </c>
      <c r="R1073">
        <f t="shared" si="265"/>
        <v>49.368000000000002</v>
      </c>
      <c r="S1073">
        <f t="shared" si="265"/>
        <v>74.052000000000007</v>
      </c>
      <c r="T1073">
        <f t="shared" si="265"/>
        <v>98.736000000000004</v>
      </c>
      <c r="U1073">
        <f t="shared" si="265"/>
        <v>123.42</v>
      </c>
      <c r="V1073">
        <f t="shared" si="265"/>
        <v>148.10400000000001</v>
      </c>
      <c r="W1073">
        <f t="shared" si="265"/>
        <v>172.78800000000001</v>
      </c>
      <c r="X1073">
        <f t="shared" si="265"/>
        <v>197.47200000000001</v>
      </c>
      <c r="Y1073">
        <f t="shared" si="265"/>
        <v>222.15600000000001</v>
      </c>
      <c r="Z1073">
        <f t="shared" si="265"/>
        <v>246.84</v>
      </c>
      <c r="AA1073">
        <f t="shared" si="265"/>
        <v>271.524</v>
      </c>
      <c r="AB1073">
        <f t="shared" si="265"/>
        <v>296.20800000000003</v>
      </c>
      <c r="AC1073">
        <f t="shared" si="265"/>
        <v>320.892</v>
      </c>
      <c r="AD1073">
        <f t="shared" si="265"/>
        <v>345.57600000000002</v>
      </c>
      <c r="AE1073">
        <f t="shared" si="265"/>
        <v>370.26</v>
      </c>
    </row>
    <row r="1075" spans="1:31" x14ac:dyDescent="0.45">
      <c r="A1075" t="s">
        <v>1618</v>
      </c>
      <c r="B1075" t="s">
        <v>1457</v>
      </c>
      <c r="C1075" t="s">
        <v>1448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1618</v>
      </c>
      <c r="B1076" t="s">
        <v>1457</v>
      </c>
      <c r="C1076" t="s">
        <v>1448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1618</v>
      </c>
      <c r="B1077" t="s">
        <v>1457</v>
      </c>
      <c r="C1077" t="s">
        <v>1448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1571</v>
      </c>
      <c r="J1077" t="s">
        <v>1613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1619</v>
      </c>
      <c r="B1079" t="s">
        <v>1457</v>
      </c>
      <c r="C1079" t="s">
        <v>1451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1619</v>
      </c>
      <c r="B1080" t="s">
        <v>1457</v>
      </c>
      <c r="C1080" t="s">
        <v>1451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1619</v>
      </c>
      <c r="B1081" t="s">
        <v>1457</v>
      </c>
      <c r="C1081" t="s">
        <v>1451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1571</v>
      </c>
      <c r="J1081" t="s">
        <v>1613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1620</v>
      </c>
      <c r="B1083" t="s">
        <v>1457</v>
      </c>
      <c r="C1083" t="s">
        <v>1454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1620</v>
      </c>
      <c r="B1084" t="s">
        <v>1457</v>
      </c>
      <c r="C1084" t="s">
        <v>1454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1.5427500000000001</v>
      </c>
      <c r="R1084">
        <f>IF(ISBLANK(Mitigation_Industry!R705),"",Mitigation_Industry!R705)</f>
        <v>3.0855000000000001</v>
      </c>
      <c r="S1084">
        <f>IF(ISBLANK(Mitigation_Industry!S705),"",Mitigation_Industry!S705)</f>
        <v>4.6282500000000004</v>
      </c>
      <c r="T1084">
        <f>IF(ISBLANK(Mitigation_Industry!T705),"",Mitigation_Industry!T705)</f>
        <v>6.1710000000000003</v>
      </c>
      <c r="U1084">
        <f>IF(ISBLANK(Mitigation_Industry!U705),"",Mitigation_Industry!U705)</f>
        <v>7.7137500000000001</v>
      </c>
      <c r="V1084">
        <f>IF(ISBLANK(Mitigation_Industry!V705),"",Mitigation_Industry!V705)</f>
        <v>9.2565000000000008</v>
      </c>
      <c r="W1084">
        <f>IF(ISBLANK(Mitigation_Industry!W705),"",Mitigation_Industry!W705)</f>
        <v>10.799250000000001</v>
      </c>
      <c r="X1084">
        <f>IF(ISBLANK(Mitigation_Industry!X705),"",Mitigation_Industry!X705)</f>
        <v>12.342000000000001</v>
      </c>
      <c r="Y1084">
        <f>IF(ISBLANK(Mitigation_Industry!Y705),"",Mitigation_Industry!Y705)</f>
        <v>13.88475</v>
      </c>
      <c r="Z1084">
        <f>IF(ISBLANK(Mitigation_Industry!Z705),"",Mitigation_Industry!Z705)</f>
        <v>15.4275</v>
      </c>
      <c r="AA1084">
        <f>IF(ISBLANK(Mitigation_Industry!AA705),"",Mitigation_Industry!AA705)</f>
        <v>16.97025</v>
      </c>
      <c r="AB1084">
        <f>IF(ISBLANK(Mitigation_Industry!AB705),"",Mitigation_Industry!AB705)</f>
        <v>18.513000000000002</v>
      </c>
      <c r="AC1084">
        <f>IF(ISBLANK(Mitigation_Industry!AC705),"",Mitigation_Industry!AC705)</f>
        <v>20.05575</v>
      </c>
      <c r="AD1084">
        <f>IF(ISBLANK(Mitigation_Industry!AD705),"",Mitigation_Industry!AD705)</f>
        <v>21.598500000000001</v>
      </c>
      <c r="AE1084">
        <f>IF(ISBLANK(Mitigation_Industry!AE705),"",Mitigation_Industry!AE705)</f>
        <v>23.141249999999999</v>
      </c>
    </row>
    <row r="1085" spans="1:31" x14ac:dyDescent="0.45">
      <c r="A1085" t="s">
        <v>1620</v>
      </c>
      <c r="B1085" t="s">
        <v>1457</v>
      </c>
      <c r="C1085" t="s">
        <v>1454</v>
      </c>
      <c r="D1085">
        <v>2</v>
      </c>
      <c r="E1085" t="s">
        <v>1161</v>
      </c>
      <c r="F1085">
        <f>MAX(MAX(L1085:AE1085),-MIN(L1085:AE1085))</f>
        <v>23.141249999999999</v>
      </c>
      <c r="I1085" t="s">
        <v>1571</v>
      </c>
      <c r="J1085" t="s">
        <v>1613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1.5427500000000001</v>
      </c>
      <c r="R1085">
        <f t="shared" si="268"/>
        <v>3.0855000000000001</v>
      </c>
      <c r="S1085">
        <f t="shared" si="268"/>
        <v>4.6282500000000004</v>
      </c>
      <c r="T1085">
        <f t="shared" si="268"/>
        <v>6.1710000000000003</v>
      </c>
      <c r="U1085">
        <f t="shared" si="268"/>
        <v>7.7137500000000001</v>
      </c>
      <c r="V1085">
        <f t="shared" si="268"/>
        <v>9.2565000000000008</v>
      </c>
      <c r="W1085">
        <f t="shared" si="268"/>
        <v>10.799250000000001</v>
      </c>
      <c r="X1085">
        <f t="shared" si="268"/>
        <v>12.342000000000001</v>
      </c>
      <c r="Y1085">
        <f t="shared" si="268"/>
        <v>13.88475</v>
      </c>
      <c r="Z1085">
        <f t="shared" si="268"/>
        <v>15.4275</v>
      </c>
      <c r="AA1085">
        <f t="shared" si="268"/>
        <v>16.97025</v>
      </c>
      <c r="AB1085">
        <f t="shared" si="268"/>
        <v>18.513000000000002</v>
      </c>
      <c r="AC1085">
        <f t="shared" si="268"/>
        <v>20.05575</v>
      </c>
      <c r="AD1085">
        <f t="shared" si="268"/>
        <v>21.598500000000001</v>
      </c>
      <c r="AE1085">
        <f t="shared" si="268"/>
        <v>23.141249999999999</v>
      </c>
    </row>
    <row r="1087" spans="1:31" x14ac:dyDescent="0.45">
      <c r="A1087" t="s">
        <v>1621</v>
      </c>
      <c r="B1087" t="s">
        <v>1460</v>
      </c>
      <c r="C1087" t="s">
        <v>1433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1621</v>
      </c>
      <c r="B1088" t="s">
        <v>1460</v>
      </c>
      <c r="C1088" t="s">
        <v>1433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1621</v>
      </c>
      <c r="B1089" t="s">
        <v>1460</v>
      </c>
      <c r="C1089" t="s">
        <v>1433</v>
      </c>
      <c r="D1089">
        <v>2</v>
      </c>
      <c r="E1089" t="s">
        <v>1161</v>
      </c>
      <c r="F1089">
        <f>MAX(MAX(L1089:AE1089),-MIN(L1089:AE1089))</f>
        <v>0</v>
      </c>
      <c r="I1089" t="s">
        <v>1492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1622</v>
      </c>
      <c r="B1091" t="s">
        <v>1460</v>
      </c>
      <c r="C1091" t="s">
        <v>1436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1622</v>
      </c>
      <c r="B1092" t="s">
        <v>1460</v>
      </c>
      <c r="C1092" t="s">
        <v>1436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1622</v>
      </c>
      <c r="B1093" t="s">
        <v>1460</v>
      </c>
      <c r="C1093" t="s">
        <v>1436</v>
      </c>
      <c r="D1093">
        <v>2</v>
      </c>
      <c r="E1093" t="s">
        <v>1161</v>
      </c>
      <c r="F1093">
        <f>MAX(MAX(L1093:AE1093),-MIN(L1093:AE1093))</f>
        <v>0</v>
      </c>
      <c r="I1093" t="s">
        <v>1492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1623</v>
      </c>
      <c r="B1095" t="s">
        <v>1460</v>
      </c>
      <c r="C1095" t="s">
        <v>1439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1623</v>
      </c>
      <c r="B1096" t="s">
        <v>1460</v>
      </c>
      <c r="C1096" t="s">
        <v>1439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1623</v>
      </c>
      <c r="B1097" t="s">
        <v>1460</v>
      </c>
      <c r="C1097" t="s">
        <v>1439</v>
      </c>
      <c r="D1097">
        <v>2</v>
      </c>
      <c r="E1097" t="s">
        <v>1161</v>
      </c>
      <c r="F1097">
        <f>MAX(MAX(L1097:AE1097),-MIN(L1097:AE1097))</f>
        <v>0</v>
      </c>
      <c r="I1097" t="s">
        <v>1492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1624</v>
      </c>
      <c r="B1099" t="s">
        <v>1460</v>
      </c>
      <c r="C1099" t="s">
        <v>1442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1624</v>
      </c>
      <c r="B1100" t="s">
        <v>1460</v>
      </c>
      <c r="C1100" t="s">
        <v>1442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1624</v>
      </c>
      <c r="B1101" t="s">
        <v>1460</v>
      </c>
      <c r="C1101" t="s">
        <v>1442</v>
      </c>
      <c r="D1101">
        <v>2</v>
      </c>
      <c r="E1101" t="s">
        <v>1161</v>
      </c>
      <c r="F1101">
        <f>MAX(MAX(L1101:AE1101),-MIN(L1101:AE1101))</f>
        <v>0</v>
      </c>
      <c r="I1101" t="s">
        <v>1492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1625</v>
      </c>
      <c r="B1103" t="s">
        <v>1460</v>
      </c>
      <c r="C1103" t="s">
        <v>1445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1625</v>
      </c>
      <c r="B1104" t="s">
        <v>1460</v>
      </c>
      <c r="C1104" t="s">
        <v>1445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1625</v>
      </c>
      <c r="B1105" t="s">
        <v>1460</v>
      </c>
      <c r="C1105" t="s">
        <v>1445</v>
      </c>
      <c r="D1105">
        <v>2</v>
      </c>
      <c r="E1105" t="s">
        <v>1161</v>
      </c>
      <c r="F1105">
        <f>MAX(MAX(L1105:AE1105),-MIN(L1105:AE1105))</f>
        <v>0</v>
      </c>
      <c r="I1105" t="s">
        <v>1492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1626</v>
      </c>
      <c r="B1107" t="s">
        <v>1460</v>
      </c>
      <c r="C1107" t="s">
        <v>1448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1626</v>
      </c>
      <c r="B1108" t="s">
        <v>1460</v>
      </c>
      <c r="C1108" t="s">
        <v>1448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1626</v>
      </c>
      <c r="B1109" t="s">
        <v>1460</v>
      </c>
      <c r="C1109" t="s">
        <v>1448</v>
      </c>
      <c r="D1109">
        <v>2</v>
      </c>
      <c r="E1109" t="s">
        <v>1161</v>
      </c>
      <c r="F1109">
        <f>MAX(MAX(L1109:AE1109),-MIN(L1109:AE1109))</f>
        <v>0</v>
      </c>
      <c r="I1109" t="s">
        <v>1492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1627</v>
      </c>
      <c r="B1111" t="s">
        <v>1460</v>
      </c>
      <c r="C1111" t="s">
        <v>1451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1627</v>
      </c>
      <c r="B1112" t="s">
        <v>1460</v>
      </c>
      <c r="C1112" t="s">
        <v>1451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1627</v>
      </c>
      <c r="B1113" t="s">
        <v>1460</v>
      </c>
      <c r="C1113" t="s">
        <v>1451</v>
      </c>
      <c r="D1113">
        <v>2</v>
      </c>
      <c r="E1113" t="s">
        <v>1161</v>
      </c>
      <c r="F1113">
        <f>MAX(MAX(L1113:AE1113),-MIN(L1113:AE1113))</f>
        <v>0</v>
      </c>
      <c r="I1113" t="s">
        <v>1492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1628</v>
      </c>
      <c r="B1115" t="s">
        <v>1460</v>
      </c>
      <c r="C1115" t="s">
        <v>1454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1628</v>
      </c>
      <c r="B1116" t="s">
        <v>1460</v>
      </c>
      <c r="C1116" t="s">
        <v>1454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1628</v>
      </c>
      <c r="B1117" t="s">
        <v>1460</v>
      </c>
      <c r="C1117" t="s">
        <v>1454</v>
      </c>
      <c r="D1117">
        <v>2</v>
      </c>
      <c r="E1117" t="s">
        <v>1161</v>
      </c>
      <c r="F1117">
        <f>MAX(MAX(L1117:AE1117),-MIN(L1117:AE1117))</f>
        <v>0</v>
      </c>
      <c r="I1117" t="s">
        <v>1492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1629</v>
      </c>
      <c r="B1119" t="s">
        <v>1463</v>
      </c>
      <c r="C1119" t="s">
        <v>1433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1629</v>
      </c>
      <c r="B1120" t="s">
        <v>1463</v>
      </c>
      <c r="C1120" t="s">
        <v>1433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9.5165128333333342E-3</v>
      </c>
      <c r="R1120">
        <f>IF(ISBLANK(Mitigation_Industry!R719),"",Mitigation_Industry!R719)</f>
        <v>1.9033025666666668E-2</v>
      </c>
      <c r="S1120">
        <f>IF(ISBLANK(Mitigation_Industry!S719),"",Mitigation_Industry!S719)</f>
        <v>2.8549538499999996E-2</v>
      </c>
      <c r="T1120">
        <f>IF(ISBLANK(Mitigation_Industry!T719),"",Mitigation_Industry!T719)</f>
        <v>3.8066051333333337E-2</v>
      </c>
      <c r="U1120">
        <f>IF(ISBLANK(Mitigation_Industry!U719),"",Mitigation_Industry!U719)</f>
        <v>4.7582564166666667E-2</v>
      </c>
      <c r="V1120">
        <f>IF(ISBLANK(Mitigation_Industry!V719),"",Mitigation_Industry!V719)</f>
        <v>5.7099076999999991E-2</v>
      </c>
      <c r="W1120">
        <f>IF(ISBLANK(Mitigation_Industry!W719),"",Mitigation_Industry!W719)</f>
        <v>6.6615589833333336E-2</v>
      </c>
      <c r="X1120">
        <f>IF(ISBLANK(Mitigation_Industry!X719),"",Mitigation_Industry!X719)</f>
        <v>7.6132102666666673E-2</v>
      </c>
      <c r="Y1120">
        <f>IF(ISBLANK(Mitigation_Industry!Y719),"",Mitigation_Industry!Y719)</f>
        <v>8.5648615500000011E-2</v>
      </c>
      <c r="Z1120">
        <f>IF(ISBLANK(Mitigation_Industry!Z719),"",Mitigation_Industry!Z719)</f>
        <v>9.5165128333333335E-2</v>
      </c>
      <c r="AA1120">
        <f>IF(ISBLANK(Mitigation_Industry!AA719),"",Mitigation_Industry!AA719)</f>
        <v>0.10468164116666666</v>
      </c>
      <c r="AB1120">
        <f>IF(ISBLANK(Mitigation_Industry!AB719),"",Mitigation_Industry!AB719)</f>
        <v>0.11419815399999998</v>
      </c>
      <c r="AC1120">
        <f>IF(ISBLANK(Mitigation_Industry!AC719),"",Mitigation_Industry!AC719)</f>
        <v>0.12371466683333333</v>
      </c>
      <c r="AD1120">
        <f>IF(ISBLANK(Mitigation_Industry!AD719),"",Mitigation_Industry!AD719)</f>
        <v>0.13323117966666667</v>
      </c>
      <c r="AE1120">
        <f>IF(ISBLANK(Mitigation_Industry!AE719),"",Mitigation_Industry!AE719)</f>
        <v>0.1427476925</v>
      </c>
    </row>
    <row r="1121" spans="1:31" x14ac:dyDescent="0.45">
      <c r="A1121" t="s">
        <v>1629</v>
      </c>
      <c r="B1121" t="s">
        <v>1463</v>
      </c>
      <c r="C1121" t="s">
        <v>1433</v>
      </c>
      <c r="D1121">
        <v>2</v>
      </c>
      <c r="E1121" t="s">
        <v>1161</v>
      </c>
      <c r="F1121">
        <f>MAX(MAX(L1121:AE1121),-MIN(L1121:AE1121))</f>
        <v>0.1427476925</v>
      </c>
      <c r="I1121" t="s">
        <v>1571</v>
      </c>
      <c r="J1121" t="s">
        <v>1613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9.5165128333333342E-3</v>
      </c>
      <c r="R1121">
        <f t="shared" si="277"/>
        <v>1.9033025666666668E-2</v>
      </c>
      <c r="S1121">
        <f t="shared" si="277"/>
        <v>2.8549538499999996E-2</v>
      </c>
      <c r="T1121">
        <f t="shared" si="277"/>
        <v>3.8066051333333337E-2</v>
      </c>
      <c r="U1121">
        <f t="shared" si="277"/>
        <v>4.7582564166666667E-2</v>
      </c>
      <c r="V1121">
        <f t="shared" si="277"/>
        <v>5.7099076999999991E-2</v>
      </c>
      <c r="W1121">
        <f t="shared" si="277"/>
        <v>6.6615589833333336E-2</v>
      </c>
      <c r="X1121">
        <f t="shared" si="277"/>
        <v>7.6132102666666673E-2</v>
      </c>
      <c r="Y1121">
        <f t="shared" si="277"/>
        <v>8.5648615500000011E-2</v>
      </c>
      <c r="Z1121">
        <f t="shared" si="277"/>
        <v>9.5165128333333335E-2</v>
      </c>
      <c r="AA1121">
        <f t="shared" si="277"/>
        <v>0.10468164116666666</v>
      </c>
      <c r="AB1121">
        <f t="shared" si="277"/>
        <v>0.11419815399999998</v>
      </c>
      <c r="AC1121">
        <f t="shared" si="277"/>
        <v>0.12371466683333333</v>
      </c>
      <c r="AD1121">
        <f t="shared" si="277"/>
        <v>0.13323117966666667</v>
      </c>
      <c r="AE1121">
        <f t="shared" si="277"/>
        <v>0.1427476925</v>
      </c>
    </row>
    <row r="1123" spans="1:31" x14ac:dyDescent="0.45">
      <c r="A1123" t="s">
        <v>1630</v>
      </c>
      <c r="B1123" t="s">
        <v>1463</v>
      </c>
      <c r="C1123" t="s">
        <v>1436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1630</v>
      </c>
      <c r="B1124" t="s">
        <v>1463</v>
      </c>
      <c r="C1124" t="s">
        <v>1436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8.250000000000001E-4</v>
      </c>
      <c r="R1124">
        <f>IF(ISBLANK(Mitigation_Industry!R720),"",Mitigation_Industry!R720)</f>
        <v>1.6500000000000002E-3</v>
      </c>
      <c r="S1124">
        <f>IF(ISBLANK(Mitigation_Industry!S720),"",Mitigation_Industry!S720)</f>
        <v>2.4750000000000002E-3</v>
      </c>
      <c r="T1124">
        <f>IF(ISBLANK(Mitigation_Industry!T720),"",Mitigation_Industry!T720)</f>
        <v>3.3000000000000004E-3</v>
      </c>
      <c r="U1124">
        <f>IF(ISBLANK(Mitigation_Industry!U720),"",Mitigation_Industry!U720)</f>
        <v>4.1250000000000002E-3</v>
      </c>
      <c r="V1124">
        <f>IF(ISBLANK(Mitigation_Industry!V720),"",Mitigation_Industry!V720)</f>
        <v>4.9500000000000004E-3</v>
      </c>
      <c r="W1124">
        <f>IF(ISBLANK(Mitigation_Industry!W720),"",Mitigation_Industry!W720)</f>
        <v>5.7750000000000006E-3</v>
      </c>
      <c r="X1124">
        <f>IF(ISBLANK(Mitigation_Industry!X720),"",Mitigation_Industry!X720)</f>
        <v>6.6000000000000008E-3</v>
      </c>
      <c r="Y1124">
        <f>IF(ISBLANK(Mitigation_Industry!Y720),"",Mitigation_Industry!Y720)</f>
        <v>7.4250000000000002E-3</v>
      </c>
      <c r="Z1124">
        <f>IF(ISBLANK(Mitigation_Industry!Z720),"",Mitigation_Industry!Z720)</f>
        <v>8.2500000000000004E-3</v>
      </c>
      <c r="AA1124">
        <f>IF(ISBLANK(Mitigation_Industry!AA720),"",Mitigation_Industry!AA720)</f>
        <v>9.0749999999999997E-3</v>
      </c>
      <c r="AB1124">
        <f>IF(ISBLANK(Mitigation_Industry!AB720),"",Mitigation_Industry!AB720)</f>
        <v>9.9000000000000008E-3</v>
      </c>
      <c r="AC1124">
        <f>IF(ISBLANK(Mitigation_Industry!AC720),"",Mitigation_Industry!AC720)</f>
        <v>1.0725E-2</v>
      </c>
      <c r="AD1124">
        <f>IF(ISBLANK(Mitigation_Industry!AD720),"",Mitigation_Industry!AD720)</f>
        <v>1.1550000000000001E-2</v>
      </c>
      <c r="AE1124">
        <f>IF(ISBLANK(Mitigation_Industry!AE720),"",Mitigation_Industry!AE720)</f>
        <v>1.2375000000000001E-2</v>
      </c>
    </row>
    <row r="1125" spans="1:31" x14ac:dyDescent="0.45">
      <c r="A1125" t="s">
        <v>1630</v>
      </c>
      <c r="B1125" t="s">
        <v>1463</v>
      </c>
      <c r="C1125" t="s">
        <v>1436</v>
      </c>
      <c r="D1125">
        <v>2</v>
      </c>
      <c r="E1125" t="s">
        <v>1161</v>
      </c>
      <c r="F1125">
        <f>MAX(MAX(L1125:AE1125),-MIN(L1125:AE1125))</f>
        <v>1.2375000000000001E-2</v>
      </c>
      <c r="I1125" t="s">
        <v>1571</v>
      </c>
      <c r="J1125" t="s">
        <v>1613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8.250000000000001E-4</v>
      </c>
      <c r="R1125">
        <f t="shared" si="278"/>
        <v>1.6500000000000002E-3</v>
      </c>
      <c r="S1125">
        <f t="shared" si="278"/>
        <v>2.4750000000000002E-3</v>
      </c>
      <c r="T1125">
        <f t="shared" si="278"/>
        <v>3.3000000000000004E-3</v>
      </c>
      <c r="U1125">
        <f t="shared" si="278"/>
        <v>4.1250000000000002E-3</v>
      </c>
      <c r="V1125">
        <f t="shared" si="278"/>
        <v>4.9500000000000004E-3</v>
      </c>
      <c r="W1125">
        <f t="shared" si="278"/>
        <v>5.7750000000000006E-3</v>
      </c>
      <c r="X1125">
        <f t="shared" si="278"/>
        <v>6.6000000000000008E-3</v>
      </c>
      <c r="Y1125">
        <f t="shared" si="278"/>
        <v>7.4250000000000002E-3</v>
      </c>
      <c r="Z1125">
        <f t="shared" si="278"/>
        <v>8.2500000000000004E-3</v>
      </c>
      <c r="AA1125">
        <f t="shared" si="278"/>
        <v>9.0749999999999997E-3</v>
      </c>
      <c r="AB1125">
        <f t="shared" si="278"/>
        <v>9.9000000000000008E-3</v>
      </c>
      <c r="AC1125">
        <f t="shared" si="278"/>
        <v>1.0725E-2</v>
      </c>
      <c r="AD1125">
        <f t="shared" si="278"/>
        <v>1.1550000000000001E-2</v>
      </c>
      <c r="AE1125">
        <f t="shared" si="278"/>
        <v>1.2375000000000001E-2</v>
      </c>
    </row>
    <row r="1127" spans="1:31" x14ac:dyDescent="0.45">
      <c r="A1127" t="s">
        <v>1631</v>
      </c>
      <c r="B1127" t="s">
        <v>1463</v>
      </c>
      <c r="C1127" t="s">
        <v>1439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1631</v>
      </c>
      <c r="B1128" t="s">
        <v>1463</v>
      </c>
      <c r="C1128" t="s">
        <v>1439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2.8729440927419352E-2</v>
      </c>
      <c r="R1128">
        <f>IF(ISBLANK(Mitigation_Industry!R721),"",Mitigation_Industry!R721)</f>
        <v>5.7458881854838703E-2</v>
      </c>
      <c r="S1128">
        <f>IF(ISBLANK(Mitigation_Industry!S721),"",Mitigation_Industry!S721)</f>
        <v>8.6188322782258048E-2</v>
      </c>
      <c r="T1128">
        <f>IF(ISBLANK(Mitigation_Industry!T721),"",Mitigation_Industry!T721)</f>
        <v>0.11491776370967741</v>
      </c>
      <c r="U1128">
        <f>IF(ISBLANK(Mitigation_Industry!U721),"",Mitigation_Industry!U721)</f>
        <v>0.14364720463709676</v>
      </c>
      <c r="V1128">
        <f>IF(ISBLANK(Mitigation_Industry!V721),"",Mitigation_Industry!V721)</f>
        <v>0.1723766455645161</v>
      </c>
      <c r="W1128">
        <f>IF(ISBLANK(Mitigation_Industry!W721),"",Mitigation_Industry!W721)</f>
        <v>0.20110608649193545</v>
      </c>
      <c r="X1128">
        <f>IF(ISBLANK(Mitigation_Industry!X721),"",Mitigation_Industry!X721)</f>
        <v>0.22983552741935481</v>
      </c>
      <c r="Y1128">
        <f>IF(ISBLANK(Mitigation_Industry!Y721),"",Mitigation_Industry!Y721)</f>
        <v>0.25856496834677417</v>
      </c>
      <c r="Z1128">
        <f>IF(ISBLANK(Mitigation_Industry!Z721),"",Mitigation_Industry!Z721)</f>
        <v>0.28729440927419353</v>
      </c>
      <c r="AA1128">
        <f>IF(ISBLANK(Mitigation_Industry!AA721),"",Mitigation_Industry!AA721)</f>
        <v>0.31602385020161289</v>
      </c>
      <c r="AB1128">
        <f>IF(ISBLANK(Mitigation_Industry!AB721),"",Mitigation_Industry!AB721)</f>
        <v>0.34475329112903219</v>
      </c>
      <c r="AC1128">
        <f>IF(ISBLANK(Mitigation_Industry!AC721),"",Mitigation_Industry!AC721)</f>
        <v>0.37348273205645161</v>
      </c>
      <c r="AD1128">
        <f>IF(ISBLANK(Mitigation_Industry!AD721),"",Mitigation_Industry!AD721)</f>
        <v>0.40221217298387091</v>
      </c>
      <c r="AE1128">
        <f>IF(ISBLANK(Mitigation_Industry!AE721),"",Mitigation_Industry!AE721)</f>
        <v>0.43094161391129021</v>
      </c>
    </row>
    <row r="1129" spans="1:31" x14ac:dyDescent="0.45">
      <c r="A1129" t="s">
        <v>1631</v>
      </c>
      <c r="B1129" t="s">
        <v>1463</v>
      </c>
      <c r="C1129" t="s">
        <v>1439</v>
      </c>
      <c r="D1129">
        <v>2</v>
      </c>
      <c r="E1129" t="s">
        <v>1161</v>
      </c>
      <c r="F1129">
        <f>MAX(MAX(L1129:AE1129),-MIN(L1129:AE1129))</f>
        <v>0.43094161391129021</v>
      </c>
      <c r="I1129" t="s">
        <v>1571</v>
      </c>
      <c r="J1129" t="s">
        <v>1613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2.8729440927419352E-2</v>
      </c>
      <c r="R1129">
        <f t="shared" si="279"/>
        <v>5.7458881854838703E-2</v>
      </c>
      <c r="S1129">
        <f t="shared" si="279"/>
        <v>8.6188322782258048E-2</v>
      </c>
      <c r="T1129">
        <f t="shared" si="279"/>
        <v>0.11491776370967741</v>
      </c>
      <c r="U1129">
        <f t="shared" si="279"/>
        <v>0.14364720463709676</v>
      </c>
      <c r="V1129">
        <f t="shared" si="279"/>
        <v>0.1723766455645161</v>
      </c>
      <c r="W1129">
        <f t="shared" si="279"/>
        <v>0.20110608649193545</v>
      </c>
      <c r="X1129">
        <f t="shared" si="279"/>
        <v>0.22983552741935481</v>
      </c>
      <c r="Y1129">
        <f t="shared" si="279"/>
        <v>0.25856496834677417</v>
      </c>
      <c r="Z1129">
        <f t="shared" si="279"/>
        <v>0.28729440927419353</v>
      </c>
      <c r="AA1129">
        <f t="shared" si="279"/>
        <v>0.31602385020161289</v>
      </c>
      <c r="AB1129">
        <f t="shared" si="279"/>
        <v>0.34475329112903219</v>
      </c>
      <c r="AC1129">
        <f t="shared" si="279"/>
        <v>0.37348273205645161</v>
      </c>
      <c r="AD1129">
        <f t="shared" si="279"/>
        <v>0.40221217298387091</v>
      </c>
      <c r="AE1129">
        <f t="shared" si="279"/>
        <v>0.43094161391129021</v>
      </c>
    </row>
    <row r="1131" spans="1:31" x14ac:dyDescent="0.45">
      <c r="A1131" t="s">
        <v>1632</v>
      </c>
      <c r="B1131" t="s">
        <v>1463</v>
      </c>
      <c r="C1131" t="s">
        <v>1442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1632</v>
      </c>
      <c r="B1132" t="s">
        <v>1463</v>
      </c>
      <c r="C1132" t="s">
        <v>1442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3.5632784090909086E-2</v>
      </c>
      <c r="R1132">
        <f>IF(ISBLANK(Mitigation_Industry!R722),"",Mitigation_Industry!R722)</f>
        <v>7.1265568181818173E-2</v>
      </c>
      <c r="S1132">
        <f>IF(ISBLANK(Mitigation_Industry!S722),"",Mitigation_Industry!S722)</f>
        <v>0.10689835227272727</v>
      </c>
      <c r="T1132">
        <f>IF(ISBLANK(Mitigation_Industry!T722),"",Mitigation_Industry!T722)</f>
        <v>0.14253113636363635</v>
      </c>
      <c r="U1132">
        <f>IF(ISBLANK(Mitigation_Industry!U722),"",Mitigation_Industry!U722)</f>
        <v>0.17816392045454543</v>
      </c>
      <c r="V1132">
        <f>IF(ISBLANK(Mitigation_Industry!V722),"",Mitigation_Industry!V722)</f>
        <v>0.21379670454545455</v>
      </c>
      <c r="W1132">
        <f>IF(ISBLANK(Mitigation_Industry!W722),"",Mitigation_Industry!W722)</f>
        <v>0.24942948863636361</v>
      </c>
      <c r="X1132">
        <f>IF(ISBLANK(Mitigation_Industry!X722),"",Mitigation_Industry!X722)</f>
        <v>0.28506227272727269</v>
      </c>
      <c r="Y1132">
        <f>IF(ISBLANK(Mitigation_Industry!Y722),"",Mitigation_Industry!Y722)</f>
        <v>0.32069505681818178</v>
      </c>
      <c r="Z1132">
        <f>IF(ISBLANK(Mitigation_Industry!Z722),"",Mitigation_Industry!Z722)</f>
        <v>0.35632784090909086</v>
      </c>
      <c r="AA1132">
        <f>IF(ISBLANK(Mitigation_Industry!AA722),"",Mitigation_Industry!AA722)</f>
        <v>0.39196062499999995</v>
      </c>
      <c r="AB1132">
        <f>IF(ISBLANK(Mitigation_Industry!AB722),"",Mitigation_Industry!AB722)</f>
        <v>0.42759340909090909</v>
      </c>
      <c r="AC1132">
        <f>IF(ISBLANK(Mitigation_Industry!AC722),"",Mitigation_Industry!AC722)</f>
        <v>0.46322619318181812</v>
      </c>
      <c r="AD1132">
        <f>IF(ISBLANK(Mitigation_Industry!AD722),"",Mitigation_Industry!AD722)</f>
        <v>0.49885897727272721</v>
      </c>
      <c r="AE1132">
        <f>IF(ISBLANK(Mitigation_Industry!AE722),"",Mitigation_Industry!AE722)</f>
        <v>0.5344917613636363</v>
      </c>
    </row>
    <row r="1133" spans="1:31" x14ac:dyDescent="0.45">
      <c r="A1133" t="s">
        <v>1632</v>
      </c>
      <c r="B1133" t="s">
        <v>1463</v>
      </c>
      <c r="C1133" t="s">
        <v>1442</v>
      </c>
      <c r="D1133">
        <v>2</v>
      </c>
      <c r="E1133" t="s">
        <v>1161</v>
      </c>
      <c r="F1133">
        <f>MAX(MAX(L1133:AE1133),-MIN(L1133:AE1133))</f>
        <v>0.5344917613636363</v>
      </c>
      <c r="I1133" t="s">
        <v>1571</v>
      </c>
      <c r="J1133" t="s">
        <v>1613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3.5632784090909086E-2</v>
      </c>
      <c r="R1133">
        <f t="shared" si="280"/>
        <v>7.1265568181818173E-2</v>
      </c>
      <c r="S1133">
        <f t="shared" si="280"/>
        <v>0.10689835227272727</v>
      </c>
      <c r="T1133">
        <f t="shared" si="280"/>
        <v>0.14253113636363635</v>
      </c>
      <c r="U1133">
        <f t="shared" si="280"/>
        <v>0.17816392045454543</v>
      </c>
      <c r="V1133">
        <f t="shared" si="280"/>
        <v>0.21379670454545455</v>
      </c>
      <c r="W1133">
        <f t="shared" si="280"/>
        <v>0.24942948863636361</v>
      </c>
      <c r="X1133">
        <f t="shared" si="280"/>
        <v>0.28506227272727269</v>
      </c>
      <c r="Y1133">
        <f t="shared" si="280"/>
        <v>0.32069505681818178</v>
      </c>
      <c r="Z1133">
        <f t="shared" si="280"/>
        <v>0.35632784090909086</v>
      </c>
      <c r="AA1133">
        <f t="shared" si="280"/>
        <v>0.39196062499999995</v>
      </c>
      <c r="AB1133">
        <f t="shared" si="280"/>
        <v>0.42759340909090909</v>
      </c>
      <c r="AC1133">
        <f t="shared" si="280"/>
        <v>0.46322619318181812</v>
      </c>
      <c r="AD1133">
        <f t="shared" si="280"/>
        <v>0.49885897727272721</v>
      </c>
      <c r="AE1133">
        <f t="shared" si="280"/>
        <v>0.5344917613636363</v>
      </c>
    </row>
    <row r="1135" spans="1:31" x14ac:dyDescent="0.45">
      <c r="A1135" t="s">
        <v>1633</v>
      </c>
      <c r="B1135" t="s">
        <v>1463</v>
      </c>
      <c r="C1135" t="s">
        <v>1445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1633</v>
      </c>
      <c r="B1136" t="s">
        <v>1463</v>
      </c>
      <c r="C1136" t="s">
        <v>1445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5.4853333333333337E-2</v>
      </c>
      <c r="R1136">
        <f>IF(ISBLANK(Mitigation_Industry!R723),"",Mitigation_Industry!R723)</f>
        <v>0.10970666666666667</v>
      </c>
      <c r="S1136">
        <f>IF(ISBLANK(Mitigation_Industry!S723),"",Mitigation_Industry!S723)</f>
        <v>0.16456000000000001</v>
      </c>
      <c r="T1136">
        <f>IF(ISBLANK(Mitigation_Industry!T723),"",Mitigation_Industry!T723)</f>
        <v>0.21941333333333335</v>
      </c>
      <c r="U1136">
        <f>IF(ISBLANK(Mitigation_Industry!U723),"",Mitigation_Industry!U723)</f>
        <v>0.27426666666666666</v>
      </c>
      <c r="V1136">
        <f>IF(ISBLANK(Mitigation_Industry!V723),"",Mitigation_Industry!V723)</f>
        <v>0.32912000000000002</v>
      </c>
      <c r="W1136">
        <f>IF(ISBLANK(Mitigation_Industry!W723),"",Mitigation_Industry!W723)</f>
        <v>0.38397333333333333</v>
      </c>
      <c r="X1136">
        <f>IF(ISBLANK(Mitigation_Industry!X723),"",Mitigation_Industry!X723)</f>
        <v>0.4388266666666667</v>
      </c>
      <c r="Y1136">
        <f>IF(ISBLANK(Mitigation_Industry!Y723),"",Mitigation_Industry!Y723)</f>
        <v>0.49368000000000001</v>
      </c>
      <c r="Z1136">
        <f>IF(ISBLANK(Mitigation_Industry!Z723),"",Mitigation_Industry!Z723)</f>
        <v>0.54853333333333332</v>
      </c>
      <c r="AA1136">
        <f>IF(ISBLANK(Mitigation_Industry!AA723),"",Mitigation_Industry!AA723)</f>
        <v>0.60338666666666663</v>
      </c>
      <c r="AB1136">
        <f>IF(ISBLANK(Mitigation_Industry!AB723),"",Mitigation_Industry!AB723)</f>
        <v>0.65824000000000005</v>
      </c>
      <c r="AC1136">
        <f>IF(ISBLANK(Mitigation_Industry!AC723),"",Mitigation_Industry!AC723)</f>
        <v>0.71309333333333336</v>
      </c>
      <c r="AD1136">
        <f>IF(ISBLANK(Mitigation_Industry!AD723),"",Mitigation_Industry!AD723)</f>
        <v>0.76794666666666667</v>
      </c>
      <c r="AE1136">
        <f>IF(ISBLANK(Mitigation_Industry!AE723),"",Mitigation_Industry!AE723)</f>
        <v>0.82279999999999998</v>
      </c>
    </row>
    <row r="1137" spans="1:31" x14ac:dyDescent="0.45">
      <c r="A1137" t="s">
        <v>1633</v>
      </c>
      <c r="B1137" t="s">
        <v>1463</v>
      </c>
      <c r="C1137" t="s">
        <v>1445</v>
      </c>
      <c r="D1137">
        <v>2</v>
      </c>
      <c r="E1137" t="s">
        <v>1161</v>
      </c>
      <c r="F1137">
        <f>MAX(MAX(L1137:AE1137),-MIN(L1137:AE1137))</f>
        <v>0.82279999999999998</v>
      </c>
      <c r="I1137" t="s">
        <v>1571</v>
      </c>
      <c r="J1137" t="s">
        <v>1613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5.4853333333333337E-2</v>
      </c>
      <c r="R1137">
        <f t="shared" si="281"/>
        <v>0.10970666666666667</v>
      </c>
      <c r="S1137">
        <f t="shared" si="281"/>
        <v>0.16456000000000001</v>
      </c>
      <c r="T1137">
        <f t="shared" si="281"/>
        <v>0.21941333333333335</v>
      </c>
      <c r="U1137">
        <f t="shared" si="281"/>
        <v>0.27426666666666666</v>
      </c>
      <c r="V1137">
        <f t="shared" si="281"/>
        <v>0.32912000000000002</v>
      </c>
      <c r="W1137">
        <f t="shared" si="281"/>
        <v>0.38397333333333333</v>
      </c>
      <c r="X1137">
        <f t="shared" si="281"/>
        <v>0.4388266666666667</v>
      </c>
      <c r="Y1137">
        <f t="shared" si="281"/>
        <v>0.49368000000000001</v>
      </c>
      <c r="Z1137">
        <f t="shared" si="281"/>
        <v>0.54853333333333332</v>
      </c>
      <c r="AA1137">
        <f t="shared" si="281"/>
        <v>0.60338666666666663</v>
      </c>
      <c r="AB1137">
        <f t="shared" si="281"/>
        <v>0.65824000000000005</v>
      </c>
      <c r="AC1137">
        <f t="shared" si="281"/>
        <v>0.71309333333333336</v>
      </c>
      <c r="AD1137">
        <f t="shared" si="281"/>
        <v>0.76794666666666667</v>
      </c>
      <c r="AE1137">
        <f t="shared" si="281"/>
        <v>0.82279999999999998</v>
      </c>
    </row>
    <row r="1139" spans="1:31" x14ac:dyDescent="0.45">
      <c r="A1139" t="s">
        <v>1634</v>
      </c>
      <c r="B1139" t="s">
        <v>1463</v>
      </c>
      <c r="C1139" t="s">
        <v>1448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1634</v>
      </c>
      <c r="B1140" t="s">
        <v>1463</v>
      </c>
      <c r="C1140" t="s">
        <v>1448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1634</v>
      </c>
      <c r="B1141" t="s">
        <v>1463</v>
      </c>
      <c r="C1141" t="s">
        <v>1448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1571</v>
      </c>
      <c r="J1141" t="s">
        <v>1613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1635</v>
      </c>
      <c r="B1143" t="s">
        <v>1463</v>
      </c>
      <c r="C1143" t="s">
        <v>1451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1635</v>
      </c>
      <c r="B1144" t="s">
        <v>1463</v>
      </c>
      <c r="C1144" t="s">
        <v>1451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1635</v>
      </c>
      <c r="B1145" t="s">
        <v>1463</v>
      </c>
      <c r="C1145" t="s">
        <v>1451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1571</v>
      </c>
      <c r="J1145" t="s">
        <v>1613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1636</v>
      </c>
      <c r="B1147" t="s">
        <v>1463</v>
      </c>
      <c r="C1147" t="s">
        <v>1454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1636</v>
      </c>
      <c r="B1148" t="s">
        <v>1463</v>
      </c>
      <c r="C1148" t="s">
        <v>1454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6.4281250000000005E-4</v>
      </c>
      <c r="R1148">
        <f>IF(ISBLANK(Mitigation_Industry!R726),"",Mitigation_Industry!R726)</f>
        <v>1.2856250000000001E-3</v>
      </c>
      <c r="S1148">
        <f>IF(ISBLANK(Mitigation_Industry!S726),"",Mitigation_Industry!S726)</f>
        <v>1.9284375000000002E-3</v>
      </c>
      <c r="T1148">
        <f>IF(ISBLANK(Mitigation_Industry!T726),"",Mitigation_Industry!T726)</f>
        <v>2.5712500000000002E-3</v>
      </c>
      <c r="U1148">
        <f>IF(ISBLANK(Mitigation_Industry!U726),"",Mitigation_Industry!U726)</f>
        <v>3.2140624999999999E-3</v>
      </c>
      <c r="V1148">
        <f>IF(ISBLANK(Mitigation_Industry!V726),"",Mitigation_Industry!V726)</f>
        <v>3.8568750000000005E-3</v>
      </c>
      <c r="W1148">
        <f>IF(ISBLANK(Mitigation_Industry!W726),"",Mitigation_Industry!W726)</f>
        <v>4.4996875000000002E-3</v>
      </c>
      <c r="X1148">
        <f>IF(ISBLANK(Mitigation_Industry!X726),"",Mitigation_Industry!X726)</f>
        <v>5.1425000000000004E-3</v>
      </c>
      <c r="Y1148">
        <f>IF(ISBLANK(Mitigation_Industry!Y726),"",Mitigation_Industry!Y726)</f>
        <v>5.7853125000000005E-3</v>
      </c>
      <c r="Z1148">
        <f>IF(ISBLANK(Mitigation_Industry!Z726),"",Mitigation_Industry!Z726)</f>
        <v>6.4281249999999998E-3</v>
      </c>
      <c r="AA1148">
        <f>IF(ISBLANK(Mitigation_Industry!AA726),"",Mitigation_Industry!AA726)</f>
        <v>7.0709375E-3</v>
      </c>
      <c r="AB1148">
        <f>IF(ISBLANK(Mitigation_Industry!AB726),"",Mitigation_Industry!AB726)</f>
        <v>7.713750000000001E-3</v>
      </c>
      <c r="AC1148">
        <f>IF(ISBLANK(Mitigation_Industry!AC726),"",Mitigation_Industry!AC726)</f>
        <v>8.3565624999999994E-3</v>
      </c>
      <c r="AD1148">
        <f>IF(ISBLANK(Mitigation_Industry!AD726),"",Mitigation_Industry!AD726)</f>
        <v>8.9993750000000004E-3</v>
      </c>
      <c r="AE1148">
        <f>IF(ISBLANK(Mitigation_Industry!AE726),"",Mitigation_Industry!AE726)</f>
        <v>9.6421874999999997E-3</v>
      </c>
    </row>
    <row r="1149" spans="1:31" x14ac:dyDescent="0.45">
      <c r="A1149" t="s">
        <v>1636</v>
      </c>
      <c r="B1149" t="s">
        <v>1463</v>
      </c>
      <c r="C1149" t="s">
        <v>1454</v>
      </c>
      <c r="D1149">
        <v>2</v>
      </c>
      <c r="E1149" t="s">
        <v>1161</v>
      </c>
      <c r="F1149">
        <f>MAX(MAX(L1149:AE1149),-MIN(L1149:AE1149))</f>
        <v>9.6421874999999997E-3</v>
      </c>
      <c r="I1149" t="s">
        <v>1571</v>
      </c>
      <c r="J1149" t="s">
        <v>1613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6.4281250000000005E-4</v>
      </c>
      <c r="R1149">
        <f t="shared" si="284"/>
        <v>1.2856250000000001E-3</v>
      </c>
      <c r="S1149">
        <f t="shared" si="284"/>
        <v>1.9284375000000002E-3</v>
      </c>
      <c r="T1149">
        <f t="shared" si="284"/>
        <v>2.5712500000000002E-3</v>
      </c>
      <c r="U1149">
        <f t="shared" si="284"/>
        <v>3.2140624999999999E-3</v>
      </c>
      <c r="V1149">
        <f t="shared" si="284"/>
        <v>3.8568750000000005E-3</v>
      </c>
      <c r="W1149">
        <f t="shared" si="284"/>
        <v>4.4996875000000002E-3</v>
      </c>
      <c r="X1149">
        <f t="shared" si="284"/>
        <v>5.1425000000000004E-3</v>
      </c>
      <c r="Y1149">
        <f t="shared" si="284"/>
        <v>5.7853125000000005E-3</v>
      </c>
      <c r="Z1149">
        <f t="shared" si="284"/>
        <v>6.4281249999999998E-3</v>
      </c>
      <c r="AA1149">
        <f t="shared" si="284"/>
        <v>7.0709375E-3</v>
      </c>
      <c r="AB1149">
        <f t="shared" si="284"/>
        <v>7.713750000000001E-3</v>
      </c>
      <c r="AC1149">
        <f t="shared" si="284"/>
        <v>8.3565624999999994E-3</v>
      </c>
      <c r="AD1149">
        <f t="shared" si="284"/>
        <v>8.9993750000000004E-3</v>
      </c>
      <c r="AE1149">
        <f t="shared" si="284"/>
        <v>9.6421874999999997E-3</v>
      </c>
    </row>
    <row r="1151" spans="1:31" x14ac:dyDescent="0.45">
      <c r="A1151" t="s">
        <v>1637</v>
      </c>
      <c r="B1151" t="s">
        <v>1464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1637</v>
      </c>
      <c r="B1152" t="s">
        <v>1464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2.6717650641872548</v>
      </c>
      <c r="M1152">
        <f>IF(ISBLANK(Mitigation_Industry!M729),"",Mitigation_Industry!M729)</f>
        <v>2.789322727011494</v>
      </c>
      <c r="N1152">
        <f>IF(ISBLANK(Mitigation_Industry!N729),"",Mitigation_Industry!N729)</f>
        <v>2.9120529269999995</v>
      </c>
      <c r="O1152">
        <f>IF(ISBLANK(Mitigation_Industry!O729),"",Mitigation_Industry!O729)</f>
        <v>3.0401832557880004</v>
      </c>
      <c r="P1152">
        <f>IF(ISBLANK(Mitigation_Industry!P729),"",Mitigation_Industry!P729)</f>
        <v>3.173951319042672</v>
      </c>
      <c r="Q1152">
        <f>IF(ISBLANK(Mitigation_Industry!Q729),"",Mitigation_Industry!Q729)</f>
        <v>3.3136051770805501</v>
      </c>
      <c r="R1152">
        <f>IF(ISBLANK(Mitigation_Industry!R729),"",Mitigation_Industry!R729)</f>
        <v>3.4594038048720939</v>
      </c>
      <c r="S1152">
        <f>IF(ISBLANK(Mitigation_Industry!S729),"",Mitigation_Industry!S729)</f>
        <v>3.6116175722864661</v>
      </c>
      <c r="T1152">
        <f>IF(ISBLANK(Mitigation_Industry!T729),"",Mitigation_Industry!T729)</f>
        <v>3.7705287454670713</v>
      </c>
      <c r="U1152">
        <f>IF(ISBLANK(Mitigation_Industry!U729),"",Mitigation_Industry!U729)</f>
        <v>3.9364320102676222</v>
      </c>
      <c r="V1152">
        <f>IF(ISBLANK(Mitigation_Industry!V729),"",Mitigation_Industry!V729)</f>
        <v>4.1096350187193975</v>
      </c>
      <c r="W1152">
        <f>IF(ISBLANK(Mitigation_Industry!W729),"",Mitigation_Industry!W729)</f>
        <v>4.2904589595430505</v>
      </c>
      <c r="X1152">
        <f>IF(ISBLANK(Mitigation_Industry!X729),"",Mitigation_Industry!X729)</f>
        <v>4.4792391537629452</v>
      </c>
      <c r="Y1152">
        <f>IF(ISBLANK(Mitigation_Industry!Y729),"",Mitigation_Industry!Y729)</f>
        <v>4.6763256765285162</v>
      </c>
      <c r="Z1152">
        <f>IF(ISBLANK(Mitigation_Industry!Z729),"",Mitigation_Industry!Z729)</f>
        <v>4.8820840062957691</v>
      </c>
      <c r="AA1152">
        <f>IF(ISBLANK(Mitigation_Industry!AA729),"",Mitigation_Industry!AA729)</f>
        <v>5.096895702572783</v>
      </c>
      <c r="AB1152">
        <f>IF(ISBLANK(Mitigation_Industry!AB729),"",Mitigation_Industry!AB729)</f>
        <v>5.3211591134859875</v>
      </c>
      <c r="AC1152">
        <f>IF(ISBLANK(Mitigation_Industry!AC729),"",Mitigation_Industry!AC729)</f>
        <v>5.5552901144793703</v>
      </c>
      <c r="AD1152">
        <f>IF(ISBLANK(Mitigation_Industry!AD729),"",Mitigation_Industry!AD729)</f>
        <v>5.7997228795164624</v>
      </c>
      <c r="AE1152">
        <f>IF(ISBLANK(Mitigation_Industry!AE729),"",Mitigation_Industry!AE729)</f>
        <v>6.0549106862151856</v>
      </c>
    </row>
    <row r="1153" spans="1:31" x14ac:dyDescent="0.45">
      <c r="A1153" t="s">
        <v>1637</v>
      </c>
      <c r="B1153" t="s">
        <v>1464</v>
      </c>
      <c r="C1153" t="s">
        <v>1350</v>
      </c>
      <c r="D1153">
        <v>2</v>
      </c>
      <c r="E1153" t="s">
        <v>1161</v>
      </c>
      <c r="F1153">
        <f>MAX(MAX(L1153:AE1153),-MIN(L1153:AE1153))</f>
        <v>1.26231796322352</v>
      </c>
      <c r="I1153" t="s">
        <v>1492</v>
      </c>
      <c r="K1153">
        <f t="shared" ref="K1153:AE1153" si="285">IF(ISNUMBER(K1151),IF(ISNUMBER(K1152),K1152-K1151,999999),0)</f>
        <v>0</v>
      </c>
      <c r="L1153">
        <f t="shared" si="285"/>
        <v>-0.55700524893204761</v>
      </c>
      <c r="M1153">
        <f t="shared" si="285"/>
        <v>-0.58151347988505764</v>
      </c>
      <c r="N1153">
        <f t="shared" si="285"/>
        <v>-0.60710007300000068</v>
      </c>
      <c r="O1153">
        <f t="shared" si="285"/>
        <v>-0.63381247621200032</v>
      </c>
      <c r="P1153">
        <f t="shared" si="285"/>
        <v>-0.66170022516532878</v>
      </c>
      <c r="Q1153">
        <f t="shared" si="285"/>
        <v>-0.69081503507260322</v>
      </c>
      <c r="R1153">
        <f t="shared" si="285"/>
        <v>-0.72121089661579729</v>
      </c>
      <c r="S1153">
        <f t="shared" si="285"/>
        <v>-0.75294417606689379</v>
      </c>
      <c r="T1153">
        <f t="shared" si="285"/>
        <v>-0.78607371981383567</v>
      </c>
      <c r="U1153">
        <f t="shared" si="285"/>
        <v>-0.82066096348564521</v>
      </c>
      <c r="V1153">
        <f t="shared" si="285"/>
        <v>-0.8567700458790144</v>
      </c>
      <c r="W1153">
        <f t="shared" si="285"/>
        <v>-0.89446792789769081</v>
      </c>
      <c r="X1153">
        <f t="shared" si="285"/>
        <v>-0.93382451672518929</v>
      </c>
      <c r="Y1153">
        <f t="shared" si="285"/>
        <v>-0.97491279546109677</v>
      </c>
      <c r="Z1153">
        <f t="shared" si="285"/>
        <v>-1.0178089584613863</v>
      </c>
      <c r="AA1153">
        <f t="shared" si="285"/>
        <v>-1.0625925526336877</v>
      </c>
      <c r="AB1153">
        <f t="shared" si="285"/>
        <v>-1.109346624949568</v>
      </c>
      <c r="AC1153">
        <f t="shared" si="285"/>
        <v>-1.1581578764473504</v>
      </c>
      <c r="AD1153">
        <f t="shared" si="285"/>
        <v>-1.2091168230110343</v>
      </c>
      <c r="AE1153">
        <f t="shared" si="285"/>
        <v>-1.26231796322352</v>
      </c>
    </row>
    <row r="1155" spans="1:31" x14ac:dyDescent="0.45">
      <c r="A1155" t="s">
        <v>1638</v>
      </c>
      <c r="B1155" t="s">
        <v>1464</v>
      </c>
      <c r="C1155" t="s">
        <v>1355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1638</v>
      </c>
      <c r="B1156" t="s">
        <v>1464</v>
      </c>
      <c r="C1156" t="s">
        <v>1355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0.19764830228563882</v>
      </c>
      <c r="M1156">
        <f>IF(ISBLANK(Mitigation_Industry!M730),"",Mitigation_Industry!M730)</f>
        <v>0.20634482758620692</v>
      </c>
      <c r="N1156">
        <f>IF(ISBLANK(Mitigation_Industry!N730),"",Mitigation_Industry!N730)</f>
        <v>0.215424</v>
      </c>
      <c r="O1156">
        <f>IF(ISBLANK(Mitigation_Industry!O730),"",Mitigation_Industry!O730)</f>
        <v>0.22490265600000001</v>
      </c>
      <c r="P1156">
        <f>IF(ISBLANK(Mitigation_Industry!P730),"",Mitigation_Industry!P730)</f>
        <v>0.23479837286400002</v>
      </c>
      <c r="Q1156">
        <f>IF(ISBLANK(Mitigation_Industry!Q730),"",Mitigation_Industry!Q730)</f>
        <v>0.24512950127001604</v>
      </c>
      <c r="R1156">
        <f>IF(ISBLANK(Mitigation_Industry!R730),"",Mitigation_Industry!R730)</f>
        <v>0.25591519932589668</v>
      </c>
      <c r="S1156">
        <f>IF(ISBLANK(Mitigation_Industry!S730),"",Mitigation_Industry!S730)</f>
        <v>0.26717546809623621</v>
      </c>
      <c r="T1156">
        <f>IF(ISBLANK(Mitigation_Industry!T730),"",Mitigation_Industry!T730)</f>
        <v>0.27893118869247063</v>
      </c>
      <c r="U1156">
        <f>IF(ISBLANK(Mitigation_Industry!U730),"",Mitigation_Industry!U730)</f>
        <v>0.29120416099493934</v>
      </c>
      <c r="V1156">
        <f>IF(ISBLANK(Mitigation_Industry!V730),"",Mitigation_Industry!V730)</f>
        <v>0.30401714407871661</v>
      </c>
      <c r="W1156">
        <f>IF(ISBLANK(Mitigation_Industry!W730),"",Mitigation_Industry!W730)</f>
        <v>0.31739389841818022</v>
      </c>
      <c r="X1156">
        <f>IF(ISBLANK(Mitigation_Industry!X730),"",Mitigation_Industry!X730)</f>
        <v>0.33135922994858014</v>
      </c>
      <c r="Y1156">
        <f>IF(ISBLANK(Mitigation_Industry!Y730),"",Mitigation_Industry!Y730)</f>
        <v>0.34593903606631771</v>
      </c>
      <c r="Z1156">
        <f>IF(ISBLANK(Mitigation_Industry!Z730),"",Mitigation_Industry!Z730)</f>
        <v>0.36116035365323562</v>
      </c>
      <c r="AA1156">
        <f>IF(ISBLANK(Mitigation_Industry!AA730),"",Mitigation_Industry!AA730)</f>
        <v>0.37705140921397801</v>
      </c>
      <c r="AB1156">
        <f>IF(ISBLANK(Mitigation_Industry!AB730),"",Mitigation_Industry!AB730)</f>
        <v>0.39364167121939314</v>
      </c>
      <c r="AC1156">
        <f>IF(ISBLANK(Mitigation_Industry!AC730),"",Mitigation_Industry!AC730)</f>
        <v>0.41096190475304639</v>
      </c>
      <c r="AD1156">
        <f>IF(ISBLANK(Mitigation_Industry!AD730),"",Mitigation_Industry!AD730)</f>
        <v>0.42904422856218044</v>
      </c>
      <c r="AE1156">
        <f>IF(ISBLANK(Mitigation_Industry!AE730),"",Mitigation_Industry!AE730)</f>
        <v>0.44792217461891631</v>
      </c>
    </row>
    <row r="1157" spans="1:31" x14ac:dyDescent="0.45">
      <c r="A1157" t="s">
        <v>1638</v>
      </c>
      <c r="B1157" t="s">
        <v>1464</v>
      </c>
      <c r="C1157" t="s">
        <v>1355</v>
      </c>
      <c r="D1157">
        <v>2</v>
      </c>
      <c r="E1157" t="s">
        <v>1161</v>
      </c>
      <c r="F1157">
        <f>MAX(MAX(L1157:AE1157),-MIN(L1157:AE1157))</f>
        <v>0.95183462106519712</v>
      </c>
      <c r="I1157" t="s">
        <v>1492</v>
      </c>
      <c r="K1157">
        <f t="shared" ref="K1157:AE1157" si="286">IF(ISNUMBER(K1155),IF(ISNUMBER(K1156),K1156-K1155,999999),0)</f>
        <v>0</v>
      </c>
      <c r="L1157">
        <f t="shared" si="286"/>
        <v>-0.42000264235698248</v>
      </c>
      <c r="M1157">
        <f t="shared" si="286"/>
        <v>-0.43848275862068969</v>
      </c>
      <c r="N1157">
        <f t="shared" si="286"/>
        <v>-0.45777600000000002</v>
      </c>
      <c r="O1157">
        <f t="shared" si="286"/>
        <v>-0.47791814399999999</v>
      </c>
      <c r="P1157">
        <f t="shared" si="286"/>
        <v>-0.49894654233600005</v>
      </c>
      <c r="Q1157">
        <f t="shared" si="286"/>
        <v>-0.52090019019878397</v>
      </c>
      <c r="R1157">
        <f t="shared" si="286"/>
        <v>-0.5438197985675306</v>
      </c>
      <c r="S1157">
        <f t="shared" si="286"/>
        <v>-0.56774786970450197</v>
      </c>
      <c r="T1157">
        <f t="shared" si="286"/>
        <v>-0.59272877597150009</v>
      </c>
      <c r="U1157">
        <f t="shared" si="286"/>
        <v>-0.61880884211424614</v>
      </c>
      <c r="V1157">
        <f t="shared" si="286"/>
        <v>-0.64603643116727294</v>
      </c>
      <c r="W1157">
        <f t="shared" si="286"/>
        <v>-0.67446203413863282</v>
      </c>
      <c r="X1157">
        <f t="shared" si="286"/>
        <v>-0.70413836364073301</v>
      </c>
      <c r="Y1157">
        <f t="shared" si="286"/>
        <v>-0.73512045164092488</v>
      </c>
      <c r="Z1157">
        <f t="shared" si="286"/>
        <v>-0.76746575151312568</v>
      </c>
      <c r="AA1157">
        <f t="shared" si="286"/>
        <v>-0.80123424457970316</v>
      </c>
      <c r="AB1157">
        <f t="shared" si="286"/>
        <v>-0.83648855134121014</v>
      </c>
      <c r="AC1157">
        <f t="shared" si="286"/>
        <v>-0.87329404760022333</v>
      </c>
      <c r="AD1157">
        <f t="shared" si="286"/>
        <v>-0.91171898569463306</v>
      </c>
      <c r="AE1157">
        <f t="shared" si="286"/>
        <v>-0.95183462106519712</v>
      </c>
    </row>
    <row r="1159" spans="1:31" x14ac:dyDescent="0.45">
      <c r="A1159" t="s">
        <v>1639</v>
      </c>
      <c r="B1159" t="s">
        <v>1464</v>
      </c>
      <c r="C1159" t="s">
        <v>1359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1639</v>
      </c>
      <c r="B1160" t="s">
        <v>1464</v>
      </c>
      <c r="C1160" t="s">
        <v>1359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1639</v>
      </c>
      <c r="B1161" t="s">
        <v>1464</v>
      </c>
      <c r="C1161" t="s">
        <v>1359</v>
      </c>
      <c r="D1161">
        <v>2</v>
      </c>
      <c r="E1161" t="s">
        <v>1161</v>
      </c>
      <c r="F1161">
        <f>MAX(MAX(L1161:AE1161),-MIN(L1161:AE1161))</f>
        <v>0</v>
      </c>
      <c r="I1161" t="s">
        <v>1492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1640</v>
      </c>
      <c r="B1163" t="s">
        <v>1464</v>
      </c>
      <c r="C1163" t="s">
        <v>1363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1640</v>
      </c>
      <c r="B1164" t="s">
        <v>1464</v>
      </c>
      <c r="C1164" t="s">
        <v>1363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14.692706044200628</v>
      </c>
      <c r="M1164">
        <f>IF(ISBLANK(Mitigation_Industry!M732),"",Mitigation_Industry!M732)</f>
        <v>15.177565343659246</v>
      </c>
      <c r="N1164">
        <f>IF(ISBLANK(Mitigation_Industry!N732),"",Mitigation_Industry!N732)</f>
        <v>15.678424999999999</v>
      </c>
      <c r="O1164">
        <f>IF(ISBLANK(Mitigation_Industry!O732),"",Mitigation_Industry!O732)</f>
        <v>16.195813024999996</v>
      </c>
      <c r="P1164">
        <f>IF(ISBLANK(Mitigation_Industry!P732),"",Mitigation_Industry!P732)</f>
        <v>16.730274854824994</v>
      </c>
      <c r="Q1164">
        <f>IF(ISBLANK(Mitigation_Industry!Q732),"",Mitigation_Industry!Q732)</f>
        <v>17.282373925034218</v>
      </c>
      <c r="R1164">
        <f>IF(ISBLANK(Mitigation_Industry!R732),"",Mitigation_Industry!R732)</f>
        <v>17.852692264560343</v>
      </c>
      <c r="S1164">
        <f>IF(ISBLANK(Mitigation_Industry!S732),"",Mitigation_Industry!S732)</f>
        <v>18.441831109290838</v>
      </c>
      <c r="T1164">
        <f>IF(ISBLANK(Mitigation_Industry!T732),"",Mitigation_Industry!T732)</f>
        <v>19.050411535897432</v>
      </c>
      <c r="U1164">
        <f>IF(ISBLANK(Mitigation_Industry!U732),"",Mitigation_Industry!U732)</f>
        <v>19.679075116582045</v>
      </c>
      <c r="V1164">
        <f>IF(ISBLANK(Mitigation_Industry!V732),"",Mitigation_Industry!V732)</f>
        <v>20.328484595429249</v>
      </c>
      <c r="W1164">
        <f>IF(ISBLANK(Mitigation_Industry!W732),"",Mitigation_Industry!W732)</f>
        <v>20.999324587078412</v>
      </c>
      <c r="X1164">
        <f>IF(ISBLANK(Mitigation_Industry!X732),"",Mitigation_Industry!X732)</f>
        <v>21.692302298451992</v>
      </c>
      <c r="Y1164">
        <f>IF(ISBLANK(Mitigation_Industry!Y732),"",Mitigation_Industry!Y732)</f>
        <v>22.40814827430091</v>
      </c>
      <c r="Z1164">
        <f>IF(ISBLANK(Mitigation_Industry!Z732),"",Mitigation_Industry!Z732)</f>
        <v>23.147617167352838</v>
      </c>
      <c r="AA1164">
        <f>IF(ISBLANK(Mitigation_Industry!AA732),"",Mitigation_Industry!AA732)</f>
        <v>23.911488533875481</v>
      </c>
      <c r="AB1164">
        <f>IF(ISBLANK(Mitigation_Industry!AB732),"",Mitigation_Industry!AB732)</f>
        <v>24.700567655493362</v>
      </c>
      <c r="AC1164">
        <f>IF(ISBLANK(Mitigation_Industry!AC732),"",Mitigation_Industry!AC732)</f>
        <v>25.515686388124642</v>
      </c>
      <c r="AD1164">
        <f>IF(ISBLANK(Mitigation_Industry!AD732),"",Mitigation_Industry!AD732)</f>
        <v>26.357704038932756</v>
      </c>
      <c r="AE1164">
        <f>IF(ISBLANK(Mitigation_Industry!AE732),"",Mitigation_Industry!AE732)</f>
        <v>27.227508272217527</v>
      </c>
    </row>
    <row r="1165" spans="1:31" x14ac:dyDescent="0.45">
      <c r="A1165" t="s">
        <v>1640</v>
      </c>
      <c r="B1165" t="s">
        <v>1464</v>
      </c>
      <c r="C1165" t="s">
        <v>1363</v>
      </c>
      <c r="D1165">
        <v>2</v>
      </c>
      <c r="E1165" t="s">
        <v>1161</v>
      </c>
      <c r="F1165">
        <f>MAX(MAX(L1165:AE1165),-MIN(L1165:AE1165))</f>
        <v>2.1940924958231562</v>
      </c>
      <c r="I1165" t="s">
        <v>1492</v>
      </c>
      <c r="K1165">
        <f t="shared" ref="K1165:AE1165" si="288">IF(ISNUMBER(K1163),IF(ISNUMBER(K1164),K1164-K1163,999999),0)</f>
        <v>0</v>
      </c>
      <c r="L1165">
        <f t="shared" si="288"/>
        <v>1.183992150607871</v>
      </c>
      <c r="M1165">
        <f t="shared" si="288"/>
        <v>1.2230638915779295</v>
      </c>
      <c r="N1165">
        <f t="shared" si="288"/>
        <v>1.2634250000000034</v>
      </c>
      <c r="O1165">
        <f t="shared" si="288"/>
        <v>1.3051180250000023</v>
      </c>
      <c r="P1165">
        <f t="shared" si="288"/>
        <v>1.3481869198250003</v>
      </c>
      <c r="Q1165">
        <f t="shared" si="288"/>
        <v>1.3926770881792265</v>
      </c>
      <c r="R1165">
        <f t="shared" si="288"/>
        <v>1.4386354320891392</v>
      </c>
      <c r="S1165">
        <f t="shared" si="288"/>
        <v>1.4861104013480855</v>
      </c>
      <c r="T1165">
        <f t="shared" si="288"/>
        <v>1.5351520445925679</v>
      </c>
      <c r="U1165">
        <f t="shared" si="288"/>
        <v>1.5858120620641216</v>
      </c>
      <c r="V1165">
        <f t="shared" si="288"/>
        <v>1.6381438601122369</v>
      </c>
      <c r="W1165">
        <f t="shared" si="288"/>
        <v>1.6922026074959398</v>
      </c>
      <c r="X1165">
        <f t="shared" si="288"/>
        <v>1.7480452935432993</v>
      </c>
      <c r="Y1165">
        <f t="shared" si="288"/>
        <v>1.8057307882302318</v>
      </c>
      <c r="Z1165">
        <f t="shared" si="288"/>
        <v>1.8653199042418294</v>
      </c>
      <c r="AA1165">
        <f t="shared" si="288"/>
        <v>1.92687546108181</v>
      </c>
      <c r="AB1165">
        <f t="shared" si="288"/>
        <v>1.9904623512974986</v>
      </c>
      <c r="AC1165">
        <f t="shared" si="288"/>
        <v>2.0561476088903206</v>
      </c>
      <c r="AD1165">
        <f t="shared" si="288"/>
        <v>2.1240004799836996</v>
      </c>
      <c r="AE1165">
        <f t="shared" si="288"/>
        <v>2.1940924958231562</v>
      </c>
    </row>
    <row r="1167" spans="1:31" x14ac:dyDescent="0.45">
      <c r="A1167" t="s">
        <v>1641</v>
      </c>
      <c r="B1167" t="s">
        <v>1464</v>
      </c>
      <c r="C1167" t="s">
        <v>1425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1641</v>
      </c>
      <c r="B1168" t="s">
        <v>1464</v>
      </c>
      <c r="C1168" t="s">
        <v>1425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3.3747527008551588</v>
      </c>
      <c r="M1168">
        <f>IF(ISBLANK(Mitigation_Industry!M733),"",Mitigation_Industry!M733)</f>
        <v>3.4489972602739725</v>
      </c>
      <c r="N1168">
        <f>IF(ISBLANK(Mitigation_Industry!N733),"",Mitigation_Industry!N733)</f>
        <v>3.5248751999999999</v>
      </c>
      <c r="O1168">
        <f>IF(ISBLANK(Mitigation_Industry!O733),"",Mitigation_Industry!O733)</f>
        <v>3.6024224544000001</v>
      </c>
      <c r="P1168">
        <f>IF(ISBLANK(Mitigation_Industry!P733),"",Mitigation_Industry!P733)</f>
        <v>3.6816757483967999</v>
      </c>
      <c r="Q1168">
        <f>IF(ISBLANK(Mitigation_Industry!Q733),"",Mitigation_Industry!Q733)</f>
        <v>3.7626726148615299</v>
      </c>
      <c r="R1168">
        <f>IF(ISBLANK(Mitigation_Industry!R733),"",Mitigation_Industry!R733)</f>
        <v>3.8454514123884831</v>
      </c>
      <c r="S1168">
        <f>IF(ISBLANK(Mitigation_Industry!S733),"",Mitigation_Industry!S733)</f>
        <v>3.9300513434610296</v>
      </c>
      <c r="T1168">
        <f>IF(ISBLANK(Mitigation_Industry!T733),"",Mitigation_Industry!T733)</f>
        <v>4.0165124730171726</v>
      </c>
      <c r="U1168">
        <f>IF(ISBLANK(Mitigation_Industry!U733),"",Mitigation_Industry!U733)</f>
        <v>4.1048757474235504</v>
      </c>
      <c r="V1168">
        <f>IF(ISBLANK(Mitigation_Industry!V733),"",Mitigation_Industry!V733)</f>
        <v>4.1951830138668695</v>
      </c>
      <c r="W1168">
        <f>IF(ISBLANK(Mitigation_Industry!W733),"",Mitigation_Industry!W733)</f>
        <v>4.2874770401719395</v>
      </c>
      <c r="X1168">
        <f>IF(ISBLANK(Mitigation_Industry!X733),"",Mitigation_Industry!X733)</f>
        <v>4.3818015350557227</v>
      </c>
      <c r="Y1168">
        <f>IF(ISBLANK(Mitigation_Industry!Y733),"",Mitigation_Industry!Y733)</f>
        <v>4.4782011688269483</v>
      </c>
      <c r="Z1168">
        <f>IF(ISBLANK(Mitigation_Industry!Z733),"",Mitigation_Industry!Z733)</f>
        <v>4.5767215945411417</v>
      </c>
      <c r="AA1168">
        <f>IF(ISBLANK(Mitigation_Industry!AA733),"",Mitigation_Industry!AA733)</f>
        <v>4.6774094696210469</v>
      </c>
      <c r="AB1168">
        <f>IF(ISBLANK(Mitigation_Industry!AB733),"",Mitigation_Industry!AB733)</f>
        <v>4.7803124779527089</v>
      </c>
      <c r="AC1168">
        <f>IF(ISBLANK(Mitigation_Industry!AC733),"",Mitigation_Industry!AC733)</f>
        <v>4.8854793524676694</v>
      </c>
      <c r="AD1168">
        <f>IF(ISBLANK(Mitigation_Industry!AD733),"",Mitigation_Industry!AD733)</f>
        <v>4.9929598982219581</v>
      </c>
      <c r="AE1168">
        <f>IF(ISBLANK(Mitigation_Industry!AE733),"",Mitigation_Industry!AE733)</f>
        <v>5.1028050159828409</v>
      </c>
    </row>
    <row r="1169" spans="1:31" x14ac:dyDescent="0.45">
      <c r="A1169" t="s">
        <v>1641</v>
      </c>
      <c r="B1169" t="s">
        <v>1464</v>
      </c>
      <c r="C1169" t="s">
        <v>1425</v>
      </c>
      <c r="D1169">
        <v>2</v>
      </c>
      <c r="E1169" t="s">
        <v>1161</v>
      </c>
      <c r="F1169">
        <f>MAX(MAX(L1169:AE1169),-MIN(L1169:AE1169))</f>
        <v>0.3189253134989265</v>
      </c>
      <c r="I1169" t="s">
        <v>1492</v>
      </c>
      <c r="K1169">
        <f t="shared" ref="K1169:AE1169" si="289">IF(ISNUMBER(K1167),IF(ISNUMBER(K1168),K1168-K1167,999999),0)</f>
        <v>0</v>
      </c>
      <c r="L1169">
        <f t="shared" si="289"/>
        <v>0.21092204380344715</v>
      </c>
      <c r="M1169">
        <f t="shared" si="289"/>
        <v>0.21556232876712267</v>
      </c>
      <c r="N1169">
        <f t="shared" si="289"/>
        <v>0.2203046999999998</v>
      </c>
      <c r="O1169">
        <f t="shared" si="289"/>
        <v>0.22515140339999995</v>
      </c>
      <c r="P1169">
        <f t="shared" si="289"/>
        <v>0.23010473427479994</v>
      </c>
      <c r="Q1169">
        <f t="shared" si="289"/>
        <v>0.23516703842884601</v>
      </c>
      <c r="R1169">
        <f t="shared" si="289"/>
        <v>0.24034071327427986</v>
      </c>
      <c r="S1169">
        <f t="shared" si="289"/>
        <v>0.24562820896631399</v>
      </c>
      <c r="T1169">
        <f t="shared" si="289"/>
        <v>0.25103202956357329</v>
      </c>
      <c r="U1169">
        <f t="shared" si="289"/>
        <v>0.25655473421397179</v>
      </c>
      <c r="V1169">
        <f t="shared" si="289"/>
        <v>0.26219893836668007</v>
      </c>
      <c r="W1169">
        <f t="shared" si="289"/>
        <v>0.26796731501074511</v>
      </c>
      <c r="X1169">
        <f t="shared" si="289"/>
        <v>0.27386259594098217</v>
      </c>
      <c r="Y1169">
        <f t="shared" si="289"/>
        <v>0.27988757305168388</v>
      </c>
      <c r="Z1169">
        <f t="shared" si="289"/>
        <v>0.28604509965882041</v>
      </c>
      <c r="AA1169">
        <f t="shared" si="289"/>
        <v>0.29233809185131499</v>
      </c>
      <c r="AB1169">
        <f t="shared" si="289"/>
        <v>0.29876952987204319</v>
      </c>
      <c r="AC1169">
        <f t="shared" si="289"/>
        <v>0.30534245952922845</v>
      </c>
      <c r="AD1169">
        <f t="shared" si="289"/>
        <v>0.31205999363887216</v>
      </c>
      <c r="AE1169">
        <f t="shared" si="289"/>
        <v>0.3189253134989265</v>
      </c>
    </row>
    <row r="1171" spans="1:31" x14ac:dyDescent="0.45">
      <c r="A1171" t="s">
        <v>1642</v>
      </c>
      <c r="B1171" t="s">
        <v>1464</v>
      </c>
      <c r="C1171" t="s">
        <v>1373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1642</v>
      </c>
      <c r="B1172" t="s">
        <v>1464</v>
      </c>
      <c r="C1172" t="s">
        <v>1373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1642</v>
      </c>
      <c r="B1173" t="s">
        <v>1464</v>
      </c>
      <c r="C1173" t="s">
        <v>1373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1492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1643</v>
      </c>
      <c r="B1175" t="s">
        <v>1464</v>
      </c>
      <c r="C1175" t="s">
        <v>1378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1643</v>
      </c>
      <c r="B1176" t="s">
        <v>1464</v>
      </c>
      <c r="C1176" t="s">
        <v>1378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1643</v>
      </c>
      <c r="B1177" t="s">
        <v>1464</v>
      </c>
      <c r="C1177" t="s">
        <v>1378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1492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1644</v>
      </c>
      <c r="B1179" t="s">
        <v>1464</v>
      </c>
      <c r="C1179" t="s">
        <v>1383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1644</v>
      </c>
      <c r="B1180" t="s">
        <v>1464</v>
      </c>
      <c r="C1180" t="s">
        <v>1383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3.3266099144224071E-2</v>
      </c>
      <c r="M1180">
        <f>IF(ISBLANK(Mitigation_Industry!M736),"",Mitigation_Industry!M736)</f>
        <v>3.5095734597156404E-2</v>
      </c>
      <c r="N1180">
        <f>IF(ISBLANK(Mitigation_Industry!N736),"",Mitigation_Industry!N736)</f>
        <v>3.7026000000000003E-2</v>
      </c>
      <c r="O1180">
        <f>IF(ISBLANK(Mitigation_Industry!O736),"",Mitigation_Industry!O736)</f>
        <v>3.9062430000000002E-2</v>
      </c>
      <c r="P1180">
        <f>IF(ISBLANK(Mitigation_Industry!P736),"",Mitigation_Industry!P736)</f>
        <v>4.1210863649999999E-2</v>
      </c>
      <c r="Q1180">
        <f>IF(ISBLANK(Mitigation_Industry!Q736),"",Mitigation_Industry!Q736)</f>
        <v>4.3477461150749991E-2</v>
      </c>
      <c r="R1180">
        <f>IF(ISBLANK(Mitigation_Industry!R736),"",Mitigation_Industry!R736)</f>
        <v>4.5868721514041248E-2</v>
      </c>
      <c r="S1180">
        <f>IF(ISBLANK(Mitigation_Industry!S736),"",Mitigation_Industry!S736)</f>
        <v>4.8391501197313509E-2</v>
      </c>
      <c r="T1180">
        <f>IF(ISBLANK(Mitigation_Industry!T736),"",Mitigation_Industry!T736)</f>
        <v>5.105303376316575E-2</v>
      </c>
      <c r="U1180">
        <f>IF(ISBLANK(Mitigation_Industry!U736),"",Mitigation_Industry!U736)</f>
        <v>5.3860950620139861E-2</v>
      </c>
      <c r="V1180">
        <f>IF(ISBLANK(Mitigation_Industry!V736),"",Mitigation_Industry!V736)</f>
        <v>5.6823302904247558E-2</v>
      </c>
      <c r="W1180">
        <f>IF(ISBLANK(Mitigation_Industry!W736),"",Mitigation_Industry!W736)</f>
        <v>5.9948584563981173E-2</v>
      </c>
      <c r="X1180">
        <f>IF(ISBLANK(Mitigation_Industry!X736),"",Mitigation_Industry!X736)</f>
        <v>6.3245756715000129E-2</v>
      </c>
      <c r="Y1180">
        <f>IF(ISBLANK(Mitigation_Industry!Y736),"",Mitigation_Industry!Y736)</f>
        <v>6.6724273334325138E-2</v>
      </c>
      <c r="Z1180">
        <f>IF(ISBLANK(Mitigation_Industry!Z736),"",Mitigation_Industry!Z736)</f>
        <v>7.039410836771301E-2</v>
      </c>
      <c r="AA1180">
        <f>IF(ISBLANK(Mitigation_Industry!AA736),"",Mitigation_Industry!AA736)</f>
        <v>7.426578432793722E-2</v>
      </c>
      <c r="AB1180">
        <f>IF(ISBLANK(Mitigation_Industry!AB736),"",Mitigation_Industry!AB736)</f>
        <v>7.8350402465973787E-2</v>
      </c>
      <c r="AC1180">
        <f>IF(ISBLANK(Mitigation_Industry!AC736),"",Mitigation_Industry!AC736)</f>
        <v>8.2659674601602312E-2</v>
      </c>
      <c r="AD1180">
        <f>IF(ISBLANK(Mitigation_Industry!AD736),"",Mitigation_Industry!AD736)</f>
        <v>8.7205956704690446E-2</v>
      </c>
      <c r="AE1180">
        <f>IF(ISBLANK(Mitigation_Industry!AE736),"",Mitigation_Industry!AE736)</f>
        <v>9.2002284323448424E-2</v>
      </c>
    </row>
    <row r="1181" spans="1:31" x14ac:dyDescent="0.45">
      <c r="A1181" t="s">
        <v>1644</v>
      </c>
      <c r="B1181" t="s">
        <v>1464</v>
      </c>
      <c r="C1181" t="s">
        <v>1383</v>
      </c>
      <c r="D1181">
        <v>2</v>
      </c>
      <c r="E1181" t="s">
        <v>1161</v>
      </c>
      <c r="F1181">
        <f>MAX(MAX(L1181:AE1181),-MIN(L1181:AE1181))</f>
        <v>2.4286456192334688E-2</v>
      </c>
      <c r="I1181" t="s">
        <v>1492</v>
      </c>
      <c r="K1181">
        <f t="shared" ref="K1181:AE1181" si="292">IF(ISNUMBER(K1179),IF(ISNUMBER(K1180),K1180-K1179,999999),0)</f>
        <v>0</v>
      </c>
      <c r="L1181">
        <f t="shared" si="292"/>
        <v>-8.7814739111879841E-3</v>
      </c>
      <c r="M1181">
        <f t="shared" si="292"/>
        <v>-9.2644549763033074E-3</v>
      </c>
      <c r="N1181">
        <f t="shared" si="292"/>
        <v>-9.773999999999991E-3</v>
      </c>
      <c r="O1181">
        <f t="shared" si="292"/>
        <v>-1.0311569999999999E-2</v>
      </c>
      <c r="P1181">
        <f t="shared" si="292"/>
        <v>-1.0878706349999996E-2</v>
      </c>
      <c r="Q1181">
        <f t="shared" si="292"/>
        <v>-1.1477035199250002E-2</v>
      </c>
      <c r="R1181">
        <f t="shared" si="292"/>
        <v>-1.210827213520875E-2</v>
      </c>
      <c r="S1181">
        <f t="shared" si="292"/>
        <v>-1.2774227102645232E-2</v>
      </c>
      <c r="T1181">
        <f t="shared" si="292"/>
        <v>-1.3476809593290714E-2</v>
      </c>
      <c r="U1181">
        <f t="shared" si="292"/>
        <v>-1.4218034120921708E-2</v>
      </c>
      <c r="V1181">
        <f t="shared" si="292"/>
        <v>-1.5000025997572386E-2</v>
      </c>
      <c r="W1181">
        <f t="shared" si="292"/>
        <v>-1.5825027427438874E-2</v>
      </c>
      <c r="X1181">
        <f t="shared" si="292"/>
        <v>-1.6695403935948025E-2</v>
      </c>
      <c r="Y1181">
        <f t="shared" si="292"/>
        <v>-1.7613651152425164E-2</v>
      </c>
      <c r="Z1181">
        <f t="shared" si="292"/>
        <v>-1.8582401965808557E-2</v>
      </c>
      <c r="AA1181">
        <f t="shared" si="292"/>
        <v>-1.960443407392802E-2</v>
      </c>
      <c r="AB1181">
        <f t="shared" si="292"/>
        <v>-2.0682677947994041E-2</v>
      </c>
      <c r="AC1181">
        <f t="shared" si="292"/>
        <v>-2.1820225235133744E-2</v>
      </c>
      <c r="AD1181">
        <f t="shared" si="292"/>
        <v>-2.3020337623066073E-2</v>
      </c>
      <c r="AE1181">
        <f t="shared" si="292"/>
        <v>-2.4286456192334688E-2</v>
      </c>
    </row>
    <row r="1183" spans="1:31" x14ac:dyDescent="0.45">
      <c r="A1183" t="s">
        <v>1645</v>
      </c>
      <c r="B1183" t="s">
        <v>1464</v>
      </c>
      <c r="C1183" t="s">
        <v>1469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1645</v>
      </c>
      <c r="B1184" t="s">
        <v>1464</v>
      </c>
      <c r="C1184" t="s">
        <v>1469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21.335371186955928</v>
      </c>
      <c r="M1184">
        <f>IF(ISBLANK(Mitigation_Industry!M737),"",Mitigation_Industry!M737)</f>
        <v>22.03059399488933</v>
      </c>
      <c r="N1184">
        <f>IF(ISBLANK(Mitigation_Industry!N737),"",Mitigation_Industry!N737)</f>
        <v>22.749283126999998</v>
      </c>
      <c r="O1184">
        <f>IF(ISBLANK(Mitigation_Industry!O737),"",Mitigation_Industry!O737)</f>
        <v>23.492256381187996</v>
      </c>
      <c r="P1184">
        <f>IF(ISBLANK(Mitigation_Industry!P737),"",Mitigation_Industry!P737)</f>
        <v>24.260360915098467</v>
      </c>
      <c r="Q1184">
        <f>IF(ISBLANK(Mitigation_Industry!Q737),"",Mitigation_Industry!Q737)</f>
        <v>25.054474330356101</v>
      </c>
      <c r="R1184">
        <f>IF(ISBLANK(Mitigation_Industry!R737),"",Mitigation_Industry!R737)</f>
        <v>25.875505797940995</v>
      </c>
      <c r="S1184">
        <f>IF(ISBLANK(Mitigation_Industry!S737),"",Mitigation_Industry!S737)</f>
        <v>26.724397226308188</v>
      </c>
      <c r="T1184">
        <f>IF(ISBLANK(Mitigation_Industry!T737),"",Mitigation_Industry!T737)</f>
        <v>27.60212447391709</v>
      </c>
      <c r="U1184">
        <f>IF(ISBLANK(Mitigation_Industry!U737),"",Mitigation_Industry!U737)</f>
        <v>28.509698607903836</v>
      </c>
      <c r="V1184">
        <f>IF(ISBLANK(Mitigation_Industry!V737),"",Mitigation_Industry!V737)</f>
        <v>29.448167210698362</v>
      </c>
      <c r="W1184">
        <f>IF(ISBLANK(Mitigation_Industry!W737),"",Mitigation_Industry!W737)</f>
        <v>30.418615736460836</v>
      </c>
      <c r="X1184">
        <f>IF(ISBLANK(Mitigation_Industry!X737),"",Mitigation_Industry!X737)</f>
        <v>31.422168919286591</v>
      </c>
      <c r="Y1184">
        <f>IF(ISBLANK(Mitigation_Industry!Y737),"",Mitigation_Industry!Y737)</f>
        <v>32.459992235207118</v>
      </c>
      <c r="Z1184">
        <f>IF(ISBLANK(Mitigation_Industry!Z737),"",Mitigation_Industry!Z737)</f>
        <v>33.533293420096108</v>
      </c>
      <c r="AA1184">
        <f>IF(ISBLANK(Mitigation_Industry!AA737),"",Mitigation_Industry!AA737)</f>
        <v>34.643324045674106</v>
      </c>
      <c r="AB1184">
        <f>IF(ISBLANK(Mitigation_Industry!AB737),"",Mitigation_Industry!AB737)</f>
        <v>35.791381155893689</v>
      </c>
      <c r="AC1184">
        <f>IF(ISBLANK(Mitigation_Industry!AC737),"",Mitigation_Industry!AC737)</f>
        <v>36.978808966078674</v>
      </c>
      <c r="AD1184">
        <f>IF(ISBLANK(Mitigation_Industry!AD737),"",Mitigation_Industry!AD737)</f>
        <v>38.207000627286739</v>
      </c>
      <c r="AE1184">
        <f>IF(ISBLANK(Mitigation_Industry!AE737),"",Mitigation_Industry!AE737)</f>
        <v>39.477400058464283</v>
      </c>
    </row>
    <row r="1185" spans="1:31" x14ac:dyDescent="0.45">
      <c r="A1185" t="s">
        <v>1645</v>
      </c>
      <c r="B1185" t="s">
        <v>1464</v>
      </c>
      <c r="C1185" t="s">
        <v>1469</v>
      </c>
      <c r="D1185">
        <v>2</v>
      </c>
      <c r="E1185" t="s">
        <v>1161</v>
      </c>
      <c r="F1185">
        <f>MAX(MAX(L1185:AE1185),-MIN(L1185:AE1185))</f>
        <v>0.40936552686300232</v>
      </c>
      <c r="I1185" t="s">
        <v>1492</v>
      </c>
      <c r="K1185">
        <f t="shared" ref="K1185:AE1185" si="293">IF(ISNUMBER(K1183),IF(ISNUMBER(K1184),K1184-K1183,999999),0)</f>
        <v>0</v>
      </c>
      <c r="L1185">
        <f t="shared" si="293"/>
        <v>0.40912482921109827</v>
      </c>
      <c r="M1185">
        <f t="shared" si="293"/>
        <v>0.40936552686300232</v>
      </c>
      <c r="N1185">
        <f t="shared" si="293"/>
        <v>0.40907962700000056</v>
      </c>
      <c r="O1185">
        <f t="shared" si="293"/>
        <v>0.408227238188001</v>
      </c>
      <c r="P1185">
        <f t="shared" si="293"/>
        <v>0.40676618024847144</v>
      </c>
      <c r="Q1185">
        <f t="shared" si="293"/>
        <v>0.40465186613743143</v>
      </c>
      <c r="R1185">
        <f t="shared" si="293"/>
        <v>0.40183717804488595</v>
      </c>
      <c r="S1185">
        <f t="shared" si="293"/>
        <v>0.39827233744036405</v>
      </c>
      <c r="T1185">
        <f t="shared" si="293"/>
        <v>0.39390476877751723</v>
      </c>
      <c r="U1185">
        <f t="shared" si="293"/>
        <v>0.38867895655728546</v>
      </c>
      <c r="V1185">
        <f t="shared" si="293"/>
        <v>0.38253629543505596</v>
      </c>
      <c r="W1185">
        <f t="shared" si="293"/>
        <v>0.37541493304291862</v>
      </c>
      <c r="X1185">
        <f t="shared" si="293"/>
        <v>0.3672496051824119</v>
      </c>
      <c r="Y1185">
        <f t="shared" si="293"/>
        <v>0.35797146302746086</v>
      </c>
      <c r="Z1185">
        <f t="shared" si="293"/>
        <v>0.34750789196033338</v>
      </c>
      <c r="AA1185">
        <f t="shared" si="293"/>
        <v>0.33578232164580157</v>
      </c>
      <c r="AB1185">
        <f t="shared" si="293"/>
        <v>0.32271402693076112</v>
      </c>
      <c r="AC1185">
        <f t="shared" si="293"/>
        <v>0.30821791913685104</v>
      </c>
      <c r="AD1185">
        <f t="shared" si="293"/>
        <v>0.29220432729383106</v>
      </c>
      <c r="AE1185">
        <f t="shared" si="293"/>
        <v>0.27457876884102461</v>
      </c>
    </row>
    <row r="1187" spans="1:31" x14ac:dyDescent="0.45">
      <c r="A1187" t="s">
        <v>1646</v>
      </c>
      <c r="B1187" t="s">
        <v>1470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1646</v>
      </c>
      <c r="B1188" t="s">
        <v>1470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0.17734546065090059</v>
      </c>
      <c r="M1188">
        <f>IF(ISBLANK(Mitigation_Industry!M740),"",Mitigation_Industry!M740)</f>
        <v>0.18514866091954021</v>
      </c>
      <c r="N1188">
        <f>IF(ISBLANK(Mitigation_Industry!N740),"",Mitigation_Industry!N740)</f>
        <v>0.193295202</v>
      </c>
      <c r="O1188">
        <f>IF(ISBLANK(Mitigation_Industry!O740),"",Mitigation_Industry!O740)</f>
        <v>0.20180019088800003</v>
      </c>
      <c r="P1188">
        <f>IF(ISBLANK(Mitigation_Industry!P740),"",Mitigation_Industry!P740)</f>
        <v>0.21067939928707202</v>
      </c>
      <c r="Q1188">
        <f>IF(ISBLANK(Mitigation_Industry!Q740),"",Mitigation_Industry!Q740)</f>
        <v>0.21994929285570322</v>
      </c>
      <c r="R1188">
        <f>IF(ISBLANK(Mitigation_Industry!R740),"",Mitigation_Industry!R740)</f>
        <v>0.22962706174135414</v>
      </c>
      <c r="S1188">
        <f>IF(ISBLANK(Mitigation_Industry!S740),"",Mitigation_Industry!S740)</f>
        <v>0.2397306524579737</v>
      </c>
      <c r="T1188">
        <f>IF(ISBLANK(Mitigation_Industry!T740),"",Mitigation_Industry!T740)</f>
        <v>0.25027880116612461</v>
      </c>
      <c r="U1188">
        <f>IF(ISBLANK(Mitigation_Industry!U740),"",Mitigation_Industry!U740)</f>
        <v>0.2612910684174341</v>
      </c>
      <c r="V1188">
        <f>IF(ISBLANK(Mitigation_Industry!V740),"",Mitigation_Industry!V740)</f>
        <v>0.27278787542780114</v>
      </c>
      <c r="W1188">
        <f>IF(ISBLANK(Mitigation_Industry!W740),"",Mitigation_Industry!W740)</f>
        <v>0.28479054194662445</v>
      </c>
      <c r="X1188">
        <f>IF(ISBLANK(Mitigation_Industry!X740),"",Mitigation_Industry!X740)</f>
        <v>0.29732132579227588</v>
      </c>
      <c r="Y1188">
        <f>IF(ISBLANK(Mitigation_Industry!Y740),"",Mitigation_Industry!Y740)</f>
        <v>0.3104034641271361</v>
      </c>
      <c r="Z1188">
        <f>IF(ISBLANK(Mitigation_Industry!Z740),"",Mitigation_Industry!Z740)</f>
        <v>0.32406121654872999</v>
      </c>
      <c r="AA1188">
        <f>IF(ISBLANK(Mitigation_Industry!AA740),"",Mitigation_Industry!AA740)</f>
        <v>0.33831991007687412</v>
      </c>
      <c r="AB1188">
        <f>IF(ISBLANK(Mitigation_Industry!AB740),"",Mitigation_Industry!AB740)</f>
        <v>0.35320598612025667</v>
      </c>
      <c r="AC1188">
        <f>IF(ISBLANK(Mitigation_Industry!AC740),"",Mitigation_Industry!AC740)</f>
        <v>0.36874704950954795</v>
      </c>
      <c r="AD1188">
        <f>IF(ISBLANK(Mitigation_Industry!AD740),"",Mitigation_Industry!AD740)</f>
        <v>0.38497191968796801</v>
      </c>
      <c r="AE1188">
        <f>IF(ISBLANK(Mitigation_Industry!AE740),"",Mitigation_Industry!AE740)</f>
        <v>0.40191068415423858</v>
      </c>
    </row>
    <row r="1189" spans="1:31" x14ac:dyDescent="0.45">
      <c r="A1189" t="s">
        <v>1646</v>
      </c>
      <c r="B1189" t="s">
        <v>1470</v>
      </c>
      <c r="C1189" t="s">
        <v>1350</v>
      </c>
      <c r="D1189">
        <v>2</v>
      </c>
      <c r="E1189" t="s">
        <v>1161</v>
      </c>
      <c r="F1189">
        <f>MAX(MAX(L1189:AE1189),-MIN(L1189:AE1189))</f>
        <v>2.2258041810644391E-2</v>
      </c>
      <c r="I1189" t="s">
        <v>1492</v>
      </c>
      <c r="K1189">
        <f t="shared" ref="K1189:AE1189" si="294">IF(ISNUMBER(K1187),IF(ISNUMBER(K1188),K1188-K1187,999999),0)</f>
        <v>0</v>
      </c>
      <c r="L1189">
        <f t="shared" si="294"/>
        <v>-9.8214922711058472E-3</v>
      </c>
      <c r="M1189">
        <f t="shared" si="294"/>
        <v>-1.0253637931034482E-2</v>
      </c>
      <c r="N1189">
        <f t="shared" si="294"/>
        <v>-1.0704797999999988E-2</v>
      </c>
      <c r="O1189">
        <f t="shared" si="294"/>
        <v>-1.1175809112000001E-2</v>
      </c>
      <c r="P1189">
        <f t="shared" si="294"/>
        <v>-1.1667544712928024E-2</v>
      </c>
      <c r="Q1189">
        <f t="shared" si="294"/>
        <v>-1.2180916680296833E-2</v>
      </c>
      <c r="R1189">
        <f t="shared" si="294"/>
        <v>-1.2716877014229938E-2</v>
      </c>
      <c r="S1189">
        <f t="shared" si="294"/>
        <v>-1.3276419602856082E-2</v>
      </c>
      <c r="T1189">
        <f t="shared" si="294"/>
        <v>-1.386058206538171E-2</v>
      </c>
      <c r="U1189">
        <f t="shared" si="294"/>
        <v>-1.4470447676258491E-2</v>
      </c>
      <c r="V1189">
        <f t="shared" si="294"/>
        <v>-1.5107147374013918E-2</v>
      </c>
      <c r="W1189">
        <f t="shared" si="294"/>
        <v>-1.5771861858470515E-2</v>
      </c>
      <c r="X1189">
        <f t="shared" si="294"/>
        <v>-1.6465823780243249E-2</v>
      </c>
      <c r="Y1189">
        <f t="shared" si="294"/>
        <v>-1.7190320026573891E-2</v>
      </c>
      <c r="Z1189">
        <f t="shared" si="294"/>
        <v>-1.7946694107743244E-2</v>
      </c>
      <c r="AA1189">
        <f t="shared" si="294"/>
        <v>-1.8736348648483947E-2</v>
      </c>
      <c r="AB1189">
        <f t="shared" si="294"/>
        <v>-1.9560747989017191E-2</v>
      </c>
      <c r="AC1189">
        <f t="shared" si="294"/>
        <v>-2.0421420900533893E-2</v>
      </c>
      <c r="AD1189">
        <f t="shared" si="294"/>
        <v>-2.1319963420157462E-2</v>
      </c>
      <c r="AE1189">
        <f t="shared" si="294"/>
        <v>-2.2258041810644391E-2</v>
      </c>
    </row>
    <row r="1191" spans="1:31" x14ac:dyDescent="0.45">
      <c r="A1191" t="s">
        <v>1647</v>
      </c>
      <c r="B1191" t="s">
        <v>1470</v>
      </c>
      <c r="C1191" t="s">
        <v>1355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1647</v>
      </c>
      <c r="B1192" t="s">
        <v>1470</v>
      </c>
      <c r="C1192" t="s">
        <v>1355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0.19368983132954593</v>
      </c>
      <c r="M1192">
        <f>IF(ISBLANK(Mitigation_Industry!M741),"",Mitigation_Industry!M741)</f>
        <v>0.20221218390804596</v>
      </c>
      <c r="N1192">
        <f>IF(ISBLANK(Mitigation_Industry!N741),"",Mitigation_Industry!N741)</f>
        <v>0.21110951999999997</v>
      </c>
      <c r="O1192">
        <f>IF(ISBLANK(Mitigation_Industry!O741),"",Mitigation_Industry!O741)</f>
        <v>0.22039833887999999</v>
      </c>
      <c r="P1192">
        <f>IF(ISBLANK(Mitigation_Industry!P741),"",Mitigation_Industry!P741)</f>
        <v>0.23009586579071997</v>
      </c>
      <c r="Q1192">
        <f>IF(ISBLANK(Mitigation_Industry!Q741),"",Mitigation_Industry!Q741)</f>
        <v>0.24022008388551169</v>
      </c>
      <c r="R1192">
        <f>IF(ISBLANK(Mitigation_Industry!R741),"",Mitigation_Industry!R741)</f>
        <v>0.25078976757647414</v>
      </c>
      <c r="S1192">
        <f>IF(ISBLANK(Mitigation_Industry!S741),"",Mitigation_Industry!S741)</f>
        <v>0.26182451734983908</v>
      </c>
      <c r="T1192">
        <f>IF(ISBLANK(Mitigation_Industry!T741),"",Mitigation_Industry!T741)</f>
        <v>0.27334479611323198</v>
      </c>
      <c r="U1192">
        <f>IF(ISBLANK(Mitigation_Industry!U741),"",Mitigation_Industry!U741)</f>
        <v>0.28537196714221424</v>
      </c>
      <c r="V1192">
        <f>IF(ISBLANK(Mitigation_Industry!V741),"",Mitigation_Industry!V741)</f>
        <v>0.29792833369647159</v>
      </c>
      <c r="W1192">
        <f>IF(ISBLANK(Mitigation_Industry!W741),"",Mitigation_Industry!W741)</f>
        <v>0.31103718037911643</v>
      </c>
      <c r="X1192">
        <f>IF(ISBLANK(Mitigation_Industry!X741),"",Mitigation_Industry!X741)</f>
        <v>0.32472281631579752</v>
      </c>
      <c r="Y1192">
        <f>IF(ISBLANK(Mitigation_Industry!Y741),"",Mitigation_Industry!Y741)</f>
        <v>0.33901062023369266</v>
      </c>
      <c r="Z1192">
        <f>IF(ISBLANK(Mitigation_Industry!Z741),"",Mitigation_Industry!Z741)</f>
        <v>0.35392708752397511</v>
      </c>
      <c r="AA1192">
        <f>IF(ISBLANK(Mitigation_Industry!AA741),"",Mitigation_Industry!AA741)</f>
        <v>0.36949987937502998</v>
      </c>
      <c r="AB1192">
        <f>IF(ISBLANK(Mitigation_Industry!AB741),"",Mitigation_Industry!AB741)</f>
        <v>0.38575787406753137</v>
      </c>
      <c r="AC1192">
        <f>IF(ISBLANK(Mitigation_Industry!AC741),"",Mitigation_Industry!AC741)</f>
        <v>0.40273122052650273</v>
      </c>
      <c r="AD1192">
        <f>IF(ISBLANK(Mitigation_Industry!AD741),"",Mitigation_Industry!AD741)</f>
        <v>0.42045139422966882</v>
      </c>
      <c r="AE1192">
        <f>IF(ISBLANK(Mitigation_Industry!AE741),"",Mitigation_Industry!AE741)</f>
        <v>0.43895125557577425</v>
      </c>
    </row>
    <row r="1193" spans="1:31" x14ac:dyDescent="0.45">
      <c r="A1193" t="s">
        <v>1647</v>
      </c>
      <c r="B1193" t="s">
        <v>1470</v>
      </c>
      <c r="C1193" t="s">
        <v>1355</v>
      </c>
      <c r="D1193">
        <v>2</v>
      </c>
      <c r="E1193" t="s">
        <v>1161</v>
      </c>
      <c r="F1193">
        <f>MAX(MAX(L1193:AE1193),-MIN(L1193:AE1193))</f>
        <v>0.28924464641169795</v>
      </c>
      <c r="I1193" t="s">
        <v>1492</v>
      </c>
      <c r="K1193">
        <f t="shared" ref="K1193:AE1193" si="295">IF(ISNUMBER(K1191),IF(ISNUMBER(K1192),K1192-K1191,999999),0)</f>
        <v>0</v>
      </c>
      <c r="L1193">
        <f t="shared" si="295"/>
        <v>0.12763090676883776</v>
      </c>
      <c r="M1193">
        <f t="shared" si="295"/>
        <v>0.13324666666666665</v>
      </c>
      <c r="N1193">
        <f t="shared" si="295"/>
        <v>0.13910951999999999</v>
      </c>
      <c r="O1193">
        <f t="shared" si="295"/>
        <v>0.14523033887999998</v>
      </c>
      <c r="P1193">
        <f t="shared" si="295"/>
        <v>0.15162047379071997</v>
      </c>
      <c r="Q1193">
        <f t="shared" si="295"/>
        <v>0.15829177463751171</v>
      </c>
      <c r="R1193">
        <f t="shared" si="295"/>
        <v>0.16525661272156214</v>
      </c>
      <c r="S1193">
        <f t="shared" si="295"/>
        <v>0.17252790368131096</v>
      </c>
      <c r="T1193">
        <f t="shared" si="295"/>
        <v>0.18011913144328862</v>
      </c>
      <c r="U1193">
        <f t="shared" si="295"/>
        <v>0.18804437322679335</v>
      </c>
      <c r="V1193">
        <f t="shared" si="295"/>
        <v>0.19631832564877216</v>
      </c>
      <c r="W1193">
        <f t="shared" si="295"/>
        <v>0.20495633197731825</v>
      </c>
      <c r="X1193">
        <f t="shared" si="295"/>
        <v>0.21397441058432021</v>
      </c>
      <c r="Y1193">
        <f t="shared" si="295"/>
        <v>0.22338928465003036</v>
      </c>
      <c r="Z1193">
        <f t="shared" si="295"/>
        <v>0.23321841317463166</v>
      </c>
      <c r="AA1193">
        <f t="shared" si="295"/>
        <v>0.24348002335431543</v>
      </c>
      <c r="AB1193">
        <f t="shared" si="295"/>
        <v>0.25419314438190538</v>
      </c>
      <c r="AC1193">
        <f t="shared" si="295"/>
        <v>0.26537764273470921</v>
      </c>
      <c r="AD1193">
        <f t="shared" si="295"/>
        <v>0.27705425901503639</v>
      </c>
      <c r="AE1193">
        <f t="shared" si="295"/>
        <v>0.28924464641169795</v>
      </c>
    </row>
    <row r="1195" spans="1:31" x14ac:dyDescent="0.45">
      <c r="A1195" t="s">
        <v>1648</v>
      </c>
      <c r="B1195" t="s">
        <v>1470</v>
      </c>
      <c r="C1195" t="s">
        <v>1359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1648</v>
      </c>
      <c r="B1196" t="s">
        <v>1470</v>
      </c>
      <c r="C1196" t="s">
        <v>1359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1648</v>
      </c>
      <c r="B1197" t="s">
        <v>1470</v>
      </c>
      <c r="C1197" t="s">
        <v>1359</v>
      </c>
      <c r="D1197">
        <v>2</v>
      </c>
      <c r="E1197" t="s">
        <v>1161</v>
      </c>
      <c r="F1197">
        <f>MAX(MAX(L1197:AE1197),-MIN(L1197:AE1197))</f>
        <v>0</v>
      </c>
      <c r="I1197" t="s">
        <v>1492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1649</v>
      </c>
      <c r="B1199" t="s">
        <v>1470</v>
      </c>
      <c r="C1199" t="s">
        <v>1363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1649</v>
      </c>
      <c r="B1200" t="s">
        <v>1470</v>
      </c>
      <c r="C1200" t="s">
        <v>1363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25.163138219961041</v>
      </c>
      <c r="M1200">
        <f>IF(ISBLANK(Mitigation_Industry!M743),"",Mitigation_Industry!M743)</f>
        <v>25.993521781219755</v>
      </c>
      <c r="N1200">
        <f>IF(ISBLANK(Mitigation_Industry!N743),"",Mitigation_Industry!N743)</f>
        <v>26.851308</v>
      </c>
      <c r="O1200">
        <f>IF(ISBLANK(Mitigation_Industry!O743),"",Mitigation_Industry!O743)</f>
        <v>27.737401163999998</v>
      </c>
      <c r="P1200">
        <f>IF(ISBLANK(Mitigation_Industry!P743),"",Mitigation_Industry!P743)</f>
        <v>28.652735402411995</v>
      </c>
      <c r="Q1200">
        <f>IF(ISBLANK(Mitigation_Industry!Q743),"",Mitigation_Industry!Q743)</f>
        <v>29.598275670691589</v>
      </c>
      <c r="R1200">
        <f>IF(ISBLANK(Mitigation_Industry!R743),"",Mitigation_Industry!R743)</f>
        <v>30.575018767824407</v>
      </c>
      <c r="S1200">
        <f>IF(ISBLANK(Mitigation_Industry!S743),"",Mitigation_Industry!S743)</f>
        <v>31.583994387162612</v>
      </c>
      <c r="T1200">
        <f>IF(ISBLANK(Mitigation_Industry!T743),"",Mitigation_Industry!T743)</f>
        <v>32.626266201938975</v>
      </c>
      <c r="U1200">
        <f>IF(ISBLANK(Mitigation_Industry!U743),"",Mitigation_Industry!U743)</f>
        <v>33.70293298660296</v>
      </c>
      <c r="V1200">
        <f>IF(ISBLANK(Mitigation_Industry!V743),"",Mitigation_Industry!V743)</f>
        <v>34.815129775160841</v>
      </c>
      <c r="W1200">
        <f>IF(ISBLANK(Mitigation_Industry!W743),"",Mitigation_Industry!W743)</f>
        <v>35.964029057741151</v>
      </c>
      <c r="X1200">
        <f>IF(ISBLANK(Mitigation_Industry!X743),"",Mitigation_Industry!X743)</f>
        <v>37.150842016646592</v>
      </c>
      <c r="Y1200">
        <f>IF(ISBLANK(Mitigation_Industry!Y743),"",Mitigation_Industry!Y743)</f>
        <v>38.376819803195943</v>
      </c>
      <c r="Z1200">
        <f>IF(ISBLANK(Mitigation_Industry!Z743),"",Mitigation_Industry!Z743)</f>
        <v>39.643254856701404</v>
      </c>
      <c r="AA1200">
        <f>IF(ISBLANK(Mitigation_Industry!AA743),"",Mitigation_Industry!AA743)</f>
        <v>40.951482266972548</v>
      </c>
      <c r="AB1200">
        <f>IF(ISBLANK(Mitigation_Industry!AB743),"",Mitigation_Industry!AB743)</f>
        <v>42.302881181782631</v>
      </c>
      <c r="AC1200">
        <f>IF(ISBLANK(Mitigation_Industry!AC743),"",Mitigation_Industry!AC743)</f>
        <v>43.698876260781446</v>
      </c>
      <c r="AD1200">
        <f>IF(ISBLANK(Mitigation_Industry!AD743),"",Mitigation_Industry!AD743)</f>
        <v>45.140939177387231</v>
      </c>
      <c r="AE1200">
        <f>IF(ISBLANK(Mitigation_Industry!AE743),"",Mitigation_Industry!AE743)</f>
        <v>46.630590170241007</v>
      </c>
    </row>
    <row r="1201" spans="1:31" x14ac:dyDescent="0.45">
      <c r="A1201" t="s">
        <v>1649</v>
      </c>
      <c r="B1201" t="s">
        <v>1470</v>
      </c>
      <c r="C1201" t="s">
        <v>1363</v>
      </c>
      <c r="D1201">
        <v>2</v>
      </c>
      <c r="E1201" t="s">
        <v>1161</v>
      </c>
      <c r="F1201">
        <f>MAX(MAX(L1201:AE1201),-MIN(L1201:AE1201))</f>
        <v>0.95741397050655763</v>
      </c>
      <c r="I1201" t="s">
        <v>1492</v>
      </c>
      <c r="K1201">
        <f t="shared" ref="K1201:AE1201" si="297">IF(ISNUMBER(K1199),IF(ISNUMBER(K1200),K1200-K1199,999999),0)</f>
        <v>0</v>
      </c>
      <c r="L1201">
        <f t="shared" si="297"/>
        <v>0.51664669020109599</v>
      </c>
      <c r="M1201">
        <f t="shared" si="297"/>
        <v>0.53369603097773322</v>
      </c>
      <c r="N1201">
        <f t="shared" si="297"/>
        <v>0.5513079999999988</v>
      </c>
      <c r="O1201">
        <f t="shared" si="297"/>
        <v>0.56950116399999828</v>
      </c>
      <c r="P1201">
        <f t="shared" si="297"/>
        <v>0.58829470241199999</v>
      </c>
      <c r="Q1201">
        <f t="shared" si="297"/>
        <v>0.60770842759159649</v>
      </c>
      <c r="R1201">
        <f t="shared" si="297"/>
        <v>0.6277628057021154</v>
      </c>
      <c r="S1201">
        <f t="shared" si="297"/>
        <v>0.64847897829028867</v>
      </c>
      <c r="T1201">
        <f t="shared" si="297"/>
        <v>0.66987878457386429</v>
      </c>
      <c r="U1201">
        <f t="shared" si="297"/>
        <v>0.69198478446480749</v>
      </c>
      <c r="V1201">
        <f t="shared" si="297"/>
        <v>0.71482028235213591</v>
      </c>
      <c r="W1201">
        <f t="shared" si="297"/>
        <v>0.73840935166975186</v>
      </c>
      <c r="X1201">
        <f t="shared" si="297"/>
        <v>0.76277686027484748</v>
      </c>
      <c r="Y1201">
        <f t="shared" si="297"/>
        <v>0.78794849666392963</v>
      </c>
      <c r="Z1201">
        <f t="shared" si="297"/>
        <v>0.81395079705383466</v>
      </c>
      <c r="AA1201">
        <f t="shared" si="297"/>
        <v>0.84081117335661304</v>
      </c>
      <c r="AB1201">
        <f t="shared" si="297"/>
        <v>0.86855794207737347</v>
      </c>
      <c r="AC1201">
        <f t="shared" si="297"/>
        <v>0.89722035416592405</v>
      </c>
      <c r="AD1201">
        <f t="shared" si="297"/>
        <v>0.9268286258533962</v>
      </c>
      <c r="AE1201">
        <f t="shared" si="297"/>
        <v>0.95741397050655763</v>
      </c>
    </row>
    <row r="1203" spans="1:31" x14ac:dyDescent="0.45">
      <c r="A1203" t="s">
        <v>1650</v>
      </c>
      <c r="B1203" t="s">
        <v>1470</v>
      </c>
      <c r="C1203" t="s">
        <v>1425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1650</v>
      </c>
      <c r="B1204" t="s">
        <v>1470</v>
      </c>
      <c r="C1204" t="s">
        <v>1425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1650</v>
      </c>
      <c r="B1205" t="s">
        <v>1470</v>
      </c>
      <c r="C1205" t="s">
        <v>1425</v>
      </c>
      <c r="D1205">
        <v>2</v>
      </c>
      <c r="E1205" t="s">
        <v>1161</v>
      </c>
      <c r="F1205">
        <f>MAX(MAX(L1205:AE1205),-MIN(L1205:AE1205))</f>
        <v>0</v>
      </c>
      <c r="I1205" t="s">
        <v>1492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1651</v>
      </c>
      <c r="B1207" t="s">
        <v>1470</v>
      </c>
      <c r="C1207" t="s">
        <v>1373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1651</v>
      </c>
      <c r="B1208" t="s">
        <v>1470</v>
      </c>
      <c r="C1208" t="s">
        <v>1373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1651</v>
      </c>
      <c r="B1209" t="s">
        <v>1470</v>
      </c>
      <c r="C1209" t="s">
        <v>1373</v>
      </c>
      <c r="D1209">
        <v>2</v>
      </c>
      <c r="E1209" t="s">
        <v>1161</v>
      </c>
      <c r="F1209">
        <f>MAX(MAX(L1209:AE1209),-MIN(L1209:AE1209))</f>
        <v>0</v>
      </c>
      <c r="I1209" t="s">
        <v>1492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1652</v>
      </c>
      <c r="B1211" t="s">
        <v>1470</v>
      </c>
      <c r="C1211" t="s">
        <v>1378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1652</v>
      </c>
      <c r="B1212" t="s">
        <v>1470</v>
      </c>
      <c r="C1212" t="s">
        <v>1378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0.57123661061347031</v>
      </c>
      <c r="M1212">
        <f>IF(ISBLANK(Mitigation_Industry!M746),"",Mitigation_Industry!M746)</f>
        <v>0.58380381604696674</v>
      </c>
      <c r="N1212">
        <f>IF(ISBLANK(Mitigation_Industry!N746),"",Mitigation_Industry!N746)</f>
        <v>0.5966475</v>
      </c>
      <c r="O1212">
        <f>IF(ISBLANK(Mitigation_Industry!O746),"",Mitigation_Industry!O746)</f>
        <v>0.60977374500000003</v>
      </c>
      <c r="P1212">
        <f>IF(ISBLANK(Mitigation_Industry!P746),"",Mitigation_Industry!P746)</f>
        <v>0.62318876738999995</v>
      </c>
      <c r="Q1212">
        <f>IF(ISBLANK(Mitigation_Industry!Q746),"",Mitigation_Industry!Q746)</f>
        <v>0.6368989202725801</v>
      </c>
      <c r="R1212">
        <f>IF(ISBLANK(Mitigation_Industry!R746),"",Mitigation_Industry!R746)</f>
        <v>0.65091069651857669</v>
      </c>
      <c r="S1212">
        <f>IF(ISBLANK(Mitigation_Industry!S746),"",Mitigation_Industry!S746)</f>
        <v>0.66523073184198556</v>
      </c>
      <c r="T1212">
        <f>IF(ISBLANK(Mitigation_Industry!T746),"",Mitigation_Industry!T746)</f>
        <v>0.67986580794250906</v>
      </c>
      <c r="U1212">
        <f>IF(ISBLANK(Mitigation_Industry!U746),"",Mitigation_Industry!U746)</f>
        <v>0.69482285571724434</v>
      </c>
      <c r="V1212">
        <f>IF(ISBLANK(Mitigation_Industry!V746),"",Mitigation_Industry!V746)</f>
        <v>0.7101089585430238</v>
      </c>
      <c r="W1212">
        <f>IF(ISBLANK(Mitigation_Industry!W746),"",Mitigation_Industry!W746)</f>
        <v>0.72573135563097024</v>
      </c>
      <c r="X1212">
        <f>IF(ISBLANK(Mitigation_Industry!X746),"",Mitigation_Industry!X746)</f>
        <v>0.74169744545485172</v>
      </c>
      <c r="Y1212">
        <f>IF(ISBLANK(Mitigation_Industry!Y746),"",Mitigation_Industry!Y746)</f>
        <v>0.75801478925485843</v>
      </c>
      <c r="Z1212">
        <f>IF(ISBLANK(Mitigation_Industry!Z746),"",Mitigation_Industry!Z746)</f>
        <v>0.7746911146184654</v>
      </c>
      <c r="AA1212">
        <f>IF(ISBLANK(Mitigation_Industry!AA746),"",Mitigation_Industry!AA746)</f>
        <v>0.79173431914007153</v>
      </c>
      <c r="AB1212">
        <f>IF(ISBLANK(Mitigation_Industry!AB746),"",Mitigation_Industry!AB746)</f>
        <v>0.8091524741611531</v>
      </c>
      <c r="AC1212">
        <f>IF(ISBLANK(Mitigation_Industry!AC746),"",Mitigation_Industry!AC746)</f>
        <v>0.8269538285926985</v>
      </c>
      <c r="AD1212">
        <f>IF(ISBLANK(Mitigation_Industry!AD746),"",Mitigation_Industry!AD746)</f>
        <v>0.84514681282173787</v>
      </c>
      <c r="AE1212">
        <f>IF(ISBLANK(Mitigation_Industry!AE746),"",Mitigation_Industry!AE746)</f>
        <v>0.8637400427038161</v>
      </c>
    </row>
    <row r="1213" spans="1:31" x14ac:dyDescent="0.45">
      <c r="A1213" t="s">
        <v>1652</v>
      </c>
      <c r="B1213" t="s">
        <v>1470</v>
      </c>
      <c r="C1213" t="s">
        <v>1378</v>
      </c>
      <c r="D1213">
        <v>2</v>
      </c>
      <c r="E1213" t="s">
        <v>1161</v>
      </c>
      <c r="F1213">
        <f>MAX(MAX(L1213:AE1213),-MIN(L1213:AE1213))</f>
        <v>2.1204534126941121E-2</v>
      </c>
      <c r="I1213" t="s">
        <v>1492</v>
      </c>
      <c r="K1213">
        <f t="shared" ref="K1213:AE1213" si="300">IF(ISNUMBER(K1211),IF(ISNUMBER(K1212),K1212-K1211,999999),0)</f>
        <v>0</v>
      </c>
      <c r="L1213">
        <f t="shared" si="300"/>
        <v>1.4023671018416728E-2</v>
      </c>
      <c r="M1213">
        <f t="shared" si="300"/>
        <v>1.4332191780822012E-2</v>
      </c>
      <c r="N1213">
        <f t="shared" si="300"/>
        <v>1.4647500000000035E-2</v>
      </c>
      <c r="O1213">
        <f t="shared" si="300"/>
        <v>1.4969745000000034E-2</v>
      </c>
      <c r="P1213">
        <f t="shared" si="300"/>
        <v>1.5299079389999859E-2</v>
      </c>
      <c r="Q1213">
        <f t="shared" si="300"/>
        <v>1.563565913658016E-2</v>
      </c>
      <c r="R1213">
        <f t="shared" si="300"/>
        <v>1.5979643637584751E-2</v>
      </c>
      <c r="S1213">
        <f t="shared" si="300"/>
        <v>1.6331195797611775E-2</v>
      </c>
      <c r="T1213">
        <f t="shared" si="300"/>
        <v>1.6690482105158999E-2</v>
      </c>
      <c r="U1213">
        <f t="shared" si="300"/>
        <v>1.7057672711472516E-2</v>
      </c>
      <c r="V1213">
        <f t="shared" si="300"/>
        <v>1.7432941511124955E-2</v>
      </c>
      <c r="W1213">
        <f t="shared" si="300"/>
        <v>1.781646622436972E-2</v>
      </c>
      <c r="X1213">
        <f t="shared" si="300"/>
        <v>1.8208428481305994E-2</v>
      </c>
      <c r="Y1213">
        <f t="shared" si="300"/>
        <v>1.8609013907894711E-2</v>
      </c>
      <c r="Z1213">
        <f t="shared" si="300"/>
        <v>1.9018412213868352E-2</v>
      </c>
      <c r="AA1213">
        <f t="shared" si="300"/>
        <v>1.9436817282573293E-2</v>
      </c>
      <c r="AB1213">
        <f t="shared" si="300"/>
        <v>1.9864427262789919E-2</v>
      </c>
      <c r="AC1213">
        <f t="shared" si="300"/>
        <v>2.0301444662571333E-2</v>
      </c>
      <c r="AD1213">
        <f t="shared" si="300"/>
        <v>2.0748076445147867E-2</v>
      </c>
      <c r="AE1213">
        <f t="shared" si="300"/>
        <v>2.1204534126941121E-2</v>
      </c>
    </row>
    <row r="1215" spans="1:31" x14ac:dyDescent="0.45">
      <c r="A1215" t="s">
        <v>1653</v>
      </c>
      <c r="B1215" t="s">
        <v>1470</v>
      </c>
      <c r="C1215" t="s">
        <v>1383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1653</v>
      </c>
      <c r="B1216" t="s">
        <v>1470</v>
      </c>
      <c r="C1216" t="s">
        <v>1383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0.64621002403360217</v>
      </c>
      <c r="M1216">
        <f>IF(ISBLANK(Mitigation_Industry!M747),"",Mitigation_Industry!M747)</f>
        <v>0.68175157535545017</v>
      </c>
      <c r="N1216">
        <f>IF(ISBLANK(Mitigation_Industry!N747),"",Mitigation_Industry!N747)</f>
        <v>0.71924791200000004</v>
      </c>
      <c r="O1216">
        <f>IF(ISBLANK(Mitigation_Industry!O747),"",Mitigation_Industry!O747)</f>
        <v>0.75880654716000007</v>
      </c>
      <c r="P1216">
        <f>IF(ISBLANK(Mitigation_Industry!P747),"",Mitigation_Industry!P747)</f>
        <v>0.80054090725379989</v>
      </c>
      <c r="Q1216">
        <f>IF(ISBLANK(Mitigation_Industry!Q747),"",Mitigation_Industry!Q747)</f>
        <v>0.84457065715275881</v>
      </c>
      <c r="R1216">
        <f>IF(ISBLANK(Mitigation_Industry!R747),"",Mitigation_Industry!R747)</f>
        <v>0.89102204329616075</v>
      </c>
      <c r="S1216">
        <f>IF(ISBLANK(Mitigation_Industry!S747),"",Mitigation_Industry!S747)</f>
        <v>0.9400282556774493</v>
      </c>
      <c r="T1216">
        <f>IF(ISBLANK(Mitigation_Industry!T747),"",Mitigation_Industry!T747)</f>
        <v>0.99172980973970914</v>
      </c>
      <c r="U1216">
        <f>IF(ISBLANK(Mitigation_Industry!U747),"",Mitigation_Industry!U747)</f>
        <v>1.0462749492753931</v>
      </c>
      <c r="V1216">
        <f>IF(ISBLANK(Mitigation_Industry!V747),"",Mitigation_Industry!V747)</f>
        <v>1.1038200714855397</v>
      </c>
      <c r="W1216">
        <f>IF(ISBLANK(Mitigation_Industry!W747),"",Mitigation_Industry!W747)</f>
        <v>1.1645301754172441</v>
      </c>
      <c r="X1216">
        <f>IF(ISBLANK(Mitigation_Industry!X747),"",Mitigation_Industry!X747)</f>
        <v>1.2285793350651928</v>
      </c>
      <c r="Y1216">
        <f>IF(ISBLANK(Mitigation_Industry!Y747),"",Mitigation_Industry!Y747)</f>
        <v>1.2961511984937784</v>
      </c>
      <c r="Z1216">
        <f>IF(ISBLANK(Mitigation_Industry!Z747),"",Mitigation_Industry!Z747)</f>
        <v>1.3674395144109359</v>
      </c>
      <c r="AA1216">
        <f>IF(ISBLANK(Mitigation_Industry!AA747),"",Mitigation_Industry!AA747)</f>
        <v>1.4426486877035372</v>
      </c>
      <c r="AB1216">
        <f>IF(ISBLANK(Mitigation_Industry!AB747),"",Mitigation_Industry!AB747)</f>
        <v>1.5219943655272321</v>
      </c>
      <c r="AC1216">
        <f>IF(ISBLANK(Mitigation_Industry!AC747),"",Mitigation_Industry!AC747)</f>
        <v>1.6057040556312294</v>
      </c>
      <c r="AD1216">
        <f>IF(ISBLANK(Mitigation_Industry!AD747),"",Mitigation_Industry!AD747)</f>
        <v>1.6940177786909472</v>
      </c>
      <c r="AE1216">
        <f>IF(ISBLANK(Mitigation_Industry!AE747),"",Mitigation_Industry!AE747)</f>
        <v>1.787188756518949</v>
      </c>
    </row>
    <row r="1217" spans="1:31" x14ac:dyDescent="0.45">
      <c r="A1217" t="s">
        <v>1653</v>
      </c>
      <c r="B1217" t="s">
        <v>1470</v>
      </c>
      <c r="C1217" t="s">
        <v>1383</v>
      </c>
      <c r="D1217">
        <v>2</v>
      </c>
      <c r="E1217" t="s">
        <v>1161</v>
      </c>
      <c r="F1217">
        <f>MAX(MAX(L1217:AE1217),-MIN(L1217:AE1217))</f>
        <v>3.5403242338882812E-2</v>
      </c>
      <c r="I1217" t="s">
        <v>1492</v>
      </c>
      <c r="K1217">
        <f t="shared" ref="K1217:AE1217" si="301">IF(ISNUMBER(K1215),IF(ISNUMBER(K1216),K1216-K1215,999999),0)</f>
        <v>0</v>
      </c>
      <c r="L1217">
        <f t="shared" si="301"/>
        <v>1.2801070955279603E-2</v>
      </c>
      <c r="M1217">
        <f t="shared" si="301"/>
        <v>1.350512985781982E-2</v>
      </c>
      <c r="N1217">
        <f t="shared" si="301"/>
        <v>1.4247912000000085E-2</v>
      </c>
      <c r="O1217">
        <f t="shared" si="301"/>
        <v>1.5031547160000103E-2</v>
      </c>
      <c r="P1217">
        <f t="shared" si="301"/>
        <v>1.5858282253799927E-2</v>
      </c>
      <c r="Q1217">
        <f t="shared" si="301"/>
        <v>1.6730487777758873E-2</v>
      </c>
      <c r="R1217">
        <f t="shared" si="301"/>
        <v>1.7650664605535771E-2</v>
      </c>
      <c r="S1217">
        <f t="shared" si="301"/>
        <v>1.8621451158839952E-2</v>
      </c>
      <c r="T1217">
        <f t="shared" si="301"/>
        <v>1.9645630972576322E-2</v>
      </c>
      <c r="U1217">
        <f t="shared" si="301"/>
        <v>2.072614067606815E-2</v>
      </c>
      <c r="V1217">
        <f t="shared" si="301"/>
        <v>2.1866078413251833E-2</v>
      </c>
      <c r="W1217">
        <f t="shared" si="301"/>
        <v>2.3068712725980323E-2</v>
      </c>
      <c r="X1217">
        <f t="shared" si="301"/>
        <v>2.4337491925909616E-2</v>
      </c>
      <c r="Y1217">
        <f t="shared" si="301"/>
        <v>2.5676053981834812E-2</v>
      </c>
      <c r="Z1217">
        <f t="shared" si="301"/>
        <v>2.708823695083562E-2</v>
      </c>
      <c r="AA1217">
        <f t="shared" si="301"/>
        <v>2.8578089983130939E-2</v>
      </c>
      <c r="AB1217">
        <f t="shared" si="301"/>
        <v>3.0149884932203941E-2</v>
      </c>
      <c r="AC1217">
        <f t="shared" si="301"/>
        <v>3.1808128603474817E-2</v>
      </c>
      <c r="AD1217">
        <f t="shared" si="301"/>
        <v>3.3557575676666174E-2</v>
      </c>
      <c r="AE1217">
        <f t="shared" si="301"/>
        <v>3.5403242338882812E-2</v>
      </c>
    </row>
    <row r="1219" spans="1:31" x14ac:dyDescent="0.45">
      <c r="A1219" t="s">
        <v>1654</v>
      </c>
      <c r="B1219" t="s">
        <v>1470</v>
      </c>
      <c r="C1219" t="s">
        <v>1469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1654</v>
      </c>
      <c r="B1220" t="s">
        <v>1470</v>
      </c>
      <c r="C1220" t="s">
        <v>1469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26.751620146588564</v>
      </c>
      <c r="M1220">
        <f>IF(ISBLANK(Mitigation_Industry!M748),"",Mitigation_Industry!M748)</f>
        <v>27.646438017449757</v>
      </c>
      <c r="N1220">
        <f>IF(ISBLANK(Mitigation_Industry!N748),"",Mitigation_Industry!N748)</f>
        <v>28.571608133999998</v>
      </c>
      <c r="O1220">
        <f>IF(ISBLANK(Mitigation_Industry!O748),"",Mitigation_Industry!O748)</f>
        <v>29.528179985927999</v>
      </c>
      <c r="P1220">
        <f>IF(ISBLANK(Mitigation_Industry!P748),"",Mitigation_Industry!P748)</f>
        <v>30.51724034213359</v>
      </c>
      <c r="Q1220">
        <f>IF(ISBLANK(Mitigation_Industry!Q748),"",Mitigation_Industry!Q748)</f>
        <v>31.539914624858142</v>
      </c>
      <c r="R1220">
        <f>IF(ISBLANK(Mitigation_Industry!R748),"",Mitigation_Industry!R748)</f>
        <v>32.597368336956968</v>
      </c>
      <c r="S1220">
        <f>IF(ISBLANK(Mitigation_Industry!S748),"",Mitigation_Industry!S748)</f>
        <v>33.690808544489862</v>
      </c>
      <c r="T1220">
        <f>IF(ISBLANK(Mitigation_Industry!T748),"",Mitigation_Industry!T748)</f>
        <v>34.821485416900551</v>
      </c>
      <c r="U1220">
        <f>IF(ISBLANK(Mitigation_Industry!U748),"",Mitigation_Industry!U748)</f>
        <v>35.990693827155241</v>
      </c>
      <c r="V1220">
        <f>IF(ISBLANK(Mitigation_Industry!V748),"",Mitigation_Industry!V748)</f>
        <v>37.199775014313673</v>
      </c>
      <c r="W1220">
        <f>IF(ISBLANK(Mitigation_Industry!W748),"",Mitigation_Industry!W748)</f>
        <v>38.450118311115105</v>
      </c>
      <c r="X1220">
        <f>IF(ISBLANK(Mitigation_Industry!X748),"",Mitigation_Industry!X748)</f>
        <v>39.743162939274711</v>
      </c>
      <c r="Y1220">
        <f>IF(ISBLANK(Mitigation_Industry!Y748),"",Mitigation_Industry!Y748)</f>
        <v>41.08039987530541</v>
      </c>
      <c r="Z1220">
        <f>IF(ISBLANK(Mitigation_Industry!Z748),"",Mitigation_Industry!Z748)</f>
        <v>42.463373789803505</v>
      </c>
      <c r="AA1220">
        <f>IF(ISBLANK(Mitigation_Industry!AA748),"",Mitigation_Industry!AA748)</f>
        <v>43.893685063268059</v>
      </c>
      <c r="AB1220">
        <f>IF(ISBLANK(Mitigation_Industry!AB748),"",Mitigation_Industry!AB748)</f>
        <v>45.372991881658805</v>
      </c>
      <c r="AC1220">
        <f>IF(ISBLANK(Mitigation_Industry!AC748),"",Mitigation_Industry!AC748)</f>
        <v>46.903012415041424</v>
      </c>
      <c r="AD1220">
        <f>IF(ISBLANK(Mitigation_Industry!AD748),"",Mitigation_Industry!AD748)</f>
        <v>48.485527082817555</v>
      </c>
      <c r="AE1220">
        <f>IF(ISBLANK(Mitigation_Industry!AE748),"",Mitigation_Industry!AE748)</f>
        <v>50.122380909193787</v>
      </c>
    </row>
    <row r="1221" spans="1:31" x14ac:dyDescent="0.45">
      <c r="A1221" t="s">
        <v>1654</v>
      </c>
      <c r="B1221" t="s">
        <v>1470</v>
      </c>
      <c r="C1221" t="s">
        <v>1469</v>
      </c>
      <c r="D1221">
        <v>2</v>
      </c>
      <c r="E1221" t="s">
        <v>1161</v>
      </c>
      <c r="F1221">
        <f>MAX(MAX(L1221:AE1221),-MIN(L1221:AE1221))</f>
        <v>1.2810083515734405</v>
      </c>
      <c r="I1221" t="s">
        <v>1492</v>
      </c>
      <c r="K1221">
        <f t="shared" ref="K1221:AE1221" si="302">IF(ISNUMBER(K1219),IF(ISNUMBER(K1220),K1220-K1219,999999),0)</f>
        <v>0</v>
      </c>
      <c r="L1221">
        <f t="shared" si="302"/>
        <v>0.66128084667252551</v>
      </c>
      <c r="M1221">
        <f t="shared" si="302"/>
        <v>0.68452638135200417</v>
      </c>
      <c r="N1221">
        <f t="shared" si="302"/>
        <v>0.70860813399999856</v>
      </c>
      <c r="O1221">
        <f t="shared" si="302"/>
        <v>0.73355698592800067</v>
      </c>
      <c r="P1221">
        <f t="shared" si="302"/>
        <v>0.75940499313359666</v>
      </c>
      <c r="Q1221">
        <f t="shared" si="302"/>
        <v>0.78618543246314587</v>
      </c>
      <c r="R1221">
        <f t="shared" si="302"/>
        <v>0.81393284965256285</v>
      </c>
      <c r="S1221">
        <f t="shared" si="302"/>
        <v>0.84268310932519341</v>
      </c>
      <c r="T1221">
        <f t="shared" si="302"/>
        <v>0.87247344702950613</v>
      </c>
      <c r="U1221">
        <f t="shared" si="302"/>
        <v>0.90334252340287691</v>
      </c>
      <c r="V1221">
        <f t="shared" si="302"/>
        <v>0.935330480551265</v>
      </c>
      <c r="W1221">
        <f t="shared" si="302"/>
        <v>0.96847900073895232</v>
      </c>
      <c r="X1221">
        <f t="shared" si="302"/>
        <v>1.002831367486138</v>
      </c>
      <c r="Y1221">
        <f t="shared" si="302"/>
        <v>1.0384325291771148</v>
      </c>
      <c r="Z1221">
        <f t="shared" si="302"/>
        <v>1.0753291652854244</v>
      </c>
      <c r="AA1221">
        <f t="shared" si="302"/>
        <v>1.1135697553281503</v>
      </c>
      <c r="AB1221">
        <f t="shared" si="302"/>
        <v>1.1532046506652591</v>
      </c>
      <c r="AC1221">
        <f t="shared" si="302"/>
        <v>1.1942861492661407</v>
      </c>
      <c r="AD1221">
        <f t="shared" si="302"/>
        <v>1.2368685735700922</v>
      </c>
      <c r="AE1221">
        <f t="shared" si="302"/>
        <v>1.2810083515734405</v>
      </c>
    </row>
    <row r="1223" spans="1:31" x14ac:dyDescent="0.45">
      <c r="A1223" t="s">
        <v>1655</v>
      </c>
      <c r="B1223" t="s">
        <v>1471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1655</v>
      </c>
      <c r="B1224" t="s">
        <v>1471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1655</v>
      </c>
      <c r="B1225" t="s">
        <v>1471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1492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1656</v>
      </c>
      <c r="B1227" t="s">
        <v>1471</v>
      </c>
      <c r="C1227" t="s">
        <v>1355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1656</v>
      </c>
      <c r="B1228" t="s">
        <v>1471</v>
      </c>
      <c r="C1228" t="s">
        <v>1355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1656</v>
      </c>
      <c r="B1229" t="s">
        <v>1471</v>
      </c>
      <c r="C1229" t="s">
        <v>1355</v>
      </c>
      <c r="D1229">
        <v>2</v>
      </c>
      <c r="E1229" t="s">
        <v>1161</v>
      </c>
      <c r="F1229">
        <f>MAX(MAX(L1229:AE1229),-MIN(L1229:AE1229))</f>
        <v>0</v>
      </c>
      <c r="I1229" t="s">
        <v>1492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1657</v>
      </c>
      <c r="B1231" t="s">
        <v>1471</v>
      </c>
      <c r="C1231" t="s">
        <v>1391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1657</v>
      </c>
      <c r="B1232" t="s">
        <v>1471</v>
      </c>
      <c r="C1232" t="s">
        <v>1391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1657</v>
      </c>
      <c r="B1233" t="s">
        <v>1471</v>
      </c>
      <c r="C1233" t="s">
        <v>1391</v>
      </c>
      <c r="D1233">
        <v>2</v>
      </c>
      <c r="E1233" t="s">
        <v>1161</v>
      </c>
      <c r="F1233">
        <f>MAX(MAX(L1233:AE1233),-MIN(L1233:AE1233))</f>
        <v>0</v>
      </c>
      <c r="I1233" t="s">
        <v>1492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1658</v>
      </c>
      <c r="B1235" t="s">
        <v>1471</v>
      </c>
      <c r="C1235" t="s">
        <v>1392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1658</v>
      </c>
      <c r="B1236" t="s">
        <v>1471</v>
      </c>
      <c r="C1236" t="s">
        <v>1392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1658</v>
      </c>
      <c r="B1237" t="s">
        <v>1471</v>
      </c>
      <c r="C1237" t="s">
        <v>1392</v>
      </c>
      <c r="D1237">
        <v>2</v>
      </c>
      <c r="E1237" t="s">
        <v>1161</v>
      </c>
      <c r="F1237">
        <f>MAX(MAX(L1237:AE1237),-MIN(L1237:AE1237))</f>
        <v>0</v>
      </c>
      <c r="I1237" t="s">
        <v>1492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1659</v>
      </c>
      <c r="B1239" t="s">
        <v>1471</v>
      </c>
      <c r="C1239" t="s">
        <v>1393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1659</v>
      </c>
      <c r="B1240" t="s">
        <v>1471</v>
      </c>
      <c r="C1240" t="s">
        <v>1393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1659</v>
      </c>
      <c r="B1241" t="s">
        <v>1471</v>
      </c>
      <c r="C1241" t="s">
        <v>1393</v>
      </c>
      <c r="D1241">
        <v>2</v>
      </c>
      <c r="E1241" t="s">
        <v>1161</v>
      </c>
      <c r="F1241">
        <f>MAX(MAX(L1241:AE1241),-MIN(L1241:AE1241))</f>
        <v>0</v>
      </c>
      <c r="I1241" t="s">
        <v>1492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1660</v>
      </c>
      <c r="B1243" t="s">
        <v>1471</v>
      </c>
      <c r="C1243" t="s">
        <v>1373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1660</v>
      </c>
      <c r="B1244" t="s">
        <v>1471</v>
      </c>
      <c r="C1244" t="s">
        <v>1373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1660</v>
      </c>
      <c r="B1245" t="s">
        <v>1471</v>
      </c>
      <c r="C1245" t="s">
        <v>1373</v>
      </c>
      <c r="D1245">
        <v>2</v>
      </c>
      <c r="E1245" t="s">
        <v>1161</v>
      </c>
      <c r="F1245">
        <f>MAX(MAX(L1245:AE1245),-MIN(L1245:AE1245))</f>
        <v>0</v>
      </c>
      <c r="I1245" t="s">
        <v>1492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1661</v>
      </c>
      <c r="B1247" t="s">
        <v>1471</v>
      </c>
      <c r="C1247" t="s">
        <v>1394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1661</v>
      </c>
      <c r="B1248" t="s">
        <v>1471</v>
      </c>
      <c r="C1248" t="s">
        <v>1394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1661</v>
      </c>
      <c r="B1249" t="s">
        <v>1471</v>
      </c>
      <c r="C1249" t="s">
        <v>1394</v>
      </c>
      <c r="D1249">
        <v>2</v>
      </c>
      <c r="E1249" t="s">
        <v>1161</v>
      </c>
      <c r="F1249">
        <f>MAX(MAX(L1249:AE1249),-MIN(L1249:AE1249))</f>
        <v>0</v>
      </c>
      <c r="I1249" t="s">
        <v>1492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1662</v>
      </c>
      <c r="B1251" t="s">
        <v>1471</v>
      </c>
      <c r="C1251" t="s">
        <v>1383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1662</v>
      </c>
      <c r="B1252" t="s">
        <v>1471</v>
      </c>
      <c r="C1252" t="s">
        <v>1383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1662</v>
      </c>
      <c r="B1253" t="s">
        <v>1471</v>
      </c>
      <c r="C1253" t="s">
        <v>1383</v>
      </c>
      <c r="D1253">
        <v>2</v>
      </c>
      <c r="E1253" t="s">
        <v>1161</v>
      </c>
      <c r="F1253">
        <f>MAX(MAX(L1253:AE1253),-MIN(L1253:AE1253))</f>
        <v>0</v>
      </c>
      <c r="I1253" t="s">
        <v>1492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1663</v>
      </c>
      <c r="B1255" t="s">
        <v>1471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1663</v>
      </c>
      <c r="B1256" t="s">
        <v>1471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1663</v>
      </c>
      <c r="B1257" t="s">
        <v>1471</v>
      </c>
      <c r="D1257">
        <v>2</v>
      </c>
      <c r="E1257" t="s">
        <v>1161</v>
      </c>
      <c r="F1257">
        <f>MAX(MAX(L1257:AE1257),-MIN(L1257:AE1257))</f>
        <v>0</v>
      </c>
      <c r="I1257" t="s">
        <v>1492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1664</v>
      </c>
      <c r="B1259" t="s">
        <v>1474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1664</v>
      </c>
      <c r="B1260" t="s">
        <v>1474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1664</v>
      </c>
      <c r="B1261" t="s">
        <v>1474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1492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1665</v>
      </c>
      <c r="B1263" t="s">
        <v>1474</v>
      </c>
      <c r="C1263" t="s">
        <v>1355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1665</v>
      </c>
      <c r="B1264" t="s">
        <v>1474</v>
      </c>
      <c r="C1264" t="s">
        <v>1355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1665</v>
      </c>
      <c r="B1265" t="s">
        <v>1474</v>
      </c>
      <c r="C1265" t="s">
        <v>1355</v>
      </c>
      <c r="D1265">
        <v>2</v>
      </c>
      <c r="E1265" t="s">
        <v>1161</v>
      </c>
      <c r="F1265">
        <f>MAX(MAX(L1265:AE1265),-MIN(L1265:AE1265))</f>
        <v>0</v>
      </c>
      <c r="I1265" t="s">
        <v>1492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1666</v>
      </c>
      <c r="B1267" t="s">
        <v>1474</v>
      </c>
      <c r="C1267" t="s">
        <v>1391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1666</v>
      </c>
      <c r="B1268" t="s">
        <v>1474</v>
      </c>
      <c r="C1268" t="s">
        <v>1391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1666</v>
      </c>
      <c r="B1269" t="s">
        <v>1474</v>
      </c>
      <c r="C1269" t="s">
        <v>1391</v>
      </c>
      <c r="D1269">
        <v>2</v>
      </c>
      <c r="E1269" t="s">
        <v>1161</v>
      </c>
      <c r="F1269">
        <f>MAX(MAX(L1269:AE1269),-MIN(L1269:AE1269))</f>
        <v>0</v>
      </c>
      <c r="I1269" t="s">
        <v>1492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1667</v>
      </c>
      <c r="B1271" t="s">
        <v>1474</v>
      </c>
      <c r="C1271" t="s">
        <v>1392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1667</v>
      </c>
      <c r="B1272" t="s">
        <v>1474</v>
      </c>
      <c r="C1272" t="s">
        <v>1392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1667</v>
      </c>
      <c r="B1273" t="s">
        <v>1474</v>
      </c>
      <c r="C1273" t="s">
        <v>1392</v>
      </c>
      <c r="D1273">
        <v>2</v>
      </c>
      <c r="E1273" t="s">
        <v>1161</v>
      </c>
      <c r="F1273">
        <f>MAX(MAX(L1273:AE1273),-MIN(L1273:AE1273))</f>
        <v>0</v>
      </c>
      <c r="I1273" t="s">
        <v>1492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1668</v>
      </c>
      <c r="B1275" t="s">
        <v>1474</v>
      </c>
      <c r="C1275" t="s">
        <v>1393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1668</v>
      </c>
      <c r="B1276" t="s">
        <v>1474</v>
      </c>
      <c r="C1276" t="s">
        <v>1393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1668</v>
      </c>
      <c r="B1277" t="s">
        <v>1474</v>
      </c>
      <c r="C1277" t="s">
        <v>1393</v>
      </c>
      <c r="D1277">
        <v>2</v>
      </c>
      <c r="E1277" t="s">
        <v>1161</v>
      </c>
      <c r="F1277">
        <f>MAX(MAX(L1277:AE1277),-MIN(L1277:AE1277))</f>
        <v>0</v>
      </c>
      <c r="I1277" t="s">
        <v>1492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1669</v>
      </c>
      <c r="B1279" t="s">
        <v>1474</v>
      </c>
      <c r="C1279" t="s">
        <v>1373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1669</v>
      </c>
      <c r="B1280" t="s">
        <v>1474</v>
      </c>
      <c r="C1280" t="s">
        <v>1373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1669</v>
      </c>
      <c r="B1281" t="s">
        <v>1474</v>
      </c>
      <c r="C1281" t="s">
        <v>1373</v>
      </c>
      <c r="D1281">
        <v>2</v>
      </c>
      <c r="E1281" t="s">
        <v>1161</v>
      </c>
      <c r="F1281">
        <f>MAX(MAX(L1281:AE1281),-MIN(L1281:AE1281))</f>
        <v>0</v>
      </c>
      <c r="I1281" t="s">
        <v>1492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1670</v>
      </c>
      <c r="B1283" t="s">
        <v>1474</v>
      </c>
      <c r="C1283" t="s">
        <v>1394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1670</v>
      </c>
      <c r="B1284" t="s">
        <v>1474</v>
      </c>
      <c r="C1284" t="s">
        <v>1394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1670</v>
      </c>
      <c r="B1285" t="s">
        <v>1474</v>
      </c>
      <c r="C1285" t="s">
        <v>1394</v>
      </c>
      <c r="D1285">
        <v>2</v>
      </c>
      <c r="E1285" t="s">
        <v>1161</v>
      </c>
      <c r="F1285">
        <f>MAX(MAX(L1285:AE1285),-MIN(L1285:AE1285))</f>
        <v>0</v>
      </c>
      <c r="I1285" t="s">
        <v>1492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1671</v>
      </c>
      <c r="B1287" t="s">
        <v>1474</v>
      </c>
      <c r="C1287" t="s">
        <v>1383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1671</v>
      </c>
      <c r="B1288" t="s">
        <v>1474</v>
      </c>
      <c r="C1288" t="s">
        <v>1383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1671</v>
      </c>
      <c r="B1289" t="s">
        <v>1474</v>
      </c>
      <c r="C1289" t="s">
        <v>1383</v>
      </c>
      <c r="D1289">
        <v>2</v>
      </c>
      <c r="E1289" t="s">
        <v>1161</v>
      </c>
      <c r="F1289">
        <f>MAX(MAX(L1289:AE1289),-MIN(L1289:AE1289))</f>
        <v>0</v>
      </c>
      <c r="I1289" t="s">
        <v>1492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1672</v>
      </c>
      <c r="B1291" t="s">
        <v>1474</v>
      </c>
      <c r="C1291" t="s">
        <v>1475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1672</v>
      </c>
      <c r="B1292" t="s">
        <v>1474</v>
      </c>
      <c r="C1292" t="s">
        <v>1475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1672</v>
      </c>
      <c r="B1293" t="s">
        <v>1474</v>
      </c>
      <c r="C1293" t="s">
        <v>1475</v>
      </c>
      <c r="D1293">
        <v>2</v>
      </c>
      <c r="E1293" t="s">
        <v>1161</v>
      </c>
      <c r="F1293">
        <f>MAX(MAX(L1293:AE1293),-MIN(L1293:AE1293))</f>
        <v>0</v>
      </c>
      <c r="I1293" t="s">
        <v>1492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1673</v>
      </c>
      <c r="B1295" t="s">
        <v>1476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1673</v>
      </c>
      <c r="B1296" t="s">
        <v>1476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3.7399856771381845</v>
      </c>
      <c r="M1296">
        <f>IF(ISBLANK(Mitigation_Industry!M773),"",Mitigation_Industry!M773)</f>
        <v>3.8222653620352247</v>
      </c>
      <c r="N1296">
        <f>IF(ISBLANK(Mitigation_Industry!N773),"",Mitigation_Industry!N773)</f>
        <v>3.9063551999999997</v>
      </c>
      <c r="O1296">
        <f>IF(ISBLANK(Mitigation_Industry!O773),"",Mitigation_Industry!O773)</f>
        <v>3.9922950143999998</v>
      </c>
      <c r="P1296">
        <f>IF(ISBLANK(Mitigation_Industry!P773),"",Mitigation_Industry!P773)</f>
        <v>4.0801255047168006</v>
      </c>
      <c r="Q1296">
        <f>IF(ISBLANK(Mitigation_Industry!Q773),"",Mitigation_Industry!Q773)</f>
        <v>4.1698882658205694</v>
      </c>
      <c r="R1296">
        <f>IF(ISBLANK(Mitigation_Industry!R773),"",Mitigation_Industry!R773)</f>
        <v>4.2616258076686222</v>
      </c>
      <c r="S1296">
        <f>IF(ISBLANK(Mitigation_Industry!S773),"",Mitigation_Industry!S773)</f>
        <v>4.3553815754373311</v>
      </c>
      <c r="T1296">
        <f>IF(ISBLANK(Mitigation_Industry!T773),"",Mitigation_Industry!T773)</f>
        <v>4.4511999700969529</v>
      </c>
      <c r="U1296">
        <f>IF(ISBLANK(Mitigation_Industry!U773),"",Mitigation_Industry!U773)</f>
        <v>4.5491263694390858</v>
      </c>
      <c r="V1296">
        <f>IF(ISBLANK(Mitigation_Industry!V773),"",Mitigation_Industry!V773)</f>
        <v>4.6492071495667471</v>
      </c>
      <c r="W1296">
        <f>IF(ISBLANK(Mitigation_Industry!W773),"",Mitigation_Industry!W773)</f>
        <v>4.7514897068572139</v>
      </c>
      <c r="X1296">
        <f>IF(ISBLANK(Mitigation_Industry!X773),"",Mitigation_Industry!X773)</f>
        <v>4.8560224804080736</v>
      </c>
      <c r="Y1296">
        <f>IF(ISBLANK(Mitigation_Industry!Y773),"",Mitigation_Industry!Y773)</f>
        <v>4.9628549749770512</v>
      </c>
      <c r="Z1296">
        <f>IF(ISBLANK(Mitigation_Industry!Z773),"",Mitigation_Industry!Z773)</f>
        <v>5.0720377844265467</v>
      </c>
      <c r="AA1296">
        <f>IF(ISBLANK(Mitigation_Industry!AA773),"",Mitigation_Industry!AA773)</f>
        <v>5.1836226156839302</v>
      </c>
      <c r="AB1296">
        <f>IF(ISBLANK(Mitigation_Industry!AB773),"",Mitigation_Industry!AB773)</f>
        <v>5.297662313228976</v>
      </c>
      <c r="AC1296">
        <f>IF(ISBLANK(Mitigation_Industry!AC773),"",Mitigation_Industry!AC773)</f>
        <v>5.4142108841200143</v>
      </c>
      <c r="AD1296">
        <f>IF(ISBLANK(Mitigation_Industry!AD773),"",Mitigation_Industry!AD773)</f>
        <v>5.5333235235706555</v>
      </c>
      <c r="AE1296">
        <f>IF(ISBLANK(Mitigation_Industry!AE773),"",Mitigation_Industry!AE773)</f>
        <v>5.6550566410892094</v>
      </c>
    </row>
    <row r="1297" spans="1:31" x14ac:dyDescent="0.45">
      <c r="A1297" t="s">
        <v>1673</v>
      </c>
      <c r="B1297" t="s">
        <v>1476</v>
      </c>
      <c r="C1297" t="s">
        <v>283</v>
      </c>
      <c r="D1297">
        <v>2</v>
      </c>
      <c r="E1297" t="s">
        <v>1161</v>
      </c>
      <c r="F1297">
        <f>MAX(MAX(L1297:AE1297),-MIN(L1297:AE1297))</f>
        <v>4.8125211325123347</v>
      </c>
      <c r="I1297" t="s">
        <v>1571</v>
      </c>
      <c r="J1297" t="s">
        <v>1572</v>
      </c>
      <c r="K1297">
        <f t="shared" ref="K1297:AE1297" si="321">IF(ISNUMBER(K1295),IF(ISNUMBER(K1296),K1296-K1295,999999),0)</f>
        <v>0</v>
      </c>
      <c r="L1297">
        <f t="shared" si="321"/>
        <v>0.21092204380344715</v>
      </c>
      <c r="M1297">
        <f t="shared" si="321"/>
        <v>3.2527937377690801</v>
      </c>
      <c r="N1297">
        <f t="shared" si="321"/>
        <v>3.3243551999999998</v>
      </c>
      <c r="O1297">
        <f t="shared" si="321"/>
        <v>3.3974910143999999</v>
      </c>
      <c r="P1297">
        <f t="shared" si="321"/>
        <v>3.4722358167168004</v>
      </c>
      <c r="Q1297">
        <f t="shared" si="321"/>
        <v>3.5486250046845695</v>
      </c>
      <c r="R1297">
        <f t="shared" si="321"/>
        <v>3.6266947547876303</v>
      </c>
      <c r="S1297">
        <f t="shared" si="321"/>
        <v>3.7064820393929572</v>
      </c>
      <c r="T1297">
        <f t="shared" si="321"/>
        <v>3.7880246442596031</v>
      </c>
      <c r="U1297">
        <f t="shared" si="321"/>
        <v>3.871361186433314</v>
      </c>
      <c r="V1297">
        <f t="shared" si="321"/>
        <v>3.956531132534848</v>
      </c>
      <c r="W1297">
        <f t="shared" si="321"/>
        <v>4.0435748174506134</v>
      </c>
      <c r="X1297">
        <f t="shared" si="321"/>
        <v>4.1325334634345277</v>
      </c>
      <c r="Y1297">
        <f t="shared" si="321"/>
        <v>4.2234491996300871</v>
      </c>
      <c r="Z1297">
        <f t="shared" si="321"/>
        <v>4.3163650820219495</v>
      </c>
      <c r="AA1297">
        <f t="shared" si="321"/>
        <v>4.4113251138264324</v>
      </c>
      <c r="AB1297">
        <f t="shared" si="321"/>
        <v>4.5083742663306126</v>
      </c>
      <c r="AC1297">
        <f t="shared" si="321"/>
        <v>4.6075585001898869</v>
      </c>
      <c r="AD1297">
        <f t="shared" si="321"/>
        <v>4.7089247871940652</v>
      </c>
      <c r="AE1297">
        <f t="shared" si="321"/>
        <v>4.8125211325123347</v>
      </c>
    </row>
    <row r="1299" spans="1:31" x14ac:dyDescent="0.45">
      <c r="A1299" t="s">
        <v>1674</v>
      </c>
      <c r="B1299" t="s">
        <v>1476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1674</v>
      </c>
      <c r="B1300" t="s">
        <v>1476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2.8694133664728936</v>
      </c>
      <c r="M1300">
        <f>IF(ISBLANK(Mitigation_Industry!M774),"",Mitigation_Industry!M774)</f>
        <v>2.9956675545977007</v>
      </c>
      <c r="N1300">
        <f>IF(ISBLANK(Mitigation_Industry!N774),"",Mitigation_Industry!N774)</f>
        <v>3.1274769269999996</v>
      </c>
      <c r="O1300">
        <f>IF(ISBLANK(Mitigation_Industry!O774),"",Mitigation_Industry!O774)</f>
        <v>3.2650859117880002</v>
      </c>
      <c r="P1300">
        <f>IF(ISBLANK(Mitigation_Industry!P774),"",Mitigation_Industry!P774)</f>
        <v>3.4087496919066722</v>
      </c>
      <c r="Q1300">
        <f>IF(ISBLANK(Mitigation_Industry!Q774),"",Mitigation_Industry!Q774)</f>
        <v>3.5587346783505662</v>
      </c>
      <c r="R1300">
        <f>IF(ISBLANK(Mitigation_Industry!R774),"",Mitigation_Industry!R774)</f>
        <v>3.7153190041979904</v>
      </c>
      <c r="S1300">
        <f>IF(ISBLANK(Mitigation_Industry!S774),"",Mitigation_Industry!S774)</f>
        <v>3.8787930403827025</v>
      </c>
      <c r="T1300">
        <f>IF(ISBLANK(Mitigation_Industry!T774),"",Mitigation_Industry!T774)</f>
        <v>4.0494599341595423</v>
      </c>
      <c r="U1300">
        <f>IF(ISBLANK(Mitigation_Industry!U774),"",Mitigation_Industry!U774)</f>
        <v>4.2276361712625619</v>
      </c>
      <c r="V1300">
        <f>IF(ISBLANK(Mitigation_Industry!V774),"",Mitigation_Industry!V774)</f>
        <v>4.4136521627981145</v>
      </c>
      <c r="W1300">
        <f>IF(ISBLANK(Mitigation_Industry!W774),"",Mitigation_Industry!W774)</f>
        <v>4.6078528579612303</v>
      </c>
      <c r="X1300">
        <f>IF(ISBLANK(Mitigation_Industry!X774),"",Mitigation_Industry!X774)</f>
        <v>4.8105983837115254</v>
      </c>
      <c r="Y1300">
        <f>IF(ISBLANK(Mitigation_Industry!Y774),"",Mitigation_Industry!Y774)</f>
        <v>5.0222647125948336</v>
      </c>
      <c r="Z1300">
        <f>IF(ISBLANK(Mitigation_Industry!Z774),"",Mitigation_Industry!Z774)</f>
        <v>5.2432443599490046</v>
      </c>
      <c r="AA1300">
        <f>IF(ISBLANK(Mitigation_Industry!AA774),"",Mitigation_Industry!AA774)</f>
        <v>5.4739471117867611</v>
      </c>
      <c r="AB1300">
        <f>IF(ISBLANK(Mitigation_Industry!AB774),"",Mitigation_Industry!AB774)</f>
        <v>5.714800784705381</v>
      </c>
      <c r="AC1300">
        <f>IF(ISBLANK(Mitigation_Industry!AC774),"",Mitigation_Industry!AC774)</f>
        <v>5.9662520192324164</v>
      </c>
      <c r="AD1300">
        <f>IF(ISBLANK(Mitigation_Industry!AD774),"",Mitigation_Industry!AD774)</f>
        <v>6.2287671080786424</v>
      </c>
      <c r="AE1300">
        <f>IF(ISBLANK(Mitigation_Industry!AE774),"",Mitigation_Industry!AE774)</f>
        <v>6.5028328608341015</v>
      </c>
    </row>
    <row r="1301" spans="1:31" x14ac:dyDescent="0.45">
      <c r="A1301" t="s">
        <v>1674</v>
      </c>
      <c r="B1301" t="s">
        <v>1476</v>
      </c>
      <c r="C1301" t="s">
        <v>284</v>
      </c>
      <c r="D1301">
        <v>2</v>
      </c>
      <c r="E1301" t="s">
        <v>1161</v>
      </c>
      <c r="F1301">
        <f>MAX(MAX(L1301:AE1301),-MIN(L1301:AE1301))</f>
        <v>5.9289575257051421</v>
      </c>
      <c r="I1301" t="s">
        <v>1571</v>
      </c>
      <c r="J1301" t="s">
        <v>1572</v>
      </c>
      <c r="K1301">
        <f t="shared" ref="K1301:AE1301" si="322">IF(ISNUMBER(K1299),IF(ISNUMBER(K1300),K1300-K1299,999999),0)</f>
        <v>0</v>
      </c>
      <c r="L1301">
        <f t="shared" si="322"/>
        <v>-0.97700789128903009</v>
      </c>
      <c r="M1301">
        <f t="shared" si="322"/>
        <v>2.7312997385057467</v>
      </c>
      <c r="N1301">
        <f t="shared" si="322"/>
        <v>2.8514769269999998</v>
      </c>
      <c r="O1301">
        <f t="shared" si="322"/>
        <v>2.9769419117880003</v>
      </c>
      <c r="P1301">
        <f t="shared" si="322"/>
        <v>3.1079273559066722</v>
      </c>
      <c r="Q1301">
        <f t="shared" si="322"/>
        <v>3.2446761595665663</v>
      </c>
      <c r="R1301">
        <f t="shared" si="322"/>
        <v>3.3874419105874942</v>
      </c>
      <c r="S1301">
        <f t="shared" si="322"/>
        <v>3.5364893546533445</v>
      </c>
      <c r="T1301">
        <f t="shared" si="322"/>
        <v>3.6920948862580927</v>
      </c>
      <c r="U1301">
        <f t="shared" si="322"/>
        <v>3.8545470612534483</v>
      </c>
      <c r="V1301">
        <f t="shared" si="322"/>
        <v>4.0241471319485997</v>
      </c>
      <c r="W1301">
        <f t="shared" si="322"/>
        <v>4.2012096057543369</v>
      </c>
      <c r="X1301">
        <f t="shared" si="322"/>
        <v>4.3860628284075291</v>
      </c>
      <c r="Y1301">
        <f t="shared" si="322"/>
        <v>4.5790495928574613</v>
      </c>
      <c r="Z1301">
        <f t="shared" si="322"/>
        <v>4.780527774943188</v>
      </c>
      <c r="AA1301">
        <f t="shared" si="322"/>
        <v>4.9908709970406884</v>
      </c>
      <c r="AB1301">
        <f t="shared" si="322"/>
        <v>5.2104693209104811</v>
      </c>
      <c r="AC1301">
        <f t="shared" si="322"/>
        <v>5.4397299710305411</v>
      </c>
      <c r="AD1301">
        <f t="shared" si="322"/>
        <v>5.679078089755885</v>
      </c>
      <c r="AE1301">
        <f t="shared" si="322"/>
        <v>5.9289575257051421</v>
      </c>
    </row>
    <row r="1303" spans="1:31" x14ac:dyDescent="0.45">
      <c r="A1303" t="s">
        <v>1675</v>
      </c>
      <c r="B1303" t="s">
        <v>1476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1675</v>
      </c>
      <c r="B1304" t="s">
        <v>1476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3.3266099144224071E-2</v>
      </c>
      <c r="M1304">
        <f>IF(ISBLANK(Mitigation_Industry!M775),"",Mitigation_Industry!M775)</f>
        <v>3.5095734597156404E-2</v>
      </c>
      <c r="N1304">
        <f>IF(ISBLANK(Mitigation_Industry!N775),"",Mitigation_Industry!N775)</f>
        <v>3.7026000000000003E-2</v>
      </c>
      <c r="O1304">
        <f>IF(ISBLANK(Mitigation_Industry!O775),"",Mitigation_Industry!O775)</f>
        <v>3.9062430000000002E-2</v>
      </c>
      <c r="P1304">
        <f>IF(ISBLANK(Mitigation_Industry!P775),"",Mitigation_Industry!P775)</f>
        <v>4.1210863649999999E-2</v>
      </c>
      <c r="Q1304">
        <f>IF(ISBLANK(Mitigation_Industry!Q775),"",Mitigation_Industry!Q775)</f>
        <v>4.3477461150749991E-2</v>
      </c>
      <c r="R1304">
        <f>IF(ISBLANK(Mitigation_Industry!R775),"",Mitigation_Industry!R775)</f>
        <v>4.5868721514041248E-2</v>
      </c>
      <c r="S1304">
        <f>IF(ISBLANK(Mitigation_Industry!S775),"",Mitigation_Industry!S775)</f>
        <v>4.8391501197313509E-2</v>
      </c>
      <c r="T1304">
        <f>IF(ISBLANK(Mitigation_Industry!T775),"",Mitigation_Industry!T775)</f>
        <v>5.105303376316575E-2</v>
      </c>
      <c r="U1304">
        <f>IF(ISBLANK(Mitigation_Industry!U775),"",Mitigation_Industry!U775)</f>
        <v>5.3860950620139861E-2</v>
      </c>
      <c r="V1304">
        <f>IF(ISBLANK(Mitigation_Industry!V775),"",Mitigation_Industry!V775)</f>
        <v>5.6823302904247558E-2</v>
      </c>
      <c r="W1304">
        <f>IF(ISBLANK(Mitigation_Industry!W775),"",Mitigation_Industry!W775)</f>
        <v>5.9948584563981173E-2</v>
      </c>
      <c r="X1304">
        <f>IF(ISBLANK(Mitigation_Industry!X775),"",Mitigation_Industry!X775)</f>
        <v>6.3245756715000129E-2</v>
      </c>
      <c r="Y1304">
        <f>IF(ISBLANK(Mitigation_Industry!Y775),"",Mitigation_Industry!Y775)</f>
        <v>6.6724273334325138E-2</v>
      </c>
      <c r="Z1304">
        <f>IF(ISBLANK(Mitigation_Industry!Z775),"",Mitigation_Industry!Z775)</f>
        <v>7.039410836771301E-2</v>
      </c>
      <c r="AA1304">
        <f>IF(ISBLANK(Mitigation_Industry!AA775),"",Mitigation_Industry!AA775)</f>
        <v>7.426578432793722E-2</v>
      </c>
      <c r="AB1304">
        <f>IF(ISBLANK(Mitigation_Industry!AB775),"",Mitigation_Industry!AB775)</f>
        <v>7.8350402465973787E-2</v>
      </c>
      <c r="AC1304">
        <f>IF(ISBLANK(Mitigation_Industry!AC775),"",Mitigation_Industry!AC775)</f>
        <v>8.2659674601602312E-2</v>
      </c>
      <c r="AD1304">
        <f>IF(ISBLANK(Mitigation_Industry!AD775),"",Mitigation_Industry!AD775)</f>
        <v>8.7205956704690446E-2</v>
      </c>
      <c r="AE1304">
        <f>IF(ISBLANK(Mitigation_Industry!AE775),"",Mitigation_Industry!AE775)</f>
        <v>9.2002284323448424E-2</v>
      </c>
    </row>
    <row r="1305" spans="1:31" x14ac:dyDescent="0.45">
      <c r="A1305" t="s">
        <v>1675</v>
      </c>
      <c r="B1305" t="s">
        <v>1476</v>
      </c>
      <c r="C1305" t="s">
        <v>285</v>
      </c>
      <c r="D1305">
        <v>2</v>
      </c>
      <c r="E1305" t="s">
        <v>1161</v>
      </c>
      <c r="F1305">
        <f>MAX(MAX(L1305:AE1305),-MIN(L1305:AE1305))</f>
        <v>1.6597832298566177</v>
      </c>
      <c r="I1305" t="s">
        <v>1571</v>
      </c>
      <c r="J1305" t="s">
        <v>1572</v>
      </c>
      <c r="K1305">
        <f t="shared" ref="K1305:AE1305" si="323">IF(ISNUMBER(K1303),IF(ISNUMBER(K1304),K1304-K1303,999999),0)</f>
        <v>0</v>
      </c>
      <c r="L1305">
        <f t="shared" si="323"/>
        <v>-8.7814739111879841E-3</v>
      </c>
      <c r="M1305">
        <f t="shared" si="323"/>
        <v>-0.63315071090047392</v>
      </c>
      <c r="N1305">
        <f t="shared" si="323"/>
        <v>-0.66797399999999996</v>
      </c>
      <c r="O1305">
        <f t="shared" si="323"/>
        <v>-0.70471256999999998</v>
      </c>
      <c r="P1305">
        <f t="shared" si="323"/>
        <v>-0.74347176134999993</v>
      </c>
      <c r="Q1305">
        <f t="shared" si="323"/>
        <v>-0.78436270822424992</v>
      </c>
      <c r="R1305">
        <f t="shared" si="323"/>
        <v>-0.82750265717658378</v>
      </c>
      <c r="S1305">
        <f t="shared" si="323"/>
        <v>-0.87301530332129584</v>
      </c>
      <c r="T1305">
        <f t="shared" si="323"/>
        <v>-0.9210311450039671</v>
      </c>
      <c r="U1305">
        <f t="shared" si="323"/>
        <v>-0.97168785797918511</v>
      </c>
      <c r="V1305">
        <f t="shared" si="323"/>
        <v>-1.0251306901680404</v>
      </c>
      <c r="W1305">
        <f t="shared" si="323"/>
        <v>-1.0815128781272827</v>
      </c>
      <c r="X1305">
        <f t="shared" si="323"/>
        <v>-1.140996086424283</v>
      </c>
      <c r="Y1305">
        <f t="shared" si="323"/>
        <v>-1.2037508711776184</v>
      </c>
      <c r="Z1305">
        <f t="shared" si="323"/>
        <v>-1.2699571690923872</v>
      </c>
      <c r="AA1305">
        <f t="shared" si="323"/>
        <v>-1.3398048133924689</v>
      </c>
      <c r="AB1305">
        <f t="shared" si="323"/>
        <v>-1.4134940781290544</v>
      </c>
      <c r="AC1305">
        <f t="shared" si="323"/>
        <v>-1.4912362524261522</v>
      </c>
      <c r="AD1305">
        <f t="shared" si="323"/>
        <v>-1.5732542463095904</v>
      </c>
      <c r="AE1305">
        <f t="shared" si="323"/>
        <v>-1.6597832298566177</v>
      </c>
    </row>
    <row r="1307" spans="1:31" x14ac:dyDescent="0.45">
      <c r="A1307" t="s">
        <v>1676</v>
      </c>
      <c r="B1307" t="s">
        <v>1476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1676</v>
      </c>
      <c r="B1308" t="s">
        <v>1476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1676</v>
      </c>
      <c r="B1309" t="s">
        <v>1476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1571</v>
      </c>
      <c r="J1309" t="s">
        <v>1572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1677</v>
      </c>
      <c r="B1311" t="s">
        <v>1476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1677</v>
      </c>
      <c r="B1312" t="s">
        <v>1476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14.692706044200628</v>
      </c>
      <c r="M1312">
        <f>IF(ISBLANK(Mitigation_Industry!M777),"",Mitigation_Industry!M777)</f>
        <v>15.177565343659246</v>
      </c>
      <c r="N1312">
        <f>IF(ISBLANK(Mitigation_Industry!N777),"",Mitigation_Industry!N777)</f>
        <v>15.678424999999999</v>
      </c>
      <c r="O1312">
        <f>IF(ISBLANK(Mitigation_Industry!O777),"",Mitigation_Industry!O777)</f>
        <v>16.195813024999996</v>
      </c>
      <c r="P1312">
        <f>IF(ISBLANK(Mitigation_Industry!P777),"",Mitigation_Industry!P777)</f>
        <v>16.730274854824994</v>
      </c>
      <c r="Q1312">
        <f>IF(ISBLANK(Mitigation_Industry!Q777),"",Mitigation_Industry!Q777)</f>
        <v>17.282373925034218</v>
      </c>
      <c r="R1312">
        <f>IF(ISBLANK(Mitigation_Industry!R777),"",Mitigation_Industry!R777)</f>
        <v>17.852692264560343</v>
      </c>
      <c r="S1312">
        <f>IF(ISBLANK(Mitigation_Industry!S777),"",Mitigation_Industry!S777)</f>
        <v>18.441831109290838</v>
      </c>
      <c r="T1312">
        <f>IF(ISBLANK(Mitigation_Industry!T777),"",Mitigation_Industry!T777)</f>
        <v>19.050411535897432</v>
      </c>
      <c r="U1312">
        <f>IF(ISBLANK(Mitigation_Industry!U777),"",Mitigation_Industry!U777)</f>
        <v>19.679075116582045</v>
      </c>
      <c r="V1312">
        <f>IF(ISBLANK(Mitigation_Industry!V777),"",Mitigation_Industry!V777)</f>
        <v>20.328484595429249</v>
      </c>
      <c r="W1312">
        <f>IF(ISBLANK(Mitigation_Industry!W777),"",Mitigation_Industry!W777)</f>
        <v>20.999324587078412</v>
      </c>
      <c r="X1312">
        <f>IF(ISBLANK(Mitigation_Industry!X777),"",Mitigation_Industry!X777)</f>
        <v>21.692302298451992</v>
      </c>
      <c r="Y1312">
        <f>IF(ISBLANK(Mitigation_Industry!Y777),"",Mitigation_Industry!Y777)</f>
        <v>22.40814827430091</v>
      </c>
      <c r="Z1312">
        <f>IF(ISBLANK(Mitigation_Industry!Z777),"",Mitigation_Industry!Z777)</f>
        <v>23.147617167352838</v>
      </c>
      <c r="AA1312">
        <f>IF(ISBLANK(Mitigation_Industry!AA777),"",Mitigation_Industry!AA777)</f>
        <v>23.911488533875481</v>
      </c>
      <c r="AB1312">
        <f>IF(ISBLANK(Mitigation_Industry!AB777),"",Mitigation_Industry!AB777)</f>
        <v>24.700567655493362</v>
      </c>
      <c r="AC1312">
        <f>IF(ISBLANK(Mitigation_Industry!AC777),"",Mitigation_Industry!AC777)</f>
        <v>25.515686388124642</v>
      </c>
      <c r="AD1312">
        <f>IF(ISBLANK(Mitigation_Industry!AD777),"",Mitigation_Industry!AD777)</f>
        <v>26.357704038932756</v>
      </c>
      <c r="AE1312">
        <f>IF(ISBLANK(Mitigation_Industry!AE777),"",Mitigation_Industry!AE777)</f>
        <v>27.227508272217527</v>
      </c>
    </row>
    <row r="1313" spans="1:31" x14ac:dyDescent="0.45">
      <c r="A1313" t="s">
        <v>1677</v>
      </c>
      <c r="B1313" t="s">
        <v>1476</v>
      </c>
      <c r="C1313" t="s">
        <v>287</v>
      </c>
      <c r="D1313">
        <v>2</v>
      </c>
      <c r="E1313" t="s">
        <v>1161</v>
      </c>
      <c r="F1313">
        <f>MAX(MAX(L1313:AE1313),-MIN(L1313:AE1313))</f>
        <v>18.445667927516922</v>
      </c>
      <c r="I1313" t="s">
        <v>1571</v>
      </c>
      <c r="J1313" t="s">
        <v>1572</v>
      </c>
      <c r="K1313">
        <f t="shared" ref="K1313:AE1313" si="325">IF(ISNUMBER(K1311),IF(ISNUMBER(K1312),K1312-K1311,999999),0)</f>
        <v>0</v>
      </c>
      <c r="L1313">
        <f t="shared" si="325"/>
        <v>1.183992150607871</v>
      </c>
      <c r="M1313">
        <f t="shared" si="325"/>
        <v>-10.282260406582775</v>
      </c>
      <c r="N1313">
        <f t="shared" si="325"/>
        <v>-10.621575000000002</v>
      </c>
      <c r="O1313">
        <f t="shared" si="325"/>
        <v>-10.972086975000003</v>
      </c>
      <c r="P1313">
        <f t="shared" si="325"/>
        <v>-11.334165845175001</v>
      </c>
      <c r="Q1313">
        <f t="shared" si="325"/>
        <v>-11.708193318065774</v>
      </c>
      <c r="R1313">
        <f t="shared" si="325"/>
        <v>-12.094563697561949</v>
      </c>
      <c r="S1313">
        <f t="shared" si="325"/>
        <v>-12.493684299581485</v>
      </c>
      <c r="T1313">
        <f t="shared" si="325"/>
        <v>-12.905975881467679</v>
      </c>
      <c r="U1313">
        <f t="shared" si="325"/>
        <v>-13.331873085556108</v>
      </c>
      <c r="V1313">
        <f t="shared" si="325"/>
        <v>-13.771824897379457</v>
      </c>
      <c r="W1313">
        <f t="shared" si="325"/>
        <v>-14.226295118992986</v>
      </c>
      <c r="X1313">
        <f t="shared" si="325"/>
        <v>-14.695762857919753</v>
      </c>
      <c r="Y1313">
        <f t="shared" si="325"/>
        <v>-15.180723032231104</v>
      </c>
      <c r="Z1313">
        <f t="shared" si="325"/>
        <v>-15.681686892294731</v>
      </c>
      <c r="AA1313">
        <f t="shared" si="325"/>
        <v>-16.199182559740454</v>
      </c>
      <c r="AB1313">
        <f t="shared" si="325"/>
        <v>-16.733755584211895</v>
      </c>
      <c r="AC1313">
        <f t="shared" si="325"/>
        <v>-17.28596951849088</v>
      </c>
      <c r="AD1313">
        <f t="shared" si="325"/>
        <v>-17.85640651260108</v>
      </c>
      <c r="AE1313">
        <f t="shared" si="325"/>
        <v>-18.445667927516922</v>
      </c>
    </row>
    <row r="1315" spans="1:31" x14ac:dyDescent="0.45">
      <c r="A1315" t="s">
        <v>1678</v>
      </c>
      <c r="B1315" t="s">
        <v>1476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1678</v>
      </c>
      <c r="B1316" t="s">
        <v>1476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21.335371186955932</v>
      </c>
      <c r="M1316">
        <f>IF(ISBLANK(Mitigation_Industry!M778),"",Mitigation_Industry!M778)</f>
        <v>22.03059399488933</v>
      </c>
      <c r="N1316">
        <f>IF(ISBLANK(Mitigation_Industry!N778),"",Mitigation_Industry!N778)</f>
        <v>22.749283126999998</v>
      </c>
      <c r="O1316">
        <f>IF(ISBLANK(Mitigation_Industry!O778),"",Mitigation_Industry!O778)</f>
        <v>23.492256381187996</v>
      </c>
      <c r="P1316">
        <f>IF(ISBLANK(Mitigation_Industry!P778),"",Mitigation_Industry!P778)</f>
        <v>24.260360915098467</v>
      </c>
      <c r="Q1316">
        <f>IF(ISBLANK(Mitigation_Industry!Q778),"",Mitigation_Industry!Q778)</f>
        <v>25.054474330356104</v>
      </c>
      <c r="R1316">
        <f>IF(ISBLANK(Mitigation_Industry!R778),"",Mitigation_Industry!R778)</f>
        <v>25.875505797940995</v>
      </c>
      <c r="S1316">
        <f>IF(ISBLANK(Mitigation_Industry!S778),"",Mitigation_Industry!S778)</f>
        <v>26.724397226308184</v>
      </c>
      <c r="T1316">
        <f>IF(ISBLANK(Mitigation_Industry!T778),"",Mitigation_Industry!T778)</f>
        <v>27.602124473917094</v>
      </c>
      <c r="U1316">
        <f>IF(ISBLANK(Mitigation_Industry!U778),"",Mitigation_Industry!U778)</f>
        <v>28.509698607903829</v>
      </c>
      <c r="V1316">
        <f>IF(ISBLANK(Mitigation_Industry!V778),"",Mitigation_Industry!V778)</f>
        <v>29.448167210698358</v>
      </c>
      <c r="W1316">
        <f>IF(ISBLANK(Mitigation_Industry!W778),"",Mitigation_Industry!W778)</f>
        <v>30.418615736460836</v>
      </c>
      <c r="X1316">
        <f>IF(ISBLANK(Mitigation_Industry!X778),"",Mitigation_Industry!X778)</f>
        <v>31.422168919286591</v>
      </c>
      <c r="Y1316">
        <f>IF(ISBLANK(Mitigation_Industry!Y778),"",Mitigation_Industry!Y778)</f>
        <v>32.459992235207118</v>
      </c>
      <c r="Z1316">
        <f>IF(ISBLANK(Mitigation_Industry!Z778),"",Mitigation_Industry!Z778)</f>
        <v>33.533293420096101</v>
      </c>
      <c r="AA1316">
        <f>IF(ISBLANK(Mitigation_Industry!AA778),"",Mitigation_Industry!AA778)</f>
        <v>34.643324045674106</v>
      </c>
      <c r="AB1316">
        <f>IF(ISBLANK(Mitigation_Industry!AB778),"",Mitigation_Industry!AB778)</f>
        <v>35.791381155893696</v>
      </c>
      <c r="AC1316">
        <f>IF(ISBLANK(Mitigation_Industry!AC778),"",Mitigation_Industry!AC778)</f>
        <v>36.978808966078674</v>
      </c>
      <c r="AD1316">
        <f>IF(ISBLANK(Mitigation_Industry!AD778),"",Mitigation_Industry!AD778)</f>
        <v>38.207000627286746</v>
      </c>
      <c r="AE1316">
        <f>IF(ISBLANK(Mitigation_Industry!AE778),"",Mitigation_Industry!AE778)</f>
        <v>39.477400058464283</v>
      </c>
    </row>
    <row r="1317" spans="1:31" x14ac:dyDescent="0.45">
      <c r="A1317" t="s">
        <v>1678</v>
      </c>
      <c r="B1317" t="s">
        <v>1476</v>
      </c>
      <c r="C1317" t="s">
        <v>111</v>
      </c>
      <c r="D1317">
        <v>2</v>
      </c>
      <c r="E1317" t="s">
        <v>1161</v>
      </c>
      <c r="F1317">
        <f>MAX(MAX(L1317:AE1317),-MIN(L1317:AE1317))</f>
        <v>9.3639724991560627</v>
      </c>
      <c r="I1317" t="s">
        <v>1571</v>
      </c>
      <c r="J1317" t="s">
        <v>1572</v>
      </c>
      <c r="K1317">
        <f t="shared" ref="K1317:AE1317" si="326">IF(ISNUMBER(K1315),IF(ISNUMBER(K1316),K1316-K1315,999999),0)</f>
        <v>0</v>
      </c>
      <c r="L1317">
        <f t="shared" si="326"/>
        <v>0.40912482921110183</v>
      </c>
      <c r="M1317">
        <f t="shared" si="326"/>
        <v>-4.9313176412084196</v>
      </c>
      <c r="N1317">
        <f t="shared" si="326"/>
        <v>-5.1137168730000013</v>
      </c>
      <c r="O1317">
        <f t="shared" si="326"/>
        <v>-5.3023666188120053</v>
      </c>
      <c r="P1317">
        <f t="shared" si="326"/>
        <v>-5.4974744339015302</v>
      </c>
      <c r="Q1317">
        <f t="shared" si="326"/>
        <v>-5.6992548620388881</v>
      </c>
      <c r="R1317">
        <f t="shared" si="326"/>
        <v>-5.9079296893634101</v>
      </c>
      <c r="S1317">
        <f t="shared" si="326"/>
        <v>-6.1237282088564768</v>
      </c>
      <c r="T1317">
        <f t="shared" si="326"/>
        <v>-6.3468874959539505</v>
      </c>
      <c r="U1317">
        <f t="shared" si="326"/>
        <v>-6.5776526958485348</v>
      </c>
      <c r="V1317">
        <f t="shared" si="326"/>
        <v>-6.8162773230640497</v>
      </c>
      <c r="W1317">
        <f t="shared" si="326"/>
        <v>-7.0630235739153164</v>
      </c>
      <c r="X1317">
        <f t="shared" si="326"/>
        <v>-7.3181626525019823</v>
      </c>
      <c r="Y1317">
        <f t="shared" si="326"/>
        <v>-7.5819751109211779</v>
      </c>
      <c r="Z1317">
        <f t="shared" si="326"/>
        <v>-7.85475120442198</v>
      </c>
      <c r="AA1317">
        <f t="shared" si="326"/>
        <v>-8.1367912622658025</v>
      </c>
      <c r="AB1317">
        <f t="shared" si="326"/>
        <v>-8.4284060750998506</v>
      </c>
      <c r="AC1317">
        <f t="shared" si="326"/>
        <v>-8.7299172996966092</v>
      </c>
      <c r="AD1317">
        <f t="shared" si="326"/>
        <v>-9.0416578819607167</v>
      </c>
      <c r="AE1317">
        <f t="shared" si="326"/>
        <v>-9.3639724991560627</v>
      </c>
    </row>
    <row r="1319" spans="1:31" x14ac:dyDescent="0.45">
      <c r="A1319" t="s">
        <v>1679</v>
      </c>
      <c r="B1319" t="s">
        <v>1482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1679</v>
      </c>
      <c r="B1320" t="s">
        <v>1482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0.57123661061347031</v>
      </c>
      <c r="M1320">
        <f>IF(ISBLANK(Mitigation_Industry!M784),"",Mitigation_Industry!M784)</f>
        <v>0.58380381604696674</v>
      </c>
      <c r="N1320">
        <f>IF(ISBLANK(Mitigation_Industry!N784),"",Mitigation_Industry!N784)</f>
        <v>0.5966475</v>
      </c>
      <c r="O1320">
        <f>IF(ISBLANK(Mitigation_Industry!O784),"",Mitigation_Industry!O784)</f>
        <v>0.60977374500000003</v>
      </c>
      <c r="P1320">
        <f>IF(ISBLANK(Mitigation_Industry!P784),"",Mitigation_Industry!P784)</f>
        <v>0.62318876738999995</v>
      </c>
      <c r="Q1320">
        <f>IF(ISBLANK(Mitigation_Industry!Q784),"",Mitigation_Industry!Q784)</f>
        <v>0.6368989202725801</v>
      </c>
      <c r="R1320">
        <f>IF(ISBLANK(Mitigation_Industry!R784),"",Mitigation_Industry!R784)</f>
        <v>0.65091069651857669</v>
      </c>
      <c r="S1320">
        <f>IF(ISBLANK(Mitigation_Industry!S784),"",Mitigation_Industry!S784)</f>
        <v>0.66523073184198556</v>
      </c>
      <c r="T1320">
        <f>IF(ISBLANK(Mitigation_Industry!T784),"",Mitigation_Industry!T784)</f>
        <v>0.67986580794250906</v>
      </c>
      <c r="U1320">
        <f>IF(ISBLANK(Mitigation_Industry!U784),"",Mitigation_Industry!U784)</f>
        <v>0.69482285571724434</v>
      </c>
      <c r="V1320">
        <f>IF(ISBLANK(Mitigation_Industry!V784),"",Mitigation_Industry!V784)</f>
        <v>0.7101089585430238</v>
      </c>
      <c r="W1320">
        <f>IF(ISBLANK(Mitigation_Industry!W784),"",Mitigation_Industry!W784)</f>
        <v>0.72573135563097024</v>
      </c>
      <c r="X1320">
        <f>IF(ISBLANK(Mitigation_Industry!X784),"",Mitigation_Industry!X784)</f>
        <v>0.74169744545485172</v>
      </c>
      <c r="Y1320">
        <f>IF(ISBLANK(Mitigation_Industry!Y784),"",Mitigation_Industry!Y784)</f>
        <v>0.75801478925485843</v>
      </c>
      <c r="Z1320">
        <f>IF(ISBLANK(Mitigation_Industry!Z784),"",Mitigation_Industry!Z784)</f>
        <v>0.7746911146184654</v>
      </c>
      <c r="AA1320">
        <f>IF(ISBLANK(Mitigation_Industry!AA784),"",Mitigation_Industry!AA784)</f>
        <v>0.79173431914007153</v>
      </c>
      <c r="AB1320">
        <f>IF(ISBLANK(Mitigation_Industry!AB784),"",Mitigation_Industry!AB784)</f>
        <v>0.8091524741611531</v>
      </c>
      <c r="AC1320">
        <f>IF(ISBLANK(Mitigation_Industry!AC784),"",Mitigation_Industry!AC784)</f>
        <v>0.8269538285926985</v>
      </c>
      <c r="AD1320">
        <f>IF(ISBLANK(Mitigation_Industry!AD784),"",Mitigation_Industry!AD784)</f>
        <v>0.84514681282173787</v>
      </c>
      <c r="AE1320">
        <f>IF(ISBLANK(Mitigation_Industry!AE784),"",Mitigation_Industry!AE784)</f>
        <v>0.8637400427038161</v>
      </c>
    </row>
    <row r="1321" spans="1:31" x14ac:dyDescent="0.45">
      <c r="A1321" t="s">
        <v>1679</v>
      </c>
      <c r="B1321" t="s">
        <v>1482</v>
      </c>
      <c r="C1321" t="s">
        <v>283</v>
      </c>
      <c r="D1321">
        <v>2</v>
      </c>
      <c r="E1321" t="s">
        <v>1161</v>
      </c>
      <c r="F1321">
        <f>MAX(MAX(L1321:AE1321),-MIN(L1321:AE1321))</f>
        <v>2.1204534126941121E-2</v>
      </c>
      <c r="I1321" t="s">
        <v>1492</v>
      </c>
      <c r="K1321">
        <f t="shared" ref="K1321:AE1321" si="327">IF(ISNUMBER(K1319),IF(ISNUMBER(K1320),K1320-K1319,999999),0)</f>
        <v>0</v>
      </c>
      <c r="L1321">
        <f t="shared" si="327"/>
        <v>1.4023671018416728E-2</v>
      </c>
      <c r="M1321">
        <f t="shared" si="327"/>
        <v>1.4332191780822012E-2</v>
      </c>
      <c r="N1321">
        <f t="shared" si="327"/>
        <v>1.4647500000000035E-2</v>
      </c>
      <c r="O1321">
        <f t="shared" si="327"/>
        <v>1.4969745000000034E-2</v>
      </c>
      <c r="P1321">
        <f t="shared" si="327"/>
        <v>1.5299079389999859E-2</v>
      </c>
      <c r="Q1321">
        <f t="shared" si="327"/>
        <v>1.563565913658016E-2</v>
      </c>
      <c r="R1321">
        <f t="shared" si="327"/>
        <v>1.5979643637584751E-2</v>
      </c>
      <c r="S1321">
        <f t="shared" si="327"/>
        <v>1.6331195797611775E-2</v>
      </c>
      <c r="T1321">
        <f t="shared" si="327"/>
        <v>1.6690482105158999E-2</v>
      </c>
      <c r="U1321">
        <f t="shared" si="327"/>
        <v>1.7057672711472516E-2</v>
      </c>
      <c r="V1321">
        <f t="shared" si="327"/>
        <v>1.7432941511124955E-2</v>
      </c>
      <c r="W1321">
        <f t="shared" si="327"/>
        <v>1.781646622436972E-2</v>
      </c>
      <c r="X1321">
        <f t="shared" si="327"/>
        <v>1.8208428481305994E-2</v>
      </c>
      <c r="Y1321">
        <f t="shared" si="327"/>
        <v>1.8609013907894711E-2</v>
      </c>
      <c r="Z1321">
        <f t="shared" si="327"/>
        <v>1.9018412213868352E-2</v>
      </c>
      <c r="AA1321">
        <f t="shared" si="327"/>
        <v>1.9436817282573293E-2</v>
      </c>
      <c r="AB1321">
        <f t="shared" si="327"/>
        <v>1.9864427262789919E-2</v>
      </c>
      <c r="AC1321">
        <f t="shared" si="327"/>
        <v>2.0301444662571333E-2</v>
      </c>
      <c r="AD1321">
        <f t="shared" si="327"/>
        <v>2.0748076445147867E-2</v>
      </c>
      <c r="AE1321">
        <f t="shared" si="327"/>
        <v>2.1204534126941121E-2</v>
      </c>
    </row>
    <row r="1323" spans="1:31" x14ac:dyDescent="0.45">
      <c r="A1323" t="s">
        <v>1680</v>
      </c>
      <c r="B1323" t="s">
        <v>1482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1680</v>
      </c>
      <c r="B1324" t="s">
        <v>1482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0.37103529198044649</v>
      </c>
      <c r="M1324">
        <f>IF(ISBLANK(Mitigation_Industry!M785),"",Mitigation_Industry!M785)</f>
        <v>0.38736084482758615</v>
      </c>
      <c r="N1324">
        <f>IF(ISBLANK(Mitigation_Industry!N785),"",Mitigation_Industry!N785)</f>
        <v>0.40440472199999999</v>
      </c>
      <c r="O1324">
        <f>IF(ISBLANK(Mitigation_Industry!O785),"",Mitigation_Industry!O785)</f>
        <v>0.42219852976799999</v>
      </c>
      <c r="P1324">
        <f>IF(ISBLANK(Mitigation_Industry!P785),"",Mitigation_Industry!P785)</f>
        <v>0.44077526507779197</v>
      </c>
      <c r="Q1324">
        <f>IF(ISBLANK(Mitigation_Industry!Q785),"",Mitigation_Industry!Q785)</f>
        <v>0.46016937674121494</v>
      </c>
      <c r="R1324">
        <f>IF(ISBLANK(Mitigation_Industry!R785),"",Mitigation_Industry!R785)</f>
        <v>0.48041682931782825</v>
      </c>
      <c r="S1324">
        <f>IF(ISBLANK(Mitigation_Industry!S785),"",Mitigation_Industry!S785)</f>
        <v>0.50155516980781278</v>
      </c>
      <c r="T1324">
        <f>IF(ISBLANK(Mitigation_Industry!T785),"",Mitigation_Industry!T785)</f>
        <v>0.52362359727935659</v>
      </c>
      <c r="U1324">
        <f>IF(ISBLANK(Mitigation_Industry!U785),"",Mitigation_Industry!U785)</f>
        <v>0.54666303555964835</v>
      </c>
      <c r="V1324">
        <f>IF(ISBLANK(Mitigation_Industry!V785),"",Mitigation_Industry!V785)</f>
        <v>0.57071620912427279</v>
      </c>
      <c r="W1324">
        <f>IF(ISBLANK(Mitigation_Industry!W785),"",Mitigation_Industry!W785)</f>
        <v>0.59582772232574088</v>
      </c>
      <c r="X1324">
        <f>IF(ISBLANK(Mitigation_Industry!X785),"",Mitigation_Industry!X785)</f>
        <v>0.62204414210807335</v>
      </c>
      <c r="Y1324">
        <f>IF(ISBLANK(Mitigation_Industry!Y785),"",Mitigation_Industry!Y785)</f>
        <v>0.6494140843608287</v>
      </c>
      <c r="Z1324">
        <f>IF(ISBLANK(Mitigation_Industry!Z785),"",Mitigation_Industry!Z785)</f>
        <v>0.67798830407270505</v>
      </c>
      <c r="AA1324">
        <f>IF(ISBLANK(Mitigation_Industry!AA785),"",Mitigation_Industry!AA785)</f>
        <v>0.70781978945190405</v>
      </c>
      <c r="AB1324">
        <f>IF(ISBLANK(Mitigation_Industry!AB785),"",Mitigation_Industry!AB785)</f>
        <v>0.73896386018778804</v>
      </c>
      <c r="AC1324">
        <f>IF(ISBLANK(Mitigation_Industry!AC785),"",Mitigation_Industry!AC785)</f>
        <v>0.77147827003605074</v>
      </c>
      <c r="AD1324">
        <f>IF(ISBLANK(Mitigation_Industry!AD785),"",Mitigation_Industry!AD785)</f>
        <v>0.80542331391763677</v>
      </c>
      <c r="AE1324">
        <f>IF(ISBLANK(Mitigation_Industry!AE785),"",Mitigation_Industry!AE785)</f>
        <v>0.84086193973001278</v>
      </c>
    </row>
    <row r="1325" spans="1:31" x14ac:dyDescent="0.45">
      <c r="A1325" t="s">
        <v>1680</v>
      </c>
      <c r="B1325" t="s">
        <v>1482</v>
      </c>
      <c r="C1325" t="s">
        <v>284</v>
      </c>
      <c r="D1325">
        <v>2</v>
      </c>
      <c r="E1325" t="s">
        <v>1161</v>
      </c>
      <c r="F1325">
        <f>MAX(MAX(L1325:AE1325),-MIN(L1325:AE1325))</f>
        <v>0.2669866046010535</v>
      </c>
      <c r="I1325" t="s">
        <v>1492</v>
      </c>
      <c r="K1325">
        <f t="shared" ref="K1325:AE1325" si="328">IF(ISNUMBER(K1323),IF(ISNUMBER(K1324),K1324-K1323,999999),0)</f>
        <v>0</v>
      </c>
      <c r="L1325">
        <f t="shared" si="328"/>
        <v>0.11780941449773191</v>
      </c>
      <c r="M1325">
        <f t="shared" si="328"/>
        <v>0.12299302873563212</v>
      </c>
      <c r="N1325">
        <f t="shared" si="328"/>
        <v>0.12840472200000003</v>
      </c>
      <c r="O1325">
        <f t="shared" si="328"/>
        <v>0.13405452976799997</v>
      </c>
      <c r="P1325">
        <f t="shared" si="328"/>
        <v>0.13995292907779189</v>
      </c>
      <c r="Q1325">
        <f t="shared" si="328"/>
        <v>0.1461108579572149</v>
      </c>
      <c r="R1325">
        <f t="shared" si="328"/>
        <v>0.15253973570733215</v>
      </c>
      <c r="S1325">
        <f t="shared" si="328"/>
        <v>0.15925148407845491</v>
      </c>
      <c r="T1325">
        <f t="shared" si="328"/>
        <v>0.16625854937790691</v>
      </c>
      <c r="U1325">
        <f t="shared" si="328"/>
        <v>0.17357392555053486</v>
      </c>
      <c r="V1325">
        <f t="shared" si="328"/>
        <v>0.1812111782747583</v>
      </c>
      <c r="W1325">
        <f t="shared" si="328"/>
        <v>0.18918447011884776</v>
      </c>
      <c r="X1325">
        <f t="shared" si="328"/>
        <v>0.1975085868040769</v>
      </c>
      <c r="Y1325">
        <f t="shared" si="328"/>
        <v>0.20619896462345644</v>
      </c>
      <c r="Z1325">
        <f t="shared" si="328"/>
        <v>0.21527171906688836</v>
      </c>
      <c r="AA1325">
        <f t="shared" si="328"/>
        <v>0.22474367470583145</v>
      </c>
      <c r="AB1325">
        <f t="shared" si="328"/>
        <v>0.23463239639288813</v>
      </c>
      <c r="AC1325">
        <f t="shared" si="328"/>
        <v>0.24495622183417542</v>
      </c>
      <c r="AD1325">
        <f t="shared" si="328"/>
        <v>0.25573429559487892</v>
      </c>
      <c r="AE1325">
        <f t="shared" si="328"/>
        <v>0.2669866046010535</v>
      </c>
    </row>
    <row r="1327" spans="1:31" x14ac:dyDescent="0.45">
      <c r="A1327" t="s">
        <v>1681</v>
      </c>
      <c r="B1327" t="s">
        <v>1482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1681</v>
      </c>
      <c r="B1328" t="s">
        <v>1482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0.64621002403360217</v>
      </c>
      <c r="M1328">
        <f>IF(ISBLANK(Mitigation_Industry!M786),"",Mitigation_Industry!M786)</f>
        <v>0.68175157535545017</v>
      </c>
      <c r="N1328">
        <f>IF(ISBLANK(Mitigation_Industry!N786),"",Mitigation_Industry!N786)</f>
        <v>0.71924791200000004</v>
      </c>
      <c r="O1328">
        <f>IF(ISBLANK(Mitigation_Industry!O786),"",Mitigation_Industry!O786)</f>
        <v>0.75880654716000007</v>
      </c>
      <c r="P1328">
        <f>IF(ISBLANK(Mitigation_Industry!P786),"",Mitigation_Industry!P786)</f>
        <v>0.80054090725379989</v>
      </c>
      <c r="Q1328">
        <f>IF(ISBLANK(Mitigation_Industry!Q786),"",Mitigation_Industry!Q786)</f>
        <v>0.84457065715275881</v>
      </c>
      <c r="R1328">
        <f>IF(ISBLANK(Mitigation_Industry!R786),"",Mitigation_Industry!R786)</f>
        <v>0.89102204329616075</v>
      </c>
      <c r="S1328">
        <f>IF(ISBLANK(Mitigation_Industry!S786),"",Mitigation_Industry!S786)</f>
        <v>0.9400282556774493</v>
      </c>
      <c r="T1328">
        <f>IF(ISBLANK(Mitigation_Industry!T786),"",Mitigation_Industry!T786)</f>
        <v>0.99172980973970914</v>
      </c>
      <c r="U1328">
        <f>IF(ISBLANK(Mitigation_Industry!U786),"",Mitigation_Industry!U786)</f>
        <v>1.0462749492753931</v>
      </c>
      <c r="V1328">
        <f>IF(ISBLANK(Mitigation_Industry!V786),"",Mitigation_Industry!V786)</f>
        <v>1.1038200714855397</v>
      </c>
      <c r="W1328">
        <f>IF(ISBLANK(Mitigation_Industry!W786),"",Mitigation_Industry!W786)</f>
        <v>1.1645301754172441</v>
      </c>
      <c r="X1328">
        <f>IF(ISBLANK(Mitigation_Industry!X786),"",Mitigation_Industry!X786)</f>
        <v>1.2285793350651928</v>
      </c>
      <c r="Y1328">
        <f>IF(ISBLANK(Mitigation_Industry!Y786),"",Mitigation_Industry!Y786)</f>
        <v>1.2961511984937784</v>
      </c>
      <c r="Z1328">
        <f>IF(ISBLANK(Mitigation_Industry!Z786),"",Mitigation_Industry!Z786)</f>
        <v>1.3674395144109359</v>
      </c>
      <c r="AA1328">
        <f>IF(ISBLANK(Mitigation_Industry!AA786),"",Mitigation_Industry!AA786)</f>
        <v>1.4426486877035372</v>
      </c>
      <c r="AB1328">
        <f>IF(ISBLANK(Mitigation_Industry!AB786),"",Mitigation_Industry!AB786)</f>
        <v>1.5219943655272321</v>
      </c>
      <c r="AC1328">
        <f>IF(ISBLANK(Mitigation_Industry!AC786),"",Mitigation_Industry!AC786)</f>
        <v>1.6057040556312294</v>
      </c>
      <c r="AD1328">
        <f>IF(ISBLANK(Mitigation_Industry!AD786),"",Mitigation_Industry!AD786)</f>
        <v>1.6940177786909472</v>
      </c>
      <c r="AE1328">
        <f>IF(ISBLANK(Mitigation_Industry!AE786),"",Mitigation_Industry!AE786)</f>
        <v>1.787188756518949</v>
      </c>
    </row>
    <row r="1329" spans="1:31" x14ac:dyDescent="0.45">
      <c r="A1329" t="s">
        <v>1681</v>
      </c>
      <c r="B1329" t="s">
        <v>1482</v>
      </c>
      <c r="C1329" t="s">
        <v>285</v>
      </c>
      <c r="D1329">
        <v>2</v>
      </c>
      <c r="E1329" t="s">
        <v>1161</v>
      </c>
      <c r="F1329">
        <f>MAX(MAX(L1329:AE1329),-MIN(L1329:AE1329))</f>
        <v>3.5403242338882812E-2</v>
      </c>
      <c r="I1329" t="s">
        <v>1492</v>
      </c>
      <c r="K1329">
        <f t="shared" ref="K1329:AE1329" si="329">IF(ISNUMBER(K1327),IF(ISNUMBER(K1328),K1328-K1327,999999),0)</f>
        <v>0</v>
      </c>
      <c r="L1329">
        <f t="shared" si="329"/>
        <v>1.2801070955279603E-2</v>
      </c>
      <c r="M1329">
        <f t="shared" si="329"/>
        <v>1.350512985781982E-2</v>
      </c>
      <c r="N1329">
        <f t="shared" si="329"/>
        <v>1.4247912000000085E-2</v>
      </c>
      <c r="O1329">
        <f t="shared" si="329"/>
        <v>1.5031547160000103E-2</v>
      </c>
      <c r="P1329">
        <f t="shared" si="329"/>
        <v>1.5858282253799927E-2</v>
      </c>
      <c r="Q1329">
        <f t="shared" si="329"/>
        <v>1.6730487777758873E-2</v>
      </c>
      <c r="R1329">
        <f t="shared" si="329"/>
        <v>1.7650664605535771E-2</v>
      </c>
      <c r="S1329">
        <f t="shared" si="329"/>
        <v>1.8621451158839952E-2</v>
      </c>
      <c r="T1329">
        <f t="shared" si="329"/>
        <v>1.9645630972576322E-2</v>
      </c>
      <c r="U1329">
        <f t="shared" si="329"/>
        <v>2.072614067606815E-2</v>
      </c>
      <c r="V1329">
        <f t="shared" si="329"/>
        <v>2.1866078413251833E-2</v>
      </c>
      <c r="W1329">
        <f t="shared" si="329"/>
        <v>2.3068712725980323E-2</v>
      </c>
      <c r="X1329">
        <f t="shared" si="329"/>
        <v>2.4337491925909616E-2</v>
      </c>
      <c r="Y1329">
        <f t="shared" si="329"/>
        <v>2.5676053981834812E-2</v>
      </c>
      <c r="Z1329">
        <f t="shared" si="329"/>
        <v>2.708823695083562E-2</v>
      </c>
      <c r="AA1329">
        <f t="shared" si="329"/>
        <v>2.8578089983130939E-2</v>
      </c>
      <c r="AB1329">
        <f t="shared" si="329"/>
        <v>3.0149884932203941E-2</v>
      </c>
      <c r="AC1329">
        <f t="shared" si="329"/>
        <v>3.1808128603474817E-2</v>
      </c>
      <c r="AD1329">
        <f t="shared" si="329"/>
        <v>3.3557575676666174E-2</v>
      </c>
      <c r="AE1329">
        <f t="shared" si="329"/>
        <v>3.5403242338882812E-2</v>
      </c>
    </row>
    <row r="1331" spans="1:31" x14ac:dyDescent="0.45">
      <c r="A1331" t="s">
        <v>1682</v>
      </c>
      <c r="B1331" t="s">
        <v>1482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1682</v>
      </c>
      <c r="B1332" t="s">
        <v>1482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1682</v>
      </c>
      <c r="B1333" t="s">
        <v>1482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1492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1683</v>
      </c>
      <c r="B1335" t="s">
        <v>1482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1683</v>
      </c>
      <c r="B1336" t="s">
        <v>1482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25.163138219961041</v>
      </c>
      <c r="M1336">
        <f>IF(ISBLANK(Mitigation_Industry!M788),"",Mitigation_Industry!M788)</f>
        <v>25.993521781219755</v>
      </c>
      <c r="N1336">
        <f>IF(ISBLANK(Mitigation_Industry!N788),"",Mitigation_Industry!N788)</f>
        <v>26.851308</v>
      </c>
      <c r="O1336">
        <f>IF(ISBLANK(Mitigation_Industry!O788),"",Mitigation_Industry!O788)</f>
        <v>27.737401163999998</v>
      </c>
      <c r="P1336">
        <f>IF(ISBLANK(Mitigation_Industry!P788),"",Mitigation_Industry!P788)</f>
        <v>28.652735402411995</v>
      </c>
      <c r="Q1336">
        <f>IF(ISBLANK(Mitigation_Industry!Q788),"",Mitigation_Industry!Q788)</f>
        <v>29.598275670691589</v>
      </c>
      <c r="R1336">
        <f>IF(ISBLANK(Mitigation_Industry!R788),"",Mitigation_Industry!R788)</f>
        <v>30.575018767824407</v>
      </c>
      <c r="S1336">
        <f>IF(ISBLANK(Mitigation_Industry!S788),"",Mitigation_Industry!S788)</f>
        <v>31.583994387162612</v>
      </c>
      <c r="T1336">
        <f>IF(ISBLANK(Mitigation_Industry!T788),"",Mitigation_Industry!T788)</f>
        <v>32.626266201938975</v>
      </c>
      <c r="U1336">
        <f>IF(ISBLANK(Mitigation_Industry!U788),"",Mitigation_Industry!U788)</f>
        <v>33.70293298660296</v>
      </c>
      <c r="V1336">
        <f>IF(ISBLANK(Mitigation_Industry!V788),"",Mitigation_Industry!V788)</f>
        <v>34.815129775160841</v>
      </c>
      <c r="W1336">
        <f>IF(ISBLANK(Mitigation_Industry!W788),"",Mitigation_Industry!W788)</f>
        <v>35.964029057741151</v>
      </c>
      <c r="X1336">
        <f>IF(ISBLANK(Mitigation_Industry!X788),"",Mitigation_Industry!X788)</f>
        <v>37.150842016646592</v>
      </c>
      <c r="Y1336">
        <f>IF(ISBLANK(Mitigation_Industry!Y788),"",Mitigation_Industry!Y788)</f>
        <v>38.376819803195943</v>
      </c>
      <c r="Z1336">
        <f>IF(ISBLANK(Mitigation_Industry!Z788),"",Mitigation_Industry!Z788)</f>
        <v>39.643254856701404</v>
      </c>
      <c r="AA1336">
        <f>IF(ISBLANK(Mitigation_Industry!AA788),"",Mitigation_Industry!AA788)</f>
        <v>40.951482266972548</v>
      </c>
      <c r="AB1336">
        <f>IF(ISBLANK(Mitigation_Industry!AB788),"",Mitigation_Industry!AB788)</f>
        <v>42.302881181782631</v>
      </c>
      <c r="AC1336">
        <f>IF(ISBLANK(Mitigation_Industry!AC788),"",Mitigation_Industry!AC788)</f>
        <v>43.698876260781446</v>
      </c>
      <c r="AD1336">
        <f>IF(ISBLANK(Mitigation_Industry!AD788),"",Mitigation_Industry!AD788)</f>
        <v>45.140939177387231</v>
      </c>
      <c r="AE1336">
        <f>IF(ISBLANK(Mitigation_Industry!AE788),"",Mitigation_Industry!AE788)</f>
        <v>46.630590170241007</v>
      </c>
    </row>
    <row r="1337" spans="1:31" x14ac:dyDescent="0.45">
      <c r="A1337" t="s">
        <v>1683</v>
      </c>
      <c r="B1337" t="s">
        <v>1482</v>
      </c>
      <c r="C1337" t="s">
        <v>287</v>
      </c>
      <c r="D1337">
        <v>2</v>
      </c>
      <c r="E1337" t="s">
        <v>1161</v>
      </c>
      <c r="F1337">
        <f>MAX(MAX(L1337:AE1337),-MIN(L1337:AE1337))</f>
        <v>0.95741397050655763</v>
      </c>
      <c r="I1337" t="s">
        <v>1492</v>
      </c>
      <c r="K1337">
        <f t="shared" ref="K1337:AE1337" si="331">IF(ISNUMBER(K1335),IF(ISNUMBER(K1336),K1336-K1335,999999),0)</f>
        <v>0</v>
      </c>
      <c r="L1337">
        <f t="shared" si="331"/>
        <v>0.51664669020109599</v>
      </c>
      <c r="M1337">
        <f t="shared" si="331"/>
        <v>0.53369603097773322</v>
      </c>
      <c r="N1337">
        <f t="shared" si="331"/>
        <v>0.5513079999999988</v>
      </c>
      <c r="O1337">
        <f t="shared" si="331"/>
        <v>0.56950116399999828</v>
      </c>
      <c r="P1337">
        <f t="shared" si="331"/>
        <v>0.58829470241199999</v>
      </c>
      <c r="Q1337">
        <f t="shared" si="331"/>
        <v>0.60770842759159649</v>
      </c>
      <c r="R1337">
        <f t="shared" si="331"/>
        <v>0.6277628057021154</v>
      </c>
      <c r="S1337">
        <f t="shared" si="331"/>
        <v>0.64847897829028867</v>
      </c>
      <c r="T1337">
        <f t="shared" si="331"/>
        <v>0.66987878457386429</v>
      </c>
      <c r="U1337">
        <f t="shared" si="331"/>
        <v>0.69198478446480749</v>
      </c>
      <c r="V1337">
        <f t="shared" si="331"/>
        <v>0.71482028235213591</v>
      </c>
      <c r="W1337">
        <f t="shared" si="331"/>
        <v>0.73840935166975186</v>
      </c>
      <c r="X1337">
        <f t="shared" si="331"/>
        <v>0.76277686027484748</v>
      </c>
      <c r="Y1337">
        <f t="shared" si="331"/>
        <v>0.78794849666392963</v>
      </c>
      <c r="Z1337">
        <f t="shared" si="331"/>
        <v>0.81395079705383466</v>
      </c>
      <c r="AA1337">
        <f t="shared" si="331"/>
        <v>0.84081117335661304</v>
      </c>
      <c r="AB1337">
        <f t="shared" si="331"/>
        <v>0.86855794207737347</v>
      </c>
      <c r="AC1337">
        <f t="shared" si="331"/>
        <v>0.89722035416592405</v>
      </c>
      <c r="AD1337">
        <f t="shared" si="331"/>
        <v>0.9268286258533962</v>
      </c>
      <c r="AE1337">
        <f t="shared" si="331"/>
        <v>0.95741397050655763</v>
      </c>
    </row>
    <row r="1339" spans="1:31" x14ac:dyDescent="0.45">
      <c r="A1339" t="s">
        <v>1684</v>
      </c>
      <c r="B1339" t="s">
        <v>1482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1684</v>
      </c>
      <c r="B1340" t="s">
        <v>1482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26.751620146588561</v>
      </c>
      <c r="M1340">
        <f>IF(ISBLANK(Mitigation_Industry!M789),"",Mitigation_Industry!M789)</f>
        <v>27.646438017449757</v>
      </c>
      <c r="N1340">
        <f>IF(ISBLANK(Mitigation_Industry!N789),"",Mitigation_Industry!N789)</f>
        <v>28.571608133999998</v>
      </c>
      <c r="O1340">
        <f>IF(ISBLANK(Mitigation_Industry!O789),"",Mitigation_Industry!O789)</f>
        <v>29.528179985927999</v>
      </c>
      <c r="P1340">
        <f>IF(ISBLANK(Mitigation_Industry!P789),"",Mitigation_Industry!P789)</f>
        <v>30.517240342133586</v>
      </c>
      <c r="Q1340">
        <f>IF(ISBLANK(Mitigation_Industry!Q789),"",Mitigation_Industry!Q789)</f>
        <v>31.539914624858142</v>
      </c>
      <c r="R1340">
        <f>IF(ISBLANK(Mitigation_Industry!R789),"",Mitigation_Industry!R789)</f>
        <v>32.597368336956976</v>
      </c>
      <c r="S1340">
        <f>IF(ISBLANK(Mitigation_Industry!S789),"",Mitigation_Industry!S789)</f>
        <v>33.690808544489862</v>
      </c>
      <c r="T1340">
        <f>IF(ISBLANK(Mitigation_Industry!T789),"",Mitigation_Industry!T789)</f>
        <v>34.821485416900551</v>
      </c>
      <c r="U1340">
        <f>IF(ISBLANK(Mitigation_Industry!U789),"",Mitigation_Industry!U789)</f>
        <v>35.990693827155248</v>
      </c>
      <c r="V1340">
        <f>IF(ISBLANK(Mitigation_Industry!V789),"",Mitigation_Industry!V789)</f>
        <v>37.19977501431368</v>
      </c>
      <c r="W1340">
        <f>IF(ISBLANK(Mitigation_Industry!W789),"",Mitigation_Industry!W789)</f>
        <v>38.450118311115105</v>
      </c>
      <c r="X1340">
        <f>IF(ISBLANK(Mitigation_Industry!X789),"",Mitigation_Industry!X789)</f>
        <v>39.743162939274711</v>
      </c>
      <c r="Y1340">
        <f>IF(ISBLANK(Mitigation_Industry!Y789),"",Mitigation_Industry!Y789)</f>
        <v>41.08039987530541</v>
      </c>
      <c r="Z1340">
        <f>IF(ISBLANK(Mitigation_Industry!Z789),"",Mitigation_Industry!Z789)</f>
        <v>42.463373789803512</v>
      </c>
      <c r="AA1340">
        <f>IF(ISBLANK(Mitigation_Industry!AA789),"",Mitigation_Industry!AA789)</f>
        <v>43.893685063268059</v>
      </c>
      <c r="AB1340">
        <f>IF(ISBLANK(Mitigation_Industry!AB789),"",Mitigation_Industry!AB789)</f>
        <v>45.372991881658805</v>
      </c>
      <c r="AC1340">
        <f>IF(ISBLANK(Mitigation_Industry!AC789),"",Mitigation_Industry!AC789)</f>
        <v>46.903012415041424</v>
      </c>
      <c r="AD1340">
        <f>IF(ISBLANK(Mitigation_Industry!AD789),"",Mitigation_Industry!AD789)</f>
        <v>48.485527082817555</v>
      </c>
      <c r="AE1340">
        <f>IF(ISBLANK(Mitigation_Industry!AE789),"",Mitigation_Industry!AE789)</f>
        <v>50.122380909193787</v>
      </c>
    </row>
    <row r="1341" spans="1:31" x14ac:dyDescent="0.45">
      <c r="A1341" t="s">
        <v>1684</v>
      </c>
      <c r="B1341" t="s">
        <v>1482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1492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1685</v>
      </c>
      <c r="B1343" t="s">
        <v>1483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1685</v>
      </c>
      <c r="B1344" t="s">
        <v>1483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41.420064713506875</v>
      </c>
      <c r="R1344">
        <f>IF(ISBLANK(Mitigation_Industry!R791),"",Mitigation_Industry!R791)</f>
        <v>86.485095121802345</v>
      </c>
      <c r="S1344">
        <f>IF(ISBLANK(Mitigation_Industry!S791),"",Mitigation_Industry!S791)</f>
        <v>135.43565896074247</v>
      </c>
      <c r="T1344">
        <f>IF(ISBLANK(Mitigation_Industry!T791),"",Mitigation_Industry!T791)</f>
        <v>188.52643727335357</v>
      </c>
      <c r="U1344">
        <f>IF(ISBLANK(Mitigation_Industry!U791),"",Mitigation_Industry!U791)</f>
        <v>246.0270006417264</v>
      </c>
      <c r="V1344">
        <f>IF(ISBLANK(Mitigation_Industry!V791),"",Mitigation_Industry!V791)</f>
        <v>308.22262640395479</v>
      </c>
      <c r="W1344">
        <f>IF(ISBLANK(Mitigation_Industry!W791),"",Mitigation_Industry!W791)</f>
        <v>375.41515896001692</v>
      </c>
      <c r="X1344">
        <f>IF(ISBLANK(Mitigation_Industry!X791),"",Mitigation_Industry!X791)</f>
        <v>447.92391537629453</v>
      </c>
      <c r="Y1344">
        <f>IF(ISBLANK(Mitigation_Industry!Y791),"",Mitigation_Industry!Y791)</f>
        <v>526.08663860945808</v>
      </c>
      <c r="Z1344">
        <f>IF(ISBLANK(Mitigation_Industry!Z791),"",Mitigation_Industry!Z791)</f>
        <v>610.26050078697119</v>
      </c>
      <c r="AA1344">
        <f>IF(ISBLANK(Mitigation_Industry!AA791),"",Mitigation_Industry!AA791)</f>
        <v>700.82315910375769</v>
      </c>
      <c r="AB1344">
        <f>IF(ISBLANK(Mitigation_Industry!AB791),"",Mitigation_Industry!AB791)</f>
        <v>798.17386702289809</v>
      </c>
      <c r="AC1344">
        <f>IF(ISBLANK(Mitigation_Industry!AC791),"",Mitigation_Industry!AC791)</f>
        <v>902.73464360289768</v>
      </c>
      <c r="AD1344">
        <f>IF(ISBLANK(Mitigation_Industry!AD791),"",Mitigation_Industry!AD791)</f>
        <v>1014.951503915381</v>
      </c>
      <c r="AE1344">
        <f>IF(ISBLANK(Mitigation_Industry!AE791),"",Mitigation_Industry!AE791)</f>
        <v>1135.2957536653473</v>
      </c>
    </row>
    <row r="1345" spans="1:31" x14ac:dyDescent="0.45">
      <c r="A1345" t="s">
        <v>1685</v>
      </c>
      <c r="B1345" t="s">
        <v>1483</v>
      </c>
      <c r="C1345" t="s">
        <v>1350</v>
      </c>
      <c r="D1345">
        <v>2</v>
      </c>
      <c r="E1345" t="s">
        <v>1161</v>
      </c>
      <c r="F1345">
        <f>MAX(MAX(L1345:AE1345),-MIN(L1345:AE1345))</f>
        <v>1135.2957536653473</v>
      </c>
      <c r="I1345" t="s">
        <v>1571</v>
      </c>
      <c r="J1345" t="s">
        <v>1858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41.420064713506875</v>
      </c>
      <c r="R1345">
        <f t="shared" si="333"/>
        <v>86.485095121802345</v>
      </c>
      <c r="S1345">
        <f t="shared" si="333"/>
        <v>135.43565896074247</v>
      </c>
      <c r="T1345">
        <f t="shared" si="333"/>
        <v>188.52643727335357</v>
      </c>
      <c r="U1345">
        <f t="shared" si="333"/>
        <v>246.0270006417264</v>
      </c>
      <c r="V1345">
        <f t="shared" si="333"/>
        <v>308.22262640395479</v>
      </c>
      <c r="W1345">
        <f t="shared" si="333"/>
        <v>375.41515896001692</v>
      </c>
      <c r="X1345">
        <f t="shared" si="333"/>
        <v>447.92391537629453</v>
      </c>
      <c r="Y1345">
        <f t="shared" si="333"/>
        <v>526.08663860945808</v>
      </c>
      <c r="Z1345">
        <f t="shared" si="333"/>
        <v>610.26050078697119</v>
      </c>
      <c r="AA1345">
        <f t="shared" si="333"/>
        <v>700.82315910375769</v>
      </c>
      <c r="AB1345">
        <f t="shared" si="333"/>
        <v>798.17386702289809</v>
      </c>
      <c r="AC1345">
        <f t="shared" si="333"/>
        <v>902.73464360289768</v>
      </c>
      <c r="AD1345">
        <f t="shared" si="333"/>
        <v>1014.951503915381</v>
      </c>
      <c r="AE1345">
        <f t="shared" si="333"/>
        <v>1135.2957536653473</v>
      </c>
    </row>
    <row r="1347" spans="1:31" x14ac:dyDescent="0.45">
      <c r="A1347" t="s">
        <v>1686</v>
      </c>
      <c r="B1347" t="s">
        <v>1483</v>
      </c>
      <c r="C1347" t="s">
        <v>1355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1686</v>
      </c>
      <c r="B1348" t="s">
        <v>1483</v>
      </c>
      <c r="C1348" t="s">
        <v>1355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3.0641187658752003</v>
      </c>
      <c r="R1348">
        <f>IF(ISBLANK(Mitigation_Industry!R792),"",Mitigation_Industry!R792)</f>
        <v>6.3978799831474173</v>
      </c>
      <c r="S1348">
        <f>IF(ISBLANK(Mitigation_Industry!S792),"",Mitigation_Industry!S792)</f>
        <v>10.019080053608858</v>
      </c>
      <c r="T1348">
        <f>IF(ISBLANK(Mitigation_Industry!T792),"",Mitigation_Industry!T792)</f>
        <v>13.946559434623532</v>
      </c>
      <c r="U1348">
        <f>IF(ISBLANK(Mitigation_Industry!U792),"",Mitigation_Industry!U792)</f>
        <v>18.200260062183709</v>
      </c>
      <c r="V1348">
        <f>IF(ISBLANK(Mitigation_Industry!V792),"",Mitigation_Industry!V792)</f>
        <v>22.801285805903746</v>
      </c>
      <c r="W1348">
        <f>IF(ISBLANK(Mitigation_Industry!W792),"",Mitigation_Industry!W792)</f>
        <v>27.771966111590768</v>
      </c>
      <c r="X1348">
        <f>IF(ISBLANK(Mitigation_Industry!X792),"",Mitigation_Industry!X792)</f>
        <v>33.135922994858014</v>
      </c>
      <c r="Y1348">
        <f>IF(ISBLANK(Mitigation_Industry!Y792),"",Mitigation_Industry!Y792)</f>
        <v>38.918141557460743</v>
      </c>
      <c r="Z1348">
        <f>IF(ISBLANK(Mitigation_Industry!Z792),"",Mitigation_Industry!Z792)</f>
        <v>45.145044206654454</v>
      </c>
      <c r="AA1348">
        <f>IF(ISBLANK(Mitigation_Industry!AA792),"",Mitigation_Industry!AA792)</f>
        <v>51.844568766921974</v>
      </c>
      <c r="AB1348">
        <f>IF(ISBLANK(Mitigation_Industry!AB792),"",Mitigation_Industry!AB792)</f>
        <v>59.046250682908969</v>
      </c>
      <c r="AC1348">
        <f>IF(ISBLANK(Mitigation_Industry!AC792),"",Mitigation_Industry!AC792)</f>
        <v>66.781309522370037</v>
      </c>
      <c r="AD1348">
        <f>IF(ISBLANK(Mitigation_Industry!AD792),"",Mitigation_Industry!AD792)</f>
        <v>75.082739998381584</v>
      </c>
      <c r="AE1348">
        <f>IF(ISBLANK(Mitigation_Industry!AE792),"",Mitigation_Industry!AE792)</f>
        <v>83.985407741046814</v>
      </c>
    </row>
    <row r="1349" spans="1:31" x14ac:dyDescent="0.45">
      <c r="A1349" t="s">
        <v>1686</v>
      </c>
      <c r="B1349" t="s">
        <v>1483</v>
      </c>
      <c r="C1349" t="s">
        <v>1355</v>
      </c>
      <c r="D1349">
        <v>2</v>
      </c>
      <c r="E1349" t="s">
        <v>1161</v>
      </c>
      <c r="F1349">
        <f>MAX(MAX(L1349:AE1349),-MIN(L1349:AE1349))</f>
        <v>83.985407741046814</v>
      </c>
      <c r="I1349" t="s">
        <v>1571</v>
      </c>
      <c r="J1349" t="s">
        <v>1858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3.0641187658752003</v>
      </c>
      <c r="R1349">
        <f t="shared" si="334"/>
        <v>6.3978799831474173</v>
      </c>
      <c r="S1349">
        <f t="shared" si="334"/>
        <v>10.019080053608858</v>
      </c>
      <c r="T1349">
        <f t="shared" si="334"/>
        <v>13.946559434623532</v>
      </c>
      <c r="U1349">
        <f t="shared" si="334"/>
        <v>18.200260062183709</v>
      </c>
      <c r="V1349">
        <f t="shared" si="334"/>
        <v>22.801285805903746</v>
      </c>
      <c r="W1349">
        <f t="shared" si="334"/>
        <v>27.771966111590768</v>
      </c>
      <c r="X1349">
        <f t="shared" si="334"/>
        <v>33.135922994858014</v>
      </c>
      <c r="Y1349">
        <f t="shared" si="334"/>
        <v>38.918141557460743</v>
      </c>
      <c r="Z1349">
        <f t="shared" si="334"/>
        <v>45.145044206654454</v>
      </c>
      <c r="AA1349">
        <f t="shared" si="334"/>
        <v>51.844568766921974</v>
      </c>
      <c r="AB1349">
        <f t="shared" si="334"/>
        <v>59.046250682908969</v>
      </c>
      <c r="AC1349">
        <f t="shared" si="334"/>
        <v>66.781309522370037</v>
      </c>
      <c r="AD1349">
        <f t="shared" si="334"/>
        <v>75.082739998381584</v>
      </c>
      <c r="AE1349">
        <f t="shared" si="334"/>
        <v>83.985407741046814</v>
      </c>
    </row>
    <row r="1351" spans="1:31" x14ac:dyDescent="0.45">
      <c r="A1351" t="s">
        <v>1687</v>
      </c>
      <c r="B1351" t="s">
        <v>1483</v>
      </c>
      <c r="C1351" t="s">
        <v>1359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1687</v>
      </c>
      <c r="B1352" t="s">
        <v>1483</v>
      </c>
      <c r="C1352" t="s">
        <v>1359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1687</v>
      </c>
      <c r="B1353" t="s">
        <v>1483</v>
      </c>
      <c r="C1353" t="s">
        <v>1359</v>
      </c>
      <c r="D1353">
        <v>2</v>
      </c>
      <c r="E1353" t="s">
        <v>1161</v>
      </c>
      <c r="F1353">
        <f>MAX(MAX(L1353:AE1353),-MIN(L1353:AE1353))</f>
        <v>0</v>
      </c>
      <c r="I1353" t="s">
        <v>1571</v>
      </c>
      <c r="J1353" t="s">
        <v>1858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1688</v>
      </c>
      <c r="B1355" t="s">
        <v>1483</v>
      </c>
      <c r="C1355" t="s">
        <v>1363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1688</v>
      </c>
      <c r="B1356" t="s">
        <v>1483</v>
      </c>
      <c r="C1356" t="s">
        <v>1363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216.02967406292771</v>
      </c>
      <c r="R1356">
        <f>IF(ISBLANK(Mitigation_Industry!R794),"",Mitigation_Industry!R794)</f>
        <v>446.31730661400854</v>
      </c>
      <c r="S1356">
        <f>IF(ISBLANK(Mitigation_Industry!S794),"",Mitigation_Industry!S794)</f>
        <v>691.56866659840648</v>
      </c>
      <c r="T1356">
        <f>IF(ISBLANK(Mitigation_Industry!T794),"",Mitigation_Industry!T794)</f>
        <v>952.52057679487154</v>
      </c>
      <c r="U1356">
        <f>IF(ISBLANK(Mitigation_Industry!U794),"",Mitigation_Industry!U794)</f>
        <v>1229.9421947863777</v>
      </c>
      <c r="V1356">
        <f>IF(ISBLANK(Mitigation_Industry!V794),"",Mitigation_Industry!V794)</f>
        <v>1524.6363446571936</v>
      </c>
      <c r="W1356">
        <f>IF(ISBLANK(Mitigation_Industry!W794),"",Mitigation_Industry!W794)</f>
        <v>1837.440901369361</v>
      </c>
      <c r="X1356">
        <f>IF(ISBLANK(Mitigation_Industry!X794),"",Mitigation_Industry!X794)</f>
        <v>2169.2302298451991</v>
      </c>
      <c r="Y1356">
        <f>IF(ISBLANK(Mitigation_Industry!Y794),"",Mitigation_Industry!Y794)</f>
        <v>2520.9166808588525</v>
      </c>
      <c r="Z1356">
        <f>IF(ISBLANK(Mitigation_Industry!Z794),"",Mitigation_Industry!Z794)</f>
        <v>2893.4521459191046</v>
      </c>
      <c r="AA1356">
        <f>IF(ISBLANK(Mitigation_Industry!AA794),"",Mitigation_Industry!AA794)</f>
        <v>3287.8296734078785</v>
      </c>
      <c r="AB1356">
        <f>IF(ISBLANK(Mitigation_Industry!AB794),"",Mitigation_Industry!AB794)</f>
        <v>3705.0851483240044</v>
      </c>
      <c r="AC1356">
        <f>IF(ISBLANK(Mitigation_Industry!AC794),"",Mitigation_Industry!AC794)</f>
        <v>4146.299038070254</v>
      </c>
      <c r="AD1356">
        <f>IF(ISBLANK(Mitigation_Industry!AD794),"",Mitigation_Industry!AD794)</f>
        <v>4612.5982068132325</v>
      </c>
      <c r="AE1356">
        <f>IF(ISBLANK(Mitigation_Industry!AE794),"",Mitigation_Industry!AE794)</f>
        <v>5105.1578010407866</v>
      </c>
    </row>
    <row r="1357" spans="1:31" x14ac:dyDescent="0.45">
      <c r="A1357" t="s">
        <v>1688</v>
      </c>
      <c r="B1357" t="s">
        <v>1483</v>
      </c>
      <c r="C1357" t="s">
        <v>1363</v>
      </c>
      <c r="D1357">
        <v>2</v>
      </c>
      <c r="E1357" t="s">
        <v>1161</v>
      </c>
      <c r="F1357">
        <f>MAX(MAX(L1357:AE1357),-MIN(L1357:AE1357))</f>
        <v>5105.1578010407866</v>
      </c>
      <c r="I1357" t="s">
        <v>1571</v>
      </c>
      <c r="J1357" t="s">
        <v>1858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216.02967406292771</v>
      </c>
      <c r="R1357">
        <f t="shared" si="336"/>
        <v>446.31730661400854</v>
      </c>
      <c r="S1357">
        <f t="shared" si="336"/>
        <v>691.56866659840648</v>
      </c>
      <c r="T1357">
        <f t="shared" si="336"/>
        <v>952.52057679487154</v>
      </c>
      <c r="U1357">
        <f t="shared" si="336"/>
        <v>1229.9421947863777</v>
      </c>
      <c r="V1357">
        <f t="shared" si="336"/>
        <v>1524.6363446571936</v>
      </c>
      <c r="W1357">
        <f t="shared" si="336"/>
        <v>1837.440901369361</v>
      </c>
      <c r="X1357">
        <f t="shared" si="336"/>
        <v>2169.2302298451991</v>
      </c>
      <c r="Y1357">
        <f t="shared" si="336"/>
        <v>2520.9166808588525</v>
      </c>
      <c r="Z1357">
        <f t="shared" si="336"/>
        <v>2893.4521459191046</v>
      </c>
      <c r="AA1357">
        <f t="shared" si="336"/>
        <v>3287.8296734078785</v>
      </c>
      <c r="AB1357">
        <f t="shared" si="336"/>
        <v>3705.0851483240044</v>
      </c>
      <c r="AC1357">
        <f t="shared" si="336"/>
        <v>4146.299038070254</v>
      </c>
      <c r="AD1357">
        <f t="shared" si="336"/>
        <v>4612.5982068132325</v>
      </c>
      <c r="AE1357">
        <f t="shared" si="336"/>
        <v>5105.1578010407866</v>
      </c>
    </row>
    <row r="1359" spans="1:31" x14ac:dyDescent="0.45">
      <c r="A1359" t="s">
        <v>1689</v>
      </c>
      <c r="B1359" t="s">
        <v>1483</v>
      </c>
      <c r="C1359" t="s">
        <v>1425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1689</v>
      </c>
      <c r="B1360" t="s">
        <v>1483</v>
      </c>
      <c r="C1360" t="s">
        <v>1425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47.033407685769127</v>
      </c>
      <c r="R1360">
        <f>IF(ISBLANK(Mitigation_Industry!R795),"",Mitigation_Industry!R795)</f>
        <v>96.136285309712079</v>
      </c>
      <c r="S1360">
        <f>IF(ISBLANK(Mitigation_Industry!S795),"",Mitigation_Industry!S795)</f>
        <v>147.37692537978862</v>
      </c>
      <c r="T1360">
        <f>IF(ISBLANK(Mitigation_Industry!T795),"",Mitigation_Industry!T795)</f>
        <v>200.82562365085863</v>
      </c>
      <c r="U1360">
        <f>IF(ISBLANK(Mitigation_Industry!U795),"",Mitigation_Industry!U795)</f>
        <v>256.55473421397193</v>
      </c>
      <c r="V1360">
        <f>IF(ISBLANK(Mitigation_Industry!V795),"",Mitigation_Industry!V795)</f>
        <v>314.63872604001523</v>
      </c>
      <c r="W1360">
        <f>IF(ISBLANK(Mitigation_Industry!W795),"",Mitigation_Industry!W795)</f>
        <v>375.1542410150447</v>
      </c>
      <c r="X1360">
        <f>IF(ISBLANK(Mitigation_Industry!X795),"",Mitigation_Industry!X795)</f>
        <v>438.18015350557226</v>
      </c>
      <c r="Y1360">
        <f>IF(ISBLANK(Mitigation_Industry!Y795),"",Mitigation_Industry!Y795)</f>
        <v>503.7976314930317</v>
      </c>
      <c r="Z1360">
        <f>IF(ISBLANK(Mitigation_Industry!Z795),"",Mitigation_Industry!Z795)</f>
        <v>572.09019931764271</v>
      </c>
      <c r="AA1360">
        <f>IF(ISBLANK(Mitigation_Industry!AA795),"",Mitigation_Industry!AA795)</f>
        <v>643.14380207289389</v>
      </c>
      <c r="AB1360">
        <f>IF(ISBLANK(Mitigation_Industry!AB795),"",Mitigation_Industry!AB795)</f>
        <v>717.04687169290628</v>
      </c>
      <c r="AC1360">
        <f>IF(ISBLANK(Mitigation_Industry!AC795),"",Mitigation_Industry!AC795)</f>
        <v>793.89039477599624</v>
      </c>
      <c r="AD1360">
        <f>IF(ISBLANK(Mitigation_Industry!AD795),"",Mitigation_Industry!AD795)</f>
        <v>873.76798218884267</v>
      </c>
      <c r="AE1360">
        <f>IF(ISBLANK(Mitigation_Industry!AE795),"",Mitigation_Industry!AE795)</f>
        <v>956.77594049678271</v>
      </c>
    </row>
    <row r="1361" spans="1:31" x14ac:dyDescent="0.45">
      <c r="A1361" t="s">
        <v>1689</v>
      </c>
      <c r="B1361" t="s">
        <v>1483</v>
      </c>
      <c r="C1361" t="s">
        <v>1425</v>
      </c>
      <c r="D1361">
        <v>2</v>
      </c>
      <c r="E1361" t="s">
        <v>1161</v>
      </c>
      <c r="F1361">
        <f>MAX(MAX(L1361:AE1361),-MIN(L1361:AE1361))</f>
        <v>956.77594049678271</v>
      </c>
      <c r="I1361" t="s">
        <v>1571</v>
      </c>
      <c r="J1361" t="s">
        <v>1858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47.033407685769127</v>
      </c>
      <c r="R1361">
        <f t="shared" si="337"/>
        <v>96.136285309712079</v>
      </c>
      <c r="S1361">
        <f t="shared" si="337"/>
        <v>147.37692537978862</v>
      </c>
      <c r="T1361">
        <f t="shared" si="337"/>
        <v>200.82562365085863</v>
      </c>
      <c r="U1361">
        <f t="shared" si="337"/>
        <v>256.55473421397193</v>
      </c>
      <c r="V1361">
        <f t="shared" si="337"/>
        <v>314.63872604001523</v>
      </c>
      <c r="W1361">
        <f t="shared" si="337"/>
        <v>375.1542410150447</v>
      </c>
      <c r="X1361">
        <f t="shared" si="337"/>
        <v>438.18015350557226</v>
      </c>
      <c r="Y1361">
        <f t="shared" si="337"/>
        <v>503.7976314930317</v>
      </c>
      <c r="Z1361">
        <f t="shared" si="337"/>
        <v>572.09019931764271</v>
      </c>
      <c r="AA1361">
        <f t="shared" si="337"/>
        <v>643.14380207289389</v>
      </c>
      <c r="AB1361">
        <f t="shared" si="337"/>
        <v>717.04687169290628</v>
      </c>
      <c r="AC1361">
        <f t="shared" si="337"/>
        <v>793.89039477599624</v>
      </c>
      <c r="AD1361">
        <f t="shared" si="337"/>
        <v>873.76798218884267</v>
      </c>
      <c r="AE1361">
        <f t="shared" si="337"/>
        <v>956.77594049678271</v>
      </c>
    </row>
    <row r="1363" spans="1:31" x14ac:dyDescent="0.45">
      <c r="A1363" t="s">
        <v>1690</v>
      </c>
      <c r="B1363" t="s">
        <v>1483</v>
      </c>
      <c r="C1363" t="s">
        <v>1373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1690</v>
      </c>
      <c r="B1364" t="s">
        <v>1483</v>
      </c>
      <c r="C1364" t="s">
        <v>1373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1690</v>
      </c>
      <c r="B1365" t="s">
        <v>1483</v>
      </c>
      <c r="C1365" t="s">
        <v>1373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1571</v>
      </c>
      <c r="J1365" t="s">
        <v>1858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1691</v>
      </c>
      <c r="B1367" t="s">
        <v>1483</v>
      </c>
      <c r="C1367" t="s">
        <v>1378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1691</v>
      </c>
      <c r="B1368" t="s">
        <v>1483</v>
      </c>
      <c r="C1368" t="s">
        <v>1378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1691</v>
      </c>
      <c r="B1369" t="s">
        <v>1483</v>
      </c>
      <c r="C1369" t="s">
        <v>1378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1571</v>
      </c>
      <c r="J1369" t="s">
        <v>1858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1692</v>
      </c>
      <c r="B1371" t="s">
        <v>1483</v>
      </c>
      <c r="C1371" t="s">
        <v>1383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1692</v>
      </c>
      <c r="B1372" t="s">
        <v>1483</v>
      </c>
      <c r="C1372" t="s">
        <v>1383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0.5434682643843749</v>
      </c>
      <c r="R1372">
        <f>IF(ISBLANK(Mitigation_Industry!R798),"",Mitigation_Industry!R798)</f>
        <v>1.1467180378510311</v>
      </c>
      <c r="S1372">
        <f>IF(ISBLANK(Mitigation_Industry!S798),"",Mitigation_Industry!S798)</f>
        <v>1.8146812948992566</v>
      </c>
      <c r="T1372">
        <f>IF(ISBLANK(Mitigation_Industry!T798),"",Mitigation_Industry!T798)</f>
        <v>2.5526516881582877</v>
      </c>
      <c r="U1372">
        <f>IF(ISBLANK(Mitigation_Industry!U798),"",Mitigation_Industry!U798)</f>
        <v>3.3663094137587413</v>
      </c>
      <c r="V1372">
        <f>IF(ISBLANK(Mitigation_Industry!V798),"",Mitigation_Industry!V798)</f>
        <v>4.261747717818567</v>
      </c>
      <c r="W1372">
        <f>IF(ISBLANK(Mitigation_Industry!W798),"",Mitigation_Industry!W798)</f>
        <v>5.2455011493483523</v>
      </c>
      <c r="X1372">
        <f>IF(ISBLANK(Mitigation_Industry!X798),"",Mitigation_Industry!X798)</f>
        <v>6.3245756715000132</v>
      </c>
      <c r="Y1372">
        <f>IF(ISBLANK(Mitigation_Industry!Y798),"",Mitigation_Industry!Y798)</f>
        <v>7.506480750111578</v>
      </c>
      <c r="Z1372">
        <f>IF(ISBLANK(Mitigation_Industry!Z798),"",Mitigation_Industry!Z798)</f>
        <v>8.7992635459641271</v>
      </c>
      <c r="AA1372">
        <f>IF(ISBLANK(Mitigation_Industry!AA798),"",Mitigation_Industry!AA798)</f>
        <v>10.211545345091368</v>
      </c>
      <c r="AB1372">
        <f>IF(ISBLANK(Mitigation_Industry!AB798),"",Mitigation_Industry!AB798)</f>
        <v>11.752560369896068</v>
      </c>
      <c r="AC1372">
        <f>IF(ISBLANK(Mitigation_Industry!AC798),"",Mitigation_Industry!AC798)</f>
        <v>13.432197122760376</v>
      </c>
      <c r="AD1372">
        <f>IF(ISBLANK(Mitigation_Industry!AD798),"",Mitigation_Industry!AD798)</f>
        <v>15.261042423320829</v>
      </c>
      <c r="AE1372">
        <f>IF(ISBLANK(Mitigation_Industry!AE798),"",Mitigation_Industry!AE798)</f>
        <v>17.25042831064658</v>
      </c>
    </row>
    <row r="1373" spans="1:31" x14ac:dyDescent="0.45">
      <c r="A1373" t="s">
        <v>1692</v>
      </c>
      <c r="B1373" t="s">
        <v>1483</v>
      </c>
      <c r="C1373" t="s">
        <v>1383</v>
      </c>
      <c r="D1373">
        <v>2</v>
      </c>
      <c r="E1373" t="s">
        <v>1161</v>
      </c>
      <c r="F1373">
        <f>MAX(MAX(L1373:AE1373),-MIN(L1373:AE1373))</f>
        <v>17.25042831064658</v>
      </c>
      <c r="I1373" t="s">
        <v>1571</v>
      </c>
      <c r="J1373" t="s">
        <v>1858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0.5434682643843749</v>
      </c>
      <c r="R1373">
        <f t="shared" si="340"/>
        <v>1.1467180378510311</v>
      </c>
      <c r="S1373">
        <f t="shared" si="340"/>
        <v>1.8146812948992566</v>
      </c>
      <c r="T1373">
        <f t="shared" si="340"/>
        <v>2.5526516881582877</v>
      </c>
      <c r="U1373">
        <f t="shared" si="340"/>
        <v>3.3663094137587413</v>
      </c>
      <c r="V1373">
        <f t="shared" si="340"/>
        <v>4.261747717818567</v>
      </c>
      <c r="W1373">
        <f t="shared" si="340"/>
        <v>5.2455011493483523</v>
      </c>
      <c r="X1373">
        <f t="shared" si="340"/>
        <v>6.3245756715000132</v>
      </c>
      <c r="Y1373">
        <f t="shared" si="340"/>
        <v>7.506480750111578</v>
      </c>
      <c r="Z1373">
        <f t="shared" si="340"/>
        <v>8.7992635459641271</v>
      </c>
      <c r="AA1373">
        <f t="shared" si="340"/>
        <v>10.211545345091368</v>
      </c>
      <c r="AB1373">
        <f t="shared" si="340"/>
        <v>11.752560369896068</v>
      </c>
      <c r="AC1373">
        <f t="shared" si="340"/>
        <v>13.432197122760376</v>
      </c>
      <c r="AD1373">
        <f t="shared" si="340"/>
        <v>15.261042423320829</v>
      </c>
      <c r="AE1373">
        <f t="shared" si="340"/>
        <v>17.25042831064658</v>
      </c>
    </row>
    <row r="1375" spans="1:31" x14ac:dyDescent="0.45">
      <c r="A1375" t="s">
        <v>1693</v>
      </c>
      <c r="B1375" t="s">
        <v>1483</v>
      </c>
      <c r="C1375" t="s">
        <v>1484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1693</v>
      </c>
      <c r="B1376" t="s">
        <v>1483</v>
      </c>
      <c r="C1376" t="s">
        <v>1484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313.18092912945133</v>
      </c>
      <c r="R1376">
        <f>IF(ISBLANK(Mitigation_Industry!R799),"",Mitigation_Industry!R799)</f>
        <v>646.88764494852489</v>
      </c>
      <c r="S1376">
        <f>IF(ISBLANK(Mitigation_Industry!S799),"",Mitigation_Industry!S799)</f>
        <v>1002.1648959865571</v>
      </c>
      <c r="T1376">
        <f>IF(ISBLANK(Mitigation_Industry!T799),"",Mitigation_Industry!T799)</f>
        <v>1380.1062236958546</v>
      </c>
      <c r="U1376">
        <f>IF(ISBLANK(Mitigation_Industry!U799),"",Mitigation_Industry!U799)</f>
        <v>1781.8561629939895</v>
      </c>
      <c r="V1376">
        <f>IF(ISBLANK(Mitigation_Industry!V799),"",Mitigation_Industry!V799)</f>
        <v>2208.6125408023772</v>
      </c>
      <c r="W1376">
        <f>IF(ISBLANK(Mitigation_Industry!W799),"",Mitigation_Industry!W799)</f>
        <v>2661.6288769403232</v>
      </c>
      <c r="X1376">
        <f>IF(ISBLANK(Mitigation_Industry!X799),"",Mitigation_Industry!X799)</f>
        <v>3142.2168919286596</v>
      </c>
      <c r="Y1376">
        <f>IF(ISBLANK(Mitigation_Industry!Y799),"",Mitigation_Industry!Y799)</f>
        <v>3651.7491264608011</v>
      </c>
      <c r="Z1376">
        <f>IF(ISBLANK(Mitigation_Industry!Z799),"",Mitigation_Industry!Z799)</f>
        <v>4191.6616775120128</v>
      </c>
      <c r="AA1376">
        <f>IF(ISBLANK(Mitigation_Industry!AA799),"",Mitigation_Industry!AA799)</f>
        <v>4763.45705628019</v>
      </c>
      <c r="AB1376">
        <f>IF(ISBLANK(Mitigation_Industry!AB799),"",Mitigation_Industry!AB799)</f>
        <v>5368.7071733840539</v>
      </c>
      <c r="AC1376">
        <f>IF(ISBLANK(Mitigation_Industry!AC799),"",Mitigation_Industry!AC799)</f>
        <v>6009.0564569877843</v>
      </c>
      <c r="AD1376">
        <f>IF(ISBLANK(Mitigation_Industry!AD799),"",Mitigation_Industry!AD799)</f>
        <v>6686.2251097751796</v>
      </c>
      <c r="AE1376">
        <f>IF(ISBLANK(Mitigation_Industry!AE799),"",Mitigation_Industry!AE799)</f>
        <v>7402.012510962054</v>
      </c>
    </row>
    <row r="1377" spans="1:35" x14ac:dyDescent="0.45">
      <c r="A1377" t="s">
        <v>1693</v>
      </c>
      <c r="B1377" t="s">
        <v>1483</v>
      </c>
      <c r="C1377" t="s">
        <v>1484</v>
      </c>
      <c r="D1377">
        <v>2</v>
      </c>
      <c r="E1377" t="s">
        <v>1161</v>
      </c>
      <c r="F1377">
        <f>MAX(MAX(L1377:AE1377),-MIN(L1377:AE1377))</f>
        <v>7402.012510962054</v>
      </c>
      <c r="I1377" t="s">
        <v>1571</v>
      </c>
      <c r="J1377" t="s">
        <v>1858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313.18092912945133</v>
      </c>
      <c r="R1377">
        <f t="shared" si="341"/>
        <v>646.88764494852489</v>
      </c>
      <c r="S1377">
        <f t="shared" si="341"/>
        <v>1002.1648959865571</v>
      </c>
      <c r="T1377">
        <f t="shared" si="341"/>
        <v>1380.1062236958546</v>
      </c>
      <c r="U1377">
        <f t="shared" si="341"/>
        <v>1781.8561629939895</v>
      </c>
      <c r="V1377">
        <f t="shared" si="341"/>
        <v>2208.6125408023772</v>
      </c>
      <c r="W1377">
        <f t="shared" si="341"/>
        <v>2661.6288769403232</v>
      </c>
      <c r="X1377">
        <f t="shared" si="341"/>
        <v>3142.2168919286596</v>
      </c>
      <c r="Y1377">
        <f t="shared" si="341"/>
        <v>3651.7491264608011</v>
      </c>
      <c r="Z1377">
        <f t="shared" si="341"/>
        <v>4191.6616775120128</v>
      </c>
      <c r="AA1377">
        <f t="shared" si="341"/>
        <v>4763.45705628019</v>
      </c>
      <c r="AB1377">
        <f t="shared" si="341"/>
        <v>5368.7071733840539</v>
      </c>
      <c r="AC1377">
        <f t="shared" si="341"/>
        <v>6009.0564569877843</v>
      </c>
      <c r="AD1377">
        <f t="shared" si="341"/>
        <v>6686.2251097751796</v>
      </c>
      <c r="AE1377">
        <f t="shared" si="341"/>
        <v>7402.012510962054</v>
      </c>
    </row>
    <row r="1380" spans="1:35" x14ac:dyDescent="0.45">
      <c r="A1380" s="52" t="s">
        <v>1848</v>
      </c>
    </row>
    <row r="1381" spans="1:35" x14ac:dyDescent="0.45">
      <c r="A1381" t="s">
        <v>1850</v>
      </c>
      <c r="D1381" s="89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1489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1403</v>
      </c>
      <c r="D1383">
        <v>2</v>
      </c>
      <c r="E1383" t="s">
        <v>1699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1403</v>
      </c>
      <c r="D1384">
        <v>2</v>
      </c>
      <c r="E1384" t="s">
        <v>1820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1403</v>
      </c>
      <c r="D1385">
        <v>2</v>
      </c>
      <c r="E1385" t="s">
        <v>1161</v>
      </c>
      <c r="F1385">
        <f>MAX(MAX(L1385:AE1385),-MIN(L1385:AE1385))</f>
        <v>0</v>
      </c>
      <c r="I1385" t="s">
        <v>1849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1404</v>
      </c>
      <c r="D1387">
        <v>2</v>
      </c>
      <c r="E1387" t="s">
        <v>1699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1404</v>
      </c>
      <c r="D1388">
        <v>2</v>
      </c>
      <c r="E1388" t="s">
        <v>1820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1404</v>
      </c>
      <c r="D1389">
        <v>2</v>
      </c>
      <c r="E1389" t="s">
        <v>1161</v>
      </c>
      <c r="F1389">
        <f>MAX(MAX(L1389:AE1389),-MIN(L1389:AE1389))</f>
        <v>0</v>
      </c>
      <c r="I1389" t="s">
        <v>1849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1699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1820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1849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1699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1820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1849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1699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1820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1849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1699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1820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1849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1699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1820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1849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1699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1820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1849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1699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1820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1849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1699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1820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1849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1699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1820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1849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1859</v>
      </c>
    </row>
    <row r="1429" spans="1:35" x14ac:dyDescent="0.45">
      <c r="A1429" t="s">
        <v>1865</v>
      </c>
      <c r="D1429" s="95">
        <f>MAX(F1431:F1439)</f>
        <v>0</v>
      </c>
    </row>
    <row r="1430" spans="1:35" x14ac:dyDescent="0.45">
      <c r="A1430" s="50" t="s">
        <v>1488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1489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1860</v>
      </c>
      <c r="D1431">
        <v>1</v>
      </c>
      <c r="E1431" t="s">
        <v>1161</v>
      </c>
      <c r="F1431" s="94">
        <f t="shared" ref="F1431:F1438" si="353">MAX(MAX(L1431:AE1431),-MIN(L1431:AE1431))</f>
        <v>0</v>
      </c>
      <c r="I1431">
        <v>0</v>
      </c>
      <c r="L1431" s="94">
        <f>Mitigation_Industry!L400-Mitigation_Industry!L382-Mitigation_Industry!L383</f>
        <v>0</v>
      </c>
      <c r="M1431" s="94">
        <f>Mitigation_Industry!M400-Mitigation_Industry!M382-Mitigation_Industry!M383</f>
        <v>0</v>
      </c>
      <c r="N1431" s="94">
        <f>Mitigation_Industry!N400-Mitigation_Industry!N382-Mitigation_Industry!N383</f>
        <v>0</v>
      </c>
      <c r="O1431" s="94">
        <f>Mitigation_Industry!O400-Mitigation_Industry!O382-Mitigation_Industry!O383</f>
        <v>0</v>
      </c>
      <c r="P1431" s="94">
        <f>Mitigation_Industry!P400-Mitigation_Industry!P382-Mitigation_Industry!P383</f>
        <v>0</v>
      </c>
      <c r="Q1431" s="94">
        <f>Mitigation_Industry!Q400-Mitigation_Industry!Q382-Mitigation_Industry!Q383</f>
        <v>0</v>
      </c>
      <c r="R1431" s="94">
        <f>Mitigation_Industry!R400-Mitigation_Industry!R382-Mitigation_Industry!R383</f>
        <v>0</v>
      </c>
      <c r="S1431" s="94">
        <f>Mitigation_Industry!S400-Mitigation_Industry!S382-Mitigation_Industry!S383</f>
        <v>0</v>
      </c>
      <c r="T1431" s="94">
        <f>Mitigation_Industry!T400-Mitigation_Industry!T382-Mitigation_Industry!T383</f>
        <v>0</v>
      </c>
      <c r="U1431" s="94">
        <f>Mitigation_Industry!U400-Mitigation_Industry!U382-Mitigation_Industry!U383</f>
        <v>0</v>
      </c>
      <c r="V1431" s="94">
        <f>Mitigation_Industry!V400-Mitigation_Industry!V382-Mitigation_Industry!V383</f>
        <v>0</v>
      </c>
      <c r="W1431" s="94">
        <f>Mitigation_Industry!W400-Mitigation_Industry!W382-Mitigation_Industry!W383</f>
        <v>0</v>
      </c>
      <c r="X1431" s="94">
        <f>Mitigation_Industry!X400-Mitigation_Industry!X382-Mitigation_Industry!X383</f>
        <v>0</v>
      </c>
      <c r="Y1431" s="94">
        <f>Mitigation_Industry!Y400-Mitigation_Industry!Y382-Mitigation_Industry!Y383</f>
        <v>0</v>
      </c>
      <c r="Z1431" s="94">
        <f>Mitigation_Industry!Z400-Mitigation_Industry!Z382-Mitigation_Industry!Z383</f>
        <v>0</v>
      </c>
      <c r="AA1431" s="94">
        <f>Mitigation_Industry!AA400-Mitigation_Industry!AA382-Mitigation_Industry!AA383</f>
        <v>0</v>
      </c>
      <c r="AB1431" s="94">
        <f>Mitigation_Industry!AB400-Mitigation_Industry!AB382-Mitigation_Industry!AB383</f>
        <v>0</v>
      </c>
      <c r="AC1431" s="94">
        <f>Mitigation_Industry!AC400-Mitigation_Industry!AC382-Mitigation_Industry!AC383</f>
        <v>0</v>
      </c>
      <c r="AD1431" s="94">
        <f>Mitigation_Industry!AD400-Mitigation_Industry!AD382-Mitigation_Industry!AD383</f>
        <v>0</v>
      </c>
      <c r="AE1431" s="94">
        <f>Mitigation_Industry!AE400-Mitigation_Industry!AE382-Mitigation_Industry!AE383</f>
        <v>0</v>
      </c>
    </row>
    <row r="1432" spans="1:35" x14ac:dyDescent="0.45">
      <c r="A1432" t="s">
        <v>1861</v>
      </c>
      <c r="D1432">
        <v>1</v>
      </c>
      <c r="E1432" t="s">
        <v>1161</v>
      </c>
      <c r="F1432" s="94">
        <f t="shared" si="353"/>
        <v>0</v>
      </c>
      <c r="I1432">
        <v>0</v>
      </c>
      <c r="L1432" s="94">
        <f>Mitigation_Industry!L400-SUM(Mitigation_Industry!L392:L399)</f>
        <v>0</v>
      </c>
      <c r="M1432" s="94">
        <f>Mitigation_Industry!M400-SUM(Mitigation_Industry!M392:M399)</f>
        <v>0</v>
      </c>
      <c r="N1432" s="94">
        <f>Mitigation_Industry!N400-SUM(Mitigation_Industry!N392:N399)</f>
        <v>0</v>
      </c>
      <c r="O1432" s="94">
        <f>Mitigation_Industry!O400-SUM(Mitigation_Industry!O392:O399)</f>
        <v>0</v>
      </c>
      <c r="P1432" s="94">
        <f>Mitigation_Industry!P400-SUM(Mitigation_Industry!P392:P399)</f>
        <v>0</v>
      </c>
      <c r="Q1432" s="94">
        <f>Mitigation_Industry!Q400-SUM(Mitigation_Industry!Q392:Q399)</f>
        <v>0</v>
      </c>
      <c r="R1432" s="94">
        <f>Mitigation_Industry!R400-SUM(Mitigation_Industry!R392:R399)</f>
        <v>0</v>
      </c>
      <c r="S1432" s="94">
        <f>Mitigation_Industry!S400-SUM(Mitigation_Industry!S392:S399)</f>
        <v>0</v>
      </c>
      <c r="T1432" s="94">
        <f>Mitigation_Industry!T400-SUM(Mitigation_Industry!T392:T399)</f>
        <v>0</v>
      </c>
      <c r="U1432" s="94">
        <f>Mitigation_Industry!U400-SUM(Mitigation_Industry!U392:U399)</f>
        <v>0</v>
      </c>
      <c r="V1432" s="94">
        <f>Mitigation_Industry!V400-SUM(Mitigation_Industry!V392:V399)</f>
        <v>0</v>
      </c>
      <c r="W1432" s="94">
        <f>Mitigation_Industry!W400-SUM(Mitigation_Industry!W392:W399)</f>
        <v>0</v>
      </c>
      <c r="X1432" s="94">
        <f>Mitigation_Industry!X400-SUM(Mitigation_Industry!X392:X399)</f>
        <v>0</v>
      </c>
      <c r="Y1432" s="94">
        <f>Mitigation_Industry!Y400-SUM(Mitigation_Industry!Y392:Y399)</f>
        <v>0</v>
      </c>
      <c r="Z1432" s="94">
        <f>Mitigation_Industry!Z400-SUM(Mitigation_Industry!Z392:Z399)</f>
        <v>0</v>
      </c>
      <c r="AA1432" s="94">
        <f>Mitigation_Industry!AA400-SUM(Mitigation_Industry!AA392:AA399)</f>
        <v>0</v>
      </c>
      <c r="AB1432" s="94">
        <f>Mitigation_Industry!AB400-SUM(Mitigation_Industry!AB392:AB399)</f>
        <v>0</v>
      </c>
      <c r="AC1432" s="94">
        <f>Mitigation_Industry!AC400-SUM(Mitigation_Industry!AC392:AC399)</f>
        <v>0</v>
      </c>
      <c r="AD1432" s="94">
        <f>Mitigation_Industry!AD400-SUM(Mitigation_Industry!AD392:AD399)</f>
        <v>0</v>
      </c>
      <c r="AE1432" s="94">
        <f>Mitigation_Industry!AE400-SUM(Mitigation_Industry!AE392:AE399)</f>
        <v>0</v>
      </c>
    </row>
    <row r="1433" spans="1:35" x14ac:dyDescent="0.45">
      <c r="A1433" t="s">
        <v>1862</v>
      </c>
      <c r="D1433">
        <v>1</v>
      </c>
      <c r="E1433" t="s">
        <v>1161</v>
      </c>
      <c r="F1433" s="94">
        <f t="shared" si="353"/>
        <v>0</v>
      </c>
      <c r="I1433">
        <v>0</v>
      </c>
      <c r="L1433" s="94">
        <f>Mitigation_Industry!L380-SUM(Mitigation_Industry!L374:L378)-SUM(Mitigation_Industry!L385:L389)</f>
        <v>0</v>
      </c>
      <c r="M1433" s="94">
        <f>Mitigation_Industry!M380-SUM(Mitigation_Industry!M374:M378)-SUM(Mitigation_Industry!M385:M389)</f>
        <v>0</v>
      </c>
      <c r="N1433" s="94">
        <f>Mitigation_Industry!N380-SUM(Mitigation_Industry!N374:N378)-SUM(Mitigation_Industry!N385:N389)</f>
        <v>0</v>
      </c>
      <c r="O1433" s="94">
        <f>Mitigation_Industry!O380-SUM(Mitigation_Industry!O374:O378)-SUM(Mitigation_Industry!O385:O389)</f>
        <v>0</v>
      </c>
      <c r="P1433" s="94">
        <f>Mitigation_Industry!P380-SUM(Mitigation_Industry!P374:P378)-SUM(Mitigation_Industry!P385:P389)</f>
        <v>0</v>
      </c>
      <c r="Q1433" s="94">
        <f>Mitigation_Industry!Q380-SUM(Mitigation_Industry!Q374:Q378)-SUM(Mitigation_Industry!Q385:Q389)</f>
        <v>0</v>
      </c>
      <c r="R1433" s="94">
        <f>Mitigation_Industry!R380-SUM(Mitigation_Industry!R374:R378)-SUM(Mitigation_Industry!R385:R389)</f>
        <v>0</v>
      </c>
      <c r="S1433" s="94">
        <f>Mitigation_Industry!S380-SUM(Mitigation_Industry!S374:S378)-SUM(Mitigation_Industry!S385:S389)</f>
        <v>0</v>
      </c>
      <c r="T1433" s="94">
        <f>Mitigation_Industry!T380-SUM(Mitigation_Industry!T374:T378)-SUM(Mitigation_Industry!T385:T389)</f>
        <v>0</v>
      </c>
      <c r="U1433" s="94">
        <f>Mitigation_Industry!U380-SUM(Mitigation_Industry!U374:U378)-SUM(Mitigation_Industry!U385:U389)</f>
        <v>0</v>
      </c>
      <c r="V1433" s="94">
        <f>Mitigation_Industry!V380-SUM(Mitigation_Industry!V374:V378)-SUM(Mitigation_Industry!V385:V389)</f>
        <v>0</v>
      </c>
      <c r="W1433" s="94">
        <f>Mitigation_Industry!W380-SUM(Mitigation_Industry!W374:W378)-SUM(Mitigation_Industry!W385:W389)</f>
        <v>0</v>
      </c>
      <c r="X1433" s="94">
        <f>Mitigation_Industry!X380-SUM(Mitigation_Industry!X374:X378)-SUM(Mitigation_Industry!X385:X389)</f>
        <v>0</v>
      </c>
      <c r="Y1433" s="94">
        <f>Mitigation_Industry!Y380-SUM(Mitigation_Industry!Y374:Y378)-SUM(Mitigation_Industry!Y385:Y389)</f>
        <v>0</v>
      </c>
      <c r="Z1433" s="94">
        <f>Mitigation_Industry!Z380-SUM(Mitigation_Industry!Z374:Z378)-SUM(Mitigation_Industry!Z385:Z389)</f>
        <v>0</v>
      </c>
      <c r="AA1433" s="94">
        <f>Mitigation_Industry!AA380-SUM(Mitigation_Industry!AA374:AA378)-SUM(Mitigation_Industry!AA385:AA389)</f>
        <v>0</v>
      </c>
      <c r="AB1433" s="94">
        <f>Mitigation_Industry!AB380-SUM(Mitigation_Industry!AB374:AB378)-SUM(Mitigation_Industry!AB385:AB389)</f>
        <v>0</v>
      </c>
      <c r="AC1433" s="94">
        <f>Mitigation_Industry!AC380-SUM(Mitigation_Industry!AC374:AC378)-SUM(Mitigation_Industry!AC385:AC389)</f>
        <v>0</v>
      </c>
      <c r="AD1433" s="94">
        <f>Mitigation_Industry!AD380-SUM(Mitigation_Industry!AD374:AD378)-SUM(Mitigation_Industry!AD385:AD389)</f>
        <v>0</v>
      </c>
      <c r="AE1433" s="94">
        <f>Mitigation_Industry!AE380-SUM(Mitigation_Industry!AE374:AE378)-SUM(Mitigation_Industry!AE385:AE389)</f>
        <v>0</v>
      </c>
    </row>
    <row r="1434" spans="1:35" x14ac:dyDescent="0.45">
      <c r="A1434" t="s">
        <v>1863</v>
      </c>
      <c r="D1434">
        <v>1</v>
      </c>
      <c r="E1434" t="s">
        <v>1161</v>
      </c>
      <c r="F1434" s="94">
        <f t="shared" si="353"/>
        <v>0</v>
      </c>
      <c r="I1434">
        <v>0</v>
      </c>
      <c r="L1434" s="94">
        <f>Mitigation_Industry!L381-SUM(Mitigation_Industry!L352:L359)-SUM(Mitigation_Industry!L363:L370)</f>
        <v>0</v>
      </c>
      <c r="M1434" s="94">
        <f>Mitigation_Industry!M381-SUM(Mitigation_Industry!M352:M359)-SUM(Mitigation_Industry!M363:M370)</f>
        <v>0</v>
      </c>
      <c r="N1434" s="94">
        <f>Mitigation_Industry!N381-SUM(Mitigation_Industry!N352:N359)-SUM(Mitigation_Industry!N363:N370)</f>
        <v>0</v>
      </c>
      <c r="O1434" s="94">
        <f>Mitigation_Industry!O381-SUM(Mitigation_Industry!O352:O359)-SUM(Mitigation_Industry!O363:O370)</f>
        <v>0</v>
      </c>
      <c r="P1434" s="94">
        <f>Mitigation_Industry!P381-SUM(Mitigation_Industry!P352:P359)-SUM(Mitigation_Industry!P363:P370)</f>
        <v>0</v>
      </c>
      <c r="Q1434" s="94">
        <f>Mitigation_Industry!Q381-SUM(Mitigation_Industry!Q352:Q359)-SUM(Mitigation_Industry!Q363:Q370)</f>
        <v>0</v>
      </c>
      <c r="R1434" s="94">
        <f>Mitigation_Industry!R381-SUM(Mitigation_Industry!R352:R359)-SUM(Mitigation_Industry!R363:R370)</f>
        <v>0</v>
      </c>
      <c r="S1434" s="94">
        <f>Mitigation_Industry!S381-SUM(Mitigation_Industry!S352:S359)-SUM(Mitigation_Industry!S363:S370)</f>
        <v>0</v>
      </c>
      <c r="T1434" s="94">
        <f>Mitigation_Industry!T381-SUM(Mitigation_Industry!T352:T359)-SUM(Mitigation_Industry!T363:T370)</f>
        <v>0</v>
      </c>
      <c r="U1434" s="94">
        <f>Mitigation_Industry!U381-SUM(Mitigation_Industry!U352:U359)-SUM(Mitigation_Industry!U363:U370)</f>
        <v>0</v>
      </c>
      <c r="V1434" s="94">
        <f>Mitigation_Industry!V381-SUM(Mitigation_Industry!V352:V359)-SUM(Mitigation_Industry!V363:V370)</f>
        <v>0</v>
      </c>
      <c r="W1434" s="94">
        <f>Mitigation_Industry!W381-SUM(Mitigation_Industry!W352:W359)-SUM(Mitigation_Industry!W363:W370)</f>
        <v>0</v>
      </c>
      <c r="X1434" s="94">
        <f>Mitigation_Industry!X381-SUM(Mitigation_Industry!X352:X359)-SUM(Mitigation_Industry!X363:X370)</f>
        <v>0</v>
      </c>
      <c r="Y1434" s="94">
        <f>Mitigation_Industry!Y381-SUM(Mitigation_Industry!Y352:Y359)-SUM(Mitigation_Industry!Y363:Y370)</f>
        <v>0</v>
      </c>
      <c r="Z1434" s="94">
        <f>Mitigation_Industry!Z381-SUM(Mitigation_Industry!Z352:Z359)-SUM(Mitigation_Industry!Z363:Z370)</f>
        <v>0</v>
      </c>
      <c r="AA1434" s="94">
        <f>Mitigation_Industry!AA381-SUM(Mitigation_Industry!AA352:AA359)-SUM(Mitigation_Industry!AA363:AA370)</f>
        <v>0</v>
      </c>
      <c r="AB1434" s="94">
        <f>Mitigation_Industry!AB381-SUM(Mitigation_Industry!AB352:AB359)-SUM(Mitigation_Industry!AB363:AB370)</f>
        <v>0</v>
      </c>
      <c r="AC1434" s="94">
        <f>Mitigation_Industry!AC381-SUM(Mitigation_Industry!AC352:AC359)-SUM(Mitigation_Industry!AC363:AC370)</f>
        <v>0</v>
      </c>
      <c r="AD1434" s="94">
        <f>Mitigation_Industry!AD381-SUM(Mitigation_Industry!AD352:AD359)-SUM(Mitigation_Industry!AD363:AD370)</f>
        <v>0</v>
      </c>
      <c r="AE1434" s="94">
        <f>Mitigation_Industry!AE381-SUM(Mitigation_Industry!AE352:AE359)-SUM(Mitigation_Industry!AE363:AE370)</f>
        <v>0</v>
      </c>
    </row>
    <row r="1435" spans="1:35" x14ac:dyDescent="0.45">
      <c r="A1435" t="s">
        <v>1860</v>
      </c>
      <c r="D1435">
        <v>2</v>
      </c>
      <c r="E1435" t="s">
        <v>1161</v>
      </c>
      <c r="F1435" s="94">
        <f t="shared" si="353"/>
        <v>0</v>
      </c>
      <c r="I1435">
        <v>0</v>
      </c>
      <c r="L1435" s="94">
        <f>Mitigation_Industry!L799-Mitigation_Industry!L781-Mitigation_Industry!L782</f>
        <v>0</v>
      </c>
      <c r="M1435" s="94">
        <f>Mitigation_Industry!M799-Mitigation_Industry!M781-Mitigation_Industry!M782</f>
        <v>0</v>
      </c>
      <c r="N1435" s="94">
        <f>Mitigation_Industry!N799-Mitigation_Industry!N781-Mitigation_Industry!N782</f>
        <v>0</v>
      </c>
      <c r="O1435" s="94">
        <f>Mitigation_Industry!O799-Mitigation_Industry!O781-Mitigation_Industry!O782</f>
        <v>0</v>
      </c>
      <c r="P1435" s="94">
        <f>Mitigation_Industry!P799-Mitigation_Industry!P781-Mitigation_Industry!P782</f>
        <v>0</v>
      </c>
      <c r="Q1435" s="94">
        <f>Mitigation_Industry!Q799-Mitigation_Industry!Q781-Mitigation_Industry!Q782</f>
        <v>0</v>
      </c>
      <c r="R1435" s="94">
        <f>Mitigation_Industry!R799-Mitigation_Industry!R781-Mitigation_Industry!R782</f>
        <v>0</v>
      </c>
      <c r="S1435" s="94">
        <f>Mitigation_Industry!S799-Mitigation_Industry!S781-Mitigation_Industry!S782</f>
        <v>0</v>
      </c>
      <c r="T1435" s="94">
        <f>Mitigation_Industry!T799-Mitigation_Industry!T781-Mitigation_Industry!T782</f>
        <v>0</v>
      </c>
      <c r="U1435" s="94">
        <f>Mitigation_Industry!U799-Mitigation_Industry!U781-Mitigation_Industry!U782</f>
        <v>0</v>
      </c>
      <c r="V1435" s="94">
        <f>Mitigation_Industry!V799-Mitigation_Industry!V781-Mitigation_Industry!V782</f>
        <v>0</v>
      </c>
      <c r="W1435" s="94">
        <f>Mitigation_Industry!W799-Mitigation_Industry!W781-Mitigation_Industry!W782</f>
        <v>0</v>
      </c>
      <c r="X1435" s="94">
        <f>Mitigation_Industry!X799-Mitigation_Industry!X781-Mitigation_Industry!X782</f>
        <v>0</v>
      </c>
      <c r="Y1435" s="94">
        <f>Mitigation_Industry!Y799-Mitigation_Industry!Y781-Mitigation_Industry!Y782</f>
        <v>0</v>
      </c>
      <c r="Z1435" s="94">
        <f>Mitigation_Industry!Z799-Mitigation_Industry!Z781-Mitigation_Industry!Z782</f>
        <v>0</v>
      </c>
      <c r="AA1435" s="94">
        <f>Mitigation_Industry!AA799-Mitigation_Industry!AA781-Mitigation_Industry!AA782</f>
        <v>0</v>
      </c>
      <c r="AB1435" s="94">
        <f>Mitigation_Industry!AB799-Mitigation_Industry!AB781-Mitigation_Industry!AB782</f>
        <v>0</v>
      </c>
      <c r="AC1435" s="94">
        <f>Mitigation_Industry!AC799-Mitigation_Industry!AC781-Mitigation_Industry!AC782</f>
        <v>0</v>
      </c>
      <c r="AD1435" s="94">
        <f>Mitigation_Industry!AD799-Mitigation_Industry!AD781-Mitigation_Industry!AD782</f>
        <v>0</v>
      </c>
      <c r="AE1435" s="94">
        <f>Mitigation_Industry!AE799-Mitigation_Industry!AE781-Mitigation_Industry!AE782</f>
        <v>0</v>
      </c>
    </row>
    <row r="1436" spans="1:35" x14ac:dyDescent="0.45">
      <c r="A1436" t="s">
        <v>1861</v>
      </c>
      <c r="D1436">
        <v>2</v>
      </c>
      <c r="E1436" t="s">
        <v>1161</v>
      </c>
      <c r="F1436" s="94">
        <f t="shared" si="353"/>
        <v>0</v>
      </c>
      <c r="I1436">
        <v>0</v>
      </c>
      <c r="L1436" s="94">
        <f>Mitigation_Industry!L799-SUM(Mitigation_Industry!L791:L798)</f>
        <v>0</v>
      </c>
      <c r="M1436" s="94">
        <f>Mitigation_Industry!M799-SUM(Mitigation_Industry!M791:M798)</f>
        <v>0</v>
      </c>
      <c r="N1436" s="94">
        <f>Mitigation_Industry!N799-SUM(Mitigation_Industry!N791:N798)</f>
        <v>0</v>
      </c>
      <c r="O1436" s="94">
        <f>Mitigation_Industry!O799-SUM(Mitigation_Industry!O791:O798)</f>
        <v>0</v>
      </c>
      <c r="P1436" s="94">
        <f>Mitigation_Industry!P799-SUM(Mitigation_Industry!P791:P798)</f>
        <v>0</v>
      </c>
      <c r="Q1436" s="94">
        <f>Mitigation_Industry!Q799-SUM(Mitigation_Industry!Q791:Q798)</f>
        <v>0</v>
      </c>
      <c r="R1436" s="94">
        <f>Mitigation_Industry!R799-SUM(Mitigation_Industry!R791:R798)</f>
        <v>0</v>
      </c>
      <c r="S1436" s="94">
        <f>Mitigation_Industry!S799-SUM(Mitigation_Industry!S791:S798)</f>
        <v>0</v>
      </c>
      <c r="T1436" s="94">
        <f>Mitigation_Industry!T799-SUM(Mitigation_Industry!T791:T798)</f>
        <v>0</v>
      </c>
      <c r="U1436" s="94">
        <f>Mitigation_Industry!U799-SUM(Mitigation_Industry!U791:U798)</f>
        <v>0</v>
      </c>
      <c r="V1436" s="94">
        <f>Mitigation_Industry!V799-SUM(Mitigation_Industry!V791:V798)</f>
        <v>0</v>
      </c>
      <c r="W1436" s="94">
        <f>Mitigation_Industry!W799-SUM(Mitigation_Industry!W791:W798)</f>
        <v>0</v>
      </c>
      <c r="X1436" s="94">
        <f>Mitigation_Industry!X799-SUM(Mitigation_Industry!X791:X798)</f>
        <v>0</v>
      </c>
      <c r="Y1436" s="94">
        <f>Mitigation_Industry!Y799-SUM(Mitigation_Industry!Y791:Y798)</f>
        <v>0</v>
      </c>
      <c r="Z1436" s="94">
        <f>Mitigation_Industry!Z799-SUM(Mitigation_Industry!Z791:Z798)</f>
        <v>0</v>
      </c>
      <c r="AA1436" s="94">
        <f>Mitigation_Industry!AA799-SUM(Mitigation_Industry!AA791:AA798)</f>
        <v>0</v>
      </c>
      <c r="AB1436" s="94">
        <f>Mitigation_Industry!AB799-SUM(Mitigation_Industry!AB791:AB798)</f>
        <v>0</v>
      </c>
      <c r="AC1436" s="94">
        <f>Mitigation_Industry!AC799-SUM(Mitigation_Industry!AC791:AC798)</f>
        <v>0</v>
      </c>
      <c r="AD1436" s="94">
        <f>Mitigation_Industry!AD799-SUM(Mitigation_Industry!AD791:AD798)</f>
        <v>0</v>
      </c>
      <c r="AE1436" s="94">
        <f>Mitigation_Industry!AE799-SUM(Mitigation_Industry!AE791:AE798)</f>
        <v>0</v>
      </c>
    </row>
    <row r="1437" spans="1:35" x14ac:dyDescent="0.45">
      <c r="A1437" t="s">
        <v>1862</v>
      </c>
      <c r="D1437">
        <v>2</v>
      </c>
      <c r="E1437" t="s">
        <v>1161</v>
      </c>
      <c r="F1437" s="94">
        <f t="shared" si="353"/>
        <v>0</v>
      </c>
      <c r="I1437">
        <v>0</v>
      </c>
      <c r="L1437" s="94">
        <f>Mitigation_Industry!L779-SUM(Mitigation_Industry!L773:L777)-SUM(Mitigation_Industry!L784:L788)</f>
        <v>0</v>
      </c>
      <c r="M1437" s="94">
        <f>Mitigation_Industry!M779-SUM(Mitigation_Industry!M773:M777)-SUM(Mitigation_Industry!M784:M788)</f>
        <v>0</v>
      </c>
      <c r="N1437" s="94">
        <f>Mitigation_Industry!N779-SUM(Mitigation_Industry!N773:N777)-SUM(Mitigation_Industry!N784:N788)</f>
        <v>0</v>
      </c>
      <c r="O1437" s="94">
        <f>Mitigation_Industry!O779-SUM(Mitigation_Industry!O773:O777)-SUM(Mitigation_Industry!O784:O788)</f>
        <v>0</v>
      </c>
      <c r="P1437" s="94">
        <f>Mitigation_Industry!P779-SUM(Mitigation_Industry!P773:P777)-SUM(Mitigation_Industry!P784:P788)</f>
        <v>0</v>
      </c>
      <c r="Q1437" s="94">
        <f>Mitigation_Industry!Q779-SUM(Mitigation_Industry!Q773:Q777)-SUM(Mitigation_Industry!Q784:Q788)</f>
        <v>0</v>
      </c>
      <c r="R1437" s="94">
        <f>Mitigation_Industry!R779-SUM(Mitigation_Industry!R773:R777)-SUM(Mitigation_Industry!R784:R788)</f>
        <v>0</v>
      </c>
      <c r="S1437" s="94">
        <f>Mitigation_Industry!S779-SUM(Mitigation_Industry!S773:S777)-SUM(Mitigation_Industry!S784:S788)</f>
        <v>0</v>
      </c>
      <c r="T1437" s="94">
        <f>Mitigation_Industry!T779-SUM(Mitigation_Industry!T773:T777)-SUM(Mitigation_Industry!T784:T788)</f>
        <v>0</v>
      </c>
      <c r="U1437" s="94">
        <f>Mitigation_Industry!U779-SUM(Mitigation_Industry!U773:U777)-SUM(Mitigation_Industry!U784:U788)</f>
        <v>0</v>
      </c>
      <c r="V1437" s="94">
        <f>Mitigation_Industry!V779-SUM(Mitigation_Industry!V773:V777)-SUM(Mitigation_Industry!V784:V788)</f>
        <v>0</v>
      </c>
      <c r="W1437" s="94">
        <f>Mitigation_Industry!W779-SUM(Mitigation_Industry!W773:W777)-SUM(Mitigation_Industry!W784:W788)</f>
        <v>0</v>
      </c>
      <c r="X1437" s="94">
        <f>Mitigation_Industry!X779-SUM(Mitigation_Industry!X773:X777)-SUM(Mitigation_Industry!X784:X788)</f>
        <v>0</v>
      </c>
      <c r="Y1437" s="94">
        <f>Mitigation_Industry!Y779-SUM(Mitigation_Industry!Y773:Y777)-SUM(Mitigation_Industry!Y784:Y788)</f>
        <v>0</v>
      </c>
      <c r="Z1437" s="94">
        <f>Mitigation_Industry!Z779-SUM(Mitigation_Industry!Z773:Z777)-SUM(Mitigation_Industry!Z784:Z788)</f>
        <v>0</v>
      </c>
      <c r="AA1437" s="94">
        <f>Mitigation_Industry!AA779-SUM(Mitigation_Industry!AA773:AA777)-SUM(Mitigation_Industry!AA784:AA788)</f>
        <v>0</v>
      </c>
      <c r="AB1437" s="94">
        <f>Mitigation_Industry!AB779-SUM(Mitigation_Industry!AB773:AB777)-SUM(Mitigation_Industry!AB784:AB788)</f>
        <v>0</v>
      </c>
      <c r="AC1437" s="94">
        <f>Mitigation_Industry!AC779-SUM(Mitigation_Industry!AC773:AC777)-SUM(Mitigation_Industry!AC784:AC788)</f>
        <v>0</v>
      </c>
      <c r="AD1437" s="94">
        <f>Mitigation_Industry!AD779-SUM(Mitigation_Industry!AD773:AD777)-SUM(Mitigation_Industry!AD784:AD788)</f>
        <v>0</v>
      </c>
      <c r="AE1437" s="94">
        <f>Mitigation_Industry!AE779-SUM(Mitigation_Industry!AE773:AE777)-SUM(Mitigation_Industry!AE784:AE788)</f>
        <v>0</v>
      </c>
    </row>
    <row r="1438" spans="1:35" x14ac:dyDescent="0.45">
      <c r="A1438" t="s">
        <v>1863</v>
      </c>
      <c r="D1438">
        <v>2</v>
      </c>
      <c r="E1438" t="s">
        <v>1161</v>
      </c>
      <c r="F1438" s="94">
        <f t="shared" si="353"/>
        <v>0</v>
      </c>
      <c r="I1438">
        <v>0</v>
      </c>
      <c r="L1438" s="94">
        <f>Mitigation_Industry!L780-SUM(Mitigation_Industry!L751:L758)-SUM(Mitigation_Industry!L762:L769)</f>
        <v>0</v>
      </c>
      <c r="M1438" s="94">
        <f>Mitigation_Industry!M780-SUM(Mitigation_Industry!M751:M758)-SUM(Mitigation_Industry!M762:M769)</f>
        <v>0</v>
      </c>
      <c r="N1438" s="94">
        <f>Mitigation_Industry!N780-SUM(Mitigation_Industry!N751:N758)-SUM(Mitigation_Industry!N762:N769)</f>
        <v>0</v>
      </c>
      <c r="O1438" s="94">
        <f>Mitigation_Industry!O780-SUM(Mitigation_Industry!O751:O758)-SUM(Mitigation_Industry!O762:O769)</f>
        <v>0</v>
      </c>
      <c r="P1438" s="94">
        <f>Mitigation_Industry!P780-SUM(Mitigation_Industry!P751:P758)-SUM(Mitigation_Industry!P762:P769)</f>
        <v>0</v>
      </c>
      <c r="Q1438" s="94">
        <f>Mitigation_Industry!Q780-SUM(Mitigation_Industry!Q751:Q758)-SUM(Mitigation_Industry!Q762:Q769)</f>
        <v>0</v>
      </c>
      <c r="R1438" s="94">
        <f>Mitigation_Industry!R780-SUM(Mitigation_Industry!R751:R758)-SUM(Mitigation_Industry!R762:R769)</f>
        <v>0</v>
      </c>
      <c r="S1438" s="94">
        <f>Mitigation_Industry!S780-SUM(Mitigation_Industry!S751:S758)-SUM(Mitigation_Industry!S762:S769)</f>
        <v>0</v>
      </c>
      <c r="T1438" s="94">
        <f>Mitigation_Industry!T780-SUM(Mitigation_Industry!T751:T758)-SUM(Mitigation_Industry!T762:T769)</f>
        <v>0</v>
      </c>
      <c r="U1438" s="94">
        <f>Mitigation_Industry!U780-SUM(Mitigation_Industry!U751:U758)-SUM(Mitigation_Industry!U762:U769)</f>
        <v>0</v>
      </c>
      <c r="V1438" s="94">
        <f>Mitigation_Industry!V780-SUM(Mitigation_Industry!V751:V758)-SUM(Mitigation_Industry!V762:V769)</f>
        <v>0</v>
      </c>
      <c r="W1438" s="94">
        <f>Mitigation_Industry!W780-SUM(Mitigation_Industry!W751:W758)-SUM(Mitigation_Industry!W762:W769)</f>
        <v>0</v>
      </c>
      <c r="X1438" s="94">
        <f>Mitigation_Industry!X780-SUM(Mitigation_Industry!X751:X758)-SUM(Mitigation_Industry!X762:X769)</f>
        <v>0</v>
      </c>
      <c r="Y1438" s="94">
        <f>Mitigation_Industry!Y780-SUM(Mitigation_Industry!Y751:Y758)-SUM(Mitigation_Industry!Y762:Y769)</f>
        <v>0</v>
      </c>
      <c r="Z1438" s="94">
        <f>Mitigation_Industry!Z780-SUM(Mitigation_Industry!Z751:Z758)-SUM(Mitigation_Industry!Z762:Z769)</f>
        <v>0</v>
      </c>
      <c r="AA1438" s="94">
        <f>Mitigation_Industry!AA780-SUM(Mitigation_Industry!AA751:AA758)-SUM(Mitigation_Industry!AA762:AA769)</f>
        <v>0</v>
      </c>
      <c r="AB1438" s="94">
        <f>Mitigation_Industry!AB780-SUM(Mitigation_Industry!AB751:AB758)-SUM(Mitigation_Industry!AB762:AB769)</f>
        <v>0</v>
      </c>
      <c r="AC1438" s="94">
        <f>Mitigation_Industry!AC780-SUM(Mitigation_Industry!AC751:AC758)-SUM(Mitigation_Industry!AC762:AC769)</f>
        <v>0</v>
      </c>
      <c r="AD1438" s="94">
        <f>Mitigation_Industry!AD780-SUM(Mitigation_Industry!AD751:AD758)-SUM(Mitigation_Industry!AD762:AD769)</f>
        <v>0</v>
      </c>
      <c r="AE1438" s="94">
        <f>Mitigation_Industry!AE780-SUM(Mitigation_Industry!AE751:AE758)-SUM(Mitigation_Industry!AE762:AE769)</f>
        <v>0</v>
      </c>
    </row>
    <row r="1439" spans="1:35" x14ac:dyDescent="0.45">
      <c r="A1439" t="s">
        <v>1864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1889</v>
      </c>
    </row>
    <row r="1443" spans="1:35" x14ac:dyDescent="0.45">
      <c r="A1443" t="s">
        <v>1894</v>
      </c>
      <c r="D1443" s="95">
        <f>MAX(F1445:F1451)</f>
        <v>0</v>
      </c>
    </row>
    <row r="1444" spans="1:35" x14ac:dyDescent="0.45">
      <c r="A1444" s="50" t="s">
        <v>1488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1489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1890</v>
      </c>
      <c r="D1445">
        <v>1</v>
      </c>
      <c r="E1445" t="s">
        <v>1161</v>
      </c>
      <c r="F1445" s="94">
        <f>MAX(MAX(L1445:AE1445),-MIN(L1445:AE1445))</f>
        <v>0</v>
      </c>
      <c r="I1445">
        <v>0</v>
      </c>
      <c r="L1445" s="94">
        <f>Mitigation_Industry!L380-SUM(Mitigation_Industry!L258:L261)</f>
        <v>0</v>
      </c>
      <c r="M1445" s="94">
        <f>Mitigation_Industry!M380-SUM(Mitigation_Industry!M258:M261)</f>
        <v>0</v>
      </c>
      <c r="N1445" s="94">
        <f>Mitigation_Industry!N380-SUM(Mitigation_Industry!N258:N261)</f>
        <v>0</v>
      </c>
      <c r="O1445" s="94">
        <f>Mitigation_Industry!O380-SUM(Mitigation_Industry!O258:O261)</f>
        <v>0</v>
      </c>
      <c r="P1445" s="94">
        <f>Mitigation_Industry!P380-SUM(Mitigation_Industry!P258:P261)</f>
        <v>0</v>
      </c>
      <c r="Q1445" s="94">
        <f>Mitigation_Industry!Q380-SUM(Mitigation_Industry!Q258:Q261)</f>
        <v>0</v>
      </c>
      <c r="R1445" s="94">
        <f>Mitigation_Industry!R380-SUM(Mitigation_Industry!R258:R261)</f>
        <v>0</v>
      </c>
      <c r="S1445" s="94">
        <f>Mitigation_Industry!S380-SUM(Mitigation_Industry!S258:S261)</f>
        <v>0</v>
      </c>
      <c r="T1445" s="94">
        <f>Mitigation_Industry!T380-SUM(Mitigation_Industry!T258:T261)</f>
        <v>0</v>
      </c>
      <c r="U1445" s="94">
        <f>Mitigation_Industry!U380-SUM(Mitigation_Industry!U258:U261)</f>
        <v>0</v>
      </c>
      <c r="V1445" s="94">
        <f>Mitigation_Industry!V380-SUM(Mitigation_Industry!V258:V261)</f>
        <v>0</v>
      </c>
      <c r="W1445" s="94">
        <f>Mitigation_Industry!W380-SUM(Mitigation_Industry!W258:W261)</f>
        <v>0</v>
      </c>
      <c r="X1445" s="94">
        <f>Mitigation_Industry!X380-SUM(Mitigation_Industry!X258:X261)</f>
        <v>0</v>
      </c>
      <c r="Y1445" s="94">
        <f>Mitigation_Industry!Y380-SUM(Mitigation_Industry!Y258:Y261)</f>
        <v>0</v>
      </c>
      <c r="Z1445" s="94">
        <f>Mitigation_Industry!Z380-SUM(Mitigation_Industry!Z258:Z261)</f>
        <v>0</v>
      </c>
      <c r="AA1445" s="94">
        <f>Mitigation_Industry!AA380-SUM(Mitigation_Industry!AA258:AA261)</f>
        <v>0</v>
      </c>
      <c r="AB1445" s="94">
        <f>Mitigation_Industry!AB380-SUM(Mitigation_Industry!AB258:AB261)</f>
        <v>0</v>
      </c>
      <c r="AC1445" s="94">
        <f>Mitigation_Industry!AC380-SUM(Mitigation_Industry!AC258:AC261)</f>
        <v>0</v>
      </c>
      <c r="AD1445" s="94">
        <f>Mitigation_Industry!AD380-SUM(Mitigation_Industry!AD258:AD261)</f>
        <v>0</v>
      </c>
      <c r="AE1445" s="94">
        <f>Mitigation_Industry!AE380-SUM(Mitigation_Industry!AE258:AE261)</f>
        <v>0</v>
      </c>
    </row>
    <row r="1446" spans="1:35" x14ac:dyDescent="0.45">
      <c r="A1446" t="s">
        <v>1891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1892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1890</v>
      </c>
      <c r="D1448">
        <v>2</v>
      </c>
      <c r="E1448" t="s">
        <v>1161</v>
      </c>
      <c r="F1448" s="94">
        <f>MAX(MAX(L1448:AE1448),-MIN(L1448:AE1448))</f>
        <v>0</v>
      </c>
      <c r="I1448">
        <v>0</v>
      </c>
      <c r="L1448" s="94">
        <f>Mitigation_Industry!L779-SUM(Mitigation_Industry!L657:L660)</f>
        <v>0</v>
      </c>
      <c r="M1448" s="94">
        <f>Mitigation_Industry!M779-SUM(Mitigation_Industry!M657:M660)</f>
        <v>0</v>
      </c>
      <c r="N1448" s="94">
        <f>Mitigation_Industry!N779-SUM(Mitigation_Industry!N657:N660)</f>
        <v>0</v>
      </c>
      <c r="O1448" s="94">
        <f>Mitigation_Industry!O779-SUM(Mitigation_Industry!O657:O660)</f>
        <v>0</v>
      </c>
      <c r="P1448" s="94">
        <f>Mitigation_Industry!P779-SUM(Mitigation_Industry!P657:P660)</f>
        <v>0</v>
      </c>
      <c r="Q1448" s="94">
        <f>Mitigation_Industry!Q779-SUM(Mitigation_Industry!Q657:Q660)</f>
        <v>0</v>
      </c>
      <c r="R1448" s="94">
        <f>Mitigation_Industry!R779-SUM(Mitigation_Industry!R657:R660)</f>
        <v>0</v>
      </c>
      <c r="S1448" s="94">
        <f>Mitigation_Industry!S779-SUM(Mitigation_Industry!S657:S660)</f>
        <v>0</v>
      </c>
      <c r="T1448" s="94">
        <f>Mitigation_Industry!T779-SUM(Mitigation_Industry!T657:T660)</f>
        <v>0</v>
      </c>
      <c r="U1448" s="94">
        <f>Mitigation_Industry!U779-SUM(Mitigation_Industry!U657:U660)</f>
        <v>0</v>
      </c>
      <c r="V1448" s="94">
        <f>Mitigation_Industry!V779-SUM(Mitigation_Industry!V657:V660)</f>
        <v>0</v>
      </c>
      <c r="W1448" s="94">
        <f>Mitigation_Industry!W779-SUM(Mitigation_Industry!W657:W660)</f>
        <v>0</v>
      </c>
      <c r="X1448" s="94">
        <f>Mitigation_Industry!X779-SUM(Mitigation_Industry!X657:X660)</f>
        <v>0</v>
      </c>
      <c r="Y1448" s="94">
        <f>Mitigation_Industry!Y779-SUM(Mitigation_Industry!Y657:Y660)</f>
        <v>0</v>
      </c>
      <c r="Z1448" s="94">
        <f>Mitigation_Industry!Z779-SUM(Mitigation_Industry!Z657:Z660)</f>
        <v>0</v>
      </c>
      <c r="AA1448" s="94">
        <f>Mitigation_Industry!AA779-SUM(Mitigation_Industry!AA657:AA660)</f>
        <v>0</v>
      </c>
      <c r="AB1448" s="94">
        <f>Mitigation_Industry!AB779-SUM(Mitigation_Industry!AB657:AB660)</f>
        <v>0</v>
      </c>
      <c r="AC1448" s="94">
        <f>Mitigation_Industry!AC779-SUM(Mitigation_Industry!AC657:AC660)</f>
        <v>0</v>
      </c>
      <c r="AD1448" s="94">
        <f>Mitigation_Industry!AD779-SUM(Mitigation_Industry!AD657:AD660)</f>
        <v>0</v>
      </c>
      <c r="AE1448" s="94">
        <f>Mitigation_Industry!AE779-SUM(Mitigation_Industry!AE657:AE660)</f>
        <v>0</v>
      </c>
    </row>
    <row r="1449" spans="1:35" x14ac:dyDescent="0.45">
      <c r="A1449" t="s">
        <v>1891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1892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1893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1903</v>
      </c>
    </row>
    <row r="1455" spans="1:35" x14ac:dyDescent="0.45">
      <c r="A1455" t="s">
        <v>1907</v>
      </c>
      <c r="D1455" s="89">
        <f>MAX(F1457:F1460)</f>
        <v>0</v>
      </c>
    </row>
    <row r="1456" spans="1:35" x14ac:dyDescent="0.45">
      <c r="A1456" s="50" t="s">
        <v>1488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1489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1904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1904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1905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1906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1919</v>
      </c>
    </row>
    <row r="1464" spans="1:35" x14ac:dyDescent="0.45">
      <c r="A1464" t="s">
        <v>1924</v>
      </c>
      <c r="D1464" s="89">
        <f>MAX(F1466:F1472)</f>
        <v>8.8817841970012523E-16</v>
      </c>
    </row>
    <row r="1465" spans="1:35" x14ac:dyDescent="0.45">
      <c r="A1465" s="50" t="s">
        <v>1488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1489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1920</v>
      </c>
      <c r="D1466">
        <v>1</v>
      </c>
      <c r="E1466" t="s">
        <v>1161</v>
      </c>
      <c r="F1466">
        <f>MAX(MAX(L1466:AE1466),-MIN(L1466:AE1466))</f>
        <v>4.4408920985006262E-16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-2.2204460492503131E-16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1.1102230246251565E-16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0</v>
      </c>
      <c r="Z1466">
        <f>Mitigation_Industry!Z286-IF((SUM(Mitigation_Industry!Z330:Z337)+SUM(Mitigation_Industry!Z341:Z348))=0,0,SUM(Mitigation_Industry!Z258:Z261)/(SUM(Mitigation_Industry!Z330:Z337)+SUM(Mitigation_Industry!Z341:Z348))-1)</f>
        <v>2.2204460492503131E-16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-2.2204460492503131E-16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-4.4408920985006262E-16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1921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1922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1920</v>
      </c>
      <c r="D1469">
        <v>2</v>
      </c>
      <c r="E1469" t="s">
        <v>1161</v>
      </c>
      <c r="F1469">
        <f>MAX(MAX(L1469:AE1469),-MIN(L1469:AE1469))</f>
        <v>4.4408920985006262E-16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-2.2204460492503131E-16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1.1102230246251565E-16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0</v>
      </c>
      <c r="Z1469">
        <f>Mitigation_Industry!Z685-IF((SUM(Mitigation_Industry!Z729:Z736)+SUM(Mitigation_Industry!Z740:Z747))=0,0,SUM(Mitigation_Industry!Z657:Z660)/(SUM(Mitigation_Industry!Z729:Z736)+SUM(Mitigation_Industry!Z740:Z747))-1)</f>
        <v>2.2204460492503131E-16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-2.2204460492503131E-16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-4.4408920985006262E-16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1921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1922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1923</v>
      </c>
      <c r="D1472">
        <v>1</v>
      </c>
      <c r="F1472">
        <f>MAX(SUMPRODUCT(ABS(Mitigation_Industry!$L$284:$AE$284)),SUMPRODUCT(ABS(Mitigation_Industry!$L$286:$AE$286)),SUMPRODUCT(ABS(Mitigation_Industry!$L$296:$AE$296)))</f>
        <v>8.8817841970012523E-16</v>
      </c>
      <c r="I1472">
        <v>0</v>
      </c>
    </row>
    <row r="1475" spans="1:35" x14ac:dyDescent="0.45">
      <c r="A1475" s="52" t="s">
        <v>1957</v>
      </c>
    </row>
    <row r="1476" spans="1:35" x14ac:dyDescent="0.45">
      <c r="A1476" t="s">
        <v>1965</v>
      </c>
      <c r="D1476" s="89">
        <f>MAX(F1478:F1485)</f>
        <v>1.9428902930940239E-16</v>
      </c>
    </row>
    <row r="1477" spans="1:35" x14ac:dyDescent="0.45">
      <c r="A1477" s="50" t="s">
        <v>1488</v>
      </c>
      <c r="B1477" s="50"/>
      <c r="C1477" s="50"/>
      <c r="D1477" s="50" t="s">
        <v>47</v>
      </c>
      <c r="E1477" s="50" t="s">
        <v>1156</v>
      </c>
      <c r="F1477" s="50" t="s">
        <v>1958</v>
      </c>
      <c r="G1477" s="50"/>
      <c r="H1477" s="50"/>
      <c r="I1477" s="50" t="s">
        <v>1489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1959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1.9428902930940239E-16</v>
      </c>
      <c r="I1478">
        <v>0</v>
      </c>
    </row>
    <row r="1479" spans="1:35" x14ac:dyDescent="0.45">
      <c r="A1479" t="s">
        <v>1960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1961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1962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1963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1964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1963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1964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1985</v>
      </c>
    </row>
    <row r="1489" spans="1:35" x14ac:dyDescent="0.45">
      <c r="A1489" t="s">
        <v>1994</v>
      </c>
      <c r="D1489" s="89">
        <f>MAX(F1491:F1502)</f>
        <v>2.8421709430404007E-14</v>
      </c>
    </row>
    <row r="1490" spans="1:35" x14ac:dyDescent="0.45">
      <c r="A1490" s="50" t="s">
        <v>1488</v>
      </c>
      <c r="B1490" s="50"/>
      <c r="C1490" s="50"/>
      <c r="D1490" s="50" t="s">
        <v>47</v>
      </c>
      <c r="E1490" s="50" t="s">
        <v>1156</v>
      </c>
      <c r="F1490" s="50" t="s">
        <v>1958</v>
      </c>
      <c r="G1490" s="50"/>
      <c r="H1490" s="50"/>
      <c r="I1490" s="50" t="s">
        <v>1489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1986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1987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1988</v>
      </c>
      <c r="F1493">
        <f>SUMPRODUCT(--('Manual inputs'!$E$66:$E$73&gt;0))</f>
        <v>0</v>
      </c>
      <c r="I1493">
        <v>0</v>
      </c>
    </row>
    <row r="1494" spans="1:35" x14ac:dyDescent="0.45">
      <c r="A1494" t="s">
        <v>1989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1990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1991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1992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7.1054273576010019E-15</v>
      </c>
      <c r="I1497">
        <v>0</v>
      </c>
    </row>
    <row r="1498" spans="1:35" x14ac:dyDescent="0.45">
      <c r="A1498" t="s">
        <v>1993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2.8421709430404007E-14</v>
      </c>
      <c r="I1498">
        <v>0</v>
      </c>
    </row>
    <row r="1499" spans="1:35" x14ac:dyDescent="0.45">
      <c r="A1499" t="s">
        <v>1989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1990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1992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7.1054273576010019E-15</v>
      </c>
      <c r="I1501">
        <v>0</v>
      </c>
    </row>
    <row r="1502" spans="1:35" x14ac:dyDescent="0.45">
      <c r="A1502" t="s">
        <v>1993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2.8421709430404007E-14</v>
      </c>
      <c r="I1502">
        <v>0</v>
      </c>
    </row>
    <row r="1505" spans="1:35" x14ac:dyDescent="0.45">
      <c r="A1505" s="52" t="s">
        <v>2016</v>
      </c>
    </row>
    <row r="1506" spans="1:35" x14ac:dyDescent="0.45">
      <c r="A1506" t="s">
        <v>2024</v>
      </c>
      <c r="D1506" s="89">
        <f>MAX(F1508:F1516)</f>
        <v>4.0856207306205761E-13</v>
      </c>
    </row>
    <row r="1507" spans="1:35" x14ac:dyDescent="0.45">
      <c r="A1507" s="50" t="s">
        <v>1488</v>
      </c>
      <c r="B1507" s="50"/>
      <c r="C1507" s="50"/>
      <c r="D1507" s="50" t="s">
        <v>47</v>
      </c>
      <c r="E1507" s="50" t="s">
        <v>1156</v>
      </c>
      <c r="F1507" s="50" t="s">
        <v>1958</v>
      </c>
      <c r="G1507" s="50"/>
      <c r="H1507" s="50"/>
      <c r="I1507" s="50" t="s">
        <v>1489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2017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2018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2019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2020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2021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2022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2023</v>
      </c>
      <c r="D1514">
        <v>1</v>
      </c>
      <c r="F1514">
        <f>SUMPRODUCT(ABS(Mitigation_Industry!$L$339:$AE$339-Mitigation_Industry!$L$350:$AE$350))</f>
        <v>4.0856207306205761E-13</v>
      </c>
      <c r="I1514">
        <v>0</v>
      </c>
    </row>
    <row r="1515" spans="1:35" x14ac:dyDescent="0.45">
      <c r="A1515" t="s">
        <v>2021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2022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45">
      <c r="A1519" s="52" t="s">
        <v>2144</v>
      </c>
    </row>
    <row r="1520" spans="1:35" x14ac:dyDescent="0.45">
      <c r="A1520" t="s">
        <v>2168</v>
      </c>
      <c r="D1520" s="89">
        <f>MAX(F1522:F1546)</f>
        <v>1.4210854715202004E-14</v>
      </c>
    </row>
    <row r="1521" spans="1:35" x14ac:dyDescent="0.45">
      <c r="A1521" s="50" t="s">
        <v>1488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2145</v>
      </c>
      <c r="H1521" s="50"/>
      <c r="I1521" s="50" t="s">
        <v>1489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45">
      <c r="A1522" t="s">
        <v>2146</v>
      </c>
      <c r="D1522">
        <v>1</v>
      </c>
      <c r="E1522" t="s">
        <v>1161</v>
      </c>
      <c r="F1522">
        <f t="shared" ref="F1522:F1529" si="354"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45">
      <c r="A1523" t="s">
        <v>2147</v>
      </c>
      <c r="D1523">
        <v>1</v>
      </c>
      <c r="E1523" t="s">
        <v>1161</v>
      </c>
      <c r="F1523">
        <f t="shared" si="354"/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45">
      <c r="A1524" t="s">
        <v>2148</v>
      </c>
      <c r="D1524">
        <v>1</v>
      </c>
      <c r="E1524" t="s">
        <v>1161</v>
      </c>
      <c r="F1524">
        <f t="shared" si="354"/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45">
      <c r="A1525" t="s">
        <v>2149</v>
      </c>
      <c r="D1525">
        <v>1</v>
      </c>
      <c r="E1525" t="s">
        <v>1161</v>
      </c>
      <c r="F1525">
        <f t="shared" si="354"/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45">
      <c r="A1526" t="s">
        <v>2150</v>
      </c>
      <c r="D1526">
        <v>2</v>
      </c>
      <c r="E1526" t="s">
        <v>1161</v>
      </c>
      <c r="F1526">
        <f t="shared" si="354"/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45">
      <c r="A1527" t="s">
        <v>2151</v>
      </c>
      <c r="D1527">
        <v>2</v>
      </c>
      <c r="E1527" t="s">
        <v>1161</v>
      </c>
      <c r="F1527">
        <f t="shared" si="354"/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45">
      <c r="A1528" t="s">
        <v>2152</v>
      </c>
      <c r="D1528">
        <v>2</v>
      </c>
      <c r="E1528" t="s">
        <v>1161</v>
      </c>
      <c r="F1528">
        <f t="shared" si="354"/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45">
      <c r="A1529" t="s">
        <v>2153</v>
      </c>
      <c r="D1529">
        <v>2</v>
      </c>
      <c r="E1529" t="s">
        <v>1161</v>
      </c>
      <c r="F1529">
        <f t="shared" si="354"/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45">
      <c r="A1530" t="s">
        <v>2154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45">
      <c r="A1531" t="s">
        <v>2155</v>
      </c>
      <c r="B1531" t="s">
        <v>110</v>
      </c>
      <c r="C1531" t="s">
        <v>43</v>
      </c>
      <c r="D1531">
        <v>1</v>
      </c>
      <c r="E1531" t="s">
        <v>1159</v>
      </c>
      <c r="J1531" t="s">
        <v>2156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45">
      <c r="A1532" t="s">
        <v>2157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45">
      <c r="A1533" t="s">
        <v>2157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28">
        <f>IF(MAX(L1531:AE1531)=0,0,F1533/MAX(L1531:AE1531))</f>
        <v>1.7865402355444304E-15</v>
      </c>
      <c r="I1533">
        <v>0</v>
      </c>
      <c r="L1533">
        <f t="shared" ref="L1533:AE1533" si="355">L1532-L1531</f>
        <v>0</v>
      </c>
      <c r="M1533">
        <f t="shared" si="355"/>
        <v>6.6613381477509392E-15</v>
      </c>
      <c r="N1533">
        <f t="shared" si="355"/>
        <v>7.1054273576010019E-15</v>
      </c>
      <c r="O1533">
        <f t="shared" si="355"/>
        <v>0</v>
      </c>
      <c r="P1533">
        <f t="shared" si="355"/>
        <v>7.1054273576010019E-15</v>
      </c>
      <c r="Q1533">
        <f t="shared" si="355"/>
        <v>7.1054273576010019E-15</v>
      </c>
      <c r="R1533">
        <f t="shared" si="355"/>
        <v>7.1054273576010019E-15</v>
      </c>
      <c r="S1533">
        <f t="shared" si="355"/>
        <v>0</v>
      </c>
      <c r="T1533">
        <f t="shared" si="355"/>
        <v>7.1054273576010019E-15</v>
      </c>
      <c r="U1533">
        <f t="shared" si="355"/>
        <v>7.9936057773011271E-15</v>
      </c>
      <c r="V1533">
        <f t="shared" si="355"/>
        <v>8.8817841970012523E-15</v>
      </c>
      <c r="W1533">
        <f t="shared" si="355"/>
        <v>8.8817841970012523E-15</v>
      </c>
      <c r="X1533">
        <f t="shared" si="355"/>
        <v>8.8817841970012523E-15</v>
      </c>
      <c r="Y1533">
        <f t="shared" si="355"/>
        <v>1.1546319456101628E-14</v>
      </c>
      <c r="Z1533">
        <f t="shared" si="355"/>
        <v>1.1546319456101628E-14</v>
      </c>
      <c r="AA1533">
        <f t="shared" si="355"/>
        <v>1.1546319456101628E-14</v>
      </c>
      <c r="AB1533">
        <f t="shared" si="355"/>
        <v>1.2434497875801753E-14</v>
      </c>
      <c r="AC1533">
        <f t="shared" si="355"/>
        <v>1.4210854715202004E-14</v>
      </c>
      <c r="AD1533">
        <f t="shared" si="355"/>
        <v>1.4210854715202004E-14</v>
      </c>
      <c r="AE1533">
        <f t="shared" si="355"/>
        <v>1.3322676295501878E-14</v>
      </c>
    </row>
    <row r="1534" spans="1:35" x14ac:dyDescent="0.45">
      <c r="A1534" t="s">
        <v>2158</v>
      </c>
      <c r="B1534" t="s">
        <v>110</v>
      </c>
      <c r="C1534" t="s">
        <v>113</v>
      </c>
      <c r="D1534">
        <v>1</v>
      </c>
      <c r="E1534" t="s">
        <v>1159</v>
      </c>
      <c r="J1534" t="s">
        <v>2159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45">
      <c r="A1535" t="s">
        <v>2160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45">
      <c r="A1536" t="s">
        <v>2160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28">
        <f>IF(MAX(L1534:AE1534)=0,0,F1536/MAX(L1534:AE1534))</f>
        <v>0</v>
      </c>
      <c r="I1536">
        <v>0</v>
      </c>
      <c r="L1536">
        <f t="shared" ref="L1536:AE1536" si="356">L1535-L1534</f>
        <v>0</v>
      </c>
      <c r="M1536">
        <f t="shared" si="356"/>
        <v>0</v>
      </c>
      <c r="N1536">
        <f t="shared" si="356"/>
        <v>0</v>
      </c>
      <c r="O1536">
        <f t="shared" si="356"/>
        <v>0</v>
      </c>
      <c r="P1536">
        <f t="shared" si="356"/>
        <v>0</v>
      </c>
      <c r="Q1536">
        <f t="shared" si="356"/>
        <v>0</v>
      </c>
      <c r="R1536">
        <f t="shared" si="356"/>
        <v>0</v>
      </c>
      <c r="S1536">
        <f t="shared" si="356"/>
        <v>0</v>
      </c>
      <c r="T1536">
        <f t="shared" si="356"/>
        <v>0</v>
      </c>
      <c r="U1536">
        <f t="shared" si="356"/>
        <v>0</v>
      </c>
      <c r="V1536">
        <f t="shared" si="356"/>
        <v>0</v>
      </c>
      <c r="W1536">
        <f t="shared" si="356"/>
        <v>0</v>
      </c>
      <c r="X1536">
        <f t="shared" si="356"/>
        <v>0</v>
      </c>
      <c r="Y1536">
        <f t="shared" si="356"/>
        <v>0</v>
      </c>
      <c r="Z1536">
        <f t="shared" si="356"/>
        <v>0</v>
      </c>
      <c r="AA1536">
        <f t="shared" si="356"/>
        <v>0</v>
      </c>
      <c r="AB1536">
        <f t="shared" si="356"/>
        <v>0</v>
      </c>
      <c r="AC1536">
        <f t="shared" si="356"/>
        <v>0</v>
      </c>
      <c r="AD1536">
        <f t="shared" si="356"/>
        <v>0</v>
      </c>
      <c r="AE1536">
        <f t="shared" si="356"/>
        <v>0</v>
      </c>
    </row>
    <row r="1537" spans="1:31" x14ac:dyDescent="0.45">
      <c r="A1537" t="s">
        <v>2161</v>
      </c>
      <c r="B1537" t="s">
        <v>110</v>
      </c>
      <c r="C1537" t="s">
        <v>115</v>
      </c>
      <c r="D1537">
        <v>1</v>
      </c>
      <c r="E1537" t="s">
        <v>1159</v>
      </c>
      <c r="J1537" t="s">
        <v>2162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5">
      <c r="A1538" t="s">
        <v>2163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45">
      <c r="A1539" t="s">
        <v>2163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28">
        <f>IF(MAX(L1537:AE1537)=0,0,F1539/MAX(L1537:AE1537))</f>
        <v>0</v>
      </c>
      <c r="I1539">
        <v>0</v>
      </c>
      <c r="L1539">
        <f t="shared" ref="L1539:AE1539" si="357">L1538-L1537</f>
        <v>0</v>
      </c>
      <c r="M1539">
        <f t="shared" si="357"/>
        <v>0</v>
      </c>
      <c r="N1539">
        <f t="shared" si="357"/>
        <v>0</v>
      </c>
      <c r="O1539">
        <f t="shared" si="357"/>
        <v>0</v>
      </c>
      <c r="P1539">
        <f t="shared" si="357"/>
        <v>0</v>
      </c>
      <c r="Q1539">
        <f t="shared" si="357"/>
        <v>0</v>
      </c>
      <c r="R1539">
        <f t="shared" si="357"/>
        <v>0</v>
      </c>
      <c r="S1539">
        <f t="shared" si="357"/>
        <v>0</v>
      </c>
      <c r="T1539">
        <f t="shared" si="357"/>
        <v>0</v>
      </c>
      <c r="U1539">
        <f t="shared" si="357"/>
        <v>0</v>
      </c>
      <c r="V1539">
        <f t="shared" si="357"/>
        <v>0</v>
      </c>
      <c r="W1539">
        <f t="shared" si="357"/>
        <v>0</v>
      </c>
      <c r="X1539">
        <f t="shared" si="357"/>
        <v>0</v>
      </c>
      <c r="Y1539">
        <f t="shared" si="357"/>
        <v>0</v>
      </c>
      <c r="Z1539">
        <f t="shared" si="357"/>
        <v>0</v>
      </c>
      <c r="AA1539">
        <f t="shared" si="357"/>
        <v>0</v>
      </c>
      <c r="AB1539">
        <f t="shared" si="357"/>
        <v>0</v>
      </c>
      <c r="AC1539">
        <f t="shared" si="357"/>
        <v>0</v>
      </c>
      <c r="AD1539">
        <f t="shared" si="357"/>
        <v>0</v>
      </c>
      <c r="AE1539">
        <f t="shared" si="357"/>
        <v>0</v>
      </c>
    </row>
    <row r="1540" spans="1:31" x14ac:dyDescent="0.45">
      <c r="A1540" t="s">
        <v>2164</v>
      </c>
      <c r="B1540" t="s">
        <v>110</v>
      </c>
      <c r="C1540" t="s">
        <v>117</v>
      </c>
      <c r="D1540">
        <v>1</v>
      </c>
      <c r="E1540" t="s">
        <v>1159</v>
      </c>
      <c r="J1540" t="s">
        <v>2165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5">
      <c r="A1541" t="s">
        <v>2166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45">
      <c r="A1542" t="s">
        <v>2166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28">
        <f>IF(MAX(L1540:AE1540)=0,0,F1542/MAX(L1540:AE1540))</f>
        <v>0</v>
      </c>
      <c r="I1542">
        <v>0</v>
      </c>
      <c r="L1542">
        <f t="shared" ref="L1542:AE1542" si="358">L1541-L1540</f>
        <v>0</v>
      </c>
      <c r="M1542">
        <f t="shared" si="358"/>
        <v>0</v>
      </c>
      <c r="N1542">
        <f t="shared" si="358"/>
        <v>0</v>
      </c>
      <c r="O1542">
        <f t="shared" si="358"/>
        <v>0</v>
      </c>
      <c r="P1542">
        <f t="shared" si="358"/>
        <v>0</v>
      </c>
      <c r="Q1542">
        <f t="shared" si="358"/>
        <v>0</v>
      </c>
      <c r="R1542">
        <f t="shared" si="358"/>
        <v>0</v>
      </c>
      <c r="S1542">
        <f t="shared" si="358"/>
        <v>0</v>
      </c>
      <c r="T1542">
        <f t="shared" si="358"/>
        <v>0</v>
      </c>
      <c r="U1542">
        <f t="shared" si="358"/>
        <v>0</v>
      </c>
      <c r="V1542">
        <f t="shared" si="358"/>
        <v>0</v>
      </c>
      <c r="W1542">
        <f t="shared" si="358"/>
        <v>0</v>
      </c>
      <c r="X1542">
        <f t="shared" si="358"/>
        <v>0</v>
      </c>
      <c r="Y1542">
        <f t="shared" si="358"/>
        <v>0</v>
      </c>
      <c r="Z1542">
        <f t="shared" si="358"/>
        <v>0</v>
      </c>
      <c r="AA1542">
        <f t="shared" si="358"/>
        <v>0</v>
      </c>
      <c r="AB1542">
        <f t="shared" si="358"/>
        <v>0</v>
      </c>
      <c r="AC1542">
        <f t="shared" si="358"/>
        <v>0</v>
      </c>
      <c r="AD1542">
        <f t="shared" si="358"/>
        <v>0</v>
      </c>
      <c r="AE1542">
        <f t="shared" si="358"/>
        <v>0</v>
      </c>
    </row>
    <row r="1543" spans="1:31" x14ac:dyDescent="0.45">
      <c r="A1543" t="s">
        <v>2170</v>
      </c>
      <c r="D1543">
        <v>2</v>
      </c>
      <c r="E1543" t="s">
        <v>2167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45">
      <c r="A1544" t="s">
        <v>2171</v>
      </c>
      <c r="D1544">
        <v>2</v>
      </c>
      <c r="E1544" t="s">
        <v>2167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45">
      <c r="A1545" t="s">
        <v>2172</v>
      </c>
      <c r="D1545">
        <v>2</v>
      </c>
      <c r="E1545" t="s">
        <v>2167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45">
      <c r="A1546" t="s">
        <v>2173</v>
      </c>
      <c r="D1546">
        <v>2</v>
      </c>
      <c r="E1546" t="s">
        <v>2167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45">
      <c r="A1548" t="s">
        <v>2169</v>
      </c>
    </row>
    <row r="1551" spans="1:31" x14ac:dyDescent="0.45">
      <c r="A1551" s="52" t="s">
        <v>2430</v>
      </c>
    </row>
    <row r="1552" spans="1:31" x14ac:dyDescent="0.45">
      <c r="A1552" t="s">
        <v>2536</v>
      </c>
      <c r="D1552" s="89">
        <f>MAX(F1554:F1589)</f>
        <v>2.8421709430404007E-14</v>
      </c>
      <c r="F1552" t="s">
        <v>2537</v>
      </c>
    </row>
    <row r="1553" spans="1:35" x14ac:dyDescent="0.45">
      <c r="A1553" s="50" t="s">
        <v>1488</v>
      </c>
      <c r="B1553" s="50"/>
      <c r="C1553" s="50"/>
      <c r="D1553" s="50" t="s">
        <v>47</v>
      </c>
      <c r="E1553" s="50" t="s">
        <v>1156</v>
      </c>
      <c r="F1553" s="50" t="s">
        <v>1958</v>
      </c>
      <c r="G1553" s="50"/>
      <c r="H1553" s="50"/>
      <c r="I1553" s="50" t="s">
        <v>1489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45">
      <c r="A1554" t="s">
        <v>2431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45">
      <c r="A1555" t="s">
        <v>2432</v>
      </c>
      <c r="D1555">
        <v>1</v>
      </c>
      <c r="E1555" t="s">
        <v>2167</v>
      </c>
      <c r="F1555">
        <f t="shared" ref="F1555:F1560" si="359"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45">
      <c r="A1556" t="s">
        <v>2433</v>
      </c>
      <c r="D1556">
        <v>1</v>
      </c>
      <c r="E1556" t="s">
        <v>2167</v>
      </c>
      <c r="F1556">
        <f t="shared" si="359"/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45">
      <c r="A1557" t="s">
        <v>2434</v>
      </c>
      <c r="D1557">
        <v>1</v>
      </c>
      <c r="E1557" t="s">
        <v>2167</v>
      </c>
      <c r="F1557">
        <f t="shared" si="359"/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45">
      <c r="A1558" t="s">
        <v>2435</v>
      </c>
      <c r="D1558">
        <v>1</v>
      </c>
      <c r="E1558" t="s">
        <v>2167</v>
      </c>
      <c r="F1558">
        <f t="shared" si="359"/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45">
      <c r="A1559" t="s">
        <v>2436</v>
      </c>
      <c r="D1559">
        <v>1</v>
      </c>
      <c r="E1559" t="s">
        <v>2167</v>
      </c>
      <c r="F1559">
        <f t="shared" si="359"/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45">
      <c r="A1560" t="s">
        <v>2437</v>
      </c>
      <c r="D1560">
        <v>1</v>
      </c>
      <c r="E1560" t="s">
        <v>2167</v>
      </c>
      <c r="F1560">
        <f t="shared" si="359"/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45">
      <c r="A1561" t="s">
        <v>2438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45">
      <c r="A1562" t="s">
        <v>2439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45">
      <c r="A1563" t="s">
        <v>2440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45">
      <c r="A1564" t="s">
        <v>2431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45">
      <c r="A1565" t="s">
        <v>2432</v>
      </c>
      <c r="D1565">
        <v>2</v>
      </c>
      <c r="E1565" t="s">
        <v>2167</v>
      </c>
      <c r="F1565">
        <f t="shared" ref="F1565:F1570" si="360"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45">
      <c r="A1566" t="s">
        <v>2433</v>
      </c>
      <c r="D1566">
        <v>2</v>
      </c>
      <c r="E1566" t="s">
        <v>2167</v>
      </c>
      <c r="F1566">
        <f t="shared" si="360"/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45">
      <c r="A1567" t="s">
        <v>2434</v>
      </c>
      <c r="D1567">
        <v>2</v>
      </c>
      <c r="E1567" t="s">
        <v>2167</v>
      </c>
      <c r="F1567">
        <f t="shared" si="360"/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45">
      <c r="A1568" t="s">
        <v>2435</v>
      </c>
      <c r="D1568">
        <v>2</v>
      </c>
      <c r="E1568" t="s">
        <v>2167</v>
      </c>
      <c r="F1568">
        <f t="shared" si="360"/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45">
      <c r="A1569" t="s">
        <v>2436</v>
      </c>
      <c r="D1569">
        <v>2</v>
      </c>
      <c r="E1569" t="s">
        <v>2167</v>
      </c>
      <c r="F1569">
        <f t="shared" si="360"/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45">
      <c r="A1570" t="s">
        <v>2437</v>
      </c>
      <c r="D1570">
        <v>2</v>
      </c>
      <c r="E1570" t="s">
        <v>2167</v>
      </c>
      <c r="F1570">
        <f t="shared" si="360"/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45">
      <c r="A1571" t="s">
        <v>2438</v>
      </c>
      <c r="D1571">
        <v>2</v>
      </c>
      <c r="E1571" t="s">
        <v>1161</v>
      </c>
      <c r="F1571">
        <f t="shared" ref="F1571:F1585" si="361"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45">
      <c r="A1572" t="s">
        <v>2439</v>
      </c>
      <c r="D1572">
        <v>2</v>
      </c>
      <c r="E1572" t="s">
        <v>1161</v>
      </c>
      <c r="F1572">
        <f t="shared" si="361"/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45">
      <c r="A1573" t="s">
        <v>2440</v>
      </c>
      <c r="D1573">
        <v>2</v>
      </c>
      <c r="E1573" t="s">
        <v>1161</v>
      </c>
      <c r="F1573">
        <f t="shared" si="361"/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45">
      <c r="A1574" t="s">
        <v>2889</v>
      </c>
      <c r="D1574">
        <v>2</v>
      </c>
      <c r="E1574" t="s">
        <v>1161</v>
      </c>
      <c r="F1574">
        <f t="shared" si="361"/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45">
      <c r="A1575" t="s">
        <v>2890</v>
      </c>
      <c r="D1575">
        <v>2</v>
      </c>
      <c r="E1575" t="s">
        <v>1161</v>
      </c>
      <c r="F1575">
        <f t="shared" si="361"/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45">
      <c r="A1576" t="s">
        <v>2891</v>
      </c>
      <c r="D1576">
        <v>2</v>
      </c>
      <c r="E1576" t="s">
        <v>1161</v>
      </c>
      <c r="F1576">
        <f t="shared" si="361"/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45">
      <c r="A1577" t="s">
        <v>2892</v>
      </c>
      <c r="D1577">
        <v>2</v>
      </c>
      <c r="E1577" t="s">
        <v>1161</v>
      </c>
      <c r="F1577">
        <f t="shared" si="361"/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45">
      <c r="A1578" t="s">
        <v>2441</v>
      </c>
      <c r="D1578">
        <v>1</v>
      </c>
      <c r="E1578" t="s">
        <v>1161</v>
      </c>
      <c r="F1578">
        <f t="shared" si="361"/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45">
      <c r="A1579" t="s">
        <v>2442</v>
      </c>
      <c r="D1579">
        <v>1</v>
      </c>
      <c r="E1579" t="s">
        <v>1161</v>
      </c>
      <c r="F1579">
        <f t="shared" si="361"/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45">
      <c r="A1580" t="s">
        <v>2443</v>
      </c>
      <c r="D1580">
        <v>1</v>
      </c>
      <c r="E1580" t="s">
        <v>1161</v>
      </c>
      <c r="F1580">
        <f t="shared" si="361"/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45">
      <c r="A1581" t="s">
        <v>2444</v>
      </c>
      <c r="D1581">
        <v>1</v>
      </c>
      <c r="E1581" t="s">
        <v>1161</v>
      </c>
      <c r="F1581">
        <f t="shared" si="361"/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45">
      <c r="A1582" t="s">
        <v>2893</v>
      </c>
      <c r="D1582">
        <v>2</v>
      </c>
      <c r="E1582" t="s">
        <v>1161</v>
      </c>
      <c r="F1582">
        <f t="shared" si="361"/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45">
      <c r="A1583" t="s">
        <v>2894</v>
      </c>
      <c r="D1583">
        <v>2</v>
      </c>
      <c r="E1583" t="s">
        <v>1161</v>
      </c>
      <c r="F1583">
        <f t="shared" si="361"/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45">
      <c r="A1584" t="s">
        <v>2895</v>
      </c>
      <c r="D1584">
        <v>2</v>
      </c>
      <c r="E1584" t="s">
        <v>1161</v>
      </c>
      <c r="F1584">
        <f t="shared" si="361"/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45">
      <c r="A1585" t="s">
        <v>2896</v>
      </c>
      <c r="D1585">
        <v>2</v>
      </c>
      <c r="E1585" t="s">
        <v>1161</v>
      </c>
      <c r="F1585">
        <f t="shared" si="361"/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45">
      <c r="A1586" t="s">
        <v>2445</v>
      </c>
      <c r="D1586">
        <v>2</v>
      </c>
      <c r="E1586" t="s">
        <v>2167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45">
      <c r="A1587" t="s">
        <v>2446</v>
      </c>
      <c r="D1587">
        <v>2</v>
      </c>
      <c r="E1587" t="s">
        <v>2167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45">
      <c r="A1588" t="s">
        <v>2447</v>
      </c>
      <c r="D1588">
        <v>2</v>
      </c>
      <c r="E1588" t="s">
        <v>2167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45">
      <c r="A1589" t="s">
        <v>2448</v>
      </c>
      <c r="D1589">
        <v>2</v>
      </c>
      <c r="E1589" t="s">
        <v>2167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45">
      <c r="A1590" t="s">
        <v>2449</v>
      </c>
      <c r="D1590">
        <v>2</v>
      </c>
      <c r="E1590" t="s">
        <v>2450</v>
      </c>
      <c r="F1590">
        <f t="shared" ref="F1590:F1599" si="362"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45">
      <c r="A1591" t="s">
        <v>2451</v>
      </c>
      <c r="D1591">
        <v>2</v>
      </c>
      <c r="E1591" t="s">
        <v>2450</v>
      </c>
      <c r="F1591">
        <f t="shared" si="362"/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45">
      <c r="A1592" t="s">
        <v>2452</v>
      </c>
      <c r="D1592">
        <v>2</v>
      </c>
      <c r="E1592" t="s">
        <v>2450</v>
      </c>
      <c r="F1592">
        <f t="shared" si="362"/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45">
      <c r="A1593" t="s">
        <v>2453</v>
      </c>
      <c r="D1593">
        <v>2</v>
      </c>
      <c r="E1593" t="s">
        <v>2450</v>
      </c>
      <c r="F1593">
        <f t="shared" si="362"/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45">
      <c r="A1594" t="s">
        <v>2454</v>
      </c>
      <c r="D1594">
        <v>2</v>
      </c>
      <c r="E1594" t="s">
        <v>2450</v>
      </c>
      <c r="F1594">
        <f t="shared" si="362"/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45">
      <c r="A1595" t="s">
        <v>2455</v>
      </c>
      <c r="D1595">
        <v>2</v>
      </c>
      <c r="E1595" t="s">
        <v>2450</v>
      </c>
      <c r="F1595">
        <f t="shared" si="362"/>
        <v>7402.012510962054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313.18092912945133</v>
      </c>
      <c r="R1595">
        <f>Rebate_Industry!R278</f>
        <v>646.88764494852489</v>
      </c>
      <c r="S1595">
        <f>Rebate_Industry!S278</f>
        <v>1002.1648959865571</v>
      </c>
      <c r="T1595">
        <f>Rebate_Industry!T278</f>
        <v>1380.1062236958546</v>
      </c>
      <c r="U1595">
        <f>Rebate_Industry!U278</f>
        <v>1781.8561629939895</v>
      </c>
      <c r="V1595">
        <f>Rebate_Industry!V278</f>
        <v>2208.6125408023772</v>
      </c>
      <c r="W1595">
        <f>Rebate_Industry!W278</f>
        <v>2661.6288769403232</v>
      </c>
      <c r="X1595">
        <f>Rebate_Industry!X278</f>
        <v>3142.2168919286596</v>
      </c>
      <c r="Y1595">
        <f>Rebate_Industry!Y278</f>
        <v>3651.7491264608011</v>
      </c>
      <c r="Z1595">
        <f>Rebate_Industry!Z278</f>
        <v>4191.6616775120128</v>
      </c>
      <c r="AA1595">
        <f>Rebate_Industry!AA278</f>
        <v>4763.45705628019</v>
      </c>
      <c r="AB1595">
        <f>Rebate_Industry!AB278</f>
        <v>5368.7071733840539</v>
      </c>
      <c r="AC1595">
        <f>Rebate_Industry!AC278</f>
        <v>6009.0564569877843</v>
      </c>
      <c r="AD1595">
        <f>Rebate_Industry!AD278</f>
        <v>6686.2251097751796</v>
      </c>
      <c r="AE1595">
        <f>Rebate_Industry!AE278</f>
        <v>7402.012510962054</v>
      </c>
    </row>
    <row r="1596" spans="1:31" x14ac:dyDescent="0.45">
      <c r="A1596" t="s">
        <v>2456</v>
      </c>
      <c r="D1596">
        <v>2</v>
      </c>
      <c r="E1596" t="s">
        <v>2450</v>
      </c>
      <c r="F1596">
        <f t="shared" si="362"/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45">
      <c r="A1597" t="s">
        <v>2457</v>
      </c>
      <c r="D1597">
        <v>2</v>
      </c>
      <c r="E1597" t="s">
        <v>2450</v>
      </c>
      <c r="F1597">
        <f t="shared" si="362"/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45">
      <c r="A1598" t="s">
        <v>2458</v>
      </c>
      <c r="D1598">
        <v>2</v>
      </c>
      <c r="E1598" t="s">
        <v>2450</v>
      </c>
      <c r="F1598">
        <f t="shared" si="362"/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45">
      <c r="A1599" t="s">
        <v>2459</v>
      </c>
      <c r="D1599">
        <v>2</v>
      </c>
      <c r="E1599" t="s">
        <v>2450</v>
      </c>
      <c r="F1599">
        <f t="shared" si="362"/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45">
      <c r="A1601" t="s">
        <v>3105</v>
      </c>
    </row>
    <row r="1603" spans="1:31" x14ac:dyDescent="0.45">
      <c r="A1603" s="52" t="s">
        <v>3104</v>
      </c>
    </row>
    <row r="1604" spans="1:31" x14ac:dyDescent="0.45">
      <c r="A1604" t="s">
        <v>2460</v>
      </c>
      <c r="B1604" t="s">
        <v>110</v>
      </c>
      <c r="C1604" t="s">
        <v>43</v>
      </c>
      <c r="D1604">
        <v>1</v>
      </c>
      <c r="E1604" t="s">
        <v>2461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45">
      <c r="A1605" t="s">
        <v>2462</v>
      </c>
      <c r="B1605" t="s">
        <v>110</v>
      </c>
      <c r="C1605" t="s">
        <v>113</v>
      </c>
      <c r="D1605">
        <v>1</v>
      </c>
      <c r="E1605" t="s">
        <v>2461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45">
      <c r="A1606" t="s">
        <v>2463</v>
      </c>
      <c r="B1606" t="s">
        <v>110</v>
      </c>
      <c r="C1606" t="s">
        <v>115</v>
      </c>
      <c r="D1606">
        <v>1</v>
      </c>
      <c r="E1606" t="s">
        <v>2461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45">
      <c r="A1607" t="s">
        <v>2464</v>
      </c>
      <c r="B1607" t="s">
        <v>110</v>
      </c>
      <c r="C1607" t="s">
        <v>117</v>
      </c>
      <c r="D1607">
        <v>1</v>
      </c>
      <c r="E1607" t="s">
        <v>2461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45">
      <c r="A1608" t="s">
        <v>2465</v>
      </c>
      <c r="B1608" t="s">
        <v>110</v>
      </c>
      <c r="C1608" t="s">
        <v>43</v>
      </c>
      <c r="D1608">
        <v>2</v>
      </c>
      <c r="E1608" t="s">
        <v>2466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45">
      <c r="A1609" t="s">
        <v>2467</v>
      </c>
      <c r="B1609" t="s">
        <v>110</v>
      </c>
      <c r="C1609" t="s">
        <v>113</v>
      </c>
      <c r="D1609">
        <v>2</v>
      </c>
      <c r="E1609" t="s">
        <v>2466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45">
      <c r="A1610" t="s">
        <v>2468</v>
      </c>
      <c r="B1610" t="s">
        <v>110</v>
      </c>
      <c r="C1610" t="s">
        <v>115</v>
      </c>
      <c r="D1610">
        <v>2</v>
      </c>
      <c r="E1610" t="s">
        <v>2466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45">
      <c r="A1611" t="s">
        <v>2469</v>
      </c>
      <c r="B1611" t="s">
        <v>110</v>
      </c>
      <c r="C1611" t="s">
        <v>117</v>
      </c>
      <c r="D1611">
        <v>2</v>
      </c>
      <c r="E1611" t="s">
        <v>2466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45">
      <c r="A1612" t="s">
        <v>2470</v>
      </c>
      <c r="B1612" t="s">
        <v>2471</v>
      </c>
      <c r="C1612" t="s">
        <v>43</v>
      </c>
      <c r="D1612">
        <v>2</v>
      </c>
      <c r="E1612" t="s">
        <v>2472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45">
      <c r="A1613" t="s">
        <v>2473</v>
      </c>
      <c r="B1613" t="s">
        <v>2471</v>
      </c>
      <c r="C1613" t="s">
        <v>113</v>
      </c>
      <c r="D1613">
        <v>2</v>
      </c>
      <c r="E1613" t="s">
        <v>2472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45">
      <c r="A1614" t="s">
        <v>2474</v>
      </c>
      <c r="B1614" t="s">
        <v>2471</v>
      </c>
      <c r="C1614" t="s">
        <v>115</v>
      </c>
      <c r="D1614">
        <v>2</v>
      </c>
      <c r="E1614" t="s">
        <v>2472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45">
      <c r="A1615" t="s">
        <v>2475</v>
      </c>
      <c r="B1615" t="s">
        <v>2471</v>
      </c>
      <c r="C1615" t="s">
        <v>117</v>
      </c>
      <c r="D1615">
        <v>2</v>
      </c>
      <c r="E1615" t="s">
        <v>2472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45">
      <c r="A1616" t="s">
        <v>2476</v>
      </c>
      <c r="B1616" t="s">
        <v>110</v>
      </c>
      <c r="C1616" t="s">
        <v>43</v>
      </c>
      <c r="D1616">
        <v>2</v>
      </c>
      <c r="E1616" t="s">
        <v>2477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45">
      <c r="A1617" t="s">
        <v>2478</v>
      </c>
      <c r="B1617" t="s">
        <v>110</v>
      </c>
      <c r="C1617" t="s">
        <v>113</v>
      </c>
      <c r="D1617">
        <v>2</v>
      </c>
      <c r="E1617" t="s">
        <v>2477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45">
      <c r="A1618" t="s">
        <v>2479</v>
      </c>
      <c r="B1618" t="s">
        <v>110</v>
      </c>
      <c r="C1618" t="s">
        <v>115</v>
      </c>
      <c r="D1618">
        <v>2</v>
      </c>
      <c r="E1618" t="s">
        <v>2477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45">
      <c r="A1619" t="s">
        <v>2480</v>
      </c>
      <c r="B1619" t="s">
        <v>110</v>
      </c>
      <c r="C1619" t="s">
        <v>117</v>
      </c>
      <c r="D1619">
        <v>2</v>
      </c>
      <c r="E1619" t="s">
        <v>2477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45">
      <c r="A1620" t="s">
        <v>2481</v>
      </c>
      <c r="B1620" t="s">
        <v>2471</v>
      </c>
      <c r="C1620" t="s">
        <v>43</v>
      </c>
      <c r="D1620">
        <v>2</v>
      </c>
      <c r="E1620" t="s">
        <v>2482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45">
      <c r="A1621" t="s">
        <v>2483</v>
      </c>
      <c r="B1621" t="s">
        <v>2471</v>
      </c>
      <c r="C1621" t="s">
        <v>113</v>
      </c>
      <c r="D1621">
        <v>2</v>
      </c>
      <c r="E1621" t="s">
        <v>2482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45">
      <c r="A1622" t="s">
        <v>2484</v>
      </c>
      <c r="B1622" t="s">
        <v>2471</v>
      </c>
      <c r="C1622" t="s">
        <v>115</v>
      </c>
      <c r="D1622">
        <v>2</v>
      </c>
      <c r="E1622" t="s">
        <v>2482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45">
      <c r="A1623" t="s">
        <v>2485</v>
      </c>
      <c r="B1623" t="s">
        <v>2471</v>
      </c>
      <c r="C1623" t="s">
        <v>117</v>
      </c>
      <c r="D1623">
        <v>2</v>
      </c>
      <c r="E1623" t="s">
        <v>2482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45">
      <c r="A1624" t="s">
        <v>2486</v>
      </c>
      <c r="B1624" t="s">
        <v>110</v>
      </c>
      <c r="C1624" t="s">
        <v>43</v>
      </c>
      <c r="D1624">
        <v>2</v>
      </c>
      <c r="E1624" t="s">
        <v>2487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45">
      <c r="A1625" t="s">
        <v>2488</v>
      </c>
      <c r="B1625" t="s">
        <v>110</v>
      </c>
      <c r="C1625" t="s">
        <v>113</v>
      </c>
      <c r="D1625">
        <v>2</v>
      </c>
      <c r="E1625" t="s">
        <v>2487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45">
      <c r="A1626" t="s">
        <v>2489</v>
      </c>
      <c r="B1626" t="s">
        <v>110</v>
      </c>
      <c r="C1626" t="s">
        <v>115</v>
      </c>
      <c r="D1626">
        <v>2</v>
      </c>
      <c r="E1626" t="s">
        <v>2487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45">
      <c r="A1627" t="s">
        <v>2490</v>
      </c>
      <c r="B1627" t="s">
        <v>110</v>
      </c>
      <c r="C1627" t="s">
        <v>117</v>
      </c>
      <c r="D1627">
        <v>2</v>
      </c>
      <c r="E1627" t="s">
        <v>2487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45">
      <c r="A1628" t="s">
        <v>2491</v>
      </c>
      <c r="B1628" t="s">
        <v>2471</v>
      </c>
      <c r="C1628" t="s">
        <v>43</v>
      </c>
      <c r="D1628">
        <v>2</v>
      </c>
      <c r="E1628" t="s">
        <v>2492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45">
      <c r="A1629" t="s">
        <v>2493</v>
      </c>
      <c r="B1629" t="s">
        <v>2471</v>
      </c>
      <c r="C1629" t="s">
        <v>113</v>
      </c>
      <c r="D1629">
        <v>2</v>
      </c>
      <c r="E1629" t="s">
        <v>2492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45">
      <c r="A1630" t="s">
        <v>2494</v>
      </c>
      <c r="B1630" t="s">
        <v>2471</v>
      </c>
      <c r="C1630" t="s">
        <v>115</v>
      </c>
      <c r="D1630">
        <v>2</v>
      </c>
      <c r="E1630" t="s">
        <v>2492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45">
      <c r="A1631" t="s">
        <v>2495</v>
      </c>
      <c r="B1631" t="s">
        <v>2471</v>
      </c>
      <c r="C1631" t="s">
        <v>117</v>
      </c>
      <c r="D1631">
        <v>2</v>
      </c>
      <c r="E1631" t="s">
        <v>2492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45">
      <c r="A1632" t="s">
        <v>2496</v>
      </c>
      <c r="B1632" t="s">
        <v>110</v>
      </c>
      <c r="C1632" t="s">
        <v>43</v>
      </c>
      <c r="D1632">
        <v>2</v>
      </c>
      <c r="E1632" t="s">
        <v>2497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45">
      <c r="A1633" t="s">
        <v>2498</v>
      </c>
      <c r="B1633" t="s">
        <v>110</v>
      </c>
      <c r="C1633" t="s">
        <v>113</v>
      </c>
      <c r="D1633">
        <v>2</v>
      </c>
      <c r="E1633" t="s">
        <v>2497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45">
      <c r="A1634" t="s">
        <v>2499</v>
      </c>
      <c r="B1634" t="s">
        <v>110</v>
      </c>
      <c r="C1634" t="s">
        <v>115</v>
      </c>
      <c r="D1634">
        <v>2</v>
      </c>
      <c r="E1634" t="s">
        <v>2497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45">
      <c r="A1635" t="s">
        <v>2500</v>
      </c>
      <c r="B1635" t="s">
        <v>110</v>
      </c>
      <c r="C1635" t="s">
        <v>117</v>
      </c>
      <c r="D1635">
        <v>2</v>
      </c>
      <c r="E1635" t="s">
        <v>2497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45">
      <c r="A1636" t="s">
        <v>2501</v>
      </c>
      <c r="B1636" t="s">
        <v>2471</v>
      </c>
      <c r="C1636" t="s">
        <v>43</v>
      </c>
      <c r="D1636">
        <v>2</v>
      </c>
      <c r="E1636" t="s">
        <v>2502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45">
      <c r="A1637" t="s">
        <v>2503</v>
      </c>
      <c r="B1637" t="s">
        <v>2471</v>
      </c>
      <c r="C1637" t="s">
        <v>113</v>
      </c>
      <c r="D1637">
        <v>2</v>
      </c>
      <c r="E1637" t="s">
        <v>2502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45">
      <c r="A1638" t="s">
        <v>2504</v>
      </c>
      <c r="B1638" t="s">
        <v>2471</v>
      </c>
      <c r="C1638" t="s">
        <v>115</v>
      </c>
      <c r="D1638">
        <v>2</v>
      </c>
      <c r="E1638" t="s">
        <v>2502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45">
      <c r="A1639" t="s">
        <v>2505</v>
      </c>
      <c r="B1639" t="s">
        <v>2471</v>
      </c>
      <c r="C1639" t="s">
        <v>117</v>
      </c>
      <c r="D1639">
        <v>2</v>
      </c>
      <c r="E1639" t="s">
        <v>2502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45">
      <c r="A1640" t="s">
        <v>2506</v>
      </c>
      <c r="B1640" t="s">
        <v>110</v>
      </c>
      <c r="C1640" t="s">
        <v>43</v>
      </c>
      <c r="D1640">
        <v>2</v>
      </c>
      <c r="E1640" t="s">
        <v>2507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45">
      <c r="A1641" t="s">
        <v>2508</v>
      </c>
      <c r="B1641" t="s">
        <v>110</v>
      </c>
      <c r="C1641" t="s">
        <v>113</v>
      </c>
      <c r="D1641">
        <v>2</v>
      </c>
      <c r="E1641" t="s">
        <v>2507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45">
      <c r="A1642" t="s">
        <v>2509</v>
      </c>
      <c r="B1642" t="s">
        <v>110</v>
      </c>
      <c r="C1642" t="s">
        <v>115</v>
      </c>
      <c r="D1642">
        <v>2</v>
      </c>
      <c r="E1642" t="s">
        <v>2507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45">
      <c r="A1643" t="s">
        <v>2510</v>
      </c>
      <c r="B1643" t="s">
        <v>110</v>
      </c>
      <c r="C1643" t="s">
        <v>117</v>
      </c>
      <c r="D1643">
        <v>2</v>
      </c>
      <c r="E1643" t="s">
        <v>2507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45">
      <c r="A1644" t="s">
        <v>2511</v>
      </c>
      <c r="B1644" t="s">
        <v>2471</v>
      </c>
      <c r="C1644" t="s">
        <v>43</v>
      </c>
      <c r="D1644">
        <v>2</v>
      </c>
      <c r="E1644" t="s">
        <v>2512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45">
      <c r="A1645" t="s">
        <v>2513</v>
      </c>
      <c r="B1645" t="s">
        <v>2471</v>
      </c>
      <c r="C1645" t="s">
        <v>113</v>
      </c>
      <c r="D1645">
        <v>2</v>
      </c>
      <c r="E1645" t="s">
        <v>2512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45">
      <c r="A1646" t="s">
        <v>2514</v>
      </c>
      <c r="B1646" t="s">
        <v>2471</v>
      </c>
      <c r="C1646" t="s">
        <v>115</v>
      </c>
      <c r="D1646">
        <v>2</v>
      </c>
      <c r="E1646" t="s">
        <v>2512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45">
      <c r="A1647" t="s">
        <v>2515</v>
      </c>
      <c r="B1647" t="s">
        <v>2471</v>
      </c>
      <c r="C1647" t="s">
        <v>117</v>
      </c>
      <c r="D1647">
        <v>2</v>
      </c>
      <c r="E1647" t="s">
        <v>2512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45">
      <c r="A1648" t="s">
        <v>2516</v>
      </c>
      <c r="B1648" t="s">
        <v>110</v>
      </c>
      <c r="C1648" t="s">
        <v>43</v>
      </c>
      <c r="D1648">
        <v>2</v>
      </c>
      <c r="E1648" t="s">
        <v>2517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45">
      <c r="A1649" t="s">
        <v>2518</v>
      </c>
      <c r="B1649" t="s">
        <v>110</v>
      </c>
      <c r="C1649" t="s">
        <v>113</v>
      </c>
      <c r="D1649">
        <v>2</v>
      </c>
      <c r="E1649" t="s">
        <v>2517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45">
      <c r="A1650" t="s">
        <v>2519</v>
      </c>
      <c r="B1650" t="s">
        <v>110</v>
      </c>
      <c r="C1650" t="s">
        <v>115</v>
      </c>
      <c r="D1650">
        <v>2</v>
      </c>
      <c r="E1650" t="s">
        <v>2517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45">
      <c r="A1651" t="s">
        <v>2520</v>
      </c>
      <c r="B1651" t="s">
        <v>110</v>
      </c>
      <c r="C1651" t="s">
        <v>117</v>
      </c>
      <c r="D1651">
        <v>2</v>
      </c>
      <c r="E1651" t="s">
        <v>2517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45">
      <c r="A1652" t="s">
        <v>2521</v>
      </c>
      <c r="B1652" t="s">
        <v>2471</v>
      </c>
      <c r="C1652" t="s">
        <v>43</v>
      </c>
      <c r="D1652">
        <v>2</v>
      </c>
      <c r="E1652" t="s">
        <v>2522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45">
      <c r="A1653" t="s">
        <v>2523</v>
      </c>
      <c r="B1653" t="s">
        <v>2471</v>
      </c>
      <c r="C1653" t="s">
        <v>113</v>
      </c>
      <c r="D1653">
        <v>2</v>
      </c>
      <c r="E1653" t="s">
        <v>2522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45">
      <c r="A1654" t="s">
        <v>2524</v>
      </c>
      <c r="B1654" t="s">
        <v>2471</v>
      </c>
      <c r="C1654" t="s">
        <v>115</v>
      </c>
      <c r="D1654">
        <v>2</v>
      </c>
      <c r="E1654" t="s">
        <v>2522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45">
      <c r="A1655" t="s">
        <v>2525</v>
      </c>
      <c r="B1655" t="s">
        <v>2471</v>
      </c>
      <c r="C1655" t="s">
        <v>117</v>
      </c>
      <c r="D1655">
        <v>2</v>
      </c>
      <c r="E1655" t="s">
        <v>2522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45">
      <c r="A1656" t="s">
        <v>2526</v>
      </c>
      <c r="B1656" t="s">
        <v>110</v>
      </c>
      <c r="C1656" t="s">
        <v>43</v>
      </c>
      <c r="D1656">
        <v>2</v>
      </c>
      <c r="E1656" t="s">
        <v>2527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45">
      <c r="A1657" t="s">
        <v>2528</v>
      </c>
      <c r="B1657" t="s">
        <v>110</v>
      </c>
      <c r="C1657" t="s">
        <v>113</v>
      </c>
      <c r="D1657">
        <v>2</v>
      </c>
      <c r="E1657" t="s">
        <v>2527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45">
      <c r="A1658" t="s">
        <v>2529</v>
      </c>
      <c r="B1658" t="s">
        <v>110</v>
      </c>
      <c r="C1658" t="s">
        <v>115</v>
      </c>
      <c r="D1658">
        <v>2</v>
      </c>
      <c r="E1658" t="s">
        <v>2527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45">
      <c r="A1659" t="s">
        <v>2530</v>
      </c>
      <c r="B1659" t="s">
        <v>110</v>
      </c>
      <c r="C1659" t="s">
        <v>117</v>
      </c>
      <c r="D1659">
        <v>2</v>
      </c>
      <c r="E1659" t="s">
        <v>2527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45">
      <c r="A1660" t="s">
        <v>2531</v>
      </c>
      <c r="B1660" t="s">
        <v>2471</v>
      </c>
      <c r="C1660" t="s">
        <v>43</v>
      </c>
      <c r="D1660">
        <v>2</v>
      </c>
      <c r="E1660" t="s">
        <v>2532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45">
      <c r="A1661" t="s">
        <v>2533</v>
      </c>
      <c r="B1661" t="s">
        <v>2471</v>
      </c>
      <c r="C1661" t="s">
        <v>113</v>
      </c>
      <c r="D1661">
        <v>2</v>
      </c>
      <c r="E1661" t="s">
        <v>2532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45">
      <c r="A1662" t="s">
        <v>2534</v>
      </c>
      <c r="B1662" t="s">
        <v>2471</v>
      </c>
      <c r="C1662" t="s">
        <v>115</v>
      </c>
      <c r="D1662">
        <v>2</v>
      </c>
      <c r="E1662" t="s">
        <v>2532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45">
      <c r="A1663" t="s">
        <v>2535</v>
      </c>
      <c r="B1663" t="s">
        <v>2471</v>
      </c>
      <c r="C1663" t="s">
        <v>117</v>
      </c>
      <c r="D1663">
        <v>2</v>
      </c>
      <c r="E1663" t="s">
        <v>2532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45">
      <c r="A1666" s="52" t="s">
        <v>2897</v>
      </c>
    </row>
    <row r="1667" spans="1:35" x14ac:dyDescent="0.45">
      <c r="A1667" t="s">
        <v>3102</v>
      </c>
      <c r="D1667" s="89">
        <f>MAX(F1669:F1704)</f>
        <v>0</v>
      </c>
      <c r="F1667" t="s">
        <v>3103</v>
      </c>
    </row>
    <row r="1668" spans="1:35" x14ac:dyDescent="0.45">
      <c r="A1668" s="50" t="s">
        <v>1488</v>
      </c>
      <c r="B1668" s="50"/>
      <c r="C1668" s="50"/>
      <c r="D1668" s="50" t="s">
        <v>47</v>
      </c>
      <c r="E1668" s="50" t="s">
        <v>1156</v>
      </c>
      <c r="F1668" s="50" t="s">
        <v>1958</v>
      </c>
      <c r="G1668" s="50"/>
      <c r="H1668" s="50"/>
      <c r="I1668" s="50" t="s">
        <v>1489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45">
      <c r="A1669" t="s">
        <v>2898</v>
      </c>
      <c r="D1669">
        <v>1</v>
      </c>
      <c r="E1669" t="s">
        <v>1161</v>
      </c>
      <c r="F1669">
        <f t="shared" ref="F1669:F1698" si="363"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45">
      <c r="A1670" t="s">
        <v>2899</v>
      </c>
      <c r="D1670">
        <v>1</v>
      </c>
      <c r="E1670" t="s">
        <v>1161</v>
      </c>
      <c r="F1670">
        <f t="shared" si="363"/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45">
      <c r="A1671" t="s">
        <v>2900</v>
      </c>
      <c r="D1671">
        <v>1</v>
      </c>
      <c r="E1671" t="s">
        <v>1161</v>
      </c>
      <c r="F1671" s="94">
        <f t="shared" si="363"/>
        <v>0</v>
      </c>
      <c r="I1671">
        <v>0</v>
      </c>
      <c r="L1671" s="94">
        <f>Mitigation_Industry!L360+Mitigation_Industry!L371-Fund_Industry!L123+Fund_Industry!L191</f>
        <v>0</v>
      </c>
      <c r="M1671" s="94">
        <f>Mitigation_Industry!M360+Mitigation_Industry!M371-Fund_Industry!M123+Fund_Industry!M191</f>
        <v>0</v>
      </c>
      <c r="N1671" s="94">
        <f>Mitigation_Industry!N360+Mitigation_Industry!N371-Fund_Industry!N123+Fund_Industry!N191</f>
        <v>0</v>
      </c>
      <c r="O1671" s="94">
        <f>Mitigation_Industry!O360+Mitigation_Industry!O371-Fund_Industry!O123+Fund_Industry!O191</f>
        <v>0</v>
      </c>
      <c r="P1671" s="94">
        <f>Mitigation_Industry!P360+Mitigation_Industry!P371-Fund_Industry!P123+Fund_Industry!P191</f>
        <v>0</v>
      </c>
      <c r="Q1671" s="94">
        <f>Mitigation_Industry!Q360+Mitigation_Industry!Q371-Fund_Industry!Q123+Fund_Industry!Q191</f>
        <v>0</v>
      </c>
      <c r="R1671" s="94">
        <f>Mitigation_Industry!R360+Mitigation_Industry!R371-Fund_Industry!R123+Fund_Industry!R191</f>
        <v>0</v>
      </c>
      <c r="S1671" s="94">
        <f>Mitigation_Industry!S360+Mitigation_Industry!S371-Fund_Industry!S123+Fund_Industry!S191</f>
        <v>0</v>
      </c>
      <c r="T1671" s="94">
        <f>Mitigation_Industry!T360+Mitigation_Industry!T371-Fund_Industry!T123+Fund_Industry!T191</f>
        <v>0</v>
      </c>
      <c r="U1671" s="94">
        <f>Mitigation_Industry!U360+Mitigation_Industry!U371-Fund_Industry!U123+Fund_Industry!U191</f>
        <v>0</v>
      </c>
      <c r="V1671" s="94">
        <f>Mitigation_Industry!V360+Mitigation_Industry!V371-Fund_Industry!V123+Fund_Industry!V191</f>
        <v>0</v>
      </c>
      <c r="W1671" s="94">
        <f>Mitigation_Industry!W360+Mitigation_Industry!W371-Fund_Industry!W123+Fund_Industry!W191</f>
        <v>0</v>
      </c>
      <c r="X1671" s="94">
        <f>Mitigation_Industry!X360+Mitigation_Industry!X371-Fund_Industry!X123+Fund_Industry!X191</f>
        <v>0</v>
      </c>
      <c r="Y1671" s="94">
        <f>Mitigation_Industry!Y360+Mitigation_Industry!Y371-Fund_Industry!Y123+Fund_Industry!Y191</f>
        <v>0</v>
      </c>
      <c r="Z1671" s="94">
        <f>Mitigation_Industry!Z360+Mitigation_Industry!Z371-Fund_Industry!Z123+Fund_Industry!Z191</f>
        <v>0</v>
      </c>
      <c r="AA1671" s="94">
        <f>Mitigation_Industry!AA360+Mitigation_Industry!AA371-Fund_Industry!AA123+Fund_Industry!AA191</f>
        <v>0</v>
      </c>
      <c r="AB1671" s="94">
        <f>Mitigation_Industry!AB360+Mitigation_Industry!AB371-Fund_Industry!AB123+Fund_Industry!AB191</f>
        <v>0</v>
      </c>
      <c r="AC1671" s="94">
        <f>Mitigation_Industry!AC360+Mitigation_Industry!AC371-Fund_Industry!AC123+Fund_Industry!AC191</f>
        <v>0</v>
      </c>
      <c r="AD1671" s="94">
        <f>Mitigation_Industry!AD360+Mitigation_Industry!AD371-Fund_Industry!AD123+Fund_Industry!AD191</f>
        <v>0</v>
      </c>
      <c r="AE1671" s="94">
        <f>Mitigation_Industry!AE360+Mitigation_Industry!AE371-Fund_Industry!AE123+Fund_Industry!AE191</f>
        <v>0</v>
      </c>
    </row>
    <row r="1672" spans="1:35" x14ac:dyDescent="0.45">
      <c r="A1672" t="s">
        <v>2901</v>
      </c>
      <c r="D1672">
        <v>1</v>
      </c>
      <c r="E1672" t="s">
        <v>1161</v>
      </c>
      <c r="F1672">
        <f t="shared" si="363"/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45">
      <c r="A1673" t="s">
        <v>2902</v>
      </c>
      <c r="D1673">
        <v>1</v>
      </c>
      <c r="E1673" t="s">
        <v>1161</v>
      </c>
      <c r="F1673" s="130">
        <f t="shared" si="363"/>
        <v>0</v>
      </c>
      <c r="I1673">
        <v>0</v>
      </c>
      <c r="L1673" s="130">
        <f>Mitigation_Industry!L250-Fund_Industry!L122</f>
        <v>0</v>
      </c>
      <c r="M1673" s="130">
        <f>Mitigation_Industry!M250-Fund_Industry!M122</f>
        <v>0</v>
      </c>
      <c r="N1673" s="130">
        <f>Mitigation_Industry!N250-Fund_Industry!N122</f>
        <v>0</v>
      </c>
      <c r="O1673" s="130">
        <f>Mitigation_Industry!O250-Fund_Industry!O122</f>
        <v>0</v>
      </c>
      <c r="P1673" s="130">
        <f>Mitigation_Industry!P250-Fund_Industry!P122</f>
        <v>0</v>
      </c>
      <c r="Q1673" s="130">
        <f>Mitigation_Industry!Q250-Fund_Industry!Q122</f>
        <v>0</v>
      </c>
      <c r="R1673" s="130">
        <f>Mitigation_Industry!R250-Fund_Industry!R122</f>
        <v>0</v>
      </c>
      <c r="S1673" s="130">
        <f>Mitigation_Industry!S250-Fund_Industry!S122</f>
        <v>0</v>
      </c>
      <c r="T1673" s="130">
        <f>Mitigation_Industry!T250-Fund_Industry!T122</f>
        <v>0</v>
      </c>
      <c r="U1673" s="130">
        <f>Mitigation_Industry!U250-Fund_Industry!U122</f>
        <v>0</v>
      </c>
      <c r="V1673" s="130">
        <f>Mitigation_Industry!V250-Fund_Industry!V122</f>
        <v>0</v>
      </c>
      <c r="W1673" s="130">
        <f>Mitigation_Industry!W250-Fund_Industry!W122</f>
        <v>0</v>
      </c>
      <c r="X1673" s="130">
        <f>Mitigation_Industry!X250-Fund_Industry!X122</f>
        <v>0</v>
      </c>
      <c r="Y1673" s="130">
        <f>Mitigation_Industry!Y250-Fund_Industry!Y122</f>
        <v>0</v>
      </c>
      <c r="Z1673" s="130">
        <f>Mitigation_Industry!Z250-Fund_Industry!Z122</f>
        <v>0</v>
      </c>
      <c r="AA1673" s="130">
        <f>Mitigation_Industry!AA250-Fund_Industry!AA122</f>
        <v>0</v>
      </c>
      <c r="AB1673" s="130">
        <f>Mitigation_Industry!AB250-Fund_Industry!AB122</f>
        <v>0</v>
      </c>
      <c r="AC1673" s="130">
        <f>Mitigation_Industry!AC250-Fund_Industry!AC122</f>
        <v>0</v>
      </c>
      <c r="AD1673" s="130">
        <f>Mitigation_Industry!AD250-Fund_Industry!AD122</f>
        <v>0</v>
      </c>
      <c r="AE1673" s="130">
        <f>Mitigation_Industry!AE250-Fund_Industry!AE122</f>
        <v>0</v>
      </c>
    </row>
    <row r="1674" spans="1:35" x14ac:dyDescent="0.45">
      <c r="A1674" t="s">
        <v>2899</v>
      </c>
      <c r="D1674">
        <v>2</v>
      </c>
      <c r="E1674" t="s">
        <v>1161</v>
      </c>
      <c r="F1674">
        <f t="shared" si="363"/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45">
      <c r="A1675" t="s">
        <v>2900</v>
      </c>
      <c r="D1675">
        <v>2</v>
      </c>
      <c r="E1675" t="s">
        <v>1161</v>
      </c>
      <c r="F1675" s="94">
        <f t="shared" si="363"/>
        <v>0</v>
      </c>
      <c r="I1675">
        <v>0</v>
      </c>
      <c r="L1675" s="94">
        <f>Mitigation_Industry!L759+Mitigation_Industry!L770-Fund_Industry!L330+Fund_Industry!L398</f>
        <v>0</v>
      </c>
      <c r="M1675" s="94">
        <f>Mitigation_Industry!M759+Mitigation_Industry!M770-Fund_Industry!M330+Fund_Industry!M398</f>
        <v>0</v>
      </c>
      <c r="N1675" s="94">
        <f>Mitigation_Industry!N759+Mitigation_Industry!N770-Fund_Industry!N330+Fund_Industry!N398</f>
        <v>0</v>
      </c>
      <c r="O1675" s="94">
        <f>Mitigation_Industry!O759+Mitigation_Industry!O770-Fund_Industry!O330+Fund_Industry!O398</f>
        <v>0</v>
      </c>
      <c r="P1675" s="94">
        <f>Mitigation_Industry!P759+Mitigation_Industry!P770-Fund_Industry!P330+Fund_Industry!P398</f>
        <v>0</v>
      </c>
      <c r="Q1675" s="94">
        <f>Mitigation_Industry!Q759+Mitigation_Industry!Q770-Fund_Industry!Q330+Fund_Industry!Q398</f>
        <v>0</v>
      </c>
      <c r="R1675" s="94">
        <f>Mitigation_Industry!R759+Mitigation_Industry!R770-Fund_Industry!R330+Fund_Industry!R398</f>
        <v>0</v>
      </c>
      <c r="S1675" s="94">
        <f>Mitigation_Industry!S759+Mitigation_Industry!S770-Fund_Industry!S330+Fund_Industry!S398</f>
        <v>0</v>
      </c>
      <c r="T1675" s="94">
        <f>Mitigation_Industry!T759+Mitigation_Industry!T770-Fund_Industry!T330+Fund_Industry!T398</f>
        <v>0</v>
      </c>
      <c r="U1675" s="94">
        <f>Mitigation_Industry!U759+Mitigation_Industry!U770-Fund_Industry!U330+Fund_Industry!U398</f>
        <v>0</v>
      </c>
      <c r="V1675" s="94">
        <f>Mitigation_Industry!V759+Mitigation_Industry!V770-Fund_Industry!V330+Fund_Industry!V398</f>
        <v>0</v>
      </c>
      <c r="W1675" s="94">
        <f>Mitigation_Industry!W759+Mitigation_Industry!W770-Fund_Industry!W330+Fund_Industry!W398</f>
        <v>0</v>
      </c>
      <c r="X1675" s="94">
        <f>Mitigation_Industry!X759+Mitigation_Industry!X770-Fund_Industry!X330+Fund_Industry!X398</f>
        <v>0</v>
      </c>
      <c r="Y1675" s="94">
        <f>Mitigation_Industry!Y759+Mitigation_Industry!Y770-Fund_Industry!Y330+Fund_Industry!Y398</f>
        <v>0</v>
      </c>
      <c r="Z1675" s="94">
        <f>Mitigation_Industry!Z759+Mitigation_Industry!Z770-Fund_Industry!Z330+Fund_Industry!Z398</f>
        <v>0</v>
      </c>
      <c r="AA1675" s="94">
        <f>Mitigation_Industry!AA759+Mitigation_Industry!AA770-Fund_Industry!AA330+Fund_Industry!AA398</f>
        <v>0</v>
      </c>
      <c r="AB1675" s="94">
        <f>Mitigation_Industry!AB759+Mitigation_Industry!AB770-Fund_Industry!AB330+Fund_Industry!AB398</f>
        <v>0</v>
      </c>
      <c r="AC1675" s="94">
        <f>Mitigation_Industry!AC759+Mitigation_Industry!AC770-Fund_Industry!AC330+Fund_Industry!AC398</f>
        <v>0</v>
      </c>
      <c r="AD1675" s="94">
        <f>Mitigation_Industry!AD759+Mitigation_Industry!AD770-Fund_Industry!AD330+Fund_Industry!AD398</f>
        <v>0</v>
      </c>
      <c r="AE1675" s="94">
        <f>Mitigation_Industry!AE759+Mitigation_Industry!AE770-Fund_Industry!AE330+Fund_Industry!AE398</f>
        <v>0</v>
      </c>
    </row>
    <row r="1676" spans="1:35" x14ac:dyDescent="0.45">
      <c r="A1676" t="s">
        <v>2901</v>
      </c>
      <c r="D1676">
        <v>2</v>
      </c>
      <c r="E1676" t="s">
        <v>1161</v>
      </c>
      <c r="F1676">
        <f t="shared" si="363"/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45">
      <c r="A1677" t="s">
        <v>2902</v>
      </c>
      <c r="D1677">
        <v>2</v>
      </c>
      <c r="E1677" t="s">
        <v>1161</v>
      </c>
      <c r="F1677" s="130">
        <f t="shared" si="363"/>
        <v>0</v>
      </c>
      <c r="I1677">
        <v>0</v>
      </c>
      <c r="L1677" s="130">
        <f>Mitigation_Industry!L649-Fund_Industry!L329</f>
        <v>0</v>
      </c>
      <c r="M1677" s="130">
        <f>Mitigation_Industry!M649-Fund_Industry!M329</f>
        <v>0</v>
      </c>
      <c r="N1677" s="130">
        <f>Mitigation_Industry!N649-Fund_Industry!N329</f>
        <v>0</v>
      </c>
      <c r="O1677" s="130">
        <f>Mitigation_Industry!O649-Fund_Industry!O329</f>
        <v>0</v>
      </c>
      <c r="P1677" s="130">
        <f>Mitigation_Industry!P649-Fund_Industry!P329</f>
        <v>0</v>
      </c>
      <c r="Q1677" s="130">
        <f>Mitigation_Industry!Q649-Fund_Industry!Q329</f>
        <v>0</v>
      </c>
      <c r="R1677" s="130">
        <f>Mitigation_Industry!R649-Fund_Industry!R329</f>
        <v>0</v>
      </c>
      <c r="S1677" s="130">
        <f>Mitigation_Industry!S649-Fund_Industry!S329</f>
        <v>0</v>
      </c>
      <c r="T1677" s="130">
        <f>Mitigation_Industry!T649-Fund_Industry!T329</f>
        <v>0</v>
      </c>
      <c r="U1677" s="130">
        <f>Mitigation_Industry!U649-Fund_Industry!U329</f>
        <v>0</v>
      </c>
      <c r="V1677" s="130">
        <f>Mitigation_Industry!V649-Fund_Industry!V329</f>
        <v>0</v>
      </c>
      <c r="W1677" s="130">
        <f>Mitigation_Industry!W649-Fund_Industry!W329</f>
        <v>0</v>
      </c>
      <c r="X1677" s="130">
        <f>Mitigation_Industry!X649-Fund_Industry!X329</f>
        <v>0</v>
      </c>
      <c r="Y1677" s="130">
        <f>Mitigation_Industry!Y649-Fund_Industry!Y329</f>
        <v>0</v>
      </c>
      <c r="Z1677" s="130">
        <f>Mitigation_Industry!Z649-Fund_Industry!Z329</f>
        <v>0</v>
      </c>
      <c r="AA1677" s="130">
        <f>Mitigation_Industry!AA649-Fund_Industry!AA329</f>
        <v>0</v>
      </c>
      <c r="AB1677" s="130">
        <f>Mitigation_Industry!AB649-Fund_Industry!AB329</f>
        <v>0</v>
      </c>
      <c r="AC1677" s="130">
        <f>Mitigation_Industry!AC649-Fund_Industry!AC329</f>
        <v>0</v>
      </c>
      <c r="AD1677" s="130">
        <f>Mitigation_Industry!AD649-Fund_Industry!AD329</f>
        <v>0</v>
      </c>
      <c r="AE1677" s="130">
        <f>Mitigation_Industry!AE649-Fund_Industry!AE329</f>
        <v>0</v>
      </c>
    </row>
    <row r="1678" spans="1:35" x14ac:dyDescent="0.45">
      <c r="A1678" t="s">
        <v>2903</v>
      </c>
      <c r="D1678">
        <v>2</v>
      </c>
      <c r="E1678" t="s">
        <v>1161</v>
      </c>
      <c r="F1678">
        <f t="shared" si="363"/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45">
      <c r="A1679" t="s">
        <v>2904</v>
      </c>
      <c r="D1679">
        <v>2</v>
      </c>
      <c r="E1679" t="s">
        <v>1161</v>
      </c>
      <c r="F1679">
        <f t="shared" si="363"/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45">
      <c r="A1680" t="s">
        <v>2905</v>
      </c>
      <c r="D1680">
        <v>2</v>
      </c>
      <c r="E1680" t="s">
        <v>1161</v>
      </c>
      <c r="F1680">
        <f t="shared" si="363"/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45">
      <c r="A1681" t="s">
        <v>2906</v>
      </c>
      <c r="D1681">
        <v>2</v>
      </c>
      <c r="E1681" t="s">
        <v>1161</v>
      </c>
      <c r="F1681">
        <f t="shared" si="363"/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45">
      <c r="A1682" t="s">
        <v>2907</v>
      </c>
      <c r="D1682">
        <v>2</v>
      </c>
      <c r="E1682" t="s">
        <v>1161</v>
      </c>
      <c r="F1682">
        <f t="shared" si="363"/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45">
      <c r="A1683" t="s">
        <v>2908</v>
      </c>
      <c r="D1683">
        <v>2</v>
      </c>
      <c r="E1683" t="s">
        <v>1161</v>
      </c>
      <c r="F1683">
        <f t="shared" si="363"/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45">
      <c r="A1684" t="s">
        <v>2909</v>
      </c>
      <c r="D1684">
        <v>1</v>
      </c>
      <c r="E1684" t="s">
        <v>1161</v>
      </c>
      <c r="F1684">
        <f t="shared" si="363"/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45">
      <c r="A1685" t="s">
        <v>2910</v>
      </c>
      <c r="D1685">
        <v>1</v>
      </c>
      <c r="E1685" t="s">
        <v>1161</v>
      </c>
      <c r="F1685">
        <f t="shared" si="363"/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45">
      <c r="A1686" t="s">
        <v>2911</v>
      </c>
      <c r="D1686">
        <v>1</v>
      </c>
      <c r="E1686" t="s">
        <v>1161</v>
      </c>
      <c r="F1686">
        <f t="shared" si="363"/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45">
      <c r="A1687" t="s">
        <v>2912</v>
      </c>
      <c r="D1687">
        <v>1</v>
      </c>
      <c r="E1687" t="s">
        <v>1161</v>
      </c>
      <c r="F1687">
        <f t="shared" si="363"/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45">
      <c r="A1688" t="s">
        <v>2913</v>
      </c>
      <c r="D1688">
        <v>2</v>
      </c>
      <c r="E1688" t="s">
        <v>1161</v>
      </c>
      <c r="F1688">
        <f t="shared" si="363"/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45">
      <c r="A1689" t="s">
        <v>2914</v>
      </c>
      <c r="D1689">
        <v>2</v>
      </c>
      <c r="E1689" t="s">
        <v>1161</v>
      </c>
      <c r="F1689">
        <f t="shared" si="363"/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45">
      <c r="A1690" t="s">
        <v>2915</v>
      </c>
      <c r="D1690">
        <v>2</v>
      </c>
      <c r="E1690" t="s">
        <v>1161</v>
      </c>
      <c r="F1690">
        <f t="shared" si="363"/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45">
      <c r="A1691" t="s">
        <v>2916</v>
      </c>
      <c r="D1691">
        <v>2</v>
      </c>
      <c r="E1691" t="s">
        <v>1161</v>
      </c>
      <c r="F1691">
        <f t="shared" si="363"/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45">
      <c r="A1692" t="s">
        <v>2917</v>
      </c>
      <c r="D1692">
        <v>2</v>
      </c>
      <c r="E1692" t="s">
        <v>1161</v>
      </c>
      <c r="F1692">
        <f t="shared" si="363"/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45">
      <c r="A1693" t="s">
        <v>2918</v>
      </c>
      <c r="D1693">
        <v>2</v>
      </c>
      <c r="E1693" t="s">
        <v>1161</v>
      </c>
      <c r="F1693">
        <f t="shared" si="363"/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45">
      <c r="A1694" t="s">
        <v>2919</v>
      </c>
      <c r="D1694">
        <v>2</v>
      </c>
      <c r="E1694" t="s">
        <v>1161</v>
      </c>
      <c r="F1694">
        <f t="shared" si="363"/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45">
      <c r="A1695" t="s">
        <v>2920</v>
      </c>
      <c r="D1695">
        <v>2</v>
      </c>
      <c r="E1695" t="s">
        <v>1161</v>
      </c>
      <c r="F1695">
        <f t="shared" si="363"/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45">
      <c r="A1696" t="s">
        <v>2921</v>
      </c>
      <c r="D1696">
        <v>2</v>
      </c>
      <c r="E1696" t="s">
        <v>1161</v>
      </c>
      <c r="F1696">
        <f t="shared" si="363"/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45">
      <c r="A1697" t="s">
        <v>2922</v>
      </c>
      <c r="D1697">
        <v>2</v>
      </c>
      <c r="E1697" t="s">
        <v>1161</v>
      </c>
      <c r="F1697">
        <f t="shared" si="363"/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45">
      <c r="A1698" t="s">
        <v>2923</v>
      </c>
      <c r="D1698">
        <v>2</v>
      </c>
      <c r="E1698" t="s">
        <v>1161</v>
      </c>
      <c r="F1698">
        <f t="shared" si="363"/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45">
      <c r="A1699" t="s">
        <v>2924</v>
      </c>
      <c r="D1699">
        <v>2</v>
      </c>
      <c r="E1699" t="s">
        <v>2167</v>
      </c>
      <c r="F1699">
        <f t="shared" ref="F1699:F1704" si="364"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45">
      <c r="A1700" t="s">
        <v>2925</v>
      </c>
      <c r="D1700">
        <v>2</v>
      </c>
      <c r="E1700" t="s">
        <v>2167</v>
      </c>
      <c r="F1700">
        <f t="shared" si="364"/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45">
      <c r="A1701" t="s">
        <v>2926</v>
      </c>
      <c r="D1701">
        <v>2</v>
      </c>
      <c r="E1701" t="s">
        <v>2167</v>
      </c>
      <c r="F1701">
        <f t="shared" si="364"/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45">
      <c r="A1702" t="s">
        <v>2927</v>
      </c>
      <c r="D1702">
        <v>2</v>
      </c>
      <c r="E1702" t="s">
        <v>2167</v>
      </c>
      <c r="F1702">
        <f t="shared" si="364"/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45">
      <c r="A1703" t="s">
        <v>2928</v>
      </c>
      <c r="D1703">
        <v>2</v>
      </c>
      <c r="E1703" t="s">
        <v>2167</v>
      </c>
      <c r="F1703">
        <f t="shared" si="364"/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45">
      <c r="A1704" t="s">
        <v>2929</v>
      </c>
      <c r="D1704">
        <v>2</v>
      </c>
      <c r="E1704" t="s">
        <v>2167</v>
      </c>
      <c r="F1704">
        <f t="shared" si="364"/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45">
      <c r="A1705" t="s">
        <v>2930</v>
      </c>
      <c r="D1705">
        <v>2</v>
      </c>
      <c r="E1705" t="s">
        <v>2450</v>
      </c>
      <c r="F1705" s="130">
        <f t="shared" ref="F1705:F1721" si="365">MAX(MAX(L1705:AE1705),-MIN(L1705:AE1705))</f>
        <v>0</v>
      </c>
      <c r="L1705" s="130">
        <f>Fund_Industry!L329</f>
        <v>0</v>
      </c>
      <c r="M1705" s="130">
        <f>Fund_Industry!M329</f>
        <v>0</v>
      </c>
      <c r="N1705" s="130">
        <f>Fund_Industry!N329</f>
        <v>0</v>
      </c>
      <c r="O1705" s="130">
        <f>Fund_Industry!O329</f>
        <v>0</v>
      </c>
      <c r="P1705" s="130">
        <f>Fund_Industry!P329</f>
        <v>0</v>
      </c>
      <c r="Q1705" s="130">
        <f>Fund_Industry!Q329</f>
        <v>0</v>
      </c>
      <c r="R1705" s="130">
        <f>Fund_Industry!R329</f>
        <v>0</v>
      </c>
      <c r="S1705" s="130">
        <f>Fund_Industry!S329</f>
        <v>0</v>
      </c>
      <c r="T1705" s="130">
        <f>Fund_Industry!T329</f>
        <v>0</v>
      </c>
      <c r="U1705" s="130">
        <f>Fund_Industry!U329</f>
        <v>0</v>
      </c>
      <c r="V1705" s="130">
        <f>Fund_Industry!V329</f>
        <v>0</v>
      </c>
      <c r="W1705" s="130">
        <f>Fund_Industry!W329</f>
        <v>0</v>
      </c>
      <c r="X1705" s="130">
        <f>Fund_Industry!X329</f>
        <v>0</v>
      </c>
      <c r="Y1705" s="130">
        <f>Fund_Industry!Y329</f>
        <v>0</v>
      </c>
      <c r="Z1705" s="130">
        <f>Fund_Industry!Z329</f>
        <v>0</v>
      </c>
      <c r="AA1705" s="130">
        <f>Fund_Industry!AA329</f>
        <v>0</v>
      </c>
      <c r="AB1705" s="130">
        <f>Fund_Industry!AB329</f>
        <v>0</v>
      </c>
      <c r="AC1705" s="130">
        <f>Fund_Industry!AC329</f>
        <v>0</v>
      </c>
      <c r="AD1705" s="130">
        <f>Fund_Industry!AD329</f>
        <v>0</v>
      </c>
      <c r="AE1705" s="130">
        <f>Fund_Industry!AE329</f>
        <v>0</v>
      </c>
    </row>
    <row r="1706" spans="1:31" x14ac:dyDescent="0.45">
      <c r="A1706" t="s">
        <v>2931</v>
      </c>
      <c r="D1706">
        <v>2</v>
      </c>
      <c r="E1706" t="s">
        <v>2450</v>
      </c>
      <c r="F1706">
        <f t="shared" si="365"/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45">
      <c r="A1707" t="s">
        <v>2932</v>
      </c>
      <c r="D1707">
        <v>2</v>
      </c>
      <c r="E1707" t="s">
        <v>2450</v>
      </c>
      <c r="F1707">
        <f t="shared" si="365"/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45">
      <c r="A1708" t="s">
        <v>2933</v>
      </c>
      <c r="D1708">
        <v>2</v>
      </c>
      <c r="E1708" t="s">
        <v>2450</v>
      </c>
      <c r="F1708">
        <f t="shared" si="365"/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45">
      <c r="A1709" t="s">
        <v>2934</v>
      </c>
      <c r="D1709">
        <v>2</v>
      </c>
      <c r="E1709" t="s">
        <v>2450</v>
      </c>
      <c r="F1709">
        <f t="shared" si="365"/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45">
      <c r="A1710" t="s">
        <v>2935</v>
      </c>
      <c r="D1710">
        <v>2</v>
      </c>
      <c r="E1710" t="s">
        <v>2450</v>
      </c>
      <c r="F1710">
        <f t="shared" si="365"/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45">
      <c r="A1711" t="s">
        <v>2936</v>
      </c>
      <c r="D1711">
        <v>2</v>
      </c>
      <c r="E1711" t="s">
        <v>2450</v>
      </c>
      <c r="F1711">
        <f t="shared" si="365"/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45">
      <c r="A1712" t="s">
        <v>2937</v>
      </c>
      <c r="D1712">
        <v>2</v>
      </c>
      <c r="E1712" t="s">
        <v>2450</v>
      </c>
      <c r="F1712" s="131">
        <f t="shared" si="365"/>
        <v>0</v>
      </c>
      <c r="L1712" s="131">
        <f>Fund_Industry!L404</f>
        <v>0</v>
      </c>
      <c r="M1712" s="131">
        <f>Fund_Industry!M404</f>
        <v>0</v>
      </c>
      <c r="N1712" s="131">
        <f>Fund_Industry!N404</f>
        <v>0</v>
      </c>
      <c r="O1712" s="131">
        <f>Fund_Industry!O404</f>
        <v>0</v>
      </c>
      <c r="P1712" s="131">
        <f>Fund_Industry!P404</f>
        <v>0</v>
      </c>
      <c r="Q1712" s="131">
        <f>Fund_Industry!Q404</f>
        <v>0</v>
      </c>
      <c r="R1712" s="131">
        <f>Fund_Industry!R404</f>
        <v>0</v>
      </c>
      <c r="S1712" s="131">
        <f>Fund_Industry!S404</f>
        <v>0</v>
      </c>
      <c r="T1712" s="131">
        <f>Fund_Industry!T404</f>
        <v>0</v>
      </c>
      <c r="U1712" s="131">
        <f>Fund_Industry!U404</f>
        <v>0</v>
      </c>
      <c r="V1712" s="131">
        <f>Fund_Industry!V404</f>
        <v>0</v>
      </c>
      <c r="W1712" s="131">
        <f>Fund_Industry!W404</f>
        <v>0</v>
      </c>
      <c r="X1712" s="131">
        <f>Fund_Industry!X404</f>
        <v>0</v>
      </c>
      <c r="Y1712" s="131">
        <f>Fund_Industry!Y404</f>
        <v>0</v>
      </c>
      <c r="Z1712" s="131">
        <f>Fund_Industry!Z404</f>
        <v>0</v>
      </c>
      <c r="AA1712" s="131">
        <f>Fund_Industry!AA404</f>
        <v>0</v>
      </c>
      <c r="AB1712" s="131">
        <f>Fund_Industry!AB404</f>
        <v>0</v>
      </c>
      <c r="AC1712" s="131">
        <f>Fund_Industry!AC404</f>
        <v>0</v>
      </c>
      <c r="AD1712" s="131">
        <f>Fund_Industry!AD404</f>
        <v>0</v>
      </c>
      <c r="AE1712" s="131">
        <f>Fund_Industry!AE404</f>
        <v>0</v>
      </c>
    </row>
    <row r="1713" spans="1:31" x14ac:dyDescent="0.45">
      <c r="A1713" t="s">
        <v>2938</v>
      </c>
      <c r="D1713">
        <v>2</v>
      </c>
      <c r="E1713" t="s">
        <v>2450</v>
      </c>
      <c r="F1713" s="130">
        <f t="shared" si="365"/>
        <v>0</v>
      </c>
      <c r="L1713" s="130">
        <f>Fund_Industry!L407</f>
        <v>0</v>
      </c>
      <c r="M1713" s="130">
        <f>Fund_Industry!M407</f>
        <v>0</v>
      </c>
      <c r="N1713" s="130">
        <f>Fund_Industry!N407</f>
        <v>0</v>
      </c>
      <c r="O1713" s="130">
        <f>Fund_Industry!O407</f>
        <v>0</v>
      </c>
      <c r="P1713" s="130">
        <f>Fund_Industry!P407</f>
        <v>0</v>
      </c>
      <c r="Q1713" s="130">
        <f>Fund_Industry!Q407</f>
        <v>0</v>
      </c>
      <c r="R1713" s="130">
        <f>Fund_Industry!R407</f>
        <v>0</v>
      </c>
      <c r="S1713" s="130">
        <f>Fund_Industry!S407</f>
        <v>0</v>
      </c>
      <c r="T1713" s="130">
        <f>Fund_Industry!T407</f>
        <v>0</v>
      </c>
      <c r="U1713" s="130">
        <f>Fund_Industry!U407</f>
        <v>0</v>
      </c>
      <c r="V1713" s="130">
        <f>Fund_Industry!V407</f>
        <v>0</v>
      </c>
      <c r="W1713" s="130">
        <f>Fund_Industry!W407</f>
        <v>0</v>
      </c>
      <c r="X1713" s="130">
        <f>Fund_Industry!X407</f>
        <v>0</v>
      </c>
      <c r="Y1713" s="130">
        <f>Fund_Industry!Y407</f>
        <v>0</v>
      </c>
      <c r="Z1713" s="130">
        <f>Fund_Industry!Z407</f>
        <v>0</v>
      </c>
      <c r="AA1713" s="130">
        <f>Fund_Industry!AA407</f>
        <v>0</v>
      </c>
      <c r="AB1713" s="130">
        <f>Fund_Industry!AB407</f>
        <v>0</v>
      </c>
      <c r="AC1713" s="130">
        <f>Fund_Industry!AC407</f>
        <v>0</v>
      </c>
      <c r="AD1713" s="130">
        <f>Fund_Industry!AD407</f>
        <v>0</v>
      </c>
      <c r="AE1713" s="130">
        <f>Fund_Industry!AE407</f>
        <v>0</v>
      </c>
    </row>
    <row r="1714" spans="1:31" x14ac:dyDescent="0.45">
      <c r="A1714" t="s">
        <v>2939</v>
      </c>
      <c r="D1714">
        <v>2</v>
      </c>
      <c r="E1714" t="s">
        <v>2450</v>
      </c>
      <c r="F1714">
        <f t="shared" si="365"/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45">
      <c r="A1715" t="s">
        <v>2940</v>
      </c>
      <c r="D1715">
        <v>2</v>
      </c>
      <c r="E1715" t="s">
        <v>2450</v>
      </c>
      <c r="F1715">
        <f t="shared" si="365"/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45">
      <c r="A1716" t="s">
        <v>2941</v>
      </c>
      <c r="D1716">
        <v>2</v>
      </c>
      <c r="E1716" t="s">
        <v>2450</v>
      </c>
      <c r="F1716">
        <f t="shared" si="365"/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45">
      <c r="A1717" t="s">
        <v>2942</v>
      </c>
      <c r="D1717">
        <v>2</v>
      </c>
      <c r="E1717" t="s">
        <v>2450</v>
      </c>
      <c r="F1717">
        <f t="shared" si="365"/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45">
      <c r="A1718" t="s">
        <v>2943</v>
      </c>
      <c r="D1718">
        <v>2</v>
      </c>
      <c r="E1718" t="s">
        <v>2450</v>
      </c>
      <c r="F1718">
        <f t="shared" si="365"/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45">
      <c r="A1719" t="s">
        <v>2944</v>
      </c>
      <c r="D1719">
        <v>2</v>
      </c>
      <c r="E1719" t="s">
        <v>2450</v>
      </c>
      <c r="F1719">
        <f t="shared" si="365"/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45">
      <c r="A1720" t="s">
        <v>2945</v>
      </c>
      <c r="D1720">
        <v>2</v>
      </c>
      <c r="E1720" t="s">
        <v>2450</v>
      </c>
      <c r="F1720">
        <f t="shared" si="365"/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45">
      <c r="A1721" t="s">
        <v>2946</v>
      </c>
      <c r="D1721">
        <v>2</v>
      </c>
      <c r="E1721" t="s">
        <v>2450</v>
      </c>
      <c r="F1721">
        <f t="shared" si="365"/>
        <v>7402.012510962054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313.18092912945133</v>
      </c>
      <c r="R1721">
        <f>Rebate_Industry!R278</f>
        <v>646.88764494852489</v>
      </c>
      <c r="S1721">
        <f>Rebate_Industry!S278</f>
        <v>1002.1648959865571</v>
      </c>
      <c r="T1721">
        <f>Rebate_Industry!T278</f>
        <v>1380.1062236958546</v>
      </c>
      <c r="U1721">
        <f>Rebate_Industry!U278</f>
        <v>1781.8561629939895</v>
      </c>
      <c r="V1721">
        <f>Rebate_Industry!V278</f>
        <v>2208.6125408023772</v>
      </c>
      <c r="W1721">
        <f>Rebate_Industry!W278</f>
        <v>2661.6288769403232</v>
      </c>
      <c r="X1721">
        <f>Rebate_Industry!X278</f>
        <v>3142.2168919286596</v>
      </c>
      <c r="Y1721">
        <f>Rebate_Industry!Y278</f>
        <v>3651.7491264608011</v>
      </c>
      <c r="Z1721">
        <f>Rebate_Industry!Z278</f>
        <v>4191.6616775120128</v>
      </c>
      <c r="AA1721">
        <f>Rebate_Industry!AA278</f>
        <v>4763.45705628019</v>
      </c>
      <c r="AB1721">
        <f>Rebate_Industry!AB278</f>
        <v>5368.7071733840539</v>
      </c>
      <c r="AC1721">
        <f>Rebate_Industry!AC278</f>
        <v>6009.0564569877843</v>
      </c>
      <c r="AD1721">
        <f>Rebate_Industry!AD278</f>
        <v>6686.2251097751796</v>
      </c>
      <c r="AE1721">
        <f>Rebate_Industry!AE278</f>
        <v>7402.012510962054</v>
      </c>
    </row>
    <row r="1723" spans="1:31" x14ac:dyDescent="0.45">
      <c r="A1723" t="s">
        <v>2947</v>
      </c>
    </row>
    <row r="1725" spans="1:31" x14ac:dyDescent="0.45">
      <c r="A1725" s="52" t="s">
        <v>3674</v>
      </c>
    </row>
    <row r="1726" spans="1:31" x14ac:dyDescent="0.45">
      <c r="A1726" t="s">
        <v>2948</v>
      </c>
      <c r="B1726" t="s">
        <v>110</v>
      </c>
      <c r="C1726" t="s">
        <v>43</v>
      </c>
      <c r="D1726">
        <v>1</v>
      </c>
      <c r="E1726" t="s">
        <v>2949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45">
      <c r="A1727" t="s">
        <v>2950</v>
      </c>
      <c r="B1727" t="s">
        <v>110</v>
      </c>
      <c r="C1727" t="s">
        <v>113</v>
      </c>
      <c r="D1727">
        <v>1</v>
      </c>
      <c r="E1727" t="s">
        <v>2949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45">
      <c r="A1728" t="s">
        <v>2951</v>
      </c>
      <c r="B1728" t="s">
        <v>110</v>
      </c>
      <c r="C1728" t="s">
        <v>115</v>
      </c>
      <c r="D1728">
        <v>1</v>
      </c>
      <c r="E1728" t="s">
        <v>2949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45">
      <c r="A1729" t="s">
        <v>2952</v>
      </c>
      <c r="B1729" t="s">
        <v>110</v>
      </c>
      <c r="C1729" t="s">
        <v>117</v>
      </c>
      <c r="D1729">
        <v>1</v>
      </c>
      <c r="E1729" t="s">
        <v>2949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2953</v>
      </c>
      <c r="B1730" t="s">
        <v>110</v>
      </c>
      <c r="C1730" t="s">
        <v>43</v>
      </c>
      <c r="D1730">
        <v>2</v>
      </c>
      <c r="E1730" t="s">
        <v>2954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45">
      <c r="A1731" t="s">
        <v>2955</v>
      </c>
      <c r="B1731" t="s">
        <v>110</v>
      </c>
      <c r="C1731" t="s">
        <v>113</v>
      </c>
      <c r="D1731">
        <v>2</v>
      </c>
      <c r="E1731" t="s">
        <v>2954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45">
      <c r="A1732" t="s">
        <v>2956</v>
      </c>
      <c r="B1732" t="s">
        <v>110</v>
      </c>
      <c r="C1732" t="s">
        <v>115</v>
      </c>
      <c r="D1732">
        <v>2</v>
      </c>
      <c r="E1732" t="s">
        <v>2954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2957</v>
      </c>
      <c r="B1733" t="s">
        <v>110</v>
      </c>
      <c r="C1733" t="s">
        <v>117</v>
      </c>
      <c r="D1733">
        <v>2</v>
      </c>
      <c r="E1733" t="s">
        <v>2954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2958</v>
      </c>
      <c r="B1734" t="s">
        <v>2471</v>
      </c>
      <c r="C1734" t="s">
        <v>43</v>
      </c>
      <c r="D1734">
        <v>2</v>
      </c>
      <c r="E1734" t="s">
        <v>2959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45">
      <c r="A1735" t="s">
        <v>2960</v>
      </c>
      <c r="B1735" t="s">
        <v>2471</v>
      </c>
      <c r="C1735" t="s">
        <v>113</v>
      </c>
      <c r="D1735">
        <v>2</v>
      </c>
      <c r="E1735" t="s">
        <v>2959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45">
      <c r="A1736" t="s">
        <v>2961</v>
      </c>
      <c r="B1736" t="s">
        <v>2471</v>
      </c>
      <c r="C1736" t="s">
        <v>115</v>
      </c>
      <c r="D1736">
        <v>2</v>
      </c>
      <c r="E1736" t="s">
        <v>2959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45">
      <c r="A1737" t="s">
        <v>2962</v>
      </c>
      <c r="B1737" t="s">
        <v>2471</v>
      </c>
      <c r="C1737" t="s">
        <v>117</v>
      </c>
      <c r="D1737">
        <v>2</v>
      </c>
      <c r="E1737" t="s">
        <v>2959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45">
      <c r="A1738" t="s">
        <v>2963</v>
      </c>
      <c r="B1738" t="s">
        <v>110</v>
      </c>
      <c r="C1738" t="s">
        <v>2675</v>
      </c>
      <c r="D1738">
        <v>2</v>
      </c>
      <c r="E1738" t="s">
        <v>2964</v>
      </c>
      <c r="L1738" s="43">
        <v>48.086991333544489</v>
      </c>
      <c r="M1738" s="43">
        <v>49.677032012339083</v>
      </c>
      <c r="N1738" s="43">
        <v>51.320891261</v>
      </c>
      <c r="O1738" s="43">
        <v>53.020436367115991</v>
      </c>
      <c r="P1738" s="43">
        <v>54.77760125723205</v>
      </c>
      <c r="Q1738" s="43">
        <v>56.594388955214242</v>
      </c>
      <c r="R1738" s="43">
        <v>58.472874134897971</v>
      </c>
      <c r="S1738" s="43">
        <v>60.415205770798046</v>
      </c>
      <c r="T1738" s="43">
        <v>62.423609890817644</v>
      </c>
      <c r="U1738" s="43">
        <v>64.500392435059069</v>
      </c>
      <c r="V1738" s="43">
        <v>66.647942225012031</v>
      </c>
      <c r="W1738" s="43">
        <v>68.868734047575941</v>
      </c>
      <c r="X1738" s="43">
        <v>71.165331858561302</v>
      </c>
      <c r="Y1738" s="43">
        <v>73.540392110512528</v>
      </c>
      <c r="Z1738" s="43">
        <v>75.996667209899613</v>
      </c>
      <c r="AA1738" s="43">
        <v>78.537009108942158</v>
      </c>
      <c r="AB1738" s="43">
        <v>81.164373037552508</v>
      </c>
      <c r="AC1738" s="43">
        <v>83.881821381120091</v>
      </c>
      <c r="AD1738" s="43">
        <v>86.692527710104301</v>
      </c>
      <c r="AE1738" s="43">
        <v>89.599780967658063</v>
      </c>
    </row>
    <row r="1739" spans="1:31" x14ac:dyDescent="0.45">
      <c r="A1739" t="s">
        <v>2965</v>
      </c>
      <c r="B1739" t="s">
        <v>110</v>
      </c>
      <c r="C1739" t="s">
        <v>2675</v>
      </c>
      <c r="D1739">
        <v>2</v>
      </c>
      <c r="E1739" t="s">
        <v>2966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313.18092912945133</v>
      </c>
      <c r="R1739" s="43">
        <v>646.88764494852489</v>
      </c>
      <c r="S1739" s="43">
        <v>1002.1648959865571</v>
      </c>
      <c r="T1739" s="43">
        <v>1380.1062236958546</v>
      </c>
      <c r="U1739" s="43">
        <v>1781.8561629939895</v>
      </c>
      <c r="V1739" s="43">
        <v>2208.6125408023772</v>
      </c>
      <c r="W1739" s="43">
        <v>2661.6288769403232</v>
      </c>
      <c r="X1739" s="43">
        <v>3142.2168919286596</v>
      </c>
      <c r="Y1739" s="43">
        <v>3651.7491264608011</v>
      </c>
      <c r="Z1739" s="43">
        <v>4191.6616775120128</v>
      </c>
      <c r="AA1739" s="43">
        <v>4763.45705628019</v>
      </c>
      <c r="AB1739" s="43">
        <v>5368.7071733840539</v>
      </c>
      <c r="AC1739" s="43">
        <v>6009.0564569877843</v>
      </c>
      <c r="AD1739" s="43">
        <v>6686.2251097751796</v>
      </c>
      <c r="AE1739" s="43">
        <v>7402.012510962054</v>
      </c>
    </row>
    <row r="1740" spans="1:31" x14ac:dyDescent="0.45">
      <c r="A1740" t="s">
        <v>2967</v>
      </c>
      <c r="B1740" t="s">
        <v>110</v>
      </c>
      <c r="C1740" t="s">
        <v>2675</v>
      </c>
      <c r="D1740">
        <v>2</v>
      </c>
      <c r="E1740" t="s">
        <v>2968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2969</v>
      </c>
      <c r="B1741" t="s">
        <v>110</v>
      </c>
      <c r="C1741" t="s">
        <v>2675</v>
      </c>
      <c r="D1741">
        <v>2</v>
      </c>
      <c r="E1741" t="s">
        <v>2970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313.18092912945133</v>
      </c>
      <c r="R1741" s="43">
        <v>646.88764494852489</v>
      </c>
      <c r="S1741" s="43">
        <v>1002.1648959865571</v>
      </c>
      <c r="T1741" s="43">
        <v>1380.1062236958546</v>
      </c>
      <c r="U1741" s="43">
        <v>1781.8561629939895</v>
      </c>
      <c r="V1741" s="43">
        <v>2208.6125408023772</v>
      </c>
      <c r="W1741" s="43">
        <v>2661.6288769403232</v>
      </c>
      <c r="X1741" s="43">
        <v>3142.2168919286596</v>
      </c>
      <c r="Y1741" s="43">
        <v>3651.7491264608011</v>
      </c>
      <c r="Z1741" s="43">
        <v>4191.6616775120128</v>
      </c>
      <c r="AA1741" s="43">
        <v>4763.45705628019</v>
      </c>
      <c r="AB1741" s="43">
        <v>5368.7071733840539</v>
      </c>
      <c r="AC1741" s="43">
        <v>6009.0564569877843</v>
      </c>
      <c r="AD1741" s="43">
        <v>6686.2251097751796</v>
      </c>
      <c r="AE1741" s="43">
        <v>7402.012510962054</v>
      </c>
    </row>
    <row r="1742" spans="1:31" x14ac:dyDescent="0.45">
      <c r="A1742" t="s">
        <v>2971</v>
      </c>
      <c r="B1742" t="s">
        <v>110</v>
      </c>
      <c r="C1742" t="s">
        <v>2675</v>
      </c>
      <c r="D1742">
        <v>2</v>
      </c>
      <c r="E1742" t="s">
        <v>2972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45">
      <c r="A1743" t="s">
        <v>2973</v>
      </c>
      <c r="B1743" t="s">
        <v>2974</v>
      </c>
      <c r="C1743" t="s">
        <v>2675</v>
      </c>
      <c r="D1743">
        <v>2</v>
      </c>
      <c r="E1743" t="s">
        <v>2975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2976</v>
      </c>
      <c r="B1744" t="s">
        <v>110</v>
      </c>
      <c r="C1744" t="s">
        <v>43</v>
      </c>
      <c r="D1744">
        <v>2</v>
      </c>
      <c r="E1744" t="s">
        <v>2977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45">
      <c r="A1745" t="s">
        <v>2978</v>
      </c>
      <c r="B1745" t="s">
        <v>110</v>
      </c>
      <c r="C1745" t="s">
        <v>113</v>
      </c>
      <c r="D1745">
        <v>2</v>
      </c>
      <c r="E1745" t="s">
        <v>2977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45">
      <c r="A1746" t="s">
        <v>2979</v>
      </c>
      <c r="B1746" t="s">
        <v>110</v>
      </c>
      <c r="C1746" t="s">
        <v>115</v>
      </c>
      <c r="D1746">
        <v>2</v>
      </c>
      <c r="E1746" t="s">
        <v>2977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2980</v>
      </c>
      <c r="B1747" t="s">
        <v>110</v>
      </c>
      <c r="C1747" t="s">
        <v>117</v>
      </c>
      <c r="D1747">
        <v>2</v>
      </c>
      <c r="E1747" t="s">
        <v>2977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2981</v>
      </c>
      <c r="B1748" t="s">
        <v>2471</v>
      </c>
      <c r="C1748" t="s">
        <v>43</v>
      </c>
      <c r="D1748">
        <v>2</v>
      </c>
      <c r="E1748" t="s">
        <v>2982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45">
      <c r="A1749" t="s">
        <v>2983</v>
      </c>
      <c r="B1749" t="s">
        <v>2471</v>
      </c>
      <c r="C1749" t="s">
        <v>113</v>
      </c>
      <c r="D1749">
        <v>2</v>
      </c>
      <c r="E1749" t="s">
        <v>2982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45">
      <c r="A1750" t="s">
        <v>2984</v>
      </c>
      <c r="B1750" t="s">
        <v>2471</v>
      </c>
      <c r="C1750" t="s">
        <v>115</v>
      </c>
      <c r="D1750">
        <v>2</v>
      </c>
      <c r="E1750" t="s">
        <v>2982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45">
      <c r="A1751" t="s">
        <v>2985</v>
      </c>
      <c r="B1751" t="s">
        <v>2471</v>
      </c>
      <c r="C1751" t="s">
        <v>117</v>
      </c>
      <c r="D1751">
        <v>2</v>
      </c>
      <c r="E1751" t="s">
        <v>2982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45">
      <c r="A1752" t="s">
        <v>2986</v>
      </c>
      <c r="B1752" t="s">
        <v>110</v>
      </c>
      <c r="C1752" t="s">
        <v>2675</v>
      </c>
      <c r="D1752">
        <v>2</v>
      </c>
      <c r="E1752" t="s">
        <v>2987</v>
      </c>
      <c r="L1752" s="43">
        <v>48.086991333544489</v>
      </c>
      <c r="M1752" s="43">
        <v>49.677032012339083</v>
      </c>
      <c r="N1752" s="43">
        <v>51.320891261</v>
      </c>
      <c r="O1752" s="43">
        <v>53.020436367115991</v>
      </c>
      <c r="P1752" s="43">
        <v>54.77760125723205</v>
      </c>
      <c r="Q1752" s="43">
        <v>56.594388955214242</v>
      </c>
      <c r="R1752" s="43">
        <v>52.898268487056413</v>
      </c>
      <c r="S1752" s="43">
        <v>54.658102166570728</v>
      </c>
      <c r="T1752" s="43">
        <v>56.477973039880865</v>
      </c>
      <c r="U1752" s="43">
        <v>58.359985263376132</v>
      </c>
      <c r="V1752" s="43">
        <v>60.306319036120634</v>
      </c>
      <c r="W1752" s="43">
        <v>62.31923344779446</v>
      </c>
      <c r="X1752" s="43">
        <v>64.401069437751914</v>
      </c>
      <c r="Y1752" s="43">
        <v>66.554252869732267</v>
      </c>
      <c r="Z1752" s="43">
        <v>68.781297726952147</v>
      </c>
      <c r="AA1752" s="43">
        <v>71.084809432511747</v>
      </c>
      <c r="AB1752" s="43">
        <v>73.467488300258267</v>
      </c>
      <c r="AC1752" s="43">
        <v>75.932133121471963</v>
      </c>
      <c r="AD1752" s="43">
        <v>78.481644892970635</v>
      </c>
      <c r="AE1752" s="43">
        <v>81.119030692470545</v>
      </c>
    </row>
    <row r="1753" spans="1:31" x14ac:dyDescent="0.45">
      <c r="A1753" t="s">
        <v>2988</v>
      </c>
      <c r="B1753" t="s">
        <v>110</v>
      </c>
      <c r="C1753" t="s">
        <v>2675</v>
      </c>
      <c r="D1753">
        <v>2</v>
      </c>
      <c r="E1753" t="s">
        <v>2989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1057.9653697411281</v>
      </c>
      <c r="S1753" s="43">
        <v>1093.1620433314145</v>
      </c>
      <c r="T1753" s="43">
        <v>1129.5594607976172</v>
      </c>
      <c r="U1753" s="43">
        <v>1167.1997052675226</v>
      </c>
      <c r="V1753" s="43">
        <v>1206.1263807224125</v>
      </c>
      <c r="W1753" s="43">
        <v>1246.3846689558893</v>
      </c>
      <c r="X1753" s="43">
        <v>1288.0213887550383</v>
      </c>
      <c r="Y1753" s="43">
        <v>1331.0850573946457</v>
      </c>
      <c r="Z1753" s="43">
        <v>1375.6259545390433</v>
      </c>
      <c r="AA1753" s="43">
        <v>1421.6961886502352</v>
      </c>
      <c r="AB1753" s="43">
        <v>1469.3497660051657</v>
      </c>
      <c r="AC1753" s="43">
        <v>1518.6426624294395</v>
      </c>
      <c r="AD1753" s="43">
        <v>1569.6328978594124</v>
      </c>
      <c r="AE1753" s="43">
        <v>1622.3806138494108</v>
      </c>
    </row>
    <row r="1754" spans="1:31" x14ac:dyDescent="0.45">
      <c r="A1754" t="s">
        <v>2990</v>
      </c>
      <c r="B1754" t="s">
        <v>110</v>
      </c>
      <c r="C1754" t="s">
        <v>2675</v>
      </c>
      <c r="D1754">
        <v>2</v>
      </c>
      <c r="E1754" t="s">
        <v>2991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45">
      <c r="A1755" t="s">
        <v>2992</v>
      </c>
      <c r="B1755" t="s">
        <v>110</v>
      </c>
      <c r="C1755" t="s">
        <v>2675</v>
      </c>
      <c r="D1755">
        <v>2</v>
      </c>
      <c r="E1755" t="s">
        <v>2993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1057.9653697411281</v>
      </c>
      <c r="S1755" s="43">
        <v>1093.1620433314145</v>
      </c>
      <c r="T1755" s="43">
        <v>1129.5594607976172</v>
      </c>
      <c r="U1755" s="43">
        <v>1167.1997052675226</v>
      </c>
      <c r="V1755" s="43">
        <v>1206.1263807224125</v>
      </c>
      <c r="W1755" s="43">
        <v>1246.3846689558893</v>
      </c>
      <c r="X1755" s="43">
        <v>1288.0213887550383</v>
      </c>
      <c r="Y1755" s="43">
        <v>1331.0850573946457</v>
      </c>
      <c r="Z1755" s="43">
        <v>1375.6259545390433</v>
      </c>
      <c r="AA1755" s="43">
        <v>1421.6961886502352</v>
      </c>
      <c r="AB1755" s="43">
        <v>1469.3497660051657</v>
      </c>
      <c r="AC1755" s="43">
        <v>1518.6426624294395</v>
      </c>
      <c r="AD1755" s="43">
        <v>1569.6328978594124</v>
      </c>
      <c r="AE1755" s="43">
        <v>1622.3806138494108</v>
      </c>
    </row>
    <row r="1756" spans="1:31" x14ac:dyDescent="0.45">
      <c r="A1756" t="s">
        <v>2994</v>
      </c>
      <c r="B1756" t="s">
        <v>110</v>
      </c>
      <c r="C1756" t="s">
        <v>2675</v>
      </c>
      <c r="D1756">
        <v>2</v>
      </c>
      <c r="E1756" t="s">
        <v>2995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45">
      <c r="A1757" t="s">
        <v>2996</v>
      </c>
      <c r="B1757" t="s">
        <v>2974</v>
      </c>
      <c r="C1757" t="s">
        <v>2675</v>
      </c>
      <c r="D1757">
        <v>2</v>
      </c>
      <c r="E1757" t="s">
        <v>2975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2997</v>
      </c>
      <c r="B1758" t="s">
        <v>110</v>
      </c>
      <c r="C1758" t="s">
        <v>43</v>
      </c>
      <c r="D1758">
        <v>2</v>
      </c>
      <c r="E1758" t="s">
        <v>2998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45">
      <c r="A1759" t="s">
        <v>2999</v>
      </c>
      <c r="B1759" t="s">
        <v>110</v>
      </c>
      <c r="C1759" t="s">
        <v>113</v>
      </c>
      <c r="D1759">
        <v>2</v>
      </c>
      <c r="E1759" t="s">
        <v>2998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45">
      <c r="A1760" t="s">
        <v>3000</v>
      </c>
      <c r="B1760" t="s">
        <v>110</v>
      </c>
      <c r="C1760" t="s">
        <v>115</v>
      </c>
      <c r="D1760">
        <v>2</v>
      </c>
      <c r="E1760" t="s">
        <v>2998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3001</v>
      </c>
      <c r="B1761" t="s">
        <v>110</v>
      </c>
      <c r="C1761" t="s">
        <v>117</v>
      </c>
      <c r="D1761">
        <v>2</v>
      </c>
      <c r="E1761" t="s">
        <v>2998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3002</v>
      </c>
      <c r="B1762" t="s">
        <v>2471</v>
      </c>
      <c r="C1762" t="s">
        <v>43</v>
      </c>
      <c r="D1762">
        <v>2</v>
      </c>
      <c r="E1762" t="s">
        <v>3003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45">
      <c r="A1763" t="s">
        <v>3004</v>
      </c>
      <c r="B1763" t="s">
        <v>2471</v>
      </c>
      <c r="C1763" t="s">
        <v>113</v>
      </c>
      <c r="D1763">
        <v>2</v>
      </c>
      <c r="E1763" t="s">
        <v>3003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45">
      <c r="A1764" t="s">
        <v>3005</v>
      </c>
      <c r="B1764" t="s">
        <v>2471</v>
      </c>
      <c r="C1764" t="s">
        <v>115</v>
      </c>
      <c r="D1764">
        <v>2</v>
      </c>
      <c r="E1764" t="s">
        <v>3003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45">
      <c r="A1765" t="s">
        <v>3006</v>
      </c>
      <c r="B1765" t="s">
        <v>2471</v>
      </c>
      <c r="C1765" t="s">
        <v>117</v>
      </c>
      <c r="D1765">
        <v>2</v>
      </c>
      <c r="E1765" t="s">
        <v>3003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45">
      <c r="A1766" t="s">
        <v>3007</v>
      </c>
      <c r="B1766" t="s">
        <v>110</v>
      </c>
      <c r="C1766" t="s">
        <v>2675</v>
      </c>
      <c r="D1766">
        <v>2</v>
      </c>
      <c r="E1766" t="s">
        <v>3008</v>
      </c>
      <c r="L1766" s="43">
        <v>48.086991333544489</v>
      </c>
      <c r="M1766" s="43">
        <v>49.677032012339083</v>
      </c>
      <c r="N1766" s="43">
        <v>51.320891261</v>
      </c>
      <c r="O1766" s="43">
        <v>53.020436367115991</v>
      </c>
      <c r="P1766" s="43">
        <v>54.77760125723205</v>
      </c>
      <c r="Q1766" s="43">
        <v>56.594388955214242</v>
      </c>
      <c r="R1766" s="43">
        <v>56.95822661851966</v>
      </c>
      <c r="S1766" s="43">
        <v>58.852036389323892</v>
      </c>
      <c r="T1766" s="43">
        <v>60.810342425384711</v>
      </c>
      <c r="U1766" s="43">
        <v>62.8353988831797</v>
      </c>
      <c r="V1766" s="43">
        <v>64.929541082585544</v>
      </c>
      <c r="W1766" s="43">
        <v>67.095188533368542</v>
      </c>
      <c r="X1766" s="43">
        <v>69.334848079208342</v>
      </c>
      <c r="Y1766" s="43">
        <v>71.651117164030921</v>
      </c>
      <c r="Z1766" s="43">
        <v>74.046687225629398</v>
      </c>
      <c r="AA1766" s="43">
        <v>76.524347221764771</v>
      </c>
      <c r="AB1766" s="43">
        <v>79.086987294159897</v>
      </c>
      <c r="AC1766" s="43">
        <v>81.737602576032344</v>
      </c>
      <c r="AD1766" s="43">
        <v>84.479297149054361</v>
      </c>
      <c r="AE1766" s="43">
        <v>87.31528815588122</v>
      </c>
    </row>
    <row r="1767" spans="1:31" x14ac:dyDescent="0.45">
      <c r="A1767" t="s">
        <v>3009</v>
      </c>
      <c r="B1767" t="s">
        <v>110</v>
      </c>
      <c r="C1767" t="s">
        <v>2675</v>
      </c>
      <c r="D1767">
        <v>2</v>
      </c>
      <c r="E1767" t="s">
        <v>3010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504.02954432644299</v>
      </c>
      <c r="S1767" s="43">
        <v>520.59186271947965</v>
      </c>
      <c r="T1767" s="43">
        <v>537.71770413942943</v>
      </c>
      <c r="U1767" s="43">
        <v>555.42686035444433</v>
      </c>
      <c r="V1767" s="43">
        <v>573.73983914371013</v>
      </c>
      <c r="W1767" s="43">
        <v>592.67789094096656</v>
      </c>
      <c r="X1767" s="43">
        <v>612.26303649661156</v>
      </c>
      <c r="Y1767" s="43">
        <v>632.51809559834771</v>
      </c>
      <c r="Z1767" s="43">
        <v>653.46671689193511</v>
      </c>
      <c r="AA1767" s="43">
        <v>675.13340884529282</v>
      </c>
      <c r="AB1767" s="43">
        <v>697.54357190091923</v>
      </c>
      <c r="AC1767" s="43">
        <v>720.72353186342718</v>
      </c>
      <c r="AD1767" s="43">
        <v>744.70057457087296</v>
      </c>
      <c r="AE1767" s="43">
        <v>769.50298190052069</v>
      </c>
    </row>
    <row r="1768" spans="1:31" x14ac:dyDescent="0.45">
      <c r="A1768" t="s">
        <v>3011</v>
      </c>
      <c r="B1768" t="s">
        <v>110</v>
      </c>
      <c r="C1768" t="s">
        <v>2675</v>
      </c>
      <c r="D1768">
        <v>2</v>
      </c>
      <c r="E1768" t="s">
        <v>3012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3013</v>
      </c>
      <c r="B1769" t="s">
        <v>110</v>
      </c>
      <c r="C1769" t="s">
        <v>2675</v>
      </c>
      <c r="D1769">
        <v>2</v>
      </c>
      <c r="E1769" t="s">
        <v>3014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504.02954432644299</v>
      </c>
      <c r="S1769" s="43">
        <v>520.59186271947965</v>
      </c>
      <c r="T1769" s="43">
        <v>537.71770413942943</v>
      </c>
      <c r="U1769" s="43">
        <v>555.42686035444433</v>
      </c>
      <c r="V1769" s="43">
        <v>573.73983914371013</v>
      </c>
      <c r="W1769" s="43">
        <v>592.67789094096656</v>
      </c>
      <c r="X1769" s="43">
        <v>612.26303649661156</v>
      </c>
      <c r="Y1769" s="43">
        <v>632.51809559834771</v>
      </c>
      <c r="Z1769" s="43">
        <v>653.46671689193511</v>
      </c>
      <c r="AA1769" s="43">
        <v>675.13340884529282</v>
      </c>
      <c r="AB1769" s="43">
        <v>697.54357190091923</v>
      </c>
      <c r="AC1769" s="43">
        <v>720.72353186342718</v>
      </c>
      <c r="AD1769" s="43">
        <v>744.70057457087296</v>
      </c>
      <c r="AE1769" s="43">
        <v>769.50298190052069</v>
      </c>
    </row>
    <row r="1770" spans="1:31" x14ac:dyDescent="0.45">
      <c r="A1770" t="s">
        <v>3015</v>
      </c>
      <c r="B1770" t="s">
        <v>110</v>
      </c>
      <c r="C1770" t="s">
        <v>2675</v>
      </c>
      <c r="D1770">
        <v>2</v>
      </c>
      <c r="E1770" t="s">
        <v>3016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45">
      <c r="A1771" t="s">
        <v>3017</v>
      </c>
      <c r="B1771" t="s">
        <v>2974</v>
      </c>
      <c r="C1771" t="s">
        <v>2675</v>
      </c>
      <c r="D1771">
        <v>2</v>
      </c>
      <c r="E1771" t="s">
        <v>2975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45">
      <c r="A1772" t="s">
        <v>3018</v>
      </c>
      <c r="B1772" t="s">
        <v>110</v>
      </c>
      <c r="C1772" t="s">
        <v>43</v>
      </c>
      <c r="D1772">
        <v>2</v>
      </c>
      <c r="E1772" t="s">
        <v>3019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45">
      <c r="A1773" t="s">
        <v>3020</v>
      </c>
      <c r="B1773" t="s">
        <v>110</v>
      </c>
      <c r="C1773" t="s">
        <v>113</v>
      </c>
      <c r="D1773">
        <v>2</v>
      </c>
      <c r="E1773" t="s">
        <v>3019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45">
      <c r="A1774" t="s">
        <v>3021</v>
      </c>
      <c r="B1774" t="s">
        <v>110</v>
      </c>
      <c r="C1774" t="s">
        <v>115</v>
      </c>
      <c r="D1774">
        <v>2</v>
      </c>
      <c r="E1774" t="s">
        <v>3019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45">
      <c r="A1775" t="s">
        <v>3022</v>
      </c>
      <c r="B1775" t="s">
        <v>110</v>
      </c>
      <c r="C1775" t="s">
        <v>117</v>
      </c>
      <c r="D1775">
        <v>2</v>
      </c>
      <c r="E1775" t="s">
        <v>3019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45">
      <c r="A1776" t="s">
        <v>3023</v>
      </c>
      <c r="B1776" t="s">
        <v>2471</v>
      </c>
      <c r="C1776" t="s">
        <v>43</v>
      </c>
      <c r="D1776">
        <v>2</v>
      </c>
      <c r="E1776" t="s">
        <v>3024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45">
      <c r="A1777" t="s">
        <v>3025</v>
      </c>
      <c r="B1777" t="s">
        <v>2471</v>
      </c>
      <c r="C1777" t="s">
        <v>113</v>
      </c>
      <c r="D1777">
        <v>2</v>
      </c>
      <c r="E1777" t="s">
        <v>3024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45">
      <c r="A1778" t="s">
        <v>3026</v>
      </c>
      <c r="B1778" t="s">
        <v>2471</v>
      </c>
      <c r="C1778" t="s">
        <v>115</v>
      </c>
      <c r="D1778">
        <v>2</v>
      </c>
      <c r="E1778" t="s">
        <v>3024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45">
      <c r="A1779" t="s">
        <v>3027</v>
      </c>
      <c r="B1779" t="s">
        <v>2471</v>
      </c>
      <c r="C1779" t="s">
        <v>117</v>
      </c>
      <c r="D1779">
        <v>2</v>
      </c>
      <c r="E1779" t="s">
        <v>3024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45">
      <c r="A1780" t="s">
        <v>3028</v>
      </c>
      <c r="B1780" t="s">
        <v>110</v>
      </c>
      <c r="C1780" t="s">
        <v>2675</v>
      </c>
      <c r="D1780">
        <v>2</v>
      </c>
      <c r="E1780" t="s">
        <v>3029</v>
      </c>
      <c r="L1780" s="43">
        <v>48.086991333544489</v>
      </c>
      <c r="M1780" s="43">
        <v>49.677032012339083</v>
      </c>
      <c r="N1780" s="43">
        <v>51.320891261</v>
      </c>
      <c r="O1780" s="43">
        <v>53.020436367115991</v>
      </c>
      <c r="P1780" s="43">
        <v>54.77760125723205</v>
      </c>
      <c r="Q1780" s="43">
        <v>56.594388955214242</v>
      </c>
      <c r="R1780" s="43">
        <v>56.95822661851966</v>
      </c>
      <c r="S1780" s="43">
        <v>58.852036389323892</v>
      </c>
      <c r="T1780" s="43">
        <v>60.810342425384711</v>
      </c>
      <c r="U1780" s="43">
        <v>62.8353988831797</v>
      </c>
      <c r="V1780" s="43">
        <v>64.929541082585544</v>
      </c>
      <c r="W1780" s="43">
        <v>67.095188533368542</v>
      </c>
      <c r="X1780" s="43">
        <v>69.334848079208342</v>
      </c>
      <c r="Y1780" s="43">
        <v>71.651117164030921</v>
      </c>
      <c r="Z1780" s="43">
        <v>74.046687225629398</v>
      </c>
      <c r="AA1780" s="43">
        <v>76.524347221764771</v>
      </c>
      <c r="AB1780" s="43">
        <v>79.086987294159897</v>
      </c>
      <c r="AC1780" s="43">
        <v>81.737602576032344</v>
      </c>
      <c r="AD1780" s="43">
        <v>84.479297149054361</v>
      </c>
      <c r="AE1780" s="43">
        <v>87.31528815588122</v>
      </c>
    </row>
    <row r="1781" spans="1:31" x14ac:dyDescent="0.45">
      <c r="A1781" t="s">
        <v>3030</v>
      </c>
      <c r="B1781" t="s">
        <v>110</v>
      </c>
      <c r="C1781" t="s">
        <v>2675</v>
      </c>
      <c r="D1781">
        <v>2</v>
      </c>
      <c r="E1781" t="s">
        <v>3031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504.02954432644299</v>
      </c>
      <c r="S1781" s="43">
        <v>520.59186271947965</v>
      </c>
      <c r="T1781" s="43">
        <v>537.71770413942943</v>
      </c>
      <c r="U1781" s="43">
        <v>555.42686035444433</v>
      </c>
      <c r="V1781" s="43">
        <v>573.73983914371013</v>
      </c>
      <c r="W1781" s="43">
        <v>592.67789094096656</v>
      </c>
      <c r="X1781" s="43">
        <v>612.26303649661156</v>
      </c>
      <c r="Y1781" s="43">
        <v>632.51809559834771</v>
      </c>
      <c r="Z1781" s="43">
        <v>653.46671689193511</v>
      </c>
      <c r="AA1781" s="43">
        <v>675.13340884529282</v>
      </c>
      <c r="AB1781" s="43">
        <v>697.54357190091923</v>
      </c>
      <c r="AC1781" s="43">
        <v>720.72353186342718</v>
      </c>
      <c r="AD1781" s="43">
        <v>744.70057457087296</v>
      </c>
      <c r="AE1781" s="43">
        <v>769.50298190052069</v>
      </c>
    </row>
    <row r="1782" spans="1:31" x14ac:dyDescent="0.45">
      <c r="A1782" t="s">
        <v>3032</v>
      </c>
      <c r="B1782" t="s">
        <v>110</v>
      </c>
      <c r="C1782" t="s">
        <v>2675</v>
      </c>
      <c r="D1782">
        <v>2</v>
      </c>
      <c r="E1782" t="s">
        <v>3033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45">
      <c r="A1783" t="s">
        <v>3034</v>
      </c>
      <c r="B1783" t="s">
        <v>110</v>
      </c>
      <c r="C1783" t="s">
        <v>2675</v>
      </c>
      <c r="D1783">
        <v>2</v>
      </c>
      <c r="E1783" t="s">
        <v>3035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504.02954432644299</v>
      </c>
      <c r="S1783" s="43">
        <v>520.59186271947965</v>
      </c>
      <c r="T1783" s="43">
        <v>537.71770413942943</v>
      </c>
      <c r="U1783" s="43">
        <v>555.42686035444433</v>
      </c>
      <c r="V1783" s="43">
        <v>573.73983914371013</v>
      </c>
      <c r="W1783" s="43">
        <v>592.67789094096656</v>
      </c>
      <c r="X1783" s="43">
        <v>612.26303649661156</v>
      </c>
      <c r="Y1783" s="43">
        <v>632.51809559834771</v>
      </c>
      <c r="Z1783" s="43">
        <v>653.46671689193511</v>
      </c>
      <c r="AA1783" s="43">
        <v>675.13340884529282</v>
      </c>
      <c r="AB1783" s="43">
        <v>697.54357190091923</v>
      </c>
      <c r="AC1783" s="43">
        <v>720.72353186342718</v>
      </c>
      <c r="AD1783" s="43">
        <v>744.70057457087296</v>
      </c>
      <c r="AE1783" s="43">
        <v>769.50298190052069</v>
      </c>
    </row>
    <row r="1784" spans="1:31" x14ac:dyDescent="0.45">
      <c r="A1784" t="s">
        <v>3036</v>
      </c>
      <c r="B1784" t="s">
        <v>110</v>
      </c>
      <c r="C1784" t="s">
        <v>2675</v>
      </c>
      <c r="D1784">
        <v>2</v>
      </c>
      <c r="E1784" t="s">
        <v>3037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45">
      <c r="A1785" t="s">
        <v>3038</v>
      </c>
      <c r="B1785" t="s">
        <v>2974</v>
      </c>
      <c r="C1785" t="s">
        <v>2675</v>
      </c>
      <c r="D1785">
        <v>2</v>
      </c>
      <c r="E1785" t="s">
        <v>2975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45">
      <c r="A1786" t="s">
        <v>3039</v>
      </c>
      <c r="B1786" t="s">
        <v>110</v>
      </c>
      <c r="C1786" t="s">
        <v>43</v>
      </c>
      <c r="D1786">
        <v>2</v>
      </c>
      <c r="E1786" t="s">
        <v>3040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45">
      <c r="A1787" t="s">
        <v>3041</v>
      </c>
      <c r="B1787" t="s">
        <v>110</v>
      </c>
      <c r="C1787" t="s">
        <v>113</v>
      </c>
      <c r="D1787">
        <v>2</v>
      </c>
      <c r="E1787" t="s">
        <v>3040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45">
      <c r="A1788" t="s">
        <v>3042</v>
      </c>
      <c r="B1788" t="s">
        <v>110</v>
      </c>
      <c r="C1788" t="s">
        <v>115</v>
      </c>
      <c r="D1788">
        <v>2</v>
      </c>
      <c r="E1788" t="s">
        <v>3040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45">
      <c r="A1789" t="s">
        <v>3043</v>
      </c>
      <c r="B1789" t="s">
        <v>110</v>
      </c>
      <c r="C1789" t="s">
        <v>117</v>
      </c>
      <c r="D1789">
        <v>2</v>
      </c>
      <c r="E1789" t="s">
        <v>3040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45">
      <c r="A1790" t="s">
        <v>3044</v>
      </c>
      <c r="B1790" t="s">
        <v>2471</v>
      </c>
      <c r="C1790" t="s">
        <v>43</v>
      </c>
      <c r="D1790">
        <v>2</v>
      </c>
      <c r="E1790" t="s">
        <v>3045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45">
      <c r="A1791" t="s">
        <v>3046</v>
      </c>
      <c r="B1791" t="s">
        <v>2471</v>
      </c>
      <c r="C1791" t="s">
        <v>113</v>
      </c>
      <c r="D1791">
        <v>2</v>
      </c>
      <c r="E1791" t="s">
        <v>3045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45">
      <c r="A1792" t="s">
        <v>3047</v>
      </c>
      <c r="B1792" t="s">
        <v>2471</v>
      </c>
      <c r="C1792" t="s">
        <v>115</v>
      </c>
      <c r="D1792">
        <v>2</v>
      </c>
      <c r="E1792" t="s">
        <v>3045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45">
      <c r="A1793" t="s">
        <v>3048</v>
      </c>
      <c r="B1793" t="s">
        <v>2471</v>
      </c>
      <c r="C1793" t="s">
        <v>117</v>
      </c>
      <c r="D1793">
        <v>2</v>
      </c>
      <c r="E1793" t="s">
        <v>3045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45">
      <c r="A1794" t="s">
        <v>3049</v>
      </c>
      <c r="B1794" t="s">
        <v>110</v>
      </c>
      <c r="C1794" t="s">
        <v>2675</v>
      </c>
      <c r="D1794">
        <v>2</v>
      </c>
      <c r="E1794" t="s">
        <v>3050</v>
      </c>
      <c r="L1794" s="43">
        <v>48.086991333544489</v>
      </c>
      <c r="M1794" s="43">
        <v>49.677032012339083</v>
      </c>
      <c r="N1794" s="43">
        <v>51.320891261</v>
      </c>
      <c r="O1794" s="43">
        <v>53.020436367115991</v>
      </c>
      <c r="P1794" s="43">
        <v>54.77760125723205</v>
      </c>
      <c r="Q1794" s="43">
        <v>56.594388955214242</v>
      </c>
      <c r="R1794" s="43">
        <v>56.967414086646173</v>
      </c>
      <c r="S1794" s="43">
        <v>56.678667398200041</v>
      </c>
      <c r="T1794" s="43">
        <v>56.477973039880865</v>
      </c>
      <c r="U1794" s="43">
        <v>56.357293108118625</v>
      </c>
      <c r="V1794" s="43">
        <v>56.310003397982669</v>
      </c>
      <c r="W1794" s="43">
        <v>56.330616987965016</v>
      </c>
      <c r="X1794" s="43">
        <v>56.414572425281136</v>
      </c>
      <c r="Y1794" s="43">
        <v>56.558069455706743</v>
      </c>
      <c r="Z1794" s="43">
        <v>56.757940238054452</v>
      </c>
      <c r="AA1794" s="43">
        <v>57.011547383435342</v>
      </c>
      <c r="AB1794" s="43">
        <v>57.316702512634329</v>
      </c>
      <c r="AC1794" s="43">
        <v>57.671600678898727</v>
      </c>
      <c r="AD1794" s="43">
        <v>58.074767182548314</v>
      </c>
      <c r="AE1794" s="43">
        <v>58.525014155462173</v>
      </c>
    </row>
    <row r="1795" spans="1:31" x14ac:dyDescent="0.45">
      <c r="A1795" t="s">
        <v>3051</v>
      </c>
      <c r="B1795" t="s">
        <v>110</v>
      </c>
      <c r="C1795" t="s">
        <v>2675</v>
      </c>
      <c r="D1795">
        <v>2</v>
      </c>
      <c r="E1795" t="s">
        <v>3052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284.83707043323085</v>
      </c>
      <c r="S1795" s="43">
        <v>708.48334247750063</v>
      </c>
      <c r="T1795" s="43">
        <v>1129.5594607976172</v>
      </c>
      <c r="U1795" s="43">
        <v>1549.8255604732622</v>
      </c>
      <c r="V1795" s="43">
        <v>1970.8501189293938</v>
      </c>
      <c r="W1795" s="43">
        <v>2394.0512219885136</v>
      </c>
      <c r="X1795" s="43">
        <v>2820.7286212640561</v>
      </c>
      <c r="Y1795" s="43">
        <v>3252.0889937031379</v>
      </c>
      <c r="Z1795" s="43">
        <v>3689.2661154735392</v>
      </c>
      <c r="AA1795" s="43">
        <v>4133.3371852990622</v>
      </c>
      <c r="AB1795" s="43">
        <v>4585.3362010107467</v>
      </c>
      <c r="AC1795" s="43">
        <v>5046.2650594036386</v>
      </c>
      <c r="AD1795" s="43">
        <v>5517.1028823420902</v>
      </c>
      <c r="AE1795" s="43">
        <v>5998.8139509348739</v>
      </c>
    </row>
    <row r="1796" spans="1:31" x14ac:dyDescent="0.45">
      <c r="A1796" t="s">
        <v>3053</v>
      </c>
      <c r="B1796" t="s">
        <v>110</v>
      </c>
      <c r="C1796" t="s">
        <v>2675</v>
      </c>
      <c r="D1796">
        <v>2</v>
      </c>
      <c r="E1796" t="s">
        <v>3054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45">
      <c r="A1797" t="s">
        <v>3055</v>
      </c>
      <c r="B1797" t="s">
        <v>110</v>
      </c>
      <c r="C1797" t="s">
        <v>2675</v>
      </c>
      <c r="D1797">
        <v>2</v>
      </c>
      <c r="E1797" t="s">
        <v>3056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284.83707043323085</v>
      </c>
      <c r="S1797" s="43">
        <v>708.48334247750063</v>
      </c>
      <c r="T1797" s="43">
        <v>1129.5594607976172</v>
      </c>
      <c r="U1797" s="43">
        <v>1549.8255604732622</v>
      </c>
      <c r="V1797" s="43">
        <v>1970.8501189293938</v>
      </c>
      <c r="W1797" s="43">
        <v>2394.0512219885136</v>
      </c>
      <c r="X1797" s="43">
        <v>2820.7286212640561</v>
      </c>
      <c r="Y1797" s="43">
        <v>3252.0889937031379</v>
      </c>
      <c r="Z1797" s="43">
        <v>3689.2661154735392</v>
      </c>
      <c r="AA1797" s="43">
        <v>4133.3371852990622</v>
      </c>
      <c r="AB1797" s="43">
        <v>4585.3362010107467</v>
      </c>
      <c r="AC1797" s="43">
        <v>5046.2650594036386</v>
      </c>
      <c r="AD1797" s="43">
        <v>5517.1028823420902</v>
      </c>
      <c r="AE1797" s="43">
        <v>5998.8139509348739</v>
      </c>
    </row>
    <row r="1798" spans="1:31" x14ac:dyDescent="0.45">
      <c r="A1798" t="s">
        <v>3057</v>
      </c>
      <c r="B1798" t="s">
        <v>110</v>
      </c>
      <c r="C1798" t="s">
        <v>2675</v>
      </c>
      <c r="D1798">
        <v>2</v>
      </c>
      <c r="E1798" t="s">
        <v>3058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45">
      <c r="A1799" t="s">
        <v>3059</v>
      </c>
      <c r="B1799" t="s">
        <v>2974</v>
      </c>
      <c r="C1799" t="s">
        <v>2675</v>
      </c>
      <c r="D1799">
        <v>2</v>
      </c>
      <c r="E1799" t="s">
        <v>2975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45">
      <c r="A1800" t="s">
        <v>3060</v>
      </c>
      <c r="B1800" t="s">
        <v>110</v>
      </c>
      <c r="C1800" t="s">
        <v>43</v>
      </c>
      <c r="D1800">
        <v>2</v>
      </c>
      <c r="E1800" t="s">
        <v>3061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2095.4297130313844</v>
      </c>
      <c r="S1800" s="43">
        <v>2128.483781966831</v>
      </c>
      <c r="T1800" s="43">
        <v>2156.6452446096491</v>
      </c>
      <c r="U1800" s="43">
        <v>2185.619659484254</v>
      </c>
      <c r="V1800" s="43">
        <v>2215.3604387252622</v>
      </c>
      <c r="W1800" s="43">
        <v>2247.534450134282</v>
      </c>
      <c r="X1800" s="43">
        <v>2282.5873832220959</v>
      </c>
      <c r="Y1800" s="43">
        <v>2321.1583371767647</v>
      </c>
      <c r="Z1800" s="43">
        <v>2364.2990530860761</v>
      </c>
      <c r="AA1800" s="43">
        <v>2412.5513319749721</v>
      </c>
      <c r="AB1800" s="43">
        <v>2466.2727195705106</v>
      </c>
      <c r="AC1800" s="43">
        <v>2525.3064048554324</v>
      </c>
      <c r="AD1800" s="43">
        <v>2589.5092352637248</v>
      </c>
      <c r="AE1800" s="43">
        <v>2658.8279810810095</v>
      </c>
    </row>
    <row r="1801" spans="1:31" x14ac:dyDescent="0.45">
      <c r="A1801" t="s">
        <v>3062</v>
      </c>
      <c r="B1801" t="s">
        <v>110</v>
      </c>
      <c r="C1801" t="s">
        <v>113</v>
      </c>
      <c r="D1801">
        <v>2</v>
      </c>
      <c r="E1801" t="s">
        <v>3061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3437.9309145673883</v>
      </c>
      <c r="S1801" s="43">
        <v>3470.900822733407</v>
      </c>
      <c r="T1801" s="43">
        <v>3498.0194177538642</v>
      </c>
      <c r="U1801" s="43">
        <v>3526.4640162861488</v>
      </c>
      <c r="V1801" s="43">
        <v>3551.8232701592028</v>
      </c>
      <c r="W1801" s="43">
        <v>3581.0076746909085</v>
      </c>
      <c r="X1801" s="43">
        <v>3614.4939957590395</v>
      </c>
      <c r="Y1801" s="43">
        <v>3653.0206890882928</v>
      </c>
      <c r="Z1801" s="43">
        <v>3697.8686859868676</v>
      </c>
      <c r="AA1801" s="43">
        <v>3749.6373723650045</v>
      </c>
      <c r="AB1801" s="43">
        <v>3808.6824163904794</v>
      </c>
      <c r="AC1801" s="43">
        <v>3874.6901518262448</v>
      </c>
      <c r="AD1801" s="43">
        <v>3947.3749322922286</v>
      </c>
      <c r="AE1801" s="43">
        <v>4026.5764046501595</v>
      </c>
    </row>
    <row r="1802" spans="1:31" x14ac:dyDescent="0.45">
      <c r="A1802" t="s">
        <v>3063</v>
      </c>
      <c r="B1802" t="s">
        <v>110</v>
      </c>
      <c r="C1802" t="s">
        <v>115</v>
      </c>
      <c r="D1802">
        <v>2</v>
      </c>
      <c r="E1802" t="s">
        <v>3061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45">
      <c r="A1803" t="s">
        <v>3064</v>
      </c>
      <c r="B1803" t="s">
        <v>110</v>
      </c>
      <c r="C1803" t="s">
        <v>117</v>
      </c>
      <c r="D1803">
        <v>2</v>
      </c>
      <c r="E1803" t="s">
        <v>3061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45">
      <c r="A1804" t="s">
        <v>3065</v>
      </c>
      <c r="B1804" t="s">
        <v>2471</v>
      </c>
      <c r="C1804" t="s">
        <v>43</v>
      </c>
      <c r="D1804">
        <v>2</v>
      </c>
      <c r="E1804" t="s">
        <v>3066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45">
      <c r="A1805" t="s">
        <v>3067</v>
      </c>
      <c r="B1805" t="s">
        <v>2471</v>
      </c>
      <c r="C1805" t="s">
        <v>113</v>
      </c>
      <c r="D1805">
        <v>2</v>
      </c>
      <c r="E1805" t="s">
        <v>3066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45">
      <c r="A1806" t="s">
        <v>3068</v>
      </c>
      <c r="B1806" t="s">
        <v>2471</v>
      </c>
      <c r="C1806" t="s">
        <v>115</v>
      </c>
      <c r="D1806">
        <v>2</v>
      </c>
      <c r="E1806" t="s">
        <v>3066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45">
      <c r="A1807" t="s">
        <v>3069</v>
      </c>
      <c r="B1807" t="s">
        <v>2471</v>
      </c>
      <c r="C1807" t="s">
        <v>117</v>
      </c>
      <c r="D1807">
        <v>2</v>
      </c>
      <c r="E1807" t="s">
        <v>3066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45">
      <c r="A1808" t="s">
        <v>3070</v>
      </c>
      <c r="B1808" t="s">
        <v>110</v>
      </c>
      <c r="C1808" t="s">
        <v>2675</v>
      </c>
      <c r="D1808">
        <v>2</v>
      </c>
      <c r="E1808" t="s">
        <v>3071</v>
      </c>
      <c r="L1808" s="43">
        <v>48.086991333544489</v>
      </c>
      <c r="M1808" s="43">
        <v>49.677032012339083</v>
      </c>
      <c r="N1808" s="43">
        <v>51.320891261</v>
      </c>
      <c r="O1808" s="43">
        <v>53.020436367115991</v>
      </c>
      <c r="P1808" s="43">
        <v>54.77760125723205</v>
      </c>
      <c r="Q1808" s="43">
        <v>56.594388955214242</v>
      </c>
      <c r="R1808" s="43">
        <v>57.925545188855324</v>
      </c>
      <c r="S1808" s="43">
        <v>59.020219122727049</v>
      </c>
      <c r="T1808" s="43">
        <v>60.147889772246174</v>
      </c>
      <c r="U1808" s="43">
        <v>61.309611792942349</v>
      </c>
      <c r="V1808" s="43">
        <v>62.506479942760187</v>
      </c>
      <c r="W1808" s="43">
        <v>63.739630488053592</v>
      </c>
      <c r="X1808" s="43">
        <v>65.01024266637009</v>
      </c>
      <c r="Y1808" s="43">
        <v>66.319540208132338</v>
      </c>
      <c r="Z1808" s="43">
        <v>67.668792919411487</v>
      </c>
      <c r="AA1808" s="43">
        <v>69.059318328080764</v>
      </c>
      <c r="AB1808" s="43">
        <v>70.492483395731881</v>
      </c>
      <c r="AC1808" s="43">
        <v>71.969706297837448</v>
      </c>
      <c r="AD1808" s="43">
        <v>73.492458274745786</v>
      </c>
      <c r="AE1808" s="43">
        <v>75.062265556201879</v>
      </c>
    </row>
    <row r="1809" spans="1:31" x14ac:dyDescent="0.45">
      <c r="A1809" t="s">
        <v>3072</v>
      </c>
      <c r="B1809" t="s">
        <v>110</v>
      </c>
      <c r="C1809" t="s">
        <v>2675</v>
      </c>
      <c r="D1809">
        <v>2</v>
      </c>
      <c r="E1809" t="s">
        <v>3073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289.62772594427656</v>
      </c>
      <c r="S1809" s="43">
        <v>737.75273903408822</v>
      </c>
      <c r="T1809" s="43">
        <v>1202.9577954449232</v>
      </c>
      <c r="U1809" s="43">
        <v>1686.0143243059147</v>
      </c>
      <c r="V1809" s="43">
        <v>2187.7267979966064</v>
      </c>
      <c r="W1809" s="43">
        <v>2708.9342957422773</v>
      </c>
      <c r="X1809" s="43">
        <v>3250.5121333185043</v>
      </c>
      <c r="Y1809" s="43">
        <v>3813.3735619676095</v>
      </c>
      <c r="Z1809" s="43">
        <v>4398.4715397617465</v>
      </c>
      <c r="AA1809" s="43">
        <v>5006.8005787858556</v>
      </c>
      <c r="AB1809" s="43">
        <v>5639.3986716585505</v>
      </c>
      <c r="AC1809" s="43">
        <v>6297.3493010607763</v>
      </c>
      <c r="AD1809" s="43">
        <v>6981.7835361008501</v>
      </c>
      <c r="AE1809" s="43">
        <v>7693.8822195106914</v>
      </c>
    </row>
    <row r="1810" spans="1:31" x14ac:dyDescent="0.45">
      <c r="A1810" t="s">
        <v>3074</v>
      </c>
      <c r="B1810" t="s">
        <v>110</v>
      </c>
      <c r="C1810" t="s">
        <v>2675</v>
      </c>
      <c r="D1810">
        <v>2</v>
      </c>
      <c r="E1810" t="s">
        <v>3075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45">
      <c r="A1811" t="s">
        <v>3076</v>
      </c>
      <c r="B1811" t="s">
        <v>110</v>
      </c>
      <c r="C1811" t="s">
        <v>2675</v>
      </c>
      <c r="D1811">
        <v>2</v>
      </c>
      <c r="E1811" t="s">
        <v>3077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63.618366666489976</v>
      </c>
      <c r="S1811" s="43">
        <v>153.95264265838921</v>
      </c>
      <c r="T1811" s="43">
        <v>237.81513516378072</v>
      </c>
      <c r="U1811" s="43">
        <v>314.78132502449444</v>
      </c>
      <c r="V1811" s="43">
        <v>384.40441716431155</v>
      </c>
      <c r="W1811" s="43">
        <v>446.21444054577978</v>
      </c>
      <c r="X1811" s="43">
        <v>499.71730560638071</v>
      </c>
      <c r="Y1811" s="43">
        <v>544.39381744945558</v>
      </c>
      <c r="Z1811" s="43">
        <v>579.69864297860295</v>
      </c>
      <c r="AA1811" s="43">
        <v>605.05923007356705</v>
      </c>
      <c r="AB1811" s="43">
        <v>619.87467681081671</v>
      </c>
      <c r="AC1811" s="43">
        <v>623.5145486326619</v>
      </c>
      <c r="AD1811" s="43">
        <v>615.3176412649218</v>
      </c>
      <c r="AE1811" s="43">
        <v>594.59068707417828</v>
      </c>
    </row>
    <row r="1812" spans="1:31" x14ac:dyDescent="0.45">
      <c r="A1812" t="s">
        <v>3078</v>
      </c>
      <c r="B1812" t="s">
        <v>110</v>
      </c>
      <c r="C1812" t="s">
        <v>2675</v>
      </c>
      <c r="D1812">
        <v>2</v>
      </c>
      <c r="E1812" t="s">
        <v>3079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14.994875575862162</v>
      </c>
      <c r="S1812" s="43">
        <v>15.136366273638147</v>
      </c>
      <c r="T1812" s="43">
        <v>15.252764173074945</v>
      </c>
      <c r="U1812" s="43">
        <v>15.374934418045484</v>
      </c>
      <c r="V1812" s="43">
        <v>15.482754180635997</v>
      </c>
      <c r="W1812" s="43">
        <v>15.60722359692301</v>
      </c>
      <c r="X1812" s="43">
        <v>15.750379252912278</v>
      </c>
      <c r="Y1812" s="43">
        <v>15.915389983789648</v>
      </c>
      <c r="Z1812" s="43">
        <v>16.107767691733201</v>
      </c>
      <c r="AA1812" s="43">
        <v>16.330081813120753</v>
      </c>
      <c r="AB1812" s="43">
        <v>16.583850082211992</v>
      </c>
      <c r="AC1812" s="43">
        <v>16.867702036893469</v>
      </c>
      <c r="AD1812" s="43">
        <v>17.180389673888605</v>
      </c>
      <c r="AE1812" s="43">
        <v>17.521206965497779</v>
      </c>
    </row>
    <row r="1813" spans="1:31" x14ac:dyDescent="0.45">
      <c r="A1813" t="s">
        <v>3080</v>
      </c>
      <c r="B1813" t="s">
        <v>2974</v>
      </c>
      <c r="C1813" t="s">
        <v>2675</v>
      </c>
      <c r="D1813">
        <v>2</v>
      </c>
      <c r="E1813" t="s">
        <v>2975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45">
      <c r="A1814" t="s">
        <v>3081</v>
      </c>
      <c r="B1814" t="s">
        <v>110</v>
      </c>
      <c r="C1814" t="s">
        <v>43</v>
      </c>
      <c r="D1814">
        <v>2</v>
      </c>
      <c r="E1814" t="s">
        <v>3082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45">
      <c r="A1815" t="s">
        <v>3083</v>
      </c>
      <c r="B1815" t="s">
        <v>110</v>
      </c>
      <c r="C1815" t="s">
        <v>113</v>
      </c>
      <c r="D1815">
        <v>2</v>
      </c>
      <c r="E1815" t="s">
        <v>3082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45">
      <c r="A1816" t="s">
        <v>3084</v>
      </c>
      <c r="B1816" t="s">
        <v>110</v>
      </c>
      <c r="C1816" t="s">
        <v>115</v>
      </c>
      <c r="D1816">
        <v>2</v>
      </c>
      <c r="E1816" t="s">
        <v>3082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45">
      <c r="A1817" t="s">
        <v>3085</v>
      </c>
      <c r="B1817" t="s">
        <v>110</v>
      </c>
      <c r="C1817" t="s">
        <v>117</v>
      </c>
      <c r="D1817">
        <v>2</v>
      </c>
      <c r="E1817" t="s">
        <v>3082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45">
      <c r="A1818" t="s">
        <v>3086</v>
      </c>
      <c r="B1818" t="s">
        <v>2471</v>
      </c>
      <c r="C1818" t="s">
        <v>43</v>
      </c>
      <c r="D1818">
        <v>2</v>
      </c>
      <c r="E1818" t="s">
        <v>3087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45">
      <c r="A1819" t="s">
        <v>3088</v>
      </c>
      <c r="B1819" t="s">
        <v>2471</v>
      </c>
      <c r="C1819" t="s">
        <v>113</v>
      </c>
      <c r="D1819">
        <v>2</v>
      </c>
      <c r="E1819" t="s">
        <v>3087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45">
      <c r="A1820" t="s">
        <v>3089</v>
      </c>
      <c r="B1820" t="s">
        <v>2471</v>
      </c>
      <c r="C1820" t="s">
        <v>115</v>
      </c>
      <c r="D1820">
        <v>2</v>
      </c>
      <c r="E1820" t="s">
        <v>3087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45">
      <c r="A1821" t="s">
        <v>3090</v>
      </c>
      <c r="B1821" t="s">
        <v>2471</v>
      </c>
      <c r="C1821" t="s">
        <v>117</v>
      </c>
      <c r="D1821">
        <v>2</v>
      </c>
      <c r="E1821" t="s">
        <v>3087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45">
      <c r="A1822" t="s">
        <v>3091</v>
      </c>
      <c r="B1822" t="s">
        <v>110</v>
      </c>
      <c r="C1822" t="s">
        <v>2675</v>
      </c>
      <c r="D1822">
        <v>2</v>
      </c>
      <c r="E1822" t="s">
        <v>3092</v>
      </c>
      <c r="L1822" s="43">
        <v>48.086991333544489</v>
      </c>
      <c r="M1822" s="43">
        <v>49.677032012339083</v>
      </c>
      <c r="N1822" s="43">
        <v>51.320891261</v>
      </c>
      <c r="O1822" s="43">
        <v>53.020436367115991</v>
      </c>
      <c r="P1822" s="43">
        <v>54.77760125723205</v>
      </c>
      <c r="Q1822" s="43">
        <v>56.594388955214242</v>
      </c>
      <c r="R1822" s="43">
        <v>56.967414086646173</v>
      </c>
      <c r="S1822" s="43">
        <v>56.678667398200041</v>
      </c>
      <c r="T1822" s="43">
        <v>56.477973039880865</v>
      </c>
      <c r="U1822" s="43">
        <v>56.357293108118625</v>
      </c>
      <c r="V1822" s="43">
        <v>56.310003397982669</v>
      </c>
      <c r="W1822" s="43">
        <v>56.330616987965016</v>
      </c>
      <c r="X1822" s="43">
        <v>56.414572425281136</v>
      </c>
      <c r="Y1822" s="43">
        <v>56.558069455706743</v>
      </c>
      <c r="Z1822" s="43">
        <v>56.757940238054452</v>
      </c>
      <c r="AA1822" s="43">
        <v>57.011547383435342</v>
      </c>
      <c r="AB1822" s="43">
        <v>57.316702512634329</v>
      </c>
      <c r="AC1822" s="43">
        <v>57.671600678898727</v>
      </c>
      <c r="AD1822" s="43">
        <v>58.074767182548314</v>
      </c>
      <c r="AE1822" s="43">
        <v>58.525014155462173</v>
      </c>
    </row>
    <row r="1823" spans="1:31" x14ac:dyDescent="0.45">
      <c r="A1823" t="s">
        <v>3093</v>
      </c>
      <c r="B1823" t="s">
        <v>110</v>
      </c>
      <c r="C1823" t="s">
        <v>2675</v>
      </c>
      <c r="D1823">
        <v>2</v>
      </c>
      <c r="E1823" t="s">
        <v>3094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284.83707043323085</v>
      </c>
      <c r="S1823" s="43">
        <v>708.48334247750063</v>
      </c>
      <c r="T1823" s="43">
        <v>1129.5594607976172</v>
      </c>
      <c r="U1823" s="43">
        <v>1549.8255604732622</v>
      </c>
      <c r="V1823" s="43">
        <v>1970.8501189293938</v>
      </c>
      <c r="W1823" s="43">
        <v>2394.0512219885136</v>
      </c>
      <c r="X1823" s="43">
        <v>2820.7286212640561</v>
      </c>
      <c r="Y1823" s="43">
        <v>3252.0889937031379</v>
      </c>
      <c r="Z1823" s="43">
        <v>3689.2661154735392</v>
      </c>
      <c r="AA1823" s="43">
        <v>4133.3371852990622</v>
      </c>
      <c r="AB1823" s="43">
        <v>4585.3362010107467</v>
      </c>
      <c r="AC1823" s="43">
        <v>5046.2650594036386</v>
      </c>
      <c r="AD1823" s="43">
        <v>5517.1028823420902</v>
      </c>
      <c r="AE1823" s="43">
        <v>5998.8139509348739</v>
      </c>
    </row>
    <row r="1824" spans="1:31" x14ac:dyDescent="0.45">
      <c r="A1824" t="s">
        <v>3095</v>
      </c>
      <c r="B1824" t="s">
        <v>110</v>
      </c>
      <c r="C1824" t="s">
        <v>2675</v>
      </c>
      <c r="D1824">
        <v>2</v>
      </c>
      <c r="E1824" t="s">
        <v>3096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5" x14ac:dyDescent="0.45">
      <c r="A1825" t="s">
        <v>3097</v>
      </c>
      <c r="B1825" t="s">
        <v>110</v>
      </c>
      <c r="C1825" t="s">
        <v>2675</v>
      </c>
      <c r="D1825">
        <v>2</v>
      </c>
      <c r="E1825" t="s">
        <v>3098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284.83707043323085</v>
      </c>
      <c r="S1825" s="43">
        <v>708.48334247750063</v>
      </c>
      <c r="T1825" s="43">
        <v>1129.5594607976172</v>
      </c>
      <c r="U1825" s="43">
        <v>1549.8255604732622</v>
      </c>
      <c r="V1825" s="43">
        <v>1970.8501189293938</v>
      </c>
      <c r="W1825" s="43">
        <v>2394.0512219885136</v>
      </c>
      <c r="X1825" s="43">
        <v>2820.7286212640561</v>
      </c>
      <c r="Y1825" s="43">
        <v>3252.0889937031379</v>
      </c>
      <c r="Z1825" s="43">
        <v>3689.2661154735392</v>
      </c>
      <c r="AA1825" s="43">
        <v>4133.3371852990622</v>
      </c>
      <c r="AB1825" s="43">
        <v>4585.3362010107467</v>
      </c>
      <c r="AC1825" s="43">
        <v>5046.2650594036386</v>
      </c>
      <c r="AD1825" s="43">
        <v>5517.1028823420902</v>
      </c>
      <c r="AE1825" s="43">
        <v>5998.8139509348739</v>
      </c>
    </row>
    <row r="1826" spans="1:35" x14ac:dyDescent="0.45">
      <c r="A1826" t="s">
        <v>3099</v>
      </c>
      <c r="B1826" t="s">
        <v>110</v>
      </c>
      <c r="C1826" t="s">
        <v>2675</v>
      </c>
      <c r="D1826">
        <v>2</v>
      </c>
      <c r="E1826" t="s">
        <v>3100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5" x14ac:dyDescent="0.45">
      <c r="A1827" t="s">
        <v>3101</v>
      </c>
      <c r="B1827" t="s">
        <v>2974</v>
      </c>
      <c r="C1827" t="s">
        <v>2675</v>
      </c>
      <c r="D1827">
        <v>2</v>
      </c>
      <c r="E1827" t="s">
        <v>2975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  <row r="1830" spans="1:35" x14ac:dyDescent="0.45">
      <c r="A1830" s="52" t="s">
        <v>3234</v>
      </c>
    </row>
    <row r="1831" spans="1:35" x14ac:dyDescent="0.45">
      <c r="A1831" t="s">
        <v>3243</v>
      </c>
      <c r="D1831" s="89">
        <f>MAX(F1834:F1844)</f>
        <v>0</v>
      </c>
    </row>
    <row r="1833" spans="1:35" x14ac:dyDescent="0.45">
      <c r="A1833" s="50" t="s">
        <v>1488</v>
      </c>
      <c r="B1833" s="50"/>
      <c r="C1833" s="50"/>
      <c r="D1833" s="50" t="s">
        <v>47</v>
      </c>
      <c r="E1833" s="50" t="s">
        <v>1156</v>
      </c>
      <c r="F1833" s="50" t="s">
        <v>1958</v>
      </c>
      <c r="G1833" s="50"/>
      <c r="H1833" s="50"/>
      <c r="I1833" s="50" t="s">
        <v>1489</v>
      </c>
      <c r="J1833" s="50"/>
      <c r="K1833" s="50">
        <v>2021</v>
      </c>
      <c r="L1833" s="50">
        <v>2022</v>
      </c>
      <c r="M1833" s="50">
        <v>2023</v>
      </c>
      <c r="N1833" s="50">
        <v>2024</v>
      </c>
      <c r="O1833" s="50">
        <v>2025</v>
      </c>
      <c r="P1833" s="50">
        <v>2026</v>
      </c>
      <c r="Q1833" s="50">
        <v>2027</v>
      </c>
      <c r="R1833" s="50">
        <v>2028</v>
      </c>
      <c r="S1833" s="50">
        <v>2029</v>
      </c>
      <c r="T1833" s="50">
        <v>2030</v>
      </c>
      <c r="U1833" s="50">
        <v>2031</v>
      </c>
      <c r="V1833" s="50">
        <v>2032</v>
      </c>
      <c r="W1833" s="50">
        <v>2033</v>
      </c>
      <c r="X1833" s="50">
        <v>2034</v>
      </c>
      <c r="Y1833" s="50">
        <v>2035</v>
      </c>
      <c r="Z1833" s="50">
        <v>2036</v>
      </c>
      <c r="AA1833" s="50">
        <v>2037</v>
      </c>
      <c r="AB1833" s="50">
        <v>2038</v>
      </c>
      <c r="AC1833" s="50">
        <v>2039</v>
      </c>
      <c r="AD1833" s="50">
        <v>2040</v>
      </c>
      <c r="AE1833" s="50">
        <v>2041</v>
      </c>
      <c r="AF1833" s="50">
        <v>2042</v>
      </c>
      <c r="AG1833" s="50">
        <v>2043</v>
      </c>
      <c r="AH1833" s="50">
        <v>2044</v>
      </c>
      <c r="AI1833" s="50">
        <v>2045</v>
      </c>
    </row>
    <row r="1834" spans="1:35" x14ac:dyDescent="0.45">
      <c r="A1834" t="s">
        <v>3235</v>
      </c>
      <c r="D1834">
        <v>1</v>
      </c>
      <c r="E1834" t="s">
        <v>1161</v>
      </c>
      <c r="F1834">
        <f>MAX(MAX(L1834:AE1834),-MIN(L1834:AE1834))</f>
        <v>0</v>
      </c>
      <c r="I1834">
        <v>0</v>
      </c>
      <c r="L1834">
        <f>IPPU_Industry!L19-IPPU_Industry!L10</f>
        <v>0</v>
      </c>
      <c r="M1834">
        <f>IPPU_Industry!M19-IPPU_Industry!M10</f>
        <v>0</v>
      </c>
      <c r="N1834">
        <f>IPPU_Industry!N19-IPPU_Industry!N10</f>
        <v>0</v>
      </c>
      <c r="O1834">
        <f>IPPU_Industry!O19-IPPU_Industry!O10</f>
        <v>0</v>
      </c>
      <c r="P1834">
        <f>IPPU_Industry!P19-IPPU_Industry!P10</f>
        <v>0</v>
      </c>
      <c r="Q1834">
        <f>IPPU_Industry!Q19-IPPU_Industry!Q10</f>
        <v>0</v>
      </c>
      <c r="R1834">
        <f>IPPU_Industry!R19-IPPU_Industry!R10</f>
        <v>0</v>
      </c>
      <c r="S1834">
        <f>IPPU_Industry!S19-IPPU_Industry!S10</f>
        <v>0</v>
      </c>
      <c r="T1834">
        <f>IPPU_Industry!T19-IPPU_Industry!T10</f>
        <v>0</v>
      </c>
      <c r="U1834">
        <f>IPPU_Industry!U19-IPPU_Industry!U10</f>
        <v>0</v>
      </c>
      <c r="V1834">
        <f>IPPU_Industry!V19-IPPU_Industry!V10</f>
        <v>0</v>
      </c>
      <c r="W1834">
        <f>IPPU_Industry!W19-IPPU_Industry!W10</f>
        <v>0</v>
      </c>
      <c r="X1834">
        <f>IPPU_Industry!X19-IPPU_Industry!X10</f>
        <v>0</v>
      </c>
      <c r="Y1834">
        <f>IPPU_Industry!Y19-IPPU_Industry!Y10</f>
        <v>0</v>
      </c>
      <c r="Z1834">
        <f>IPPU_Industry!Z19-IPPU_Industry!Z10</f>
        <v>0</v>
      </c>
      <c r="AA1834">
        <f>IPPU_Industry!AA19-IPPU_Industry!AA10</f>
        <v>0</v>
      </c>
      <c r="AB1834">
        <f>IPPU_Industry!AB19-IPPU_Industry!AB10</f>
        <v>0</v>
      </c>
      <c r="AC1834">
        <f>IPPU_Industry!AC19-IPPU_Industry!AC10</f>
        <v>0</v>
      </c>
      <c r="AD1834">
        <f>IPPU_Industry!AD19-IPPU_Industry!AD10</f>
        <v>0</v>
      </c>
      <c r="AE1834">
        <f>IPPU_Industry!AE19-IPPU_Industry!AE10</f>
        <v>0</v>
      </c>
    </row>
    <row r="1835" spans="1:35" x14ac:dyDescent="0.45">
      <c r="A1835" t="s">
        <v>3236</v>
      </c>
      <c r="D1835">
        <v>1</v>
      </c>
      <c r="E1835" t="s">
        <v>1161</v>
      </c>
      <c r="F1835">
        <f>MAX(MAX(L1835:AE1835),-MIN(L1835:AE1835))</f>
        <v>0</v>
      </c>
      <c r="I1835">
        <v>0</v>
      </c>
      <c r="L1835">
        <f>IPPU_Industry!L27</f>
        <v>0</v>
      </c>
      <c r="M1835">
        <f>IPPU_Industry!M27</f>
        <v>0</v>
      </c>
      <c r="N1835">
        <f>IPPU_Industry!N27</f>
        <v>0</v>
      </c>
      <c r="O1835">
        <f>IPPU_Industry!O27</f>
        <v>0</v>
      </c>
      <c r="P1835">
        <f>IPPU_Industry!P27</f>
        <v>0</v>
      </c>
      <c r="Q1835">
        <f>IPPU_Industry!Q27</f>
        <v>0</v>
      </c>
      <c r="R1835">
        <f>IPPU_Industry!R27</f>
        <v>0</v>
      </c>
      <c r="S1835">
        <f>IPPU_Industry!S27</f>
        <v>0</v>
      </c>
      <c r="T1835">
        <f>IPPU_Industry!T27</f>
        <v>0</v>
      </c>
      <c r="U1835">
        <f>IPPU_Industry!U27</f>
        <v>0</v>
      </c>
      <c r="V1835">
        <f>IPPU_Industry!V27</f>
        <v>0</v>
      </c>
      <c r="W1835">
        <f>IPPU_Industry!W27</f>
        <v>0</v>
      </c>
      <c r="X1835">
        <f>IPPU_Industry!X27</f>
        <v>0</v>
      </c>
      <c r="Y1835">
        <f>IPPU_Industry!Y27</f>
        <v>0</v>
      </c>
      <c r="Z1835">
        <f>IPPU_Industry!Z27</f>
        <v>0</v>
      </c>
      <c r="AA1835">
        <f>IPPU_Industry!AA27</f>
        <v>0</v>
      </c>
      <c r="AB1835">
        <f>IPPU_Industry!AB27</f>
        <v>0</v>
      </c>
      <c r="AC1835">
        <f>IPPU_Industry!AC27</f>
        <v>0</v>
      </c>
      <c r="AD1835">
        <f>IPPU_Industry!AD27</f>
        <v>0</v>
      </c>
      <c r="AE1835">
        <f>IPPU_Industry!AE27</f>
        <v>0</v>
      </c>
    </row>
    <row r="1836" spans="1:35" x14ac:dyDescent="0.45">
      <c r="A1836" t="s">
        <v>3237</v>
      </c>
      <c r="D1836">
        <v>1</v>
      </c>
      <c r="E1836" t="s">
        <v>1161</v>
      </c>
      <c r="F1836">
        <f>MAX(MAX(L1836:AE1836),-MIN(L1836:AE1836))</f>
        <v>0</v>
      </c>
      <c r="I1836">
        <v>0</v>
      </c>
      <c r="L1836">
        <f>IPPU_Industry!L20+IPPU_Industry!L21-IPPU_Industry!L22</f>
        <v>0</v>
      </c>
      <c r="M1836">
        <f>IPPU_Industry!M20+IPPU_Industry!M21-IPPU_Industry!M22</f>
        <v>0</v>
      </c>
      <c r="N1836">
        <f>IPPU_Industry!N20+IPPU_Industry!N21-IPPU_Industry!N22</f>
        <v>0</v>
      </c>
      <c r="O1836">
        <f>IPPU_Industry!O20+IPPU_Industry!O21-IPPU_Industry!O22</f>
        <v>0</v>
      </c>
      <c r="P1836">
        <f>IPPU_Industry!P20+IPPU_Industry!P21-IPPU_Industry!P22</f>
        <v>0</v>
      </c>
      <c r="Q1836">
        <f>IPPU_Industry!Q20+IPPU_Industry!Q21-IPPU_Industry!Q22</f>
        <v>0</v>
      </c>
      <c r="R1836">
        <f>IPPU_Industry!R20+IPPU_Industry!R21-IPPU_Industry!R22</f>
        <v>0</v>
      </c>
      <c r="S1836">
        <f>IPPU_Industry!S20+IPPU_Industry!S21-IPPU_Industry!S22</f>
        <v>0</v>
      </c>
      <c r="T1836">
        <f>IPPU_Industry!T20+IPPU_Industry!T21-IPPU_Industry!T22</f>
        <v>0</v>
      </c>
      <c r="U1836">
        <f>IPPU_Industry!U20+IPPU_Industry!U21-IPPU_Industry!U22</f>
        <v>0</v>
      </c>
      <c r="V1836">
        <f>IPPU_Industry!V20+IPPU_Industry!V21-IPPU_Industry!V22</f>
        <v>0</v>
      </c>
      <c r="W1836">
        <f>IPPU_Industry!W20+IPPU_Industry!W21-IPPU_Industry!W22</f>
        <v>0</v>
      </c>
      <c r="X1836">
        <f>IPPU_Industry!X20+IPPU_Industry!X21-IPPU_Industry!X22</f>
        <v>0</v>
      </c>
      <c r="Y1836">
        <f>IPPU_Industry!Y20+IPPU_Industry!Y21-IPPU_Industry!Y22</f>
        <v>0</v>
      </c>
      <c r="Z1836">
        <f>IPPU_Industry!Z20+IPPU_Industry!Z21-IPPU_Industry!Z22</f>
        <v>0</v>
      </c>
      <c r="AA1836">
        <f>IPPU_Industry!AA20+IPPU_Industry!AA21-IPPU_Industry!AA22</f>
        <v>0</v>
      </c>
      <c r="AB1836">
        <f>IPPU_Industry!AB20+IPPU_Industry!AB21-IPPU_Industry!AB22</f>
        <v>0</v>
      </c>
      <c r="AC1836">
        <f>IPPU_Industry!AC20+IPPU_Industry!AC21-IPPU_Industry!AC22</f>
        <v>0</v>
      </c>
      <c r="AD1836">
        <f>IPPU_Industry!AD20+IPPU_Industry!AD21-IPPU_Industry!AD22</f>
        <v>0</v>
      </c>
      <c r="AE1836">
        <f>IPPU_Industry!AE20+IPPU_Industry!AE21-IPPU_Industry!AE22</f>
        <v>0</v>
      </c>
    </row>
    <row r="1837" spans="1:35" x14ac:dyDescent="0.45">
      <c r="A1837" t="s">
        <v>3238</v>
      </c>
      <c r="D1837">
        <v>1</v>
      </c>
      <c r="E1837" t="s">
        <v>2167</v>
      </c>
      <c r="F1837">
        <f>SUM(L1837:AE1837)</f>
        <v>0</v>
      </c>
      <c r="I1837">
        <v>0</v>
      </c>
      <c r="L1837">
        <f>--(IPPU_Industry!L25&lt;-0.000000001)</f>
        <v>0</v>
      </c>
      <c r="M1837">
        <f>--(IPPU_Industry!M25&lt;-0.000000001)</f>
        <v>0</v>
      </c>
      <c r="N1837">
        <f>--(IPPU_Industry!N25&lt;-0.000000001)</f>
        <v>0</v>
      </c>
      <c r="O1837">
        <f>--(IPPU_Industry!O25&lt;-0.000000001)</f>
        <v>0</v>
      </c>
      <c r="P1837">
        <f>--(IPPU_Industry!P25&lt;-0.000000001)</f>
        <v>0</v>
      </c>
      <c r="Q1837">
        <f>--(IPPU_Industry!Q25&lt;-0.000000001)</f>
        <v>0</v>
      </c>
      <c r="R1837">
        <f>--(IPPU_Industry!R25&lt;-0.000000001)</f>
        <v>0</v>
      </c>
      <c r="S1837">
        <f>--(IPPU_Industry!S25&lt;-0.000000001)</f>
        <v>0</v>
      </c>
      <c r="T1837">
        <f>--(IPPU_Industry!T25&lt;-0.000000001)</f>
        <v>0</v>
      </c>
      <c r="U1837">
        <f>--(IPPU_Industry!U25&lt;-0.000000001)</f>
        <v>0</v>
      </c>
      <c r="V1837">
        <f>--(IPPU_Industry!V25&lt;-0.000000001)</f>
        <v>0</v>
      </c>
      <c r="W1837">
        <f>--(IPPU_Industry!W25&lt;-0.000000001)</f>
        <v>0</v>
      </c>
      <c r="X1837">
        <f>--(IPPU_Industry!X25&lt;-0.000000001)</f>
        <v>0</v>
      </c>
      <c r="Y1837">
        <f>--(IPPU_Industry!Y25&lt;-0.000000001)</f>
        <v>0</v>
      </c>
      <c r="Z1837">
        <f>--(IPPU_Industry!Z25&lt;-0.000000001)</f>
        <v>0</v>
      </c>
      <c r="AA1837">
        <f>--(IPPU_Industry!AA25&lt;-0.000000001)</f>
        <v>0</v>
      </c>
      <c r="AB1837">
        <f>--(IPPU_Industry!AB25&lt;-0.000000001)</f>
        <v>0</v>
      </c>
      <c r="AC1837">
        <f>--(IPPU_Industry!AC25&lt;-0.000000001)</f>
        <v>0</v>
      </c>
      <c r="AD1837">
        <f>--(IPPU_Industry!AD25&lt;-0.000000001)</f>
        <v>0</v>
      </c>
      <c r="AE1837">
        <f>--(IPPU_Industry!AE25&lt;-0.000000001)</f>
        <v>0</v>
      </c>
    </row>
    <row r="1838" spans="1:35" x14ac:dyDescent="0.45">
      <c r="A1838" t="s">
        <v>3239</v>
      </c>
      <c r="D1838">
        <v>1</v>
      </c>
      <c r="E1838" t="s">
        <v>1161</v>
      </c>
      <c r="F1838">
        <f>MAX(MAX(L1838:AE1838),-MIN(L1838:AE1838))</f>
        <v>0</v>
      </c>
      <c r="I1838">
        <v>0</v>
      </c>
      <c r="L1838">
        <f>IPPU_Industry!L26-IPPU_Industry!L24-IPPU_Industry!L25</f>
        <v>0</v>
      </c>
      <c r="M1838">
        <f>IPPU_Industry!M26-IPPU_Industry!M24-IPPU_Industry!M25</f>
        <v>0</v>
      </c>
      <c r="N1838">
        <f>IPPU_Industry!N26-IPPU_Industry!N24-IPPU_Industry!N25</f>
        <v>0</v>
      </c>
      <c r="O1838">
        <f>IPPU_Industry!O26-IPPU_Industry!O24-IPPU_Industry!O25</f>
        <v>0</v>
      </c>
      <c r="P1838">
        <f>IPPU_Industry!P26-IPPU_Industry!P24-IPPU_Industry!P25</f>
        <v>0</v>
      </c>
      <c r="Q1838">
        <f>IPPU_Industry!Q26-IPPU_Industry!Q24-IPPU_Industry!Q25</f>
        <v>0</v>
      </c>
      <c r="R1838">
        <f>IPPU_Industry!R26-IPPU_Industry!R24-IPPU_Industry!R25</f>
        <v>0</v>
      </c>
      <c r="S1838">
        <f>IPPU_Industry!S26-IPPU_Industry!S24-IPPU_Industry!S25</f>
        <v>0</v>
      </c>
      <c r="T1838">
        <f>IPPU_Industry!T26-IPPU_Industry!T24-IPPU_Industry!T25</f>
        <v>0</v>
      </c>
      <c r="U1838">
        <f>IPPU_Industry!U26-IPPU_Industry!U24-IPPU_Industry!U25</f>
        <v>0</v>
      </c>
      <c r="V1838">
        <f>IPPU_Industry!V26-IPPU_Industry!V24-IPPU_Industry!V25</f>
        <v>0</v>
      </c>
      <c r="W1838">
        <f>IPPU_Industry!W26-IPPU_Industry!W24-IPPU_Industry!W25</f>
        <v>0</v>
      </c>
      <c r="X1838">
        <f>IPPU_Industry!X26-IPPU_Industry!X24-IPPU_Industry!X25</f>
        <v>0</v>
      </c>
      <c r="Y1838">
        <f>IPPU_Industry!Y26-IPPU_Industry!Y24-IPPU_Industry!Y25</f>
        <v>0</v>
      </c>
      <c r="Z1838">
        <f>IPPU_Industry!Z26-IPPU_Industry!Z24-IPPU_Industry!Z25</f>
        <v>0</v>
      </c>
      <c r="AA1838">
        <f>IPPU_Industry!AA26-IPPU_Industry!AA24-IPPU_Industry!AA25</f>
        <v>0</v>
      </c>
      <c r="AB1838">
        <f>IPPU_Industry!AB26-IPPU_Industry!AB24-IPPU_Industry!AB25</f>
        <v>0</v>
      </c>
      <c r="AC1838">
        <f>IPPU_Industry!AC26-IPPU_Industry!AC24-IPPU_Industry!AC25</f>
        <v>0</v>
      </c>
      <c r="AD1838">
        <f>IPPU_Industry!AD26-IPPU_Industry!AD24-IPPU_Industry!AD25</f>
        <v>0</v>
      </c>
      <c r="AE1838">
        <f>IPPU_Industry!AE26-IPPU_Industry!AE24-IPPU_Industry!AE25</f>
        <v>0</v>
      </c>
    </row>
    <row r="1839" spans="1:35" x14ac:dyDescent="0.45">
      <c r="A1839" t="s">
        <v>3237</v>
      </c>
      <c r="D1839">
        <v>2</v>
      </c>
      <c r="E1839" t="s">
        <v>1161</v>
      </c>
      <c r="F1839">
        <f>MAX(MAX(L1839:AE1839),-MIN(L1839:AE1839))</f>
        <v>0</v>
      </c>
      <c r="I1839">
        <v>0</v>
      </c>
      <c r="L1839">
        <f>IPPU_Industry!L37+IPPU_Industry!L38-IPPU_Industry!L39</f>
        <v>0</v>
      </c>
      <c r="M1839">
        <f>IPPU_Industry!M37+IPPU_Industry!M38-IPPU_Industry!M39</f>
        <v>0</v>
      </c>
      <c r="N1839">
        <f>IPPU_Industry!N37+IPPU_Industry!N38-IPPU_Industry!N39</f>
        <v>0</v>
      </c>
      <c r="O1839">
        <f>IPPU_Industry!O37+IPPU_Industry!O38-IPPU_Industry!O39</f>
        <v>0</v>
      </c>
      <c r="P1839">
        <f>IPPU_Industry!P37+IPPU_Industry!P38-IPPU_Industry!P39</f>
        <v>0</v>
      </c>
      <c r="Q1839">
        <f>IPPU_Industry!Q37+IPPU_Industry!Q38-IPPU_Industry!Q39</f>
        <v>0</v>
      </c>
      <c r="R1839">
        <f>IPPU_Industry!R37+IPPU_Industry!R38-IPPU_Industry!R39</f>
        <v>0</v>
      </c>
      <c r="S1839">
        <f>IPPU_Industry!S37+IPPU_Industry!S38-IPPU_Industry!S39</f>
        <v>0</v>
      </c>
      <c r="T1839">
        <f>IPPU_Industry!T37+IPPU_Industry!T38-IPPU_Industry!T39</f>
        <v>0</v>
      </c>
      <c r="U1839">
        <f>IPPU_Industry!U37+IPPU_Industry!U38-IPPU_Industry!U39</f>
        <v>0</v>
      </c>
      <c r="V1839">
        <f>IPPU_Industry!V37+IPPU_Industry!V38-IPPU_Industry!V39</f>
        <v>0</v>
      </c>
      <c r="W1839">
        <f>IPPU_Industry!W37+IPPU_Industry!W38-IPPU_Industry!W39</f>
        <v>0</v>
      </c>
      <c r="X1839">
        <f>IPPU_Industry!X37+IPPU_Industry!X38-IPPU_Industry!X39</f>
        <v>0</v>
      </c>
      <c r="Y1839">
        <f>IPPU_Industry!Y37+IPPU_Industry!Y38-IPPU_Industry!Y39</f>
        <v>0</v>
      </c>
      <c r="Z1839">
        <f>IPPU_Industry!Z37+IPPU_Industry!Z38-IPPU_Industry!Z39</f>
        <v>0</v>
      </c>
      <c r="AA1839">
        <f>IPPU_Industry!AA37+IPPU_Industry!AA38-IPPU_Industry!AA39</f>
        <v>0</v>
      </c>
      <c r="AB1839">
        <f>IPPU_Industry!AB37+IPPU_Industry!AB38-IPPU_Industry!AB39</f>
        <v>0</v>
      </c>
      <c r="AC1839">
        <f>IPPU_Industry!AC37+IPPU_Industry!AC38-IPPU_Industry!AC39</f>
        <v>0</v>
      </c>
      <c r="AD1839">
        <f>IPPU_Industry!AD37+IPPU_Industry!AD38-IPPU_Industry!AD39</f>
        <v>0</v>
      </c>
      <c r="AE1839">
        <f>IPPU_Industry!AE37+IPPU_Industry!AE38-IPPU_Industry!AE39</f>
        <v>0</v>
      </c>
    </row>
    <row r="1840" spans="1:35" x14ac:dyDescent="0.45">
      <c r="A1840" t="s">
        <v>3238</v>
      </c>
      <c r="D1840">
        <v>2</v>
      </c>
      <c r="E1840" t="s">
        <v>2167</v>
      </c>
      <c r="F1840">
        <f>SUM(L1840:AE1840)</f>
        <v>0</v>
      </c>
      <c r="I1840">
        <v>0</v>
      </c>
      <c r="L1840">
        <f>--(IPPU_Industry!L42&lt;-0.000000001)</f>
        <v>0</v>
      </c>
      <c r="M1840">
        <f>--(IPPU_Industry!M42&lt;-0.000000001)</f>
        <v>0</v>
      </c>
      <c r="N1840">
        <f>--(IPPU_Industry!N42&lt;-0.000000001)</f>
        <v>0</v>
      </c>
      <c r="O1840">
        <f>--(IPPU_Industry!O42&lt;-0.000000001)</f>
        <v>0</v>
      </c>
      <c r="P1840">
        <f>--(IPPU_Industry!P42&lt;-0.000000001)</f>
        <v>0</v>
      </c>
      <c r="Q1840">
        <f>--(IPPU_Industry!Q42&lt;-0.000000001)</f>
        <v>0</v>
      </c>
      <c r="R1840">
        <f>--(IPPU_Industry!R42&lt;-0.000000001)</f>
        <v>0</v>
      </c>
      <c r="S1840">
        <f>--(IPPU_Industry!S42&lt;-0.000000001)</f>
        <v>0</v>
      </c>
      <c r="T1840">
        <f>--(IPPU_Industry!T42&lt;-0.000000001)</f>
        <v>0</v>
      </c>
      <c r="U1840">
        <f>--(IPPU_Industry!U42&lt;-0.000000001)</f>
        <v>0</v>
      </c>
      <c r="V1840">
        <f>--(IPPU_Industry!V42&lt;-0.000000001)</f>
        <v>0</v>
      </c>
      <c r="W1840">
        <f>--(IPPU_Industry!W42&lt;-0.000000001)</f>
        <v>0</v>
      </c>
      <c r="X1840">
        <f>--(IPPU_Industry!X42&lt;-0.000000001)</f>
        <v>0</v>
      </c>
      <c r="Y1840">
        <f>--(IPPU_Industry!Y42&lt;-0.000000001)</f>
        <v>0</v>
      </c>
      <c r="Z1840">
        <f>--(IPPU_Industry!Z42&lt;-0.000000001)</f>
        <v>0</v>
      </c>
      <c r="AA1840">
        <f>--(IPPU_Industry!AA42&lt;-0.000000001)</f>
        <v>0</v>
      </c>
      <c r="AB1840">
        <f>--(IPPU_Industry!AB42&lt;-0.000000001)</f>
        <v>0</v>
      </c>
      <c r="AC1840">
        <f>--(IPPU_Industry!AC42&lt;-0.000000001)</f>
        <v>0</v>
      </c>
      <c r="AD1840">
        <f>--(IPPU_Industry!AD42&lt;-0.000000001)</f>
        <v>0</v>
      </c>
      <c r="AE1840">
        <f>--(IPPU_Industry!AE42&lt;-0.000000001)</f>
        <v>0</v>
      </c>
    </row>
    <row r="1841" spans="1:31" x14ac:dyDescent="0.45">
      <c r="A1841" t="s">
        <v>3239</v>
      </c>
      <c r="D1841">
        <v>2</v>
      </c>
      <c r="E1841" t="s">
        <v>1161</v>
      </c>
      <c r="F1841">
        <f>MAX(MAX(L1841:AE1841),-MIN(L1841:AE1841))</f>
        <v>0</v>
      </c>
      <c r="I1841">
        <v>0</v>
      </c>
      <c r="L1841">
        <f>IPPU_Industry!L43-IPPU_Industry!L41-IPPU_Industry!L42</f>
        <v>0</v>
      </c>
      <c r="M1841">
        <f>IPPU_Industry!M43-IPPU_Industry!M41-IPPU_Industry!M42</f>
        <v>0</v>
      </c>
      <c r="N1841">
        <f>IPPU_Industry!N43-IPPU_Industry!N41-IPPU_Industry!N42</f>
        <v>0</v>
      </c>
      <c r="O1841">
        <f>IPPU_Industry!O43-IPPU_Industry!O41-IPPU_Industry!O42</f>
        <v>0</v>
      </c>
      <c r="P1841">
        <f>IPPU_Industry!P43-IPPU_Industry!P41-IPPU_Industry!P42</f>
        <v>0</v>
      </c>
      <c r="Q1841">
        <f>IPPU_Industry!Q43-IPPU_Industry!Q41-IPPU_Industry!Q42</f>
        <v>0</v>
      </c>
      <c r="R1841">
        <f>IPPU_Industry!R43-IPPU_Industry!R41-IPPU_Industry!R42</f>
        <v>0</v>
      </c>
      <c r="S1841">
        <f>IPPU_Industry!S43-IPPU_Industry!S41-IPPU_Industry!S42</f>
        <v>0</v>
      </c>
      <c r="T1841">
        <f>IPPU_Industry!T43-IPPU_Industry!T41-IPPU_Industry!T42</f>
        <v>0</v>
      </c>
      <c r="U1841">
        <f>IPPU_Industry!U43-IPPU_Industry!U41-IPPU_Industry!U42</f>
        <v>0</v>
      </c>
      <c r="V1841">
        <f>IPPU_Industry!V43-IPPU_Industry!V41-IPPU_Industry!V42</f>
        <v>0</v>
      </c>
      <c r="W1841">
        <f>IPPU_Industry!W43-IPPU_Industry!W41-IPPU_Industry!W42</f>
        <v>0</v>
      </c>
      <c r="X1841">
        <f>IPPU_Industry!X43-IPPU_Industry!X41-IPPU_Industry!X42</f>
        <v>0</v>
      </c>
      <c r="Y1841">
        <f>IPPU_Industry!Y43-IPPU_Industry!Y41-IPPU_Industry!Y42</f>
        <v>0</v>
      </c>
      <c r="Z1841">
        <f>IPPU_Industry!Z43-IPPU_Industry!Z41-IPPU_Industry!Z42</f>
        <v>0</v>
      </c>
      <c r="AA1841">
        <f>IPPU_Industry!AA43-IPPU_Industry!AA41-IPPU_Industry!AA42</f>
        <v>0</v>
      </c>
      <c r="AB1841">
        <f>IPPU_Industry!AB43-IPPU_Industry!AB41-IPPU_Industry!AB42</f>
        <v>0</v>
      </c>
      <c r="AC1841">
        <f>IPPU_Industry!AC43-IPPU_Industry!AC41-IPPU_Industry!AC42</f>
        <v>0</v>
      </c>
      <c r="AD1841">
        <f>IPPU_Industry!AD43-IPPU_Industry!AD41-IPPU_Industry!AD42</f>
        <v>0</v>
      </c>
      <c r="AE1841">
        <f>IPPU_Industry!AE43-IPPU_Industry!AE41-IPPU_Industry!AE42</f>
        <v>0</v>
      </c>
    </row>
    <row r="1842" spans="1:31" x14ac:dyDescent="0.45">
      <c r="A1842" t="s">
        <v>3240</v>
      </c>
      <c r="D1842">
        <v>1</v>
      </c>
      <c r="E1842" t="s">
        <v>2167</v>
      </c>
      <c r="F1842">
        <f>SUM(L1842:AE1842)</f>
        <v>0</v>
      </c>
      <c r="I1842">
        <v>0</v>
      </c>
      <c r="L1842">
        <f>--(IPPU_Industry!L20+IPPU_Industry!L23&gt;IPPU_Industry!L6+0.000000001)</f>
        <v>0</v>
      </c>
      <c r="M1842">
        <f>--(IPPU_Industry!M20+IPPU_Industry!M23&gt;IPPU_Industry!M6+0.000000001)</f>
        <v>0</v>
      </c>
      <c r="N1842">
        <f>--(IPPU_Industry!N20+IPPU_Industry!N23&gt;IPPU_Industry!N6+0.000000001)</f>
        <v>0</v>
      </c>
      <c r="O1842">
        <f>--(IPPU_Industry!O20+IPPU_Industry!O23&gt;IPPU_Industry!O6+0.000000001)</f>
        <v>0</v>
      </c>
      <c r="P1842">
        <f>--(IPPU_Industry!P20+IPPU_Industry!P23&gt;IPPU_Industry!P6+0.000000001)</f>
        <v>0</v>
      </c>
      <c r="Q1842">
        <f>--(IPPU_Industry!Q20+IPPU_Industry!Q23&gt;IPPU_Industry!Q6+0.000000001)</f>
        <v>0</v>
      </c>
      <c r="R1842">
        <f>--(IPPU_Industry!R20+IPPU_Industry!R23&gt;IPPU_Industry!R6+0.000000001)</f>
        <v>0</v>
      </c>
      <c r="S1842">
        <f>--(IPPU_Industry!S20+IPPU_Industry!S23&gt;IPPU_Industry!S6+0.000000001)</f>
        <v>0</v>
      </c>
      <c r="T1842">
        <f>--(IPPU_Industry!T20+IPPU_Industry!T23&gt;IPPU_Industry!T6+0.000000001)</f>
        <v>0</v>
      </c>
      <c r="U1842">
        <f>--(IPPU_Industry!U20+IPPU_Industry!U23&gt;IPPU_Industry!U6+0.000000001)</f>
        <v>0</v>
      </c>
      <c r="V1842">
        <f>--(IPPU_Industry!V20+IPPU_Industry!V23&gt;IPPU_Industry!V6+0.000000001)</f>
        <v>0</v>
      </c>
      <c r="W1842">
        <f>--(IPPU_Industry!W20+IPPU_Industry!W23&gt;IPPU_Industry!W6+0.000000001)</f>
        <v>0</v>
      </c>
      <c r="X1842">
        <f>--(IPPU_Industry!X20+IPPU_Industry!X23&gt;IPPU_Industry!X6+0.000000001)</f>
        <v>0</v>
      </c>
      <c r="Y1842">
        <f>--(IPPU_Industry!Y20+IPPU_Industry!Y23&gt;IPPU_Industry!Y6+0.000000001)</f>
        <v>0</v>
      </c>
      <c r="Z1842">
        <f>--(IPPU_Industry!Z20+IPPU_Industry!Z23&gt;IPPU_Industry!Z6+0.000000001)</f>
        <v>0</v>
      </c>
      <c r="AA1842">
        <f>--(IPPU_Industry!AA20+IPPU_Industry!AA23&gt;IPPU_Industry!AA6+0.000000001)</f>
        <v>0</v>
      </c>
      <c r="AB1842">
        <f>--(IPPU_Industry!AB20+IPPU_Industry!AB23&gt;IPPU_Industry!AB6+0.000000001)</f>
        <v>0</v>
      </c>
      <c r="AC1842">
        <f>--(IPPU_Industry!AC20+IPPU_Industry!AC23&gt;IPPU_Industry!AC6+0.000000001)</f>
        <v>0</v>
      </c>
      <c r="AD1842">
        <f>--(IPPU_Industry!AD20+IPPU_Industry!AD23&gt;IPPU_Industry!AD6+0.000000001)</f>
        <v>0</v>
      </c>
      <c r="AE1842">
        <f>--(IPPU_Industry!AE20+IPPU_Industry!AE23&gt;IPPU_Industry!AE6+0.000000001)</f>
        <v>0</v>
      </c>
    </row>
    <row r="1843" spans="1:31" x14ac:dyDescent="0.45">
      <c r="A1843" t="s">
        <v>3241</v>
      </c>
      <c r="D1843">
        <v>1</v>
      </c>
      <c r="E1843" t="s">
        <v>2167</v>
      </c>
      <c r="F1843">
        <f>SUM(L1843:AE1843)</f>
        <v>0</v>
      </c>
      <c r="I1843">
        <v>0</v>
      </c>
      <c r="L1843">
        <f>--(IPPU_Industry!L21&gt;IPPU_Industry!L7+IPPU_Industry!L8+IPPU_Industry!L9+0.000000001)</f>
        <v>0</v>
      </c>
      <c r="M1843">
        <f>--(IPPU_Industry!M21&gt;IPPU_Industry!M7+IPPU_Industry!M8+IPPU_Industry!M9+0.000000001)</f>
        <v>0</v>
      </c>
      <c r="N1843">
        <f>--(IPPU_Industry!N21&gt;IPPU_Industry!N7+IPPU_Industry!N8+IPPU_Industry!N9+0.000000001)</f>
        <v>0</v>
      </c>
      <c r="O1843">
        <f>--(IPPU_Industry!O21&gt;IPPU_Industry!O7+IPPU_Industry!O8+IPPU_Industry!O9+0.000000001)</f>
        <v>0</v>
      </c>
      <c r="P1843">
        <f>--(IPPU_Industry!P21&gt;IPPU_Industry!P7+IPPU_Industry!P8+IPPU_Industry!P9+0.000000001)</f>
        <v>0</v>
      </c>
      <c r="Q1843">
        <f>--(IPPU_Industry!Q21&gt;IPPU_Industry!Q7+IPPU_Industry!Q8+IPPU_Industry!Q9+0.000000001)</f>
        <v>0</v>
      </c>
      <c r="R1843">
        <f>--(IPPU_Industry!R21&gt;IPPU_Industry!R7+IPPU_Industry!R8+IPPU_Industry!R9+0.000000001)</f>
        <v>0</v>
      </c>
      <c r="S1843">
        <f>--(IPPU_Industry!S21&gt;IPPU_Industry!S7+IPPU_Industry!S8+IPPU_Industry!S9+0.000000001)</f>
        <v>0</v>
      </c>
      <c r="T1843">
        <f>--(IPPU_Industry!T21&gt;IPPU_Industry!T7+IPPU_Industry!T8+IPPU_Industry!T9+0.000000001)</f>
        <v>0</v>
      </c>
      <c r="U1843">
        <f>--(IPPU_Industry!U21&gt;IPPU_Industry!U7+IPPU_Industry!U8+IPPU_Industry!U9+0.000000001)</f>
        <v>0</v>
      </c>
      <c r="V1843">
        <f>--(IPPU_Industry!V21&gt;IPPU_Industry!V7+IPPU_Industry!V8+IPPU_Industry!V9+0.000000001)</f>
        <v>0</v>
      </c>
      <c r="W1843">
        <f>--(IPPU_Industry!W21&gt;IPPU_Industry!W7+IPPU_Industry!W8+IPPU_Industry!W9+0.000000001)</f>
        <v>0</v>
      </c>
      <c r="X1843">
        <f>--(IPPU_Industry!X21&gt;IPPU_Industry!X7+IPPU_Industry!X8+IPPU_Industry!X9+0.000000001)</f>
        <v>0</v>
      </c>
      <c r="Y1843">
        <f>--(IPPU_Industry!Y21&gt;IPPU_Industry!Y7+IPPU_Industry!Y8+IPPU_Industry!Y9+0.000000001)</f>
        <v>0</v>
      </c>
      <c r="Z1843">
        <f>--(IPPU_Industry!Z21&gt;IPPU_Industry!Z7+IPPU_Industry!Z8+IPPU_Industry!Z9+0.000000001)</f>
        <v>0</v>
      </c>
      <c r="AA1843">
        <f>--(IPPU_Industry!AA21&gt;IPPU_Industry!AA7+IPPU_Industry!AA8+IPPU_Industry!AA9+0.000000001)</f>
        <v>0</v>
      </c>
      <c r="AB1843">
        <f>--(IPPU_Industry!AB21&gt;IPPU_Industry!AB7+IPPU_Industry!AB8+IPPU_Industry!AB9+0.000000001)</f>
        <v>0</v>
      </c>
      <c r="AC1843">
        <f>--(IPPU_Industry!AC21&gt;IPPU_Industry!AC7+IPPU_Industry!AC8+IPPU_Industry!AC9+0.000000001)</f>
        <v>0</v>
      </c>
      <c r="AD1843">
        <f>--(IPPU_Industry!AD21&gt;IPPU_Industry!AD7+IPPU_Industry!AD8+IPPU_Industry!AD9+0.000000001)</f>
        <v>0</v>
      </c>
      <c r="AE1843">
        <f>--(IPPU_Industry!AE21&gt;IPPU_Industry!AE7+IPPU_Industry!AE8+IPPU_Industry!AE9+0.000000001)</f>
        <v>0</v>
      </c>
    </row>
    <row r="1844" spans="1:31" x14ac:dyDescent="0.45">
      <c r="A1844" t="s">
        <v>3242</v>
      </c>
      <c r="D1844">
        <v>2</v>
      </c>
      <c r="E1844" t="s">
        <v>1161</v>
      </c>
      <c r="F1844">
        <f>MAX(MAX(L1844:AE1844),-MIN(L1844:AE1844))</f>
        <v>0</v>
      </c>
      <c r="I1844">
        <v>0</v>
      </c>
      <c r="L1844">
        <f>IPPU_Industry!L42-IF('Manual inputs'!$E$85="CPAT",IF(IPPU_Industry!L19=0,0,IPPU_Industry!L25*IPPU_Industry!L36/IPPU_Industry!L19),IPPU_Industry!L25)</f>
        <v>0</v>
      </c>
      <c r="M1844">
        <f>IPPU_Industry!M42-IF('Manual inputs'!$E$85="CPAT",IF(IPPU_Industry!M19=0,0,IPPU_Industry!M25*IPPU_Industry!M36/IPPU_Industry!M19),IPPU_Industry!M25)</f>
        <v>0</v>
      </c>
      <c r="N1844">
        <f>IPPU_Industry!N42-IF('Manual inputs'!$E$85="CPAT",IF(IPPU_Industry!N19=0,0,IPPU_Industry!N25*IPPU_Industry!N36/IPPU_Industry!N19),IPPU_Industry!N25)</f>
        <v>0</v>
      </c>
      <c r="O1844">
        <f>IPPU_Industry!O42-IF('Manual inputs'!$E$85="CPAT",IF(IPPU_Industry!O19=0,0,IPPU_Industry!O25*IPPU_Industry!O36/IPPU_Industry!O19),IPPU_Industry!O25)</f>
        <v>0</v>
      </c>
      <c r="P1844">
        <f>IPPU_Industry!P42-IF('Manual inputs'!$E$85="CPAT",IF(IPPU_Industry!P19=0,0,IPPU_Industry!P25*IPPU_Industry!P36/IPPU_Industry!P19),IPPU_Industry!P25)</f>
        <v>0</v>
      </c>
      <c r="Q1844">
        <f>IPPU_Industry!Q42-IF('Manual inputs'!$E$85="CPAT",IF(IPPU_Industry!Q19=0,0,IPPU_Industry!Q25*IPPU_Industry!Q36/IPPU_Industry!Q19),IPPU_Industry!Q25)</f>
        <v>0</v>
      </c>
      <c r="R1844">
        <f>IPPU_Industry!R42-IF('Manual inputs'!$E$85="CPAT",IF(IPPU_Industry!R19=0,0,IPPU_Industry!R25*IPPU_Industry!R36/IPPU_Industry!R19),IPPU_Industry!R25)</f>
        <v>0</v>
      </c>
      <c r="S1844">
        <f>IPPU_Industry!S42-IF('Manual inputs'!$E$85="CPAT",IF(IPPU_Industry!S19=0,0,IPPU_Industry!S25*IPPU_Industry!S36/IPPU_Industry!S19),IPPU_Industry!S25)</f>
        <v>0</v>
      </c>
      <c r="T1844">
        <f>IPPU_Industry!T42-IF('Manual inputs'!$E$85="CPAT",IF(IPPU_Industry!T19=0,0,IPPU_Industry!T25*IPPU_Industry!T36/IPPU_Industry!T19),IPPU_Industry!T25)</f>
        <v>0</v>
      </c>
      <c r="U1844">
        <f>IPPU_Industry!U42-IF('Manual inputs'!$E$85="CPAT",IF(IPPU_Industry!U19=0,0,IPPU_Industry!U25*IPPU_Industry!U36/IPPU_Industry!U19),IPPU_Industry!U25)</f>
        <v>0</v>
      </c>
      <c r="V1844">
        <f>IPPU_Industry!V42-IF('Manual inputs'!$E$85="CPAT",IF(IPPU_Industry!V19=0,0,IPPU_Industry!V25*IPPU_Industry!V36/IPPU_Industry!V19),IPPU_Industry!V25)</f>
        <v>0</v>
      </c>
      <c r="W1844">
        <f>IPPU_Industry!W42-IF('Manual inputs'!$E$85="CPAT",IF(IPPU_Industry!W19=0,0,IPPU_Industry!W25*IPPU_Industry!W36/IPPU_Industry!W19),IPPU_Industry!W25)</f>
        <v>0</v>
      </c>
      <c r="X1844">
        <f>IPPU_Industry!X42-IF('Manual inputs'!$E$85="CPAT",IF(IPPU_Industry!X19=0,0,IPPU_Industry!X25*IPPU_Industry!X36/IPPU_Industry!X19),IPPU_Industry!X25)</f>
        <v>0</v>
      </c>
      <c r="Y1844">
        <f>IPPU_Industry!Y42-IF('Manual inputs'!$E$85="CPAT",IF(IPPU_Industry!Y19=0,0,IPPU_Industry!Y25*IPPU_Industry!Y36/IPPU_Industry!Y19),IPPU_Industry!Y25)</f>
        <v>0</v>
      </c>
      <c r="Z1844">
        <f>IPPU_Industry!Z42-IF('Manual inputs'!$E$85="CPAT",IF(IPPU_Industry!Z19=0,0,IPPU_Industry!Z25*IPPU_Industry!Z36/IPPU_Industry!Z19),IPPU_Industry!Z25)</f>
        <v>0</v>
      </c>
      <c r="AA1844">
        <f>IPPU_Industry!AA42-IF('Manual inputs'!$E$85="CPAT",IF(IPPU_Industry!AA19=0,0,IPPU_Industry!AA25*IPPU_Industry!AA36/IPPU_Industry!AA19),IPPU_Industry!AA25)</f>
        <v>0</v>
      </c>
      <c r="AB1844">
        <f>IPPU_Industry!AB42-IF('Manual inputs'!$E$85="CPAT",IF(IPPU_Industry!AB19=0,0,IPPU_Industry!AB25*IPPU_Industry!AB36/IPPU_Industry!AB19),IPPU_Industry!AB25)</f>
        <v>0</v>
      </c>
      <c r="AC1844">
        <f>IPPU_Industry!AC42-IF('Manual inputs'!$E$85="CPAT",IF(IPPU_Industry!AC19=0,0,IPPU_Industry!AC25*IPPU_Industry!AC36/IPPU_Industry!AC19),IPPU_Industry!AC25)</f>
        <v>0</v>
      </c>
      <c r="AD1844">
        <f>IPPU_Industry!AD42-IF('Manual inputs'!$E$85="CPAT",IF(IPPU_Industry!AD19=0,0,IPPU_Industry!AD25*IPPU_Industry!AD36/IPPU_Industry!AD19),IPPU_Industry!AD25)</f>
        <v>0</v>
      </c>
      <c r="AE1844">
        <f>IPPU_Industry!AE42-IF('Manual inputs'!$E$85="CPAT",IF(IPPU_Industry!AE19=0,0,IPPU_Industry!AE25*IPPU_Industry!AE36/IPPU_Industry!AE19),IPPU_Industry!AE25)</f>
        <v>0</v>
      </c>
    </row>
    <row r="1846" spans="1:31" x14ac:dyDescent="0.45">
      <c r="A1846" s="52" t="s">
        <v>3244</v>
      </c>
    </row>
    <row r="1847" spans="1:31" x14ac:dyDescent="0.45">
      <c r="A1847" t="s">
        <v>3245</v>
      </c>
      <c r="D1847">
        <v>1</v>
      </c>
      <c r="E1847" t="s">
        <v>2167</v>
      </c>
      <c r="F1847">
        <f t="shared" ref="F1847:F1854" si="366">SUM(L1847:AE1847)</f>
        <v>0</v>
      </c>
      <c r="L1847">
        <f>--(IPPU_Industry!L53&lt;-0.000000001)</f>
        <v>0</v>
      </c>
      <c r="M1847">
        <f>--(IPPU_Industry!M53&lt;-0.000000001)</f>
        <v>0</v>
      </c>
      <c r="N1847">
        <f>--(IPPU_Industry!N53&lt;-0.000000001)</f>
        <v>0</v>
      </c>
      <c r="O1847">
        <f>--(IPPU_Industry!O53&lt;-0.000000001)</f>
        <v>0</v>
      </c>
      <c r="P1847">
        <f>--(IPPU_Industry!P53&lt;-0.000000001)</f>
        <v>0</v>
      </c>
      <c r="Q1847">
        <f>--(IPPU_Industry!Q53&lt;-0.000000001)</f>
        <v>0</v>
      </c>
      <c r="R1847">
        <f>--(IPPU_Industry!R53&lt;-0.000000001)</f>
        <v>0</v>
      </c>
      <c r="S1847">
        <f>--(IPPU_Industry!S53&lt;-0.000000001)</f>
        <v>0</v>
      </c>
      <c r="T1847">
        <f>--(IPPU_Industry!T53&lt;-0.000000001)</f>
        <v>0</v>
      </c>
      <c r="U1847">
        <f>--(IPPU_Industry!U53&lt;-0.000000001)</f>
        <v>0</v>
      </c>
      <c r="V1847">
        <f>--(IPPU_Industry!V53&lt;-0.000000001)</f>
        <v>0</v>
      </c>
      <c r="W1847">
        <f>--(IPPU_Industry!W53&lt;-0.000000001)</f>
        <v>0</v>
      </c>
      <c r="X1847">
        <f>--(IPPU_Industry!X53&lt;-0.000000001)</f>
        <v>0</v>
      </c>
      <c r="Y1847">
        <f>--(IPPU_Industry!Y53&lt;-0.000000001)</f>
        <v>0</v>
      </c>
      <c r="Z1847">
        <f>--(IPPU_Industry!Z53&lt;-0.000000001)</f>
        <v>0</v>
      </c>
      <c r="AA1847">
        <f>--(IPPU_Industry!AA53&lt;-0.000000001)</f>
        <v>0</v>
      </c>
      <c r="AB1847">
        <f>--(IPPU_Industry!AB53&lt;-0.000000001)</f>
        <v>0</v>
      </c>
      <c r="AC1847">
        <f>--(IPPU_Industry!AC53&lt;-0.000000001)</f>
        <v>0</v>
      </c>
      <c r="AD1847">
        <f>--(IPPU_Industry!AD53&lt;-0.000000001)</f>
        <v>0</v>
      </c>
      <c r="AE1847">
        <f>--(IPPU_Industry!AE53&lt;-0.000000001)</f>
        <v>0</v>
      </c>
    </row>
    <row r="1848" spans="1:31" x14ac:dyDescent="0.45">
      <c r="A1848" t="s">
        <v>3246</v>
      </c>
      <c r="D1848">
        <v>1</v>
      </c>
      <c r="E1848" t="s">
        <v>2167</v>
      </c>
      <c r="F1848">
        <f t="shared" si="366"/>
        <v>20</v>
      </c>
      <c r="L1848">
        <f>--(IPPU_Industry!L58&lt;-0.000000001)</f>
        <v>1</v>
      </c>
      <c r="M1848">
        <f>--(IPPU_Industry!M58&lt;-0.000000001)</f>
        <v>1</v>
      </c>
      <c r="N1848">
        <f>--(IPPU_Industry!N58&lt;-0.000000001)</f>
        <v>1</v>
      </c>
      <c r="O1848">
        <f>--(IPPU_Industry!O58&lt;-0.000000001)</f>
        <v>1</v>
      </c>
      <c r="P1848">
        <f>--(IPPU_Industry!P58&lt;-0.000000001)</f>
        <v>1</v>
      </c>
      <c r="Q1848">
        <f>--(IPPU_Industry!Q58&lt;-0.000000001)</f>
        <v>1</v>
      </c>
      <c r="R1848">
        <f>--(IPPU_Industry!R58&lt;-0.000000001)</f>
        <v>1</v>
      </c>
      <c r="S1848">
        <f>--(IPPU_Industry!S58&lt;-0.000000001)</f>
        <v>1</v>
      </c>
      <c r="T1848">
        <f>--(IPPU_Industry!T58&lt;-0.000000001)</f>
        <v>1</v>
      </c>
      <c r="U1848">
        <f>--(IPPU_Industry!U58&lt;-0.000000001)</f>
        <v>1</v>
      </c>
      <c r="V1848">
        <f>--(IPPU_Industry!V58&lt;-0.000000001)</f>
        <v>1</v>
      </c>
      <c r="W1848">
        <f>--(IPPU_Industry!W58&lt;-0.000000001)</f>
        <v>1</v>
      </c>
      <c r="X1848">
        <f>--(IPPU_Industry!X58&lt;-0.000000001)</f>
        <v>1</v>
      </c>
      <c r="Y1848">
        <f>--(IPPU_Industry!Y58&lt;-0.000000001)</f>
        <v>1</v>
      </c>
      <c r="Z1848">
        <f>--(IPPU_Industry!Z58&lt;-0.000000001)</f>
        <v>1</v>
      </c>
      <c r="AA1848">
        <f>--(IPPU_Industry!AA58&lt;-0.000000001)</f>
        <v>1</v>
      </c>
      <c r="AB1848">
        <f>--(IPPU_Industry!AB58&lt;-0.000000001)</f>
        <v>1</v>
      </c>
      <c r="AC1848">
        <f>--(IPPU_Industry!AC58&lt;-0.000000001)</f>
        <v>1</v>
      </c>
      <c r="AD1848">
        <f>--(IPPU_Industry!AD58&lt;-0.000000001)</f>
        <v>1</v>
      </c>
      <c r="AE1848">
        <f>--(IPPU_Industry!AE58&lt;-0.000000001)</f>
        <v>1</v>
      </c>
    </row>
    <row r="1849" spans="1:31" x14ac:dyDescent="0.45">
      <c r="A1849" t="s">
        <v>3247</v>
      </c>
      <c r="D1849">
        <v>1</v>
      </c>
      <c r="E1849" t="s">
        <v>2167</v>
      </c>
      <c r="F1849">
        <f t="shared" si="366"/>
        <v>20</v>
      </c>
      <c r="L1849">
        <f>--(IPPU_Industry!L63&lt;-0.000000001)</f>
        <v>1</v>
      </c>
      <c r="M1849">
        <f>--(IPPU_Industry!M63&lt;-0.000000001)</f>
        <v>1</v>
      </c>
      <c r="N1849">
        <f>--(IPPU_Industry!N63&lt;-0.000000001)</f>
        <v>1</v>
      </c>
      <c r="O1849">
        <f>--(IPPU_Industry!O63&lt;-0.000000001)</f>
        <v>1</v>
      </c>
      <c r="P1849">
        <f>--(IPPU_Industry!P63&lt;-0.000000001)</f>
        <v>1</v>
      </c>
      <c r="Q1849">
        <f>--(IPPU_Industry!Q63&lt;-0.000000001)</f>
        <v>1</v>
      </c>
      <c r="R1849">
        <f>--(IPPU_Industry!R63&lt;-0.000000001)</f>
        <v>1</v>
      </c>
      <c r="S1849">
        <f>--(IPPU_Industry!S63&lt;-0.000000001)</f>
        <v>1</v>
      </c>
      <c r="T1849">
        <f>--(IPPU_Industry!T63&lt;-0.000000001)</f>
        <v>1</v>
      </c>
      <c r="U1849">
        <f>--(IPPU_Industry!U63&lt;-0.000000001)</f>
        <v>1</v>
      </c>
      <c r="V1849">
        <f>--(IPPU_Industry!V63&lt;-0.000000001)</f>
        <v>1</v>
      </c>
      <c r="W1849">
        <f>--(IPPU_Industry!W63&lt;-0.000000001)</f>
        <v>1</v>
      </c>
      <c r="X1849">
        <f>--(IPPU_Industry!X63&lt;-0.000000001)</f>
        <v>1</v>
      </c>
      <c r="Y1849">
        <f>--(IPPU_Industry!Y63&lt;-0.000000001)</f>
        <v>1</v>
      </c>
      <c r="Z1849">
        <f>--(IPPU_Industry!Z63&lt;-0.000000001)</f>
        <v>1</v>
      </c>
      <c r="AA1849">
        <f>--(IPPU_Industry!AA63&lt;-0.000000001)</f>
        <v>1</v>
      </c>
      <c r="AB1849">
        <f>--(IPPU_Industry!AB63&lt;-0.000000001)</f>
        <v>1</v>
      </c>
      <c r="AC1849">
        <f>--(IPPU_Industry!AC63&lt;-0.000000001)</f>
        <v>1</v>
      </c>
      <c r="AD1849">
        <f>--(IPPU_Industry!AD63&lt;-0.000000001)</f>
        <v>1</v>
      </c>
      <c r="AE1849">
        <f>--(IPPU_Industry!AE63&lt;-0.000000001)</f>
        <v>1</v>
      </c>
    </row>
    <row r="1850" spans="1:31" x14ac:dyDescent="0.45">
      <c r="A1850" t="s">
        <v>3248</v>
      </c>
      <c r="D1850">
        <v>1</v>
      </c>
      <c r="E1850" t="s">
        <v>2167</v>
      </c>
      <c r="F1850">
        <f t="shared" si="366"/>
        <v>20</v>
      </c>
      <c r="L1850">
        <f>--(IPPU_Industry!L68&lt;-0.000000001)</f>
        <v>1</v>
      </c>
      <c r="M1850">
        <f>--(IPPU_Industry!M68&lt;-0.000000001)</f>
        <v>1</v>
      </c>
      <c r="N1850">
        <f>--(IPPU_Industry!N68&lt;-0.000000001)</f>
        <v>1</v>
      </c>
      <c r="O1850">
        <f>--(IPPU_Industry!O68&lt;-0.000000001)</f>
        <v>1</v>
      </c>
      <c r="P1850">
        <f>--(IPPU_Industry!P68&lt;-0.000000001)</f>
        <v>1</v>
      </c>
      <c r="Q1850">
        <f>--(IPPU_Industry!Q68&lt;-0.000000001)</f>
        <v>1</v>
      </c>
      <c r="R1850">
        <f>--(IPPU_Industry!R68&lt;-0.000000001)</f>
        <v>1</v>
      </c>
      <c r="S1850">
        <f>--(IPPU_Industry!S68&lt;-0.000000001)</f>
        <v>1</v>
      </c>
      <c r="T1850">
        <f>--(IPPU_Industry!T68&lt;-0.000000001)</f>
        <v>1</v>
      </c>
      <c r="U1850">
        <f>--(IPPU_Industry!U68&lt;-0.000000001)</f>
        <v>1</v>
      </c>
      <c r="V1850">
        <f>--(IPPU_Industry!V68&lt;-0.000000001)</f>
        <v>1</v>
      </c>
      <c r="W1850">
        <f>--(IPPU_Industry!W68&lt;-0.000000001)</f>
        <v>1</v>
      </c>
      <c r="X1850">
        <f>--(IPPU_Industry!X68&lt;-0.000000001)</f>
        <v>1</v>
      </c>
      <c r="Y1850">
        <f>--(IPPU_Industry!Y68&lt;-0.000000001)</f>
        <v>1</v>
      </c>
      <c r="Z1850">
        <f>--(IPPU_Industry!Z68&lt;-0.000000001)</f>
        <v>1</v>
      </c>
      <c r="AA1850">
        <f>--(IPPU_Industry!AA68&lt;-0.000000001)</f>
        <v>1</v>
      </c>
      <c r="AB1850">
        <f>--(IPPU_Industry!AB68&lt;-0.000000001)</f>
        <v>1</v>
      </c>
      <c r="AC1850">
        <f>--(IPPU_Industry!AC68&lt;-0.000000001)</f>
        <v>1</v>
      </c>
      <c r="AD1850">
        <f>--(IPPU_Industry!AD68&lt;-0.000000001)</f>
        <v>1</v>
      </c>
      <c r="AE1850">
        <f>--(IPPU_Industry!AE68&lt;-0.000000001)</f>
        <v>1</v>
      </c>
    </row>
    <row r="1851" spans="1:31" x14ac:dyDescent="0.45">
      <c r="A1851" t="s">
        <v>3245</v>
      </c>
      <c r="D1851">
        <v>2</v>
      </c>
      <c r="E1851" t="s">
        <v>2167</v>
      </c>
      <c r="F1851">
        <f t="shared" si="366"/>
        <v>12</v>
      </c>
      <c r="L1851">
        <f>--(IPPU_Industry!L77&lt;-0.000000001)</f>
        <v>0</v>
      </c>
      <c r="M1851">
        <f>--(IPPU_Industry!M77&lt;-0.000000001)</f>
        <v>0</v>
      </c>
      <c r="N1851">
        <f>--(IPPU_Industry!N77&lt;-0.000000001)</f>
        <v>0</v>
      </c>
      <c r="O1851">
        <f>--(IPPU_Industry!O77&lt;-0.000000001)</f>
        <v>0</v>
      </c>
      <c r="P1851">
        <f>--(IPPU_Industry!P77&lt;-0.000000001)</f>
        <v>0</v>
      </c>
      <c r="Q1851">
        <f>--(IPPU_Industry!Q77&lt;-0.000000001)</f>
        <v>0</v>
      </c>
      <c r="R1851">
        <f>--(IPPU_Industry!R77&lt;-0.000000001)</f>
        <v>0</v>
      </c>
      <c r="S1851">
        <f>--(IPPU_Industry!S77&lt;-0.000000001)</f>
        <v>0</v>
      </c>
      <c r="T1851">
        <f>--(IPPU_Industry!T77&lt;-0.000000001)</f>
        <v>1</v>
      </c>
      <c r="U1851">
        <f>--(IPPU_Industry!U77&lt;-0.000000001)</f>
        <v>1</v>
      </c>
      <c r="V1851">
        <f>--(IPPU_Industry!V77&lt;-0.000000001)</f>
        <v>1</v>
      </c>
      <c r="W1851">
        <f>--(IPPU_Industry!W77&lt;-0.000000001)</f>
        <v>1</v>
      </c>
      <c r="X1851">
        <f>--(IPPU_Industry!X77&lt;-0.000000001)</f>
        <v>1</v>
      </c>
      <c r="Y1851">
        <f>--(IPPU_Industry!Y77&lt;-0.000000001)</f>
        <v>1</v>
      </c>
      <c r="Z1851">
        <f>--(IPPU_Industry!Z77&lt;-0.000000001)</f>
        <v>1</v>
      </c>
      <c r="AA1851">
        <f>--(IPPU_Industry!AA77&lt;-0.000000001)</f>
        <v>1</v>
      </c>
      <c r="AB1851">
        <f>--(IPPU_Industry!AB77&lt;-0.000000001)</f>
        <v>1</v>
      </c>
      <c r="AC1851">
        <f>--(IPPU_Industry!AC77&lt;-0.000000001)</f>
        <v>1</v>
      </c>
      <c r="AD1851">
        <f>--(IPPU_Industry!AD77&lt;-0.000000001)</f>
        <v>1</v>
      </c>
      <c r="AE1851">
        <f>--(IPPU_Industry!AE77&lt;-0.000000001)</f>
        <v>1</v>
      </c>
    </row>
    <row r="1852" spans="1:31" x14ac:dyDescent="0.45">
      <c r="A1852" t="s">
        <v>3246</v>
      </c>
      <c r="D1852">
        <v>2</v>
      </c>
      <c r="E1852" t="s">
        <v>2167</v>
      </c>
      <c r="F1852">
        <f t="shared" si="366"/>
        <v>20</v>
      </c>
      <c r="L1852">
        <f>--(IPPU_Industry!L82&lt;-0.000000001)</f>
        <v>1</v>
      </c>
      <c r="M1852">
        <f>--(IPPU_Industry!M82&lt;-0.000000001)</f>
        <v>1</v>
      </c>
      <c r="N1852">
        <f>--(IPPU_Industry!N82&lt;-0.000000001)</f>
        <v>1</v>
      </c>
      <c r="O1852">
        <f>--(IPPU_Industry!O82&lt;-0.000000001)</f>
        <v>1</v>
      </c>
      <c r="P1852">
        <f>--(IPPU_Industry!P82&lt;-0.000000001)</f>
        <v>1</v>
      </c>
      <c r="Q1852">
        <f>--(IPPU_Industry!Q82&lt;-0.000000001)</f>
        <v>1</v>
      </c>
      <c r="R1852">
        <f>--(IPPU_Industry!R82&lt;-0.000000001)</f>
        <v>1</v>
      </c>
      <c r="S1852">
        <f>--(IPPU_Industry!S82&lt;-0.000000001)</f>
        <v>1</v>
      </c>
      <c r="T1852">
        <f>--(IPPU_Industry!T82&lt;-0.000000001)</f>
        <v>1</v>
      </c>
      <c r="U1852">
        <f>--(IPPU_Industry!U82&lt;-0.000000001)</f>
        <v>1</v>
      </c>
      <c r="V1852">
        <f>--(IPPU_Industry!V82&lt;-0.000000001)</f>
        <v>1</v>
      </c>
      <c r="W1852">
        <f>--(IPPU_Industry!W82&lt;-0.000000001)</f>
        <v>1</v>
      </c>
      <c r="X1852">
        <f>--(IPPU_Industry!X82&lt;-0.000000001)</f>
        <v>1</v>
      </c>
      <c r="Y1852">
        <f>--(IPPU_Industry!Y82&lt;-0.000000001)</f>
        <v>1</v>
      </c>
      <c r="Z1852">
        <f>--(IPPU_Industry!Z82&lt;-0.000000001)</f>
        <v>1</v>
      </c>
      <c r="AA1852">
        <f>--(IPPU_Industry!AA82&lt;-0.000000001)</f>
        <v>1</v>
      </c>
      <c r="AB1852">
        <f>--(IPPU_Industry!AB82&lt;-0.000000001)</f>
        <v>1</v>
      </c>
      <c r="AC1852">
        <f>--(IPPU_Industry!AC82&lt;-0.000000001)</f>
        <v>1</v>
      </c>
      <c r="AD1852">
        <f>--(IPPU_Industry!AD82&lt;-0.000000001)</f>
        <v>1</v>
      </c>
      <c r="AE1852">
        <f>--(IPPU_Industry!AE82&lt;-0.000000001)</f>
        <v>1</v>
      </c>
    </row>
    <row r="1853" spans="1:31" x14ac:dyDescent="0.45">
      <c r="A1853" t="s">
        <v>3247</v>
      </c>
      <c r="D1853">
        <v>2</v>
      </c>
      <c r="E1853" t="s">
        <v>2167</v>
      </c>
      <c r="F1853">
        <f t="shared" si="366"/>
        <v>20</v>
      </c>
      <c r="L1853">
        <f>--(IPPU_Industry!L87&lt;-0.000000001)</f>
        <v>1</v>
      </c>
      <c r="M1853">
        <f>--(IPPU_Industry!M87&lt;-0.000000001)</f>
        <v>1</v>
      </c>
      <c r="N1853">
        <f>--(IPPU_Industry!N87&lt;-0.000000001)</f>
        <v>1</v>
      </c>
      <c r="O1853">
        <f>--(IPPU_Industry!O87&lt;-0.000000001)</f>
        <v>1</v>
      </c>
      <c r="P1853">
        <f>--(IPPU_Industry!P87&lt;-0.000000001)</f>
        <v>1</v>
      </c>
      <c r="Q1853">
        <f>--(IPPU_Industry!Q87&lt;-0.000000001)</f>
        <v>1</v>
      </c>
      <c r="R1853">
        <f>--(IPPU_Industry!R87&lt;-0.000000001)</f>
        <v>1</v>
      </c>
      <c r="S1853">
        <f>--(IPPU_Industry!S87&lt;-0.000000001)</f>
        <v>1</v>
      </c>
      <c r="T1853">
        <f>--(IPPU_Industry!T87&lt;-0.000000001)</f>
        <v>1</v>
      </c>
      <c r="U1853">
        <f>--(IPPU_Industry!U87&lt;-0.000000001)</f>
        <v>1</v>
      </c>
      <c r="V1853">
        <f>--(IPPU_Industry!V87&lt;-0.000000001)</f>
        <v>1</v>
      </c>
      <c r="W1853">
        <f>--(IPPU_Industry!W87&lt;-0.000000001)</f>
        <v>1</v>
      </c>
      <c r="X1853">
        <f>--(IPPU_Industry!X87&lt;-0.000000001)</f>
        <v>1</v>
      </c>
      <c r="Y1853">
        <f>--(IPPU_Industry!Y87&lt;-0.000000001)</f>
        <v>1</v>
      </c>
      <c r="Z1853">
        <f>--(IPPU_Industry!Z87&lt;-0.000000001)</f>
        <v>1</v>
      </c>
      <c r="AA1853">
        <f>--(IPPU_Industry!AA87&lt;-0.000000001)</f>
        <v>1</v>
      </c>
      <c r="AB1853">
        <f>--(IPPU_Industry!AB87&lt;-0.000000001)</f>
        <v>1</v>
      </c>
      <c r="AC1853">
        <f>--(IPPU_Industry!AC87&lt;-0.000000001)</f>
        <v>1</v>
      </c>
      <c r="AD1853">
        <f>--(IPPU_Industry!AD87&lt;-0.000000001)</f>
        <v>1</v>
      </c>
      <c r="AE1853">
        <f>--(IPPU_Industry!AE87&lt;-0.000000001)</f>
        <v>1</v>
      </c>
    </row>
    <row r="1854" spans="1:31" x14ac:dyDescent="0.45">
      <c r="A1854" t="s">
        <v>3248</v>
      </c>
      <c r="D1854">
        <v>2</v>
      </c>
      <c r="E1854" t="s">
        <v>2167</v>
      </c>
      <c r="F1854">
        <f t="shared" si="366"/>
        <v>20</v>
      </c>
      <c r="L1854">
        <f>--(IPPU_Industry!L92&lt;-0.000000001)</f>
        <v>1</v>
      </c>
      <c r="M1854">
        <f>--(IPPU_Industry!M92&lt;-0.000000001)</f>
        <v>1</v>
      </c>
      <c r="N1854">
        <f>--(IPPU_Industry!N92&lt;-0.000000001)</f>
        <v>1</v>
      </c>
      <c r="O1854">
        <f>--(IPPU_Industry!O92&lt;-0.000000001)</f>
        <v>1</v>
      </c>
      <c r="P1854">
        <f>--(IPPU_Industry!P92&lt;-0.000000001)</f>
        <v>1</v>
      </c>
      <c r="Q1854">
        <f>--(IPPU_Industry!Q92&lt;-0.000000001)</f>
        <v>1</v>
      </c>
      <c r="R1854">
        <f>--(IPPU_Industry!R92&lt;-0.000000001)</f>
        <v>1</v>
      </c>
      <c r="S1854">
        <f>--(IPPU_Industry!S92&lt;-0.000000001)</f>
        <v>1</v>
      </c>
      <c r="T1854">
        <f>--(IPPU_Industry!T92&lt;-0.000000001)</f>
        <v>1</v>
      </c>
      <c r="U1854">
        <f>--(IPPU_Industry!U92&lt;-0.000000001)</f>
        <v>1</v>
      </c>
      <c r="V1854">
        <f>--(IPPU_Industry!V92&lt;-0.000000001)</f>
        <v>1</v>
      </c>
      <c r="W1854">
        <f>--(IPPU_Industry!W92&lt;-0.000000001)</f>
        <v>1</v>
      </c>
      <c r="X1854">
        <f>--(IPPU_Industry!X92&lt;-0.000000001)</f>
        <v>1</v>
      </c>
      <c r="Y1854">
        <f>--(IPPU_Industry!Y92&lt;-0.000000001)</f>
        <v>1</v>
      </c>
      <c r="Z1854">
        <f>--(IPPU_Industry!Z92&lt;-0.000000001)</f>
        <v>1</v>
      </c>
      <c r="AA1854">
        <f>--(IPPU_Industry!AA92&lt;-0.000000001)</f>
        <v>1</v>
      </c>
      <c r="AB1854">
        <f>--(IPPU_Industry!AB92&lt;-0.000000001)</f>
        <v>1</v>
      </c>
      <c r="AC1854">
        <f>--(IPPU_Industry!AC92&lt;-0.000000001)</f>
        <v>1</v>
      </c>
      <c r="AD1854">
        <f>--(IPPU_Industry!AD92&lt;-0.000000001)</f>
        <v>1</v>
      </c>
      <c r="AE1854">
        <f>--(IPPU_Industry!AE92&lt;-0.000000001)</f>
        <v>1</v>
      </c>
    </row>
    <row r="1855" spans="1:31" x14ac:dyDescent="0.45">
      <c r="A1855" t="s">
        <v>3249</v>
      </c>
      <c r="D1855">
        <v>2</v>
      </c>
      <c r="E1855" t="s">
        <v>3250</v>
      </c>
      <c r="F1855">
        <f>MAX(MAX(L1855:AE1855),-MIN(L1855:AE1855))</f>
        <v>13.613511081620189</v>
      </c>
      <c r="L1855" s="145">
        <f>IPPU_Industry!L44</f>
        <v>0</v>
      </c>
      <c r="M1855" s="145">
        <f>IPPU_Industry!M44</f>
        <v>0</v>
      </c>
      <c r="N1855" s="145">
        <f>IPPU_Industry!N44</f>
        <v>0</v>
      </c>
      <c r="O1855" s="145">
        <f>IPPU_Industry!O44</f>
        <v>0</v>
      </c>
      <c r="P1855" s="145">
        <f>IPPU_Industry!P44</f>
        <v>0</v>
      </c>
      <c r="Q1855" s="145">
        <f>IPPU_Industry!Q44</f>
        <v>1.4090398681312308</v>
      </c>
      <c r="R1855" s="145">
        <f>IPPU_Industry!R44</f>
        <v>2.6673965235448378</v>
      </c>
      <c r="S1855" s="145">
        <f>IPPU_Industry!S44</f>
        <v>3.8181630055287599</v>
      </c>
      <c r="T1855" s="145">
        <f>IPPU_Industry!T44</f>
        <v>4.8795095359972152</v>
      </c>
      <c r="U1855" s="145">
        <f>IPPU_Industry!U44</f>
        <v>5.8802184098541375</v>
      </c>
      <c r="V1855" s="145">
        <f>IPPU_Industry!V44</f>
        <v>6.80772680646227</v>
      </c>
      <c r="W1855" s="145">
        <f>IPPU_Industry!W44</f>
        <v>7.6897753620378069</v>
      </c>
      <c r="X1855" s="145">
        <f>IPPU_Industry!X44</f>
        <v>8.5333569344649902</v>
      </c>
      <c r="Y1855" s="145">
        <f>IPPU_Industry!Y44</f>
        <v>9.3427525163357785</v>
      </c>
      <c r="Z1855" s="145">
        <f>IPPU_Industry!Z44</f>
        <v>10.11919326251622</v>
      </c>
      <c r="AA1855" s="145">
        <f>IPPU_Industry!AA44</f>
        <v>10.865381102071524</v>
      </c>
      <c r="AB1855" s="145">
        <f>IPPU_Industry!AB44</f>
        <v>11.584058705353883</v>
      </c>
      <c r="AC1855" s="145">
        <f>IPPU_Industry!AC44</f>
        <v>12.27945098871038</v>
      </c>
      <c r="AD1855" s="145">
        <f>IPPU_Industry!AD44</f>
        <v>12.955061337753065</v>
      </c>
      <c r="AE1855" s="145">
        <f>IPPU_Industry!AE44</f>
        <v>13.613511081620189</v>
      </c>
    </row>
    <row r="1857" spans="1:35" x14ac:dyDescent="0.45">
      <c r="A1857" t="s">
        <v>3251</v>
      </c>
    </row>
    <row r="1860" spans="1:35" x14ac:dyDescent="0.45">
      <c r="A1860" s="52" t="s">
        <v>3585</v>
      </c>
    </row>
    <row r="1861" spans="1:35" x14ac:dyDescent="0.45">
      <c r="A1861" t="s">
        <v>3591</v>
      </c>
      <c r="D1861" s="89">
        <f>MAX(F1864:F1869)</f>
        <v>0</v>
      </c>
    </row>
    <row r="1863" spans="1:35" x14ac:dyDescent="0.45">
      <c r="A1863" s="50" t="s">
        <v>1488</v>
      </c>
      <c r="B1863" s="50"/>
      <c r="C1863" s="50"/>
      <c r="D1863" s="50" t="s">
        <v>47</v>
      </c>
      <c r="E1863" s="50" t="s">
        <v>1156</v>
      </c>
      <c r="F1863" s="50" t="s">
        <v>1958</v>
      </c>
      <c r="G1863" s="50"/>
      <c r="H1863" s="50"/>
      <c r="I1863" s="50" t="s">
        <v>1489</v>
      </c>
      <c r="J1863" s="50"/>
      <c r="K1863" s="50">
        <v>2021</v>
      </c>
      <c r="L1863" s="50">
        <v>2022</v>
      </c>
      <c r="M1863" s="50">
        <v>2023</v>
      </c>
      <c r="N1863" s="50">
        <v>2024</v>
      </c>
      <c r="O1863" s="50">
        <v>2025</v>
      </c>
      <c r="P1863" s="50">
        <v>2026</v>
      </c>
      <c r="Q1863" s="50">
        <v>2027</v>
      </c>
      <c r="R1863" s="50">
        <v>2028</v>
      </c>
      <c r="S1863" s="50">
        <v>2029</v>
      </c>
      <c r="T1863" s="50">
        <v>2030</v>
      </c>
      <c r="U1863" s="50">
        <v>2031</v>
      </c>
      <c r="V1863" s="50">
        <v>2032</v>
      </c>
      <c r="W1863" s="50">
        <v>2033</v>
      </c>
      <c r="X1863" s="50">
        <v>2034</v>
      </c>
      <c r="Y1863" s="50">
        <v>2035</v>
      </c>
      <c r="Z1863" s="50">
        <v>2036</v>
      </c>
      <c r="AA1863" s="50">
        <v>2037</v>
      </c>
      <c r="AB1863" s="50">
        <v>2038</v>
      </c>
      <c r="AC1863" s="50">
        <v>2039</v>
      </c>
      <c r="AD1863" s="50">
        <v>2040</v>
      </c>
      <c r="AE1863" s="50">
        <v>2041</v>
      </c>
      <c r="AF1863" s="50">
        <v>2042</v>
      </c>
      <c r="AG1863" s="50">
        <v>2043</v>
      </c>
      <c r="AH1863" s="50">
        <v>2044</v>
      </c>
      <c r="AI1863" s="50">
        <v>2045</v>
      </c>
    </row>
    <row r="1864" spans="1:35" x14ac:dyDescent="0.45">
      <c r="A1864" t="s">
        <v>3586</v>
      </c>
      <c r="D1864" t="s">
        <v>77</v>
      </c>
      <c r="E1864" t="s">
        <v>1161</v>
      </c>
      <c r="F1864">
        <f>MAX(MAX(L1864:AE1864),-MIN(L1864:AE1864))</f>
        <v>0</v>
      </c>
      <c r="I1864">
        <v>0</v>
      </c>
      <c r="L1864">
        <f>MAX(ABS(CPAT_National!L27-CPAT_National!L26),ABS(CPAT_National!L28-CPAT_National!L26),ABS(CPAT_National!L29-CPAT_National!L26),ABS(CPAT_National!L35-CPAT_National!L34),ABS(CPAT_National!L36-CPAT_National!L34),ABS(CPAT_National!L37-CPAT_National!L34),ABS(CPAT_National!L43-CPAT_National!L42),ABS(CPAT_National!L44-CPAT_National!L42),ABS(CPAT_National!L45-CPAT_National!L42),ABS(CPAT_National!L51-CPAT_National!L50),ABS(CPAT_National!L52-CPAT_National!L50),ABS(CPAT_National!L53-CPAT_National!L50),ABS(CPAT_National!L59-CPAT_National!L58),ABS(CPAT_National!L60-CPAT_National!L58),ABS(CPAT_National!L61-CPAT_National!L58),ABS(CPAT_National!L67-CPAT_National!L66),ABS(CPAT_National!L68-CPAT_National!L66),ABS(CPAT_National!L69-CPAT_National!L66),ABS(CPAT_National!L83-CPAT_National!L82),ABS(CPAT_National!L84-CPAT_National!L82),ABS(CPAT_National!L85-CPAT_National!L82),ABS(CPAT_National!L91-CPAT_National!L90),ABS(CPAT_National!L92-CPAT_National!L90),ABS(CPAT_National!L93-CPAT_National!L90),ABS(CPAT_National!L123-CPAT_National!L122),ABS(CPAT_National!L124-CPAT_National!L122),ABS(CPAT_National!L125-CPAT_National!L122))</f>
        <v>0</v>
      </c>
      <c r="M1864">
        <f>MAX(ABS(CPAT_National!M27-CPAT_National!M26),ABS(CPAT_National!M28-CPAT_National!M26),ABS(CPAT_National!M29-CPAT_National!M26),ABS(CPAT_National!M35-CPAT_National!M34),ABS(CPAT_National!M36-CPAT_National!M34),ABS(CPAT_National!M37-CPAT_National!M34),ABS(CPAT_National!M43-CPAT_National!M42),ABS(CPAT_National!M44-CPAT_National!M42),ABS(CPAT_National!M45-CPAT_National!M42),ABS(CPAT_National!M51-CPAT_National!M50),ABS(CPAT_National!M52-CPAT_National!M50),ABS(CPAT_National!M53-CPAT_National!M50),ABS(CPAT_National!M59-CPAT_National!M58),ABS(CPAT_National!M60-CPAT_National!M58),ABS(CPAT_National!M61-CPAT_National!M58),ABS(CPAT_National!M67-CPAT_National!M66),ABS(CPAT_National!M68-CPAT_National!M66),ABS(CPAT_National!M69-CPAT_National!M66),ABS(CPAT_National!M83-CPAT_National!M82),ABS(CPAT_National!M84-CPAT_National!M82),ABS(CPAT_National!M85-CPAT_National!M82),ABS(CPAT_National!M91-CPAT_National!M90),ABS(CPAT_National!M92-CPAT_National!M90),ABS(CPAT_National!M93-CPAT_National!M90),ABS(CPAT_National!M123-CPAT_National!M122),ABS(CPAT_National!M124-CPAT_National!M122),ABS(CPAT_National!M125-CPAT_National!M122))</f>
        <v>0</v>
      </c>
      <c r="N1864">
        <f>MAX(ABS(CPAT_National!N27-CPAT_National!N26),ABS(CPAT_National!N28-CPAT_National!N26),ABS(CPAT_National!N29-CPAT_National!N26),ABS(CPAT_National!N35-CPAT_National!N34),ABS(CPAT_National!N36-CPAT_National!N34),ABS(CPAT_National!N37-CPAT_National!N34),ABS(CPAT_National!N43-CPAT_National!N42),ABS(CPAT_National!N44-CPAT_National!N42),ABS(CPAT_National!N45-CPAT_National!N42),ABS(CPAT_National!N51-CPAT_National!N50),ABS(CPAT_National!N52-CPAT_National!N50),ABS(CPAT_National!N53-CPAT_National!N50),ABS(CPAT_National!N59-CPAT_National!N58),ABS(CPAT_National!N60-CPAT_National!N58),ABS(CPAT_National!N61-CPAT_National!N58),ABS(CPAT_National!N67-CPAT_National!N66),ABS(CPAT_National!N68-CPAT_National!N66),ABS(CPAT_National!N69-CPAT_National!N66),ABS(CPAT_National!N83-CPAT_National!N82),ABS(CPAT_National!N84-CPAT_National!N82),ABS(CPAT_National!N85-CPAT_National!N82),ABS(CPAT_National!N91-CPAT_National!N90),ABS(CPAT_National!N92-CPAT_National!N90),ABS(CPAT_National!N93-CPAT_National!N90),ABS(CPAT_National!N123-CPAT_National!N122),ABS(CPAT_National!N124-CPAT_National!N122),ABS(CPAT_National!N125-CPAT_National!N122))</f>
        <v>0</v>
      </c>
      <c r="O1864">
        <f>MAX(ABS(CPAT_National!O27-CPAT_National!O26),ABS(CPAT_National!O28-CPAT_National!O26),ABS(CPAT_National!O29-CPAT_National!O26),ABS(CPAT_National!O35-CPAT_National!O34),ABS(CPAT_National!O36-CPAT_National!O34),ABS(CPAT_National!O37-CPAT_National!O34),ABS(CPAT_National!O43-CPAT_National!O42),ABS(CPAT_National!O44-CPAT_National!O42),ABS(CPAT_National!O45-CPAT_National!O42),ABS(CPAT_National!O51-CPAT_National!O50),ABS(CPAT_National!O52-CPAT_National!O50),ABS(CPAT_National!O53-CPAT_National!O50),ABS(CPAT_National!O59-CPAT_National!O58),ABS(CPAT_National!O60-CPAT_National!O58),ABS(CPAT_National!O61-CPAT_National!O58),ABS(CPAT_National!O67-CPAT_National!O66),ABS(CPAT_National!O68-CPAT_National!O66),ABS(CPAT_National!O69-CPAT_National!O66),ABS(CPAT_National!O83-CPAT_National!O82),ABS(CPAT_National!O84-CPAT_National!O82),ABS(CPAT_National!O85-CPAT_National!O82),ABS(CPAT_National!O91-CPAT_National!O90),ABS(CPAT_National!O92-CPAT_National!O90),ABS(CPAT_National!O93-CPAT_National!O90),ABS(CPAT_National!O123-CPAT_National!O122),ABS(CPAT_National!O124-CPAT_National!O122),ABS(CPAT_National!O125-CPAT_National!O122))</f>
        <v>0</v>
      </c>
      <c r="P1864">
        <f>MAX(ABS(CPAT_National!P27-CPAT_National!P26),ABS(CPAT_National!P28-CPAT_National!P26),ABS(CPAT_National!P29-CPAT_National!P26),ABS(CPAT_National!P35-CPAT_National!P34),ABS(CPAT_National!P36-CPAT_National!P34),ABS(CPAT_National!P37-CPAT_National!P34),ABS(CPAT_National!P43-CPAT_National!P42),ABS(CPAT_National!P44-CPAT_National!P42),ABS(CPAT_National!P45-CPAT_National!P42),ABS(CPAT_National!P51-CPAT_National!P50),ABS(CPAT_National!P52-CPAT_National!P50),ABS(CPAT_National!P53-CPAT_National!P50),ABS(CPAT_National!P59-CPAT_National!P58),ABS(CPAT_National!P60-CPAT_National!P58),ABS(CPAT_National!P61-CPAT_National!P58),ABS(CPAT_National!P67-CPAT_National!P66),ABS(CPAT_National!P68-CPAT_National!P66),ABS(CPAT_National!P69-CPAT_National!P66),ABS(CPAT_National!P83-CPAT_National!P82),ABS(CPAT_National!P84-CPAT_National!P82),ABS(CPAT_National!P85-CPAT_National!P82),ABS(CPAT_National!P91-CPAT_National!P90),ABS(CPAT_National!P92-CPAT_National!P90),ABS(CPAT_National!P93-CPAT_National!P90),ABS(CPAT_National!P123-CPAT_National!P122),ABS(CPAT_National!P124-CPAT_National!P122),ABS(CPAT_National!P125-CPAT_National!P122))</f>
        <v>0</v>
      </c>
      <c r="Q1864">
        <f>MAX(ABS(CPAT_National!Q27-CPAT_National!Q26),ABS(CPAT_National!Q28-CPAT_National!Q26),ABS(CPAT_National!Q29-CPAT_National!Q26),ABS(CPAT_National!Q35-CPAT_National!Q34),ABS(CPAT_National!Q36-CPAT_National!Q34),ABS(CPAT_National!Q37-CPAT_National!Q34),ABS(CPAT_National!Q43-CPAT_National!Q42),ABS(CPAT_National!Q44-CPAT_National!Q42),ABS(CPAT_National!Q45-CPAT_National!Q42),ABS(CPAT_National!Q51-CPAT_National!Q50),ABS(CPAT_National!Q52-CPAT_National!Q50),ABS(CPAT_National!Q53-CPAT_National!Q50),ABS(CPAT_National!Q59-CPAT_National!Q58),ABS(CPAT_National!Q60-CPAT_National!Q58),ABS(CPAT_National!Q61-CPAT_National!Q58),ABS(CPAT_National!Q67-CPAT_National!Q66),ABS(CPAT_National!Q68-CPAT_National!Q66),ABS(CPAT_National!Q69-CPAT_National!Q66),ABS(CPAT_National!Q83-CPAT_National!Q82),ABS(CPAT_National!Q84-CPAT_National!Q82),ABS(CPAT_National!Q85-CPAT_National!Q82),ABS(CPAT_National!Q91-CPAT_National!Q90),ABS(CPAT_National!Q92-CPAT_National!Q90),ABS(CPAT_National!Q93-CPAT_National!Q90),ABS(CPAT_National!Q123-CPAT_National!Q122),ABS(CPAT_National!Q124-CPAT_National!Q122),ABS(CPAT_National!Q125-CPAT_National!Q122))</f>
        <v>0</v>
      </c>
      <c r="R1864">
        <f>MAX(ABS(CPAT_National!R27-CPAT_National!R26),ABS(CPAT_National!R28-CPAT_National!R26),ABS(CPAT_National!R29-CPAT_National!R26),ABS(CPAT_National!R35-CPAT_National!R34),ABS(CPAT_National!R36-CPAT_National!R34),ABS(CPAT_National!R37-CPAT_National!R34),ABS(CPAT_National!R43-CPAT_National!R42),ABS(CPAT_National!R44-CPAT_National!R42),ABS(CPAT_National!R45-CPAT_National!R42),ABS(CPAT_National!R51-CPAT_National!R50),ABS(CPAT_National!R52-CPAT_National!R50),ABS(CPAT_National!R53-CPAT_National!R50),ABS(CPAT_National!R59-CPAT_National!R58),ABS(CPAT_National!R60-CPAT_National!R58),ABS(CPAT_National!R61-CPAT_National!R58),ABS(CPAT_National!R67-CPAT_National!R66),ABS(CPAT_National!R68-CPAT_National!R66),ABS(CPAT_National!R69-CPAT_National!R66),ABS(CPAT_National!R83-CPAT_National!R82),ABS(CPAT_National!R84-CPAT_National!R82),ABS(CPAT_National!R85-CPAT_National!R82),ABS(CPAT_National!R91-CPAT_National!R90),ABS(CPAT_National!R92-CPAT_National!R90),ABS(CPAT_National!R93-CPAT_National!R90),ABS(CPAT_National!R123-CPAT_National!R122),ABS(CPAT_National!R124-CPAT_National!R122),ABS(CPAT_National!R125-CPAT_National!R122))</f>
        <v>0</v>
      </c>
      <c r="S1864">
        <f>MAX(ABS(CPAT_National!S27-CPAT_National!S26),ABS(CPAT_National!S28-CPAT_National!S26),ABS(CPAT_National!S29-CPAT_National!S26),ABS(CPAT_National!S35-CPAT_National!S34),ABS(CPAT_National!S36-CPAT_National!S34),ABS(CPAT_National!S37-CPAT_National!S34),ABS(CPAT_National!S43-CPAT_National!S42),ABS(CPAT_National!S44-CPAT_National!S42),ABS(CPAT_National!S45-CPAT_National!S42),ABS(CPAT_National!S51-CPAT_National!S50),ABS(CPAT_National!S52-CPAT_National!S50),ABS(CPAT_National!S53-CPAT_National!S50),ABS(CPAT_National!S59-CPAT_National!S58),ABS(CPAT_National!S60-CPAT_National!S58),ABS(CPAT_National!S61-CPAT_National!S58),ABS(CPAT_National!S67-CPAT_National!S66),ABS(CPAT_National!S68-CPAT_National!S66),ABS(CPAT_National!S69-CPAT_National!S66),ABS(CPAT_National!S83-CPAT_National!S82),ABS(CPAT_National!S84-CPAT_National!S82),ABS(CPAT_National!S85-CPAT_National!S82),ABS(CPAT_National!S91-CPAT_National!S90),ABS(CPAT_National!S92-CPAT_National!S90),ABS(CPAT_National!S93-CPAT_National!S90),ABS(CPAT_National!S123-CPAT_National!S122),ABS(CPAT_National!S124-CPAT_National!S122),ABS(CPAT_National!S125-CPAT_National!S122))</f>
        <v>0</v>
      </c>
      <c r="T1864">
        <f>MAX(ABS(CPAT_National!T27-CPAT_National!T26),ABS(CPAT_National!T28-CPAT_National!T26),ABS(CPAT_National!T29-CPAT_National!T26),ABS(CPAT_National!T35-CPAT_National!T34),ABS(CPAT_National!T36-CPAT_National!T34),ABS(CPAT_National!T37-CPAT_National!T34),ABS(CPAT_National!T43-CPAT_National!T42),ABS(CPAT_National!T44-CPAT_National!T42),ABS(CPAT_National!T45-CPAT_National!T42),ABS(CPAT_National!T51-CPAT_National!T50),ABS(CPAT_National!T52-CPAT_National!T50),ABS(CPAT_National!T53-CPAT_National!T50),ABS(CPAT_National!T59-CPAT_National!T58),ABS(CPAT_National!T60-CPAT_National!T58),ABS(CPAT_National!T61-CPAT_National!T58),ABS(CPAT_National!T67-CPAT_National!T66),ABS(CPAT_National!T68-CPAT_National!T66),ABS(CPAT_National!T69-CPAT_National!T66),ABS(CPAT_National!T83-CPAT_National!T82),ABS(CPAT_National!T84-CPAT_National!T82),ABS(CPAT_National!T85-CPAT_National!T82),ABS(CPAT_National!T91-CPAT_National!T90),ABS(CPAT_National!T92-CPAT_National!T90),ABS(CPAT_National!T93-CPAT_National!T90),ABS(CPAT_National!T123-CPAT_National!T122),ABS(CPAT_National!T124-CPAT_National!T122),ABS(CPAT_National!T125-CPAT_National!T122))</f>
        <v>0</v>
      </c>
      <c r="U1864">
        <f>MAX(ABS(CPAT_National!U27-CPAT_National!U26),ABS(CPAT_National!U28-CPAT_National!U26),ABS(CPAT_National!U29-CPAT_National!U26),ABS(CPAT_National!U35-CPAT_National!U34),ABS(CPAT_National!U36-CPAT_National!U34),ABS(CPAT_National!U37-CPAT_National!U34),ABS(CPAT_National!U43-CPAT_National!U42),ABS(CPAT_National!U44-CPAT_National!U42),ABS(CPAT_National!U45-CPAT_National!U42),ABS(CPAT_National!U51-CPAT_National!U50),ABS(CPAT_National!U52-CPAT_National!U50),ABS(CPAT_National!U53-CPAT_National!U50),ABS(CPAT_National!U59-CPAT_National!U58),ABS(CPAT_National!U60-CPAT_National!U58),ABS(CPAT_National!U61-CPAT_National!U58),ABS(CPAT_National!U67-CPAT_National!U66),ABS(CPAT_National!U68-CPAT_National!U66),ABS(CPAT_National!U69-CPAT_National!U66),ABS(CPAT_National!U83-CPAT_National!U82),ABS(CPAT_National!U84-CPAT_National!U82),ABS(CPAT_National!U85-CPAT_National!U82),ABS(CPAT_National!U91-CPAT_National!U90),ABS(CPAT_National!U92-CPAT_National!U90),ABS(CPAT_National!U93-CPAT_National!U90),ABS(CPAT_National!U123-CPAT_National!U122),ABS(CPAT_National!U124-CPAT_National!U122),ABS(CPAT_National!U125-CPAT_National!U122))</f>
        <v>0</v>
      </c>
      <c r="V1864">
        <f>MAX(ABS(CPAT_National!V27-CPAT_National!V26),ABS(CPAT_National!V28-CPAT_National!V26),ABS(CPAT_National!V29-CPAT_National!V26),ABS(CPAT_National!V35-CPAT_National!V34),ABS(CPAT_National!V36-CPAT_National!V34),ABS(CPAT_National!V37-CPAT_National!V34),ABS(CPAT_National!V43-CPAT_National!V42),ABS(CPAT_National!V44-CPAT_National!V42),ABS(CPAT_National!V45-CPAT_National!V42),ABS(CPAT_National!V51-CPAT_National!V50),ABS(CPAT_National!V52-CPAT_National!V50),ABS(CPAT_National!V53-CPAT_National!V50),ABS(CPAT_National!V59-CPAT_National!V58),ABS(CPAT_National!V60-CPAT_National!V58),ABS(CPAT_National!V61-CPAT_National!V58),ABS(CPAT_National!V67-CPAT_National!V66),ABS(CPAT_National!V68-CPAT_National!V66),ABS(CPAT_National!V69-CPAT_National!V66),ABS(CPAT_National!V83-CPAT_National!V82),ABS(CPAT_National!V84-CPAT_National!V82),ABS(CPAT_National!V85-CPAT_National!V82),ABS(CPAT_National!V91-CPAT_National!V90),ABS(CPAT_National!V92-CPAT_National!V90),ABS(CPAT_National!V93-CPAT_National!V90),ABS(CPAT_National!V123-CPAT_National!V122),ABS(CPAT_National!V124-CPAT_National!V122),ABS(CPAT_National!V125-CPAT_National!V122))</f>
        <v>0</v>
      </c>
      <c r="W1864">
        <f>MAX(ABS(CPAT_National!W27-CPAT_National!W26),ABS(CPAT_National!W28-CPAT_National!W26),ABS(CPAT_National!W29-CPAT_National!W26),ABS(CPAT_National!W35-CPAT_National!W34),ABS(CPAT_National!W36-CPAT_National!W34),ABS(CPAT_National!W37-CPAT_National!W34),ABS(CPAT_National!W43-CPAT_National!W42),ABS(CPAT_National!W44-CPAT_National!W42),ABS(CPAT_National!W45-CPAT_National!W42),ABS(CPAT_National!W51-CPAT_National!W50),ABS(CPAT_National!W52-CPAT_National!W50),ABS(CPAT_National!W53-CPAT_National!W50),ABS(CPAT_National!W59-CPAT_National!W58),ABS(CPAT_National!W60-CPAT_National!W58),ABS(CPAT_National!W61-CPAT_National!W58),ABS(CPAT_National!W67-CPAT_National!W66),ABS(CPAT_National!W68-CPAT_National!W66),ABS(CPAT_National!W69-CPAT_National!W66),ABS(CPAT_National!W83-CPAT_National!W82),ABS(CPAT_National!W84-CPAT_National!W82),ABS(CPAT_National!W85-CPAT_National!W82),ABS(CPAT_National!W91-CPAT_National!W90),ABS(CPAT_National!W92-CPAT_National!W90),ABS(CPAT_National!W93-CPAT_National!W90),ABS(CPAT_National!W123-CPAT_National!W122),ABS(CPAT_National!W124-CPAT_National!W122),ABS(CPAT_National!W125-CPAT_National!W122))</f>
        <v>0</v>
      </c>
      <c r="X1864">
        <f>MAX(ABS(CPAT_National!X27-CPAT_National!X26),ABS(CPAT_National!X28-CPAT_National!X26),ABS(CPAT_National!X29-CPAT_National!X26),ABS(CPAT_National!X35-CPAT_National!X34),ABS(CPAT_National!X36-CPAT_National!X34),ABS(CPAT_National!X37-CPAT_National!X34),ABS(CPAT_National!X43-CPAT_National!X42),ABS(CPAT_National!X44-CPAT_National!X42),ABS(CPAT_National!X45-CPAT_National!X42),ABS(CPAT_National!X51-CPAT_National!X50),ABS(CPAT_National!X52-CPAT_National!X50),ABS(CPAT_National!X53-CPAT_National!X50),ABS(CPAT_National!X59-CPAT_National!X58),ABS(CPAT_National!X60-CPAT_National!X58),ABS(CPAT_National!X61-CPAT_National!X58),ABS(CPAT_National!X67-CPAT_National!X66),ABS(CPAT_National!X68-CPAT_National!X66),ABS(CPAT_National!X69-CPAT_National!X66),ABS(CPAT_National!X83-CPAT_National!X82),ABS(CPAT_National!X84-CPAT_National!X82),ABS(CPAT_National!X85-CPAT_National!X82),ABS(CPAT_National!X91-CPAT_National!X90),ABS(CPAT_National!X92-CPAT_National!X90),ABS(CPAT_National!X93-CPAT_National!X90),ABS(CPAT_National!X123-CPAT_National!X122),ABS(CPAT_National!X124-CPAT_National!X122),ABS(CPAT_National!X125-CPAT_National!X122))</f>
        <v>0</v>
      </c>
      <c r="Y1864">
        <f>MAX(ABS(CPAT_National!Y27-CPAT_National!Y26),ABS(CPAT_National!Y28-CPAT_National!Y26),ABS(CPAT_National!Y29-CPAT_National!Y26),ABS(CPAT_National!Y35-CPAT_National!Y34),ABS(CPAT_National!Y36-CPAT_National!Y34),ABS(CPAT_National!Y37-CPAT_National!Y34),ABS(CPAT_National!Y43-CPAT_National!Y42),ABS(CPAT_National!Y44-CPAT_National!Y42),ABS(CPAT_National!Y45-CPAT_National!Y42),ABS(CPAT_National!Y51-CPAT_National!Y50),ABS(CPAT_National!Y52-CPAT_National!Y50),ABS(CPAT_National!Y53-CPAT_National!Y50),ABS(CPAT_National!Y59-CPAT_National!Y58),ABS(CPAT_National!Y60-CPAT_National!Y58),ABS(CPAT_National!Y61-CPAT_National!Y58),ABS(CPAT_National!Y67-CPAT_National!Y66),ABS(CPAT_National!Y68-CPAT_National!Y66),ABS(CPAT_National!Y69-CPAT_National!Y66),ABS(CPAT_National!Y83-CPAT_National!Y82),ABS(CPAT_National!Y84-CPAT_National!Y82),ABS(CPAT_National!Y85-CPAT_National!Y82),ABS(CPAT_National!Y91-CPAT_National!Y90),ABS(CPAT_National!Y92-CPAT_National!Y90),ABS(CPAT_National!Y93-CPAT_National!Y90),ABS(CPAT_National!Y123-CPAT_National!Y122),ABS(CPAT_National!Y124-CPAT_National!Y122),ABS(CPAT_National!Y125-CPAT_National!Y122))</f>
        <v>0</v>
      </c>
      <c r="Z1864">
        <f>MAX(ABS(CPAT_National!Z27-CPAT_National!Z26),ABS(CPAT_National!Z28-CPAT_National!Z26),ABS(CPAT_National!Z29-CPAT_National!Z26),ABS(CPAT_National!Z35-CPAT_National!Z34),ABS(CPAT_National!Z36-CPAT_National!Z34),ABS(CPAT_National!Z37-CPAT_National!Z34),ABS(CPAT_National!Z43-CPAT_National!Z42),ABS(CPAT_National!Z44-CPAT_National!Z42),ABS(CPAT_National!Z45-CPAT_National!Z42),ABS(CPAT_National!Z51-CPAT_National!Z50),ABS(CPAT_National!Z52-CPAT_National!Z50),ABS(CPAT_National!Z53-CPAT_National!Z50),ABS(CPAT_National!Z59-CPAT_National!Z58),ABS(CPAT_National!Z60-CPAT_National!Z58),ABS(CPAT_National!Z61-CPAT_National!Z58),ABS(CPAT_National!Z67-CPAT_National!Z66),ABS(CPAT_National!Z68-CPAT_National!Z66),ABS(CPAT_National!Z69-CPAT_National!Z66),ABS(CPAT_National!Z83-CPAT_National!Z82),ABS(CPAT_National!Z84-CPAT_National!Z82),ABS(CPAT_National!Z85-CPAT_National!Z82),ABS(CPAT_National!Z91-CPAT_National!Z90),ABS(CPAT_National!Z92-CPAT_National!Z90),ABS(CPAT_National!Z93-CPAT_National!Z90),ABS(CPAT_National!Z123-CPAT_National!Z122),ABS(CPAT_National!Z124-CPAT_National!Z122),ABS(CPAT_National!Z125-CPAT_National!Z122))</f>
        <v>0</v>
      </c>
      <c r="AA1864">
        <f>MAX(ABS(CPAT_National!AA27-CPAT_National!AA26),ABS(CPAT_National!AA28-CPAT_National!AA26),ABS(CPAT_National!AA29-CPAT_National!AA26),ABS(CPAT_National!AA35-CPAT_National!AA34),ABS(CPAT_National!AA36-CPAT_National!AA34),ABS(CPAT_National!AA37-CPAT_National!AA34),ABS(CPAT_National!AA43-CPAT_National!AA42),ABS(CPAT_National!AA44-CPAT_National!AA42),ABS(CPAT_National!AA45-CPAT_National!AA42),ABS(CPAT_National!AA51-CPAT_National!AA50),ABS(CPAT_National!AA52-CPAT_National!AA50),ABS(CPAT_National!AA53-CPAT_National!AA50),ABS(CPAT_National!AA59-CPAT_National!AA58),ABS(CPAT_National!AA60-CPAT_National!AA58),ABS(CPAT_National!AA61-CPAT_National!AA58),ABS(CPAT_National!AA67-CPAT_National!AA66),ABS(CPAT_National!AA68-CPAT_National!AA66),ABS(CPAT_National!AA69-CPAT_National!AA66),ABS(CPAT_National!AA83-CPAT_National!AA82),ABS(CPAT_National!AA84-CPAT_National!AA82),ABS(CPAT_National!AA85-CPAT_National!AA82),ABS(CPAT_National!AA91-CPAT_National!AA90),ABS(CPAT_National!AA92-CPAT_National!AA90),ABS(CPAT_National!AA93-CPAT_National!AA90),ABS(CPAT_National!AA123-CPAT_National!AA122),ABS(CPAT_National!AA124-CPAT_National!AA122),ABS(CPAT_National!AA125-CPAT_National!AA122))</f>
        <v>0</v>
      </c>
      <c r="AB1864">
        <f>MAX(ABS(CPAT_National!AB27-CPAT_National!AB26),ABS(CPAT_National!AB28-CPAT_National!AB26),ABS(CPAT_National!AB29-CPAT_National!AB26),ABS(CPAT_National!AB35-CPAT_National!AB34),ABS(CPAT_National!AB36-CPAT_National!AB34),ABS(CPAT_National!AB37-CPAT_National!AB34),ABS(CPAT_National!AB43-CPAT_National!AB42),ABS(CPAT_National!AB44-CPAT_National!AB42),ABS(CPAT_National!AB45-CPAT_National!AB42),ABS(CPAT_National!AB51-CPAT_National!AB50),ABS(CPAT_National!AB52-CPAT_National!AB50),ABS(CPAT_National!AB53-CPAT_National!AB50),ABS(CPAT_National!AB59-CPAT_National!AB58),ABS(CPAT_National!AB60-CPAT_National!AB58),ABS(CPAT_National!AB61-CPAT_National!AB58),ABS(CPAT_National!AB67-CPAT_National!AB66),ABS(CPAT_National!AB68-CPAT_National!AB66),ABS(CPAT_National!AB69-CPAT_National!AB66),ABS(CPAT_National!AB83-CPAT_National!AB82),ABS(CPAT_National!AB84-CPAT_National!AB82),ABS(CPAT_National!AB85-CPAT_National!AB82),ABS(CPAT_National!AB91-CPAT_National!AB90),ABS(CPAT_National!AB92-CPAT_National!AB90),ABS(CPAT_National!AB93-CPAT_National!AB90),ABS(CPAT_National!AB123-CPAT_National!AB122),ABS(CPAT_National!AB124-CPAT_National!AB122),ABS(CPAT_National!AB125-CPAT_National!AB122))</f>
        <v>0</v>
      </c>
      <c r="AC1864">
        <f>MAX(ABS(CPAT_National!AC27-CPAT_National!AC26),ABS(CPAT_National!AC28-CPAT_National!AC26),ABS(CPAT_National!AC29-CPAT_National!AC26),ABS(CPAT_National!AC35-CPAT_National!AC34),ABS(CPAT_National!AC36-CPAT_National!AC34),ABS(CPAT_National!AC37-CPAT_National!AC34),ABS(CPAT_National!AC43-CPAT_National!AC42),ABS(CPAT_National!AC44-CPAT_National!AC42),ABS(CPAT_National!AC45-CPAT_National!AC42),ABS(CPAT_National!AC51-CPAT_National!AC50),ABS(CPAT_National!AC52-CPAT_National!AC50),ABS(CPAT_National!AC53-CPAT_National!AC50),ABS(CPAT_National!AC59-CPAT_National!AC58),ABS(CPAT_National!AC60-CPAT_National!AC58),ABS(CPAT_National!AC61-CPAT_National!AC58),ABS(CPAT_National!AC67-CPAT_National!AC66),ABS(CPAT_National!AC68-CPAT_National!AC66),ABS(CPAT_National!AC69-CPAT_National!AC66),ABS(CPAT_National!AC83-CPAT_National!AC82),ABS(CPAT_National!AC84-CPAT_National!AC82),ABS(CPAT_National!AC85-CPAT_National!AC82),ABS(CPAT_National!AC91-CPAT_National!AC90),ABS(CPAT_National!AC92-CPAT_National!AC90),ABS(CPAT_National!AC93-CPAT_National!AC90),ABS(CPAT_National!AC123-CPAT_National!AC122),ABS(CPAT_National!AC124-CPAT_National!AC122),ABS(CPAT_National!AC125-CPAT_National!AC122))</f>
        <v>0</v>
      </c>
      <c r="AD1864">
        <f>MAX(ABS(CPAT_National!AD27-CPAT_National!AD26),ABS(CPAT_National!AD28-CPAT_National!AD26),ABS(CPAT_National!AD29-CPAT_National!AD26),ABS(CPAT_National!AD35-CPAT_National!AD34),ABS(CPAT_National!AD36-CPAT_National!AD34),ABS(CPAT_National!AD37-CPAT_National!AD34),ABS(CPAT_National!AD43-CPAT_National!AD42),ABS(CPAT_National!AD44-CPAT_National!AD42),ABS(CPAT_National!AD45-CPAT_National!AD42),ABS(CPAT_National!AD51-CPAT_National!AD50),ABS(CPAT_National!AD52-CPAT_National!AD50),ABS(CPAT_National!AD53-CPAT_National!AD50),ABS(CPAT_National!AD59-CPAT_National!AD58),ABS(CPAT_National!AD60-CPAT_National!AD58),ABS(CPAT_National!AD61-CPAT_National!AD58),ABS(CPAT_National!AD67-CPAT_National!AD66),ABS(CPAT_National!AD68-CPAT_National!AD66),ABS(CPAT_National!AD69-CPAT_National!AD66),ABS(CPAT_National!AD83-CPAT_National!AD82),ABS(CPAT_National!AD84-CPAT_National!AD82),ABS(CPAT_National!AD85-CPAT_National!AD82),ABS(CPAT_National!AD91-CPAT_National!AD90),ABS(CPAT_National!AD92-CPAT_National!AD90),ABS(CPAT_National!AD93-CPAT_National!AD90),ABS(CPAT_National!AD123-CPAT_National!AD122),ABS(CPAT_National!AD124-CPAT_National!AD122),ABS(CPAT_National!AD125-CPAT_National!AD122))</f>
        <v>0</v>
      </c>
      <c r="AE1864">
        <f>MAX(ABS(CPAT_National!AE27-CPAT_National!AE26),ABS(CPAT_National!AE28-CPAT_National!AE26),ABS(CPAT_National!AE29-CPAT_National!AE26),ABS(CPAT_National!AE35-CPAT_National!AE34),ABS(CPAT_National!AE36-CPAT_National!AE34),ABS(CPAT_National!AE37-CPAT_National!AE34),ABS(CPAT_National!AE43-CPAT_National!AE42),ABS(CPAT_National!AE44-CPAT_National!AE42),ABS(CPAT_National!AE45-CPAT_National!AE42),ABS(CPAT_National!AE51-CPAT_National!AE50),ABS(CPAT_National!AE52-CPAT_National!AE50),ABS(CPAT_National!AE53-CPAT_National!AE50),ABS(CPAT_National!AE59-CPAT_National!AE58),ABS(CPAT_National!AE60-CPAT_National!AE58),ABS(CPAT_National!AE61-CPAT_National!AE58),ABS(CPAT_National!AE67-CPAT_National!AE66),ABS(CPAT_National!AE68-CPAT_National!AE66),ABS(CPAT_National!AE69-CPAT_National!AE66),ABS(CPAT_National!AE83-CPAT_National!AE82),ABS(CPAT_National!AE84-CPAT_National!AE82),ABS(CPAT_National!AE85-CPAT_National!AE82),ABS(CPAT_National!AE91-CPAT_National!AE90),ABS(CPAT_National!AE92-CPAT_National!AE90),ABS(CPAT_National!AE93-CPAT_National!AE90),ABS(CPAT_National!AE123-CPAT_National!AE122),ABS(CPAT_National!AE124-CPAT_National!AE122),ABS(CPAT_National!AE125-CPAT_National!AE122))</f>
        <v>0</v>
      </c>
    </row>
    <row r="1865" spans="1:35" x14ac:dyDescent="0.45">
      <c r="A1865" t="s">
        <v>3587</v>
      </c>
      <c r="D1865">
        <v>2</v>
      </c>
      <c r="E1865" t="s">
        <v>1161</v>
      </c>
      <c r="F1865">
        <f>MAX(MAX(L1865:AE1865),-MIN(L1865:AE1865))</f>
        <v>0</v>
      </c>
      <c r="I1865">
        <v>0</v>
      </c>
      <c r="L1865">
        <f>IF(Table2_Industry!$D$15="-",ABS(Table2_Industry!L84)+ABS(Table2_Industry!L83)+ABS(Table2_Industry!L92)+ABS(Table2_Industry!L94)+ABS(Table2_Industry!L96),0)</f>
        <v>0</v>
      </c>
      <c r="M1865">
        <f>IF(Table2_Industry!$D$15="-",ABS(Table2_Industry!M84)+ABS(Table2_Industry!M83)+ABS(Table2_Industry!M92)+ABS(Table2_Industry!M94)+ABS(Table2_Industry!M96),0)</f>
        <v>0</v>
      </c>
      <c r="N1865">
        <f>IF(Table2_Industry!$D$15="-",ABS(Table2_Industry!N84)+ABS(Table2_Industry!N83)+ABS(Table2_Industry!N92)+ABS(Table2_Industry!N94)+ABS(Table2_Industry!N96),0)</f>
        <v>0</v>
      </c>
      <c r="O1865">
        <f>IF(Table2_Industry!$D$15="-",ABS(Table2_Industry!O84)+ABS(Table2_Industry!O83)+ABS(Table2_Industry!O92)+ABS(Table2_Industry!O94)+ABS(Table2_Industry!O96),0)</f>
        <v>0</v>
      </c>
      <c r="P1865">
        <f>IF(Table2_Industry!$D$15="-",ABS(Table2_Industry!P84)+ABS(Table2_Industry!P83)+ABS(Table2_Industry!P92)+ABS(Table2_Industry!P94)+ABS(Table2_Industry!P96),0)</f>
        <v>0</v>
      </c>
      <c r="Q1865">
        <f>IF(Table2_Industry!$D$15="-",ABS(Table2_Industry!Q84)+ABS(Table2_Industry!Q83)+ABS(Table2_Industry!Q92)+ABS(Table2_Industry!Q94)+ABS(Table2_Industry!Q96),0)</f>
        <v>0</v>
      </c>
      <c r="R1865">
        <f>IF(Table2_Industry!$D$15="-",ABS(Table2_Industry!R84)+ABS(Table2_Industry!R83)+ABS(Table2_Industry!R92)+ABS(Table2_Industry!R94)+ABS(Table2_Industry!R96),0)</f>
        <v>0</v>
      </c>
      <c r="S1865">
        <f>IF(Table2_Industry!$D$15="-",ABS(Table2_Industry!S84)+ABS(Table2_Industry!S83)+ABS(Table2_Industry!S92)+ABS(Table2_Industry!S94)+ABS(Table2_Industry!S96),0)</f>
        <v>0</v>
      </c>
      <c r="T1865">
        <f>IF(Table2_Industry!$D$15="-",ABS(Table2_Industry!T84)+ABS(Table2_Industry!T83)+ABS(Table2_Industry!T92)+ABS(Table2_Industry!T94)+ABS(Table2_Industry!T96),0)</f>
        <v>0</v>
      </c>
      <c r="U1865">
        <f>IF(Table2_Industry!$D$15="-",ABS(Table2_Industry!U84)+ABS(Table2_Industry!U83)+ABS(Table2_Industry!U92)+ABS(Table2_Industry!U94)+ABS(Table2_Industry!U96),0)</f>
        <v>0</v>
      </c>
      <c r="V1865">
        <f>IF(Table2_Industry!$D$15="-",ABS(Table2_Industry!V84)+ABS(Table2_Industry!V83)+ABS(Table2_Industry!V92)+ABS(Table2_Industry!V94)+ABS(Table2_Industry!V96),0)</f>
        <v>0</v>
      </c>
      <c r="W1865">
        <f>IF(Table2_Industry!$D$15="-",ABS(Table2_Industry!W84)+ABS(Table2_Industry!W83)+ABS(Table2_Industry!W92)+ABS(Table2_Industry!W94)+ABS(Table2_Industry!W96),0)</f>
        <v>0</v>
      </c>
      <c r="X1865">
        <f>IF(Table2_Industry!$D$15="-",ABS(Table2_Industry!X84)+ABS(Table2_Industry!X83)+ABS(Table2_Industry!X92)+ABS(Table2_Industry!X94)+ABS(Table2_Industry!X96),0)</f>
        <v>0</v>
      </c>
      <c r="Y1865">
        <f>IF(Table2_Industry!$D$15="-",ABS(Table2_Industry!Y84)+ABS(Table2_Industry!Y83)+ABS(Table2_Industry!Y92)+ABS(Table2_Industry!Y94)+ABS(Table2_Industry!Y96),0)</f>
        <v>0</v>
      </c>
      <c r="Z1865">
        <f>IF(Table2_Industry!$D$15="-",ABS(Table2_Industry!Z84)+ABS(Table2_Industry!Z83)+ABS(Table2_Industry!Z92)+ABS(Table2_Industry!Z94)+ABS(Table2_Industry!Z96),0)</f>
        <v>0</v>
      </c>
      <c r="AA1865">
        <f>IF(Table2_Industry!$D$15="-",ABS(Table2_Industry!AA84)+ABS(Table2_Industry!AA83)+ABS(Table2_Industry!AA92)+ABS(Table2_Industry!AA94)+ABS(Table2_Industry!AA96),0)</f>
        <v>0</v>
      </c>
      <c r="AB1865">
        <f>IF(Table2_Industry!$D$15="-",ABS(Table2_Industry!AB84)+ABS(Table2_Industry!AB83)+ABS(Table2_Industry!AB92)+ABS(Table2_Industry!AB94)+ABS(Table2_Industry!AB96),0)</f>
        <v>0</v>
      </c>
      <c r="AC1865">
        <f>IF(Table2_Industry!$D$15="-",ABS(Table2_Industry!AC84)+ABS(Table2_Industry!AC83)+ABS(Table2_Industry!AC92)+ABS(Table2_Industry!AC94)+ABS(Table2_Industry!AC96),0)</f>
        <v>0</v>
      </c>
      <c r="AD1865">
        <f>IF(Table2_Industry!$D$15="-",ABS(Table2_Industry!AD84)+ABS(Table2_Industry!AD83)+ABS(Table2_Industry!AD92)+ABS(Table2_Industry!AD94)+ABS(Table2_Industry!AD96),0)</f>
        <v>0</v>
      </c>
      <c r="AE1865">
        <f>IF(Table2_Industry!$D$15="-",ABS(Table2_Industry!AE84)+ABS(Table2_Industry!AE83)+ABS(Table2_Industry!AE92)+ABS(Table2_Industry!AE94)+ABS(Table2_Industry!AE96),0)</f>
        <v>0</v>
      </c>
    </row>
    <row r="1866" spans="1:35" x14ac:dyDescent="0.45">
      <c r="A1866" t="s">
        <v>3669</v>
      </c>
      <c r="D1866">
        <v>2</v>
      </c>
      <c r="E1866" t="s">
        <v>1161</v>
      </c>
      <c r="F1866">
        <f>MAX(MAX(L1866:AE1866),-MIN(L1866:AE1866))</f>
        <v>0</v>
      </c>
      <c r="I1866">
        <v>0</v>
      </c>
      <c r="L1866">
        <f>IF(Table2_Industry!$D$15="-",0,Table2_Industry!L82-(Table2_Industry!L61+Table2_Industry!L64-Table2_Industry!L52))</f>
        <v>0</v>
      </c>
      <c r="M1866">
        <f>IF(Table2_Industry!$D$15="-",0,Table2_Industry!M82-(Table2_Industry!M61+Table2_Industry!M64-Table2_Industry!M52))</f>
        <v>0</v>
      </c>
      <c r="N1866">
        <f>IF(Table2_Industry!$D$15="-",0,Table2_Industry!N82-(Table2_Industry!N61+Table2_Industry!N64-Table2_Industry!N52))</f>
        <v>0</v>
      </c>
      <c r="O1866">
        <f>IF(Table2_Industry!$D$15="-",0,Table2_Industry!O82-(Table2_Industry!O61+Table2_Industry!O64-Table2_Industry!O52))</f>
        <v>0</v>
      </c>
      <c r="P1866">
        <f>IF(Table2_Industry!$D$15="-",0,Table2_Industry!P82-(Table2_Industry!P61+Table2_Industry!P64-Table2_Industry!P52))</f>
        <v>0</v>
      </c>
      <c r="Q1866">
        <f>IF(Table2_Industry!$D$15="-",0,Table2_Industry!Q82-(Table2_Industry!Q61+Table2_Industry!Q64-Table2_Industry!Q52))</f>
        <v>0</v>
      </c>
      <c r="R1866">
        <f>IF(Table2_Industry!$D$15="-",0,Table2_Industry!R82-(Table2_Industry!R61+Table2_Industry!R64-Table2_Industry!R52))</f>
        <v>0</v>
      </c>
      <c r="S1866">
        <f>IF(Table2_Industry!$D$15="-",0,Table2_Industry!S82-(Table2_Industry!S61+Table2_Industry!S64-Table2_Industry!S52))</f>
        <v>0</v>
      </c>
      <c r="T1866">
        <f>IF(Table2_Industry!$D$15="-",0,Table2_Industry!T82-(Table2_Industry!T61+Table2_Industry!T64-Table2_Industry!T52))</f>
        <v>0</v>
      </c>
      <c r="U1866">
        <f>IF(Table2_Industry!$D$15="-",0,Table2_Industry!U82-(Table2_Industry!U61+Table2_Industry!U64-Table2_Industry!U52))</f>
        <v>0</v>
      </c>
      <c r="V1866">
        <f>IF(Table2_Industry!$D$15="-",0,Table2_Industry!V82-(Table2_Industry!V61+Table2_Industry!V64-Table2_Industry!V52))</f>
        <v>0</v>
      </c>
      <c r="W1866">
        <f>IF(Table2_Industry!$D$15="-",0,Table2_Industry!W82-(Table2_Industry!W61+Table2_Industry!W64-Table2_Industry!W52))</f>
        <v>0</v>
      </c>
      <c r="X1866">
        <f>IF(Table2_Industry!$D$15="-",0,Table2_Industry!X82-(Table2_Industry!X61+Table2_Industry!X64-Table2_Industry!X52))</f>
        <v>0</v>
      </c>
      <c r="Y1866">
        <f>IF(Table2_Industry!$D$15="-",0,Table2_Industry!Y82-(Table2_Industry!Y61+Table2_Industry!Y64-Table2_Industry!Y52))</f>
        <v>0</v>
      </c>
      <c r="Z1866">
        <f>IF(Table2_Industry!$D$15="-",0,Table2_Industry!Z82-(Table2_Industry!Z61+Table2_Industry!Z64-Table2_Industry!Z52))</f>
        <v>0</v>
      </c>
      <c r="AA1866">
        <f>IF(Table2_Industry!$D$15="-",0,Table2_Industry!AA82-(Table2_Industry!AA61+Table2_Industry!AA64-Table2_Industry!AA52))</f>
        <v>0</v>
      </c>
      <c r="AB1866">
        <f>IF(Table2_Industry!$D$15="-",0,Table2_Industry!AB82-(Table2_Industry!AB61+Table2_Industry!AB64-Table2_Industry!AB52))</f>
        <v>0</v>
      </c>
      <c r="AC1866">
        <f>IF(Table2_Industry!$D$15="-",0,Table2_Industry!AC82-(Table2_Industry!AC61+Table2_Industry!AC64-Table2_Industry!AC52))</f>
        <v>0</v>
      </c>
      <c r="AD1866">
        <f>IF(Table2_Industry!$D$15="-",0,Table2_Industry!AD82-(Table2_Industry!AD61+Table2_Industry!AD64-Table2_Industry!AD52))</f>
        <v>0</v>
      </c>
      <c r="AE1866">
        <f>IF(Table2_Industry!$D$15="-",0,Table2_Industry!AE82-(Table2_Industry!AE61+Table2_Industry!AE64-Table2_Industry!AE52))</f>
        <v>0</v>
      </c>
    </row>
    <row r="1867" spans="1:35" x14ac:dyDescent="0.45">
      <c r="A1867" t="s">
        <v>3588</v>
      </c>
      <c r="D1867">
        <v>2</v>
      </c>
      <c r="E1867" t="s">
        <v>1161</v>
      </c>
      <c r="F1867">
        <f>MAX(MAX(L1867:AE1867),-MIN(L1867:AE1867))</f>
        <v>0</v>
      </c>
      <c r="I1867">
        <v>0</v>
      </c>
      <c r="L1867">
        <f>Table2_Industry!L83-IF(Table2_Industry!$D$15="-",0,Table2_Industry!L49+Table2_Industry!L81+Table2_Industry!L82)</f>
        <v>0</v>
      </c>
      <c r="M1867">
        <f>Table2_Industry!M83-IF(Table2_Industry!$D$15="-",0,Table2_Industry!M49+Table2_Industry!M81+Table2_Industry!M82)</f>
        <v>0</v>
      </c>
      <c r="N1867">
        <f>Table2_Industry!N83-IF(Table2_Industry!$D$15="-",0,Table2_Industry!N49+Table2_Industry!N81+Table2_Industry!N82)</f>
        <v>0</v>
      </c>
      <c r="O1867">
        <f>Table2_Industry!O83-IF(Table2_Industry!$D$15="-",0,Table2_Industry!O49+Table2_Industry!O81+Table2_Industry!O82)</f>
        <v>0</v>
      </c>
      <c r="P1867">
        <f>Table2_Industry!P83-IF(Table2_Industry!$D$15="-",0,Table2_Industry!P49+Table2_Industry!P81+Table2_Industry!P82)</f>
        <v>0</v>
      </c>
      <c r="Q1867">
        <f>Table2_Industry!Q83-IF(Table2_Industry!$D$15="-",0,Table2_Industry!Q49+Table2_Industry!Q81+Table2_Industry!Q82)</f>
        <v>0</v>
      </c>
      <c r="R1867">
        <f>Table2_Industry!R83-IF(Table2_Industry!$D$15="-",0,Table2_Industry!R49+Table2_Industry!R81+Table2_Industry!R82)</f>
        <v>0</v>
      </c>
      <c r="S1867">
        <f>Table2_Industry!S83-IF(Table2_Industry!$D$15="-",0,Table2_Industry!S49+Table2_Industry!S81+Table2_Industry!S82)</f>
        <v>0</v>
      </c>
      <c r="T1867">
        <f>Table2_Industry!T83-IF(Table2_Industry!$D$15="-",0,Table2_Industry!T49+Table2_Industry!T81+Table2_Industry!T82)</f>
        <v>0</v>
      </c>
      <c r="U1867">
        <f>Table2_Industry!U83-IF(Table2_Industry!$D$15="-",0,Table2_Industry!U49+Table2_Industry!U81+Table2_Industry!U82)</f>
        <v>0</v>
      </c>
      <c r="V1867">
        <f>Table2_Industry!V83-IF(Table2_Industry!$D$15="-",0,Table2_Industry!V49+Table2_Industry!V81+Table2_Industry!V82)</f>
        <v>0</v>
      </c>
      <c r="W1867">
        <f>Table2_Industry!W83-IF(Table2_Industry!$D$15="-",0,Table2_Industry!W49+Table2_Industry!W81+Table2_Industry!W82)</f>
        <v>0</v>
      </c>
      <c r="X1867">
        <f>Table2_Industry!X83-IF(Table2_Industry!$D$15="-",0,Table2_Industry!X49+Table2_Industry!X81+Table2_Industry!X82)</f>
        <v>0</v>
      </c>
      <c r="Y1867">
        <f>Table2_Industry!Y83-IF(Table2_Industry!$D$15="-",0,Table2_Industry!Y49+Table2_Industry!Y81+Table2_Industry!Y82)</f>
        <v>0</v>
      </c>
      <c r="Z1867">
        <f>Table2_Industry!Z83-IF(Table2_Industry!$D$15="-",0,Table2_Industry!Z49+Table2_Industry!Z81+Table2_Industry!Z82)</f>
        <v>0</v>
      </c>
      <c r="AA1867">
        <f>Table2_Industry!AA83-IF(Table2_Industry!$D$15="-",0,Table2_Industry!AA49+Table2_Industry!AA81+Table2_Industry!AA82)</f>
        <v>0</v>
      </c>
      <c r="AB1867">
        <f>Table2_Industry!AB83-IF(Table2_Industry!$D$15="-",0,Table2_Industry!AB49+Table2_Industry!AB81+Table2_Industry!AB82)</f>
        <v>0</v>
      </c>
      <c r="AC1867">
        <f>Table2_Industry!AC83-IF(Table2_Industry!$D$15="-",0,Table2_Industry!AC49+Table2_Industry!AC81+Table2_Industry!AC82)</f>
        <v>0</v>
      </c>
      <c r="AD1867">
        <f>Table2_Industry!AD83-IF(Table2_Industry!$D$15="-",0,Table2_Industry!AD49+Table2_Industry!AD81+Table2_Industry!AD82)</f>
        <v>0</v>
      </c>
      <c r="AE1867">
        <f>Table2_Industry!AE83-IF(Table2_Industry!$D$15="-",0,Table2_Industry!AE49+Table2_Industry!AE81+Table2_Industry!AE82)</f>
        <v>0</v>
      </c>
    </row>
    <row r="1868" spans="1:35" x14ac:dyDescent="0.45">
      <c r="A1868" t="s">
        <v>3589</v>
      </c>
      <c r="D1868">
        <v>2</v>
      </c>
      <c r="E1868" t="s">
        <v>2167</v>
      </c>
      <c r="F1868">
        <f>SUM(L1868:AE1868)</f>
        <v>0</v>
      </c>
      <c r="I1868">
        <v>0</v>
      </c>
      <c r="L1868">
        <f>--(Table2_Industry!L92&gt;Table2_Industry!L91+0.000000001)</f>
        <v>0</v>
      </c>
      <c r="M1868">
        <f>--(Table2_Industry!M92&gt;Table2_Industry!M91+0.000000001)</f>
        <v>0</v>
      </c>
      <c r="N1868">
        <f>--(Table2_Industry!N92&gt;Table2_Industry!N91+0.000000001)</f>
        <v>0</v>
      </c>
      <c r="O1868">
        <f>--(Table2_Industry!O92&gt;Table2_Industry!O91+0.000000001)</f>
        <v>0</v>
      </c>
      <c r="P1868">
        <f>--(Table2_Industry!P92&gt;Table2_Industry!P91+0.000000001)</f>
        <v>0</v>
      </c>
      <c r="Q1868">
        <f>--(Table2_Industry!Q92&gt;Table2_Industry!Q91+0.000000001)</f>
        <v>0</v>
      </c>
      <c r="R1868">
        <f>--(Table2_Industry!R92&gt;Table2_Industry!R91+0.000000001)</f>
        <v>0</v>
      </c>
      <c r="S1868">
        <f>--(Table2_Industry!S92&gt;Table2_Industry!S91+0.000000001)</f>
        <v>0</v>
      </c>
      <c r="T1868">
        <f>--(Table2_Industry!T92&gt;Table2_Industry!T91+0.000000001)</f>
        <v>0</v>
      </c>
      <c r="U1868">
        <f>--(Table2_Industry!U92&gt;Table2_Industry!U91+0.000000001)</f>
        <v>0</v>
      </c>
      <c r="V1868">
        <f>--(Table2_Industry!V92&gt;Table2_Industry!V91+0.000000001)</f>
        <v>0</v>
      </c>
      <c r="W1868">
        <f>--(Table2_Industry!W92&gt;Table2_Industry!W91+0.000000001)</f>
        <v>0</v>
      </c>
      <c r="X1868">
        <f>--(Table2_Industry!X92&gt;Table2_Industry!X91+0.000000001)</f>
        <v>0</v>
      </c>
      <c r="Y1868">
        <f>--(Table2_Industry!Y92&gt;Table2_Industry!Y91+0.000000001)</f>
        <v>0</v>
      </c>
      <c r="Z1868">
        <f>--(Table2_Industry!Z92&gt;Table2_Industry!Z91+0.000000001)</f>
        <v>0</v>
      </c>
      <c r="AA1868">
        <f>--(Table2_Industry!AA92&gt;Table2_Industry!AA91+0.000000001)</f>
        <v>0</v>
      </c>
      <c r="AB1868">
        <f>--(Table2_Industry!AB92&gt;Table2_Industry!AB91+0.000000001)</f>
        <v>0</v>
      </c>
      <c r="AC1868">
        <f>--(Table2_Industry!AC92&gt;Table2_Industry!AC91+0.000000001)</f>
        <v>0</v>
      </c>
      <c r="AD1868">
        <f>--(Table2_Industry!AD92&gt;Table2_Industry!AD91+0.000000001)</f>
        <v>0</v>
      </c>
      <c r="AE1868">
        <f>--(Table2_Industry!AE92&gt;Table2_Industry!AE91+0.000000001)</f>
        <v>0</v>
      </c>
    </row>
    <row r="1869" spans="1:35" x14ac:dyDescent="0.45">
      <c r="A1869" t="s">
        <v>3590</v>
      </c>
      <c r="D1869">
        <v>2</v>
      </c>
      <c r="E1869" t="s">
        <v>1161</v>
      </c>
      <c r="F1869">
        <f>IF(OR(Table2_Industry!$D$15="-",Table2_Industry!$D$19&lt;&gt;2030),0,SUMPRODUCT(ABS(Table2_Industry!$F$102:$Q$102-INDEX(Table2_Industry!$F$103:$Q$108,MATCH(Table2_Industry!$B$102,Table2_Industry!$B$103:$B$108,0),0))))</f>
        <v>0</v>
      </c>
      <c r="I1869">
        <v>0</v>
      </c>
    </row>
    <row r="1871" spans="1:35" x14ac:dyDescent="0.45">
      <c r="A1871" s="52" t="s">
        <v>3676</v>
      </c>
    </row>
    <row r="1872" spans="1:35" x14ac:dyDescent="0.45">
      <c r="A1872" t="s">
        <v>3592</v>
      </c>
      <c r="D1872">
        <v>2</v>
      </c>
      <c r="E1872" t="s">
        <v>3250</v>
      </c>
      <c r="F1872" s="130">
        <f>Table2_Industry!S103</f>
        <v>2.347950620250419</v>
      </c>
    </row>
    <row r="1873" spans="1:35" x14ac:dyDescent="0.45">
      <c r="A1873" t="s">
        <v>3593</v>
      </c>
      <c r="D1873">
        <v>2</v>
      </c>
      <c r="E1873" t="s">
        <v>3250</v>
      </c>
      <c r="F1873" s="130">
        <f>Table2_Industry!S104</f>
        <v>2.3475188847566706</v>
      </c>
    </row>
    <row r="1874" spans="1:35" x14ac:dyDescent="0.45">
      <c r="A1874" t="s">
        <v>3594</v>
      </c>
      <c r="D1874">
        <v>2</v>
      </c>
      <c r="E1874" t="s">
        <v>3250</v>
      </c>
      <c r="F1874" s="130">
        <f>Table2_Industry!S105</f>
        <v>2.6336123698808507</v>
      </c>
    </row>
    <row r="1875" spans="1:35" x14ac:dyDescent="0.45">
      <c r="A1875" t="s">
        <v>3595</v>
      </c>
      <c r="D1875">
        <v>2</v>
      </c>
      <c r="E1875" t="s">
        <v>3250</v>
      </c>
      <c r="F1875" s="130">
        <f>Table2_Industry!S106</f>
        <v>3.9414065436773029</v>
      </c>
    </row>
    <row r="1876" spans="1:35" x14ac:dyDescent="0.45">
      <c r="A1876" t="s">
        <v>3596</v>
      </c>
      <c r="D1876">
        <v>2</v>
      </c>
      <c r="E1876" t="s">
        <v>3250</v>
      </c>
      <c r="F1876" s="130">
        <f>Table2_Industry!S107</f>
        <v>2.1819899396107978</v>
      </c>
    </row>
    <row r="1877" spans="1:35" x14ac:dyDescent="0.45">
      <c r="A1877" t="s">
        <v>3597</v>
      </c>
      <c r="D1877">
        <v>2</v>
      </c>
      <c r="E1877" t="s">
        <v>3250</v>
      </c>
      <c r="F1877" s="130">
        <f>Table2_Industry!S108</f>
        <v>-2.283228353745038</v>
      </c>
    </row>
    <row r="1880" spans="1:35" x14ac:dyDescent="0.45">
      <c r="A1880" s="52" t="s">
        <v>3624</v>
      </c>
    </row>
    <row r="1881" spans="1:35" x14ac:dyDescent="0.45">
      <c r="A1881" t="s">
        <v>3637</v>
      </c>
      <c r="D1881" s="89">
        <f>IF(MAX(F1884:F1903)&lt;0.000000001,0,MAX(F1884:F1903))</f>
        <v>0</v>
      </c>
    </row>
    <row r="1883" spans="1:35" x14ac:dyDescent="0.45">
      <c r="A1883" s="50" t="s">
        <v>1488</v>
      </c>
      <c r="B1883" s="50"/>
      <c r="C1883" s="50"/>
      <c r="D1883" s="50"/>
      <c r="E1883" s="50" t="s">
        <v>1111</v>
      </c>
      <c r="F1883" s="50" t="s">
        <v>3625</v>
      </c>
      <c r="G1883" s="50"/>
      <c r="H1883" s="50"/>
      <c r="I1883" s="50" t="s">
        <v>1489</v>
      </c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  <c r="AI1883" s="50"/>
    </row>
    <row r="1884" spans="1:35" x14ac:dyDescent="0.45">
      <c r="A1884" t="s">
        <v>3626</v>
      </c>
      <c r="E1884" t="s">
        <v>1161</v>
      </c>
      <c r="F1884">
        <f>ABS('Manual inputs'!H30-0.17797725)+ABS('Manual inputs'!I30-0.39301352)+ABS('Manual inputs'!J30-0.03790102)+ABS('Manual inputs'!K30-0)</f>
        <v>0</v>
      </c>
      <c r="I1884">
        <v>0</v>
      </c>
    </row>
    <row r="1885" spans="1:35" x14ac:dyDescent="0.45">
      <c r="A1885" t="s">
        <v>3627</v>
      </c>
      <c r="E1885" t="s">
        <v>1161</v>
      </c>
      <c r="F1885">
        <f>ABS('Manual inputs'!H31-0.04488)+ABS('Manual inputs'!I31-0)+ABS('Manual inputs'!J31-0.04398115)+ABS('Manual inputs'!K31-0)</f>
        <v>0</v>
      </c>
      <c r="I1885">
        <v>0</v>
      </c>
    </row>
    <row r="1886" spans="1:35" x14ac:dyDescent="0.45">
      <c r="A1886" t="s">
        <v>3628</v>
      </c>
      <c r="E1886" t="s">
        <v>1161</v>
      </c>
      <c r="F1886">
        <f>ABS('Manual inputs'!H32-0.1683)+ABS('Manual inputs'!I32-1.25668027)+ABS('Manual inputs'!J32-0.05276542)+ABS('Manual inputs'!K32-0)</f>
        <v>0</v>
      </c>
      <c r="I1886">
        <v>0</v>
      </c>
    </row>
    <row r="1887" spans="1:35" x14ac:dyDescent="0.45">
      <c r="A1887" t="s">
        <v>3629</v>
      </c>
      <c r="E1887" t="s">
        <v>1161</v>
      </c>
      <c r="F1887">
        <f>ABS('Manual inputs'!H33-0.3135685)+ABS('Manual inputs'!I33-0)+ABS('Manual inputs'!J33-0.53702616)+ABS('Manual inputs'!K33-0)</f>
        <v>5.5511151231257827E-17</v>
      </c>
      <c r="I1887">
        <v>0</v>
      </c>
    </row>
    <row r="1888" spans="1:35" x14ac:dyDescent="0.45">
      <c r="A1888" t="s">
        <v>3630</v>
      </c>
      <c r="E1888" t="s">
        <v>1161</v>
      </c>
      <c r="F1888">
        <f>ABS('Manual inputs'!H34-0.71247)+ABS('Manual inputs'!I34-1.26225)+ABS('Manual inputs'!J34-0)+ABS('Manual inputs'!K34-0)</f>
        <v>0</v>
      </c>
      <c r="I1888">
        <v>0</v>
      </c>
    </row>
    <row r="1889" spans="1:9" x14ac:dyDescent="0.45">
      <c r="A1889" t="s">
        <v>3631</v>
      </c>
      <c r="E1889" t="s">
        <v>1161</v>
      </c>
      <c r="F1889">
        <f>ABS('Manual inputs'!H35-0.1122)+ABS('Manual inputs'!I35-0)+ABS('Manual inputs'!J35-0)+ABS('Manual inputs'!K35-0)</f>
        <v>0</v>
      </c>
      <c r="I1889">
        <v>0</v>
      </c>
    </row>
    <row r="1890" spans="1:9" x14ac:dyDescent="0.45">
      <c r="A1890" t="s">
        <v>3632</v>
      </c>
      <c r="E1890" t="s">
        <v>1161</v>
      </c>
      <c r="F1890">
        <f>ABS('Manual inputs'!H36-0.1122)+ABS('Manual inputs'!I36-0)+ABS('Manual inputs'!J36-0)+ABS('Manual inputs'!K36-0.9944125)</f>
        <v>0</v>
      </c>
      <c r="I1890">
        <v>0</v>
      </c>
    </row>
    <row r="1891" spans="1:9" x14ac:dyDescent="0.45">
      <c r="A1891" t="s">
        <v>3633</v>
      </c>
      <c r="E1891" t="s">
        <v>1161</v>
      </c>
      <c r="F1891">
        <f>ABS('Manual inputs'!H37-0.12342)+ABS('Manual inputs'!I37-0)+ABS('Manual inputs'!J37-1.62349304)+ABS('Manual inputs'!K37-0.774)</f>
        <v>0</v>
      </c>
      <c r="I1891">
        <v>0</v>
      </c>
    </row>
    <row r="1892" spans="1:9" x14ac:dyDescent="0.45">
      <c r="A1892" t="s">
        <v>3634</v>
      </c>
      <c r="E1892" t="s">
        <v>1161</v>
      </c>
      <c r="F1892">
        <f>ABS('Manual inputs'!M35-1.1255904)</f>
        <v>0</v>
      </c>
      <c r="I1892">
        <v>0</v>
      </c>
    </row>
    <row r="1893" spans="1:9" x14ac:dyDescent="0.45">
      <c r="A1893" t="s">
        <v>3635</v>
      </c>
      <c r="E1893" t="s">
        <v>1161</v>
      </c>
      <c r="F1893">
        <f>ABS('Manual inputs'!M36-0.8462122)</f>
        <v>0</v>
      </c>
      <c r="I1893">
        <v>0</v>
      </c>
    </row>
    <row r="1894" spans="1:9" x14ac:dyDescent="0.45">
      <c r="A1894" t="s">
        <v>3636</v>
      </c>
      <c r="E1894" t="s">
        <v>1161</v>
      </c>
      <c r="F1894">
        <f>IF('Manual inputs'!E50="IPCC",0,1)</f>
        <v>0</v>
      </c>
      <c r="I1894">
        <v>0</v>
      </c>
    </row>
    <row r="1895" spans="1:9" x14ac:dyDescent="0.45">
      <c r="A1895" t="s">
        <v>3648</v>
      </c>
      <c r="E1895" t="s">
        <v>1161</v>
      </c>
      <c r="F1895">
        <f>IF(ABS('Manual inputs'!U53*(1-EXP(-'Manual inputs'!T53*122))-0.3433)&lt;=0.000001,0,1)</f>
        <v>0</v>
      </c>
      <c r="I1895">
        <v>0</v>
      </c>
    </row>
    <row r="1896" spans="1:9" x14ac:dyDescent="0.45">
      <c r="A1896" t="s">
        <v>3649</v>
      </c>
      <c r="E1896" t="s">
        <v>1161</v>
      </c>
      <c r="F1896">
        <f>ABS('Manual inputs'!U53*(1-EXP(-'Manual inputs'!T53*122))-0.3433)+ABS('Manual inputs'!W53*(1-EXP(-'Manual inputs'!V53*122))-0)</f>
        <v>5.5511151231257827E-17</v>
      </c>
      <c r="I1896">
        <v>0</v>
      </c>
    </row>
    <row r="1897" spans="1:9" x14ac:dyDescent="0.45">
      <c r="A1897" t="s">
        <v>3650</v>
      </c>
      <c r="E1897" t="s">
        <v>1161</v>
      </c>
      <c r="F1897">
        <f>ABS('Manual inputs'!U54*(1-EXP(-'Manual inputs'!T54*122))-0.181)+ABS('Manual inputs'!W54*(1-EXP(-'Manual inputs'!V54*122))-0)</f>
        <v>5.5511151231257827E-17</v>
      </c>
      <c r="I1897">
        <v>0</v>
      </c>
    </row>
    <row r="1898" spans="1:9" x14ac:dyDescent="0.45">
      <c r="A1898" t="s">
        <v>3651</v>
      </c>
      <c r="E1898" t="s">
        <v>1161</v>
      </c>
      <c r="F1898">
        <f>ABS('Manual inputs'!U55*(1-EXP(-'Manual inputs'!T55*122))-0.2803)+ABS('Manual inputs'!W55*(1-EXP(-'Manual inputs'!V55*122))-0)</f>
        <v>0</v>
      </c>
      <c r="I1898">
        <v>0</v>
      </c>
    </row>
    <row r="1899" spans="1:9" x14ac:dyDescent="0.45">
      <c r="A1899" t="s">
        <v>3652</v>
      </c>
      <c r="E1899" t="s">
        <v>1161</v>
      </c>
      <c r="F1899">
        <f>ABS('Manual inputs'!U56*(1-EXP(-'Manual inputs'!T56*122))-0.3352)+ABS('Manual inputs'!W56*(1-EXP(-'Manual inputs'!V56*122))-0)</f>
        <v>5.5511151231257827E-17</v>
      </c>
      <c r="I1899">
        <v>0</v>
      </c>
    </row>
    <row r="1900" spans="1:9" x14ac:dyDescent="0.45">
      <c r="A1900" t="s">
        <v>3653</v>
      </c>
      <c r="E1900" t="s">
        <v>1161</v>
      </c>
      <c r="F1900">
        <f>ABS('Manual inputs'!U57*(1-EXP(-'Manual inputs'!T57*122))-0)+ABS('Manual inputs'!W57*(1-EXP(-'Manual inputs'!V57*122))-0)</f>
        <v>0</v>
      </c>
      <c r="I1900">
        <v>0</v>
      </c>
    </row>
    <row r="1901" spans="1:9" x14ac:dyDescent="0.45">
      <c r="A1901" t="s">
        <v>3654</v>
      </c>
      <c r="E1901" t="s">
        <v>1161</v>
      </c>
      <c r="F1901">
        <f>ABS('Manual inputs'!U58*(1-EXP(-'Manual inputs'!T58*122))-0)+ABS('Manual inputs'!W58*(1-EXP(-'Manual inputs'!V58*122))-0)</f>
        <v>0</v>
      </c>
      <c r="I1901">
        <v>0</v>
      </c>
    </row>
    <row r="1902" spans="1:9" x14ac:dyDescent="0.45">
      <c r="A1902" t="s">
        <v>3655</v>
      </c>
      <c r="E1902" t="s">
        <v>1161</v>
      </c>
      <c r="F1902">
        <f>ABS('Manual inputs'!U59*(1-EXP(-'Manual inputs'!T59*122))-0)+ABS('Manual inputs'!W59*(1-EXP(-'Manual inputs'!V59*122))-0.6179)</f>
        <v>1.1102230246251565E-16</v>
      </c>
      <c r="I1902">
        <v>0</v>
      </c>
    </row>
    <row r="1903" spans="1:9" x14ac:dyDescent="0.45">
      <c r="A1903" t="s">
        <v>3656</v>
      </c>
      <c r="E1903" t="s">
        <v>1161</v>
      </c>
      <c r="F1903">
        <f>ABS('Manual inputs'!U60*(1-EXP(-'Manual inputs'!T60*122))-0.2164)+ABS('Manual inputs'!W60*(1-EXP(-'Manual inputs'!V60*122))-0.2164)</f>
        <v>5.5511151231257827E-17</v>
      </c>
      <c r="I1903">
        <v>0</v>
      </c>
    </row>
    <row r="1906" spans="1:35" x14ac:dyDescent="0.45">
      <c r="A1906" s="52" t="s">
        <v>3677</v>
      </c>
    </row>
    <row r="1907" spans="1:35" x14ac:dyDescent="0.45">
      <c r="A1907" t="s">
        <v>3684</v>
      </c>
      <c r="D1907" s="89">
        <f>IF(MAX(F1910:F1915)&lt;0.000001,0,MAX(F1910:F1915))</f>
        <v>0</v>
      </c>
    </row>
    <row r="1909" spans="1:35" x14ac:dyDescent="0.45">
      <c r="A1909" s="50" t="s">
        <v>1488</v>
      </c>
      <c r="B1909" s="50"/>
      <c r="C1909" s="50"/>
      <c r="D1909" s="50"/>
      <c r="E1909" s="50" t="s">
        <v>1111</v>
      </c>
      <c r="F1909" s="50" t="s">
        <v>3625</v>
      </c>
      <c r="G1909" s="50"/>
      <c r="H1909" s="50"/>
      <c r="I1909" s="50" t="s">
        <v>1489</v>
      </c>
      <c r="J1909" s="50"/>
      <c r="K1909" s="50"/>
      <c r="L1909" s="50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  <c r="AC1909" s="50"/>
      <c r="AD1909" s="50"/>
      <c r="AE1909" s="50"/>
      <c r="AF1909" s="50"/>
      <c r="AG1909" s="50"/>
      <c r="AH1909" s="50"/>
      <c r="AI1909" s="50"/>
    </row>
    <row r="1910" spans="1:35" x14ac:dyDescent="0.45">
      <c r="A1910" t="s">
        <v>3678</v>
      </c>
      <c r="E1910" t="s">
        <v>1161</v>
      </c>
      <c r="F1910">
        <f>SUMPRODUCT(('Manual inputs'!$E$53:$E$60&gt;0)*ABS('Manual inputs'!$F$53:$F$60-122))+SUMPRODUCT(('Manual inputs'!$I$53:$I$60&gt;0)*ABS('Manual inputs'!$J$53:$J$60-122))</f>
        <v>0</v>
      </c>
      <c r="I1910">
        <v>0</v>
      </c>
    </row>
    <row r="1911" spans="1:35" x14ac:dyDescent="0.45">
      <c r="A1911" t="s">
        <v>3679</v>
      </c>
      <c r="E1911" t="s">
        <v>1161</v>
      </c>
      <c r="F1911">
        <f>SUMPRODUCT(ABS(Fund_Industry!$L$407:$AE$407))</f>
        <v>0</v>
      </c>
      <c r="I1911">
        <v>0</v>
      </c>
    </row>
    <row r="1912" spans="1:35" x14ac:dyDescent="0.45">
      <c r="A1912" t="s">
        <v>3680</v>
      </c>
      <c r="E1912" t="s">
        <v>1161</v>
      </c>
      <c r="F1912">
        <f>SUMPRODUCT(--(Table2_Industry!$L$59:$AE$59&lt;IPPU_Industry!$L$17:$AE$17-0.000000001))</f>
        <v>0</v>
      </c>
      <c r="I1912">
        <v>0</v>
      </c>
    </row>
    <row r="1913" spans="1:35" x14ac:dyDescent="0.45">
      <c r="A1913" t="s">
        <v>3681</v>
      </c>
      <c r="E1913" t="s">
        <v>1161</v>
      </c>
      <c r="F1913">
        <f>SUMPRODUCT(--(Table2_Industry!$L$63:$AE$63&lt;-0.000000001))</f>
        <v>0</v>
      </c>
      <c r="I1913">
        <v>0</v>
      </c>
    </row>
    <row r="1914" spans="1:35" x14ac:dyDescent="0.45">
      <c r="A1914" t="s">
        <v>3682</v>
      </c>
      <c r="E1914" t="s">
        <v>1161</v>
      </c>
      <c r="F1914">
        <f>SUMPRODUCT(ABS(Table2_Industry!$L$59:$AE$59+Table2_Industry!$L$63:$AE$63-Table2_Industry!$L$62:$AE$62))</f>
        <v>3.5527136788005009E-14</v>
      </c>
      <c r="I1914">
        <v>0</v>
      </c>
    </row>
    <row r="1915" spans="1:35" x14ac:dyDescent="0.45">
      <c r="A1915" t="s">
        <v>3683</v>
      </c>
      <c r="E1915" t="s">
        <v>1161</v>
      </c>
      <c r="F1915">
        <f>SUMPRODUCT((Table2_Industry!$L$54:$AE$54&lt;=0)+(Table2_Industry!$L$54:$AE$54&gt;1))</f>
        <v>0</v>
      </c>
      <c r="I1915">
        <v>0</v>
      </c>
    </row>
    <row r="1918" spans="1:35" x14ac:dyDescent="0.45">
      <c r="A1918" s="52" t="s">
        <v>3780</v>
      </c>
    </row>
    <row r="1919" spans="1:35" x14ac:dyDescent="0.45">
      <c r="A1919" t="s">
        <v>3781</v>
      </c>
      <c r="D1919" s="89" t="str">
        <f>CarveOut_Table2!D88</f>
        <v>n/a</v>
      </c>
    </row>
    <row r="1920" spans="1:35" x14ac:dyDescent="0.45">
      <c r="A1920" t="s">
        <v>3782</v>
      </c>
      <c r="D1920">
        <f>IFERROR(CarveOut_Table2!D52,"n/a")</f>
        <v>0</v>
      </c>
    </row>
    <row r="1923" spans="1:4" x14ac:dyDescent="0.45">
      <c r="A1923" s="52" t="s">
        <v>3809</v>
      </c>
    </row>
    <row r="1924" spans="1:4" x14ac:dyDescent="0.45">
      <c r="A1924" t="s">
        <v>3810</v>
      </c>
      <c r="D1924" s="89">
        <f>SUMPRODUCT(--NOT(_xlfn.ISFORMULA(Mitigation_Industry!F276:G283)))+SUMPRODUCT(--NOT(_xlfn.ISFORMULA(Mitigation_Industry!I276:I283)))+SUMPRODUCT(--NOT(_xlfn.ISFORMULA(Mitigation_Industry!G288:G295)))+SUMPRODUCT(--NOT(_xlfn.ISFORMULA(Mitigation_Industry!F675:G682)))+SUMPRODUCT(--NOT(_xlfn.ISFORMULA(Mitigation_Industry!I675:I682)))+SUMPRODUCT(--NOT(_xlfn.ISFORMULA(Mitigation_Industry!G687:G694)))</f>
        <v>0</v>
      </c>
    </row>
    <row r="1927" spans="1:4" x14ac:dyDescent="0.45">
      <c r="A1927" s="52" t="s">
        <v>3870</v>
      </c>
    </row>
    <row r="1928" spans="1:4" x14ac:dyDescent="0.45">
      <c r="A1928" t="s">
        <v>3871</v>
      </c>
      <c r="D1928" s="89">
        <f>Table2_Final!D42</f>
        <v>0</v>
      </c>
    </row>
    <row r="1929" spans="1:4" x14ac:dyDescent="0.45">
      <c r="A1929" t="s">
        <v>3872</v>
      </c>
      <c r="D1929" s="89" t="str">
        <f>Table2_Final!D65</f>
        <v>n/a</v>
      </c>
    </row>
    <row r="1930" spans="1:4" x14ac:dyDescent="0.45">
      <c r="A1930" t="s">
        <v>3873</v>
      </c>
      <c r="D1930" s="89" t="str">
        <f>CarveOut_Table2!D88</f>
        <v>n/a</v>
      </c>
    </row>
    <row r="1931" spans="1:4" x14ac:dyDescent="0.45">
      <c r="A1931" t="s">
        <v>3874</v>
      </c>
      <c r="D1931" s="89">
        <f>'Manual inputs'!E112</f>
        <v>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IPPU_Industry</vt:lpstr>
      <vt:lpstr>CPAT_National</vt:lpstr>
      <vt:lpstr>Table2_Industry</vt:lpstr>
      <vt:lpstr>CarveOut_Table2</vt:lpstr>
      <vt:lpstr>Table2_Final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Stretton</dc:creator>
  <dc:description/>
  <cp:lastModifiedBy>Stephen John Stretton</cp:lastModifiedBy>
  <cp:revision>0</cp:revision>
  <dcterms:created xsi:type="dcterms:W3CDTF">2026-10-01T19:36:19Z</dcterms:created>
  <dcterms:modified xsi:type="dcterms:W3CDTF">2026-10-04T16:11:12Z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