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ScenarioDefinition!$J$8:$J$510</definedName>
    <definedName name="SDParam">ScenarioDefinition!$H$8:$H$510</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Settings!$A$186:$A$225</definedName>
    <definedName name="SecLab">Settings!$B$186:$B$225</definedName>
    <definedName name="FuelKeyL">Settings!$A$229:$A$296</definedName>
    <definedName name="FuelLab">Settings!$B$229:$B$296</definedName>
    <definedName name="CtryCode">Settings!$C$4</definedName>
    <definedName name="BaseYr">Settings!$C$7</definedName>
    <definedName name="CookFuel">Settings!$C$65</definedName>
    <definedName name="HoursYr">Settings!$B$107</definedName>
    <definedName name="kWperMW">Settings!$B$108</definedName>
    <definedName name="USDperM">Settings!$B$109</definedName>
    <definedName name="tPerKt">Settings!$B$114</definedName>
    <definedName name="PctPerUnit">Settings!$B$140</definedName>
    <definedName name="MitGW">Settings!$B$160</definedName>
    <definedName name="BasketQ">Settings!$B$161</definedName>
    <definedName name="DecPerQuint">Settings!$B$162</definedName>
    <definedName name="PlDecScale">Settings!$B$163</definedName>
    <definedName name="DWLTri">Settings!$B$164</definedName>
    <definedName name="MTRowKey">Settings!$A$333:$A$743</definedName>
    <definedName name="MTRowNum">Settings!$F$333:$F$743</definedName>
    <definedName name="MTDesc">ScenarioDefinition!$B$1:$B$510</definedName>
    <definedName name="MTName">ScenarioDefinition!$H$1:$H$510</definedName>
    <definedName name="MTEnd">ScenarioDefinition!$B$510</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name val="Arial"/>
      <color rgb="00595959"/>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35">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3" fillId="9" borderId="0" pivotButton="0" quotePrefix="0" xfId="0"/>
    <xf numFmtId="0" fontId="2" fillId="10" borderId="0" pivotButton="0" quotePrefix="0" xfId="0"/>
    <xf numFmtId="0" fontId="16"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2"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6"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7" fillId="0" borderId="0" pivotButton="0" quotePrefix="0" xfId="0"/>
    <xf numFmtId="0" fontId="3" fillId="3" borderId="0" applyAlignment="1" pivotButton="0" quotePrefix="0" xfId="0">
      <alignment wrapText="1"/>
    </xf>
    <xf numFmtId="0" fontId="0" fillId="7" borderId="0" pivotButton="0" quotePrefix="0" xfId="0"/>
    <xf numFmtId="0" fontId="8"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1"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6" fillId="11" borderId="0" pivotButton="0" quotePrefix="0" xfId="0"/>
    <xf numFmtId="166" fontId="2" fillId="10" borderId="0" pivotButton="0" quotePrefix="0" xfId="0"/>
    <xf numFmtId="166" fontId="2" fillId="0" borderId="0" pivotButton="0" quotePrefix="0" xfId="0"/>
    <xf numFmtId="166" fontId="16" fillId="11" borderId="0" pivotButton="0" quotePrefix="0" xfId="0"/>
    <xf numFmtId="0" fontId="14" fillId="0" borderId="0" pivotButton="0" quotePrefix="0" xfId="0"/>
    <xf numFmtId="1" fontId="2" fillId="0" borderId="3" pivotButton="0" quotePrefix="0" xfId="0"/>
    <xf numFmtId="167" fontId="2" fillId="0" borderId="3" pivotButton="0" quotePrefix="0" xfId="0"/>
    <xf numFmtId="49"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6" fillId="11" borderId="0" pivotButton="0" quotePrefix="0" xfId="0"/>
    <xf numFmtId="168" fontId="2" fillId="10" borderId="0" pivotButton="0" quotePrefix="0" xfId="0"/>
    <xf numFmtId="168" fontId="2" fillId="0" borderId="0" pivotButton="0" quotePrefix="0" xfId="0"/>
    <xf numFmtId="168" fontId="16" fillId="11" borderId="0" pivotButton="0" quotePrefix="0" xfId="0"/>
    <xf numFmtId="2" fontId="2" fillId="3" borderId="0" pivotButton="0" quotePrefix="0" xfId="0"/>
    <xf numFmtId="0" fontId="15"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6"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3" fillId="0" borderId="3" pivotButton="0" quotePrefix="0" xfId="0"/>
    <xf numFmtId="166" fontId="13" fillId="0" borderId="3" pivotButton="0" quotePrefix="0" xfId="0"/>
    <xf numFmtId="1" fontId="13" fillId="0" borderId="3" pivotButton="0" quotePrefix="0" xfId="0"/>
    <xf numFmtId="0" fontId="13" fillId="0" borderId="0" pivotButton="0" quotePrefix="0" xfId="0"/>
    <xf numFmtId="2" fontId="13" fillId="10" borderId="0" pivotButton="0" quotePrefix="0" xfId="0"/>
    <xf numFmtId="2" fontId="13" fillId="0" borderId="0" pivotButton="0" quotePrefix="0" xfId="0"/>
    <xf numFmtId="170" fontId="13" fillId="10" borderId="0" pivotButton="0" quotePrefix="0" xfId="0"/>
    <xf numFmtId="170" fontId="13" fillId="0" borderId="0" pivotButton="0" quotePrefix="0" xfId="0"/>
    <xf numFmtId="170" fontId="20" fillId="11" borderId="0" pivotButton="0" quotePrefix="0" xfId="0"/>
    <xf numFmtId="170" fontId="16" fillId="11" borderId="0" pivotButton="0" quotePrefix="0" xfId="0"/>
    <xf numFmtId="170" fontId="2" fillId="10" borderId="0" pivotButton="0" quotePrefix="0" xfId="0"/>
    <xf numFmtId="170" fontId="2" fillId="11" borderId="0" pivotButton="0" quotePrefix="0" xfId="0"/>
    <xf numFmtId="170" fontId="2" fillId="0" borderId="0" pivotButton="0" quotePrefix="0" xfId="0"/>
    <xf numFmtId="170" fontId="13" fillId="11" borderId="0" pivotButton="0" quotePrefix="0" xfId="0"/>
    <xf numFmtId="165" fontId="13" fillId="10" borderId="0" pivotButton="0" quotePrefix="0" xfId="0"/>
    <xf numFmtId="165" fontId="13" fillId="0" borderId="0" pivotButton="0" quotePrefix="0" xfId="0"/>
    <xf numFmtId="165" fontId="20" fillId="11" borderId="0" pivotButton="0" quotePrefix="0" xfId="0"/>
    <xf numFmtId="165" fontId="16"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3"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6" fillId="11" borderId="4" pivotButton="0" quotePrefix="0" xfId="0"/>
    <xf numFmtId="167" fontId="16" fillId="11" borderId="0" pivotButton="0" quotePrefix="0" xfId="0"/>
    <xf numFmtId="171" fontId="2" fillId="0" borderId="3" pivotButton="0" quotePrefix="0" xfId="0"/>
    <xf numFmtId="49" fontId="16" fillId="11" borderId="0" pivotButton="0" quotePrefix="0" xfId="0"/>
    <xf numFmtId="171" fontId="2" fillId="10" borderId="0" pivotButton="0" quotePrefix="0" xfId="0"/>
    <xf numFmtId="171" fontId="2" fillId="0" borderId="0" pivotButton="0" quotePrefix="0" xfId="0"/>
    <xf numFmtId="171" fontId="16" fillId="11" borderId="0" pivotButton="0" quotePrefix="0" xfId="0"/>
    <xf numFmtId="3" fontId="2" fillId="10" borderId="0" pivotButton="0" quotePrefix="0" xfId="0"/>
    <xf numFmtId="3" fontId="2" fillId="0" borderId="0" pivotButton="0" quotePrefix="0" xfId="0"/>
    <xf numFmtId="1" fontId="16" fillId="11" borderId="0" pivotButton="0" quotePrefix="0" xfId="0"/>
    <xf numFmtId="172" fontId="2" fillId="10" borderId="0" pivotButton="0" quotePrefix="0" xfId="0"/>
    <xf numFmtId="172" fontId="2" fillId="0" borderId="0" pivotButton="0" quotePrefix="0" xfId="0"/>
    <xf numFmtId="172" fontId="16" fillId="11" borderId="0" pivotButton="0" quotePrefix="0" xfId="0"/>
    <xf numFmtId="167" fontId="2" fillId="11" borderId="0" pivotButton="0" quotePrefix="0" xfId="0"/>
    <xf numFmtId="4" fontId="2" fillId="10" borderId="0" pivotButton="0" quotePrefix="0" xfId="0"/>
    <xf numFmtId="4" fontId="16" fillId="11" borderId="0" pivotButton="0" quotePrefix="0" xfId="0"/>
    <xf numFmtId="0" fontId="5" fillId="0" borderId="0" pivotButton="0" quotePrefix="0" xfId="0"/>
    <xf numFmtId="170" fontId="2" fillId="0" borderId="3" pivotButton="0" quotePrefix="0" xfId="0"/>
    <xf numFmtId="170" fontId="2" fillId="13" borderId="0" pivotButton="0" quotePrefix="0" xfId="0"/>
    <xf numFmtId="10" fontId="16" fillId="11" borderId="0"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6" fillId="11" borderId="0" pivotButton="0" quotePrefix="0" xfId="0"/>
    <xf numFmtId="174" fontId="2" fillId="10" borderId="0" pivotButton="0" quotePrefix="0" xfId="0"/>
    <xf numFmtId="174" fontId="2" fillId="0" borderId="0" pivotButton="0" quotePrefix="0" xfId="0"/>
    <xf numFmtId="174" fontId="16"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10" fillId="8" borderId="0" pivotButton="0" quotePrefix="0" xfId="0"/>
    <xf numFmtId="1" fontId="10" fillId="8" borderId="0" pivotButton="0" quotePrefix="0" xfId="0"/>
    <xf numFmtId="0" fontId="9"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71" fontId="4" fillId="4" borderId="0" pivotButton="0" quotePrefix="0" xfId="0"/>
    <xf numFmtId="181" fontId="4" fillId="4"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6" fillId="0" borderId="0" applyAlignment="1" pivotButton="0" quotePrefix="0" xfId="0">
      <alignment vertical="top" wrapText="1"/>
    </xf>
    <xf numFmtId="3" fontId="4" fillId="4" borderId="0" pivotButton="0" quotePrefix="0" xfId="0"/>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6"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38"/>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v0.1.4: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then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v0.9.2</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v0.9.2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0.1.0</t>
        </is>
      </c>
      <c r="B34" s="26" t="inlineStr">
        <is>
          <t>First standalone module, cut from the mitigation prototype v0.9.2: its Distribution and FromMitigation tabs, the distribution data tabs, the distribution rows of ScenarioDefinition and Settings. Inputs from Mitigation by the button Update from Mitigation (section 19a, defined name ExportDistn).</t>
        </is>
      </c>
      <c r="C34" s="193" t="inlineStr">
        <is>
          <t>2026-10-22</t>
        </is>
      </c>
    </row>
    <row r="35">
      <c r="A35" s="3" t="inlineStr">
        <is>
          <t>0.1.1</t>
        </is>
      </c>
      <c r="B35" s="26" t="inlineStr">
        <is>
          <t>Cut from the mitigation prototype v0.9.2: ScenarioDefinition on the rows of legacy 465 with a complete set of names (bug L137, issue I87); the mitigation workbook is looked for in permalink/ too; file named _v0.1.1 at the top of excel_ai/ (NORMS 5a).</t>
        </is>
      </c>
      <c r="C35" s="193" t="inlineStr">
        <is>
          <t>2026-10-28</t>
        </is>
      </c>
    </row>
    <row r="36">
      <c r="A36" s="3" t="inlineStr">
        <is>
          <t>0.1.2</t>
        </is>
      </c>
      <c r="B36" s="26" t="inlineStr">
        <is>
          <t>Cut from the mitigation prototype v0.9.2 (combustion emission factors as legacy, issue I98; data problems as issues).</t>
        </is>
      </c>
      <c r="C36" s="193" t="inlineStr">
        <is>
          <t>2026-10-29</t>
        </is>
      </c>
    </row>
    <row r="37">
      <c r="A37" s="3" t="inlineStr">
        <is>
          <t>0.1.3</t>
        </is>
      </c>
      <c r="B37" s="26" t="inlineStr">
        <is>
          <t>Cut from the mitigation prototype v0.9.2 (remaining functionality, reverts to legacy, data from legacy 465, last historical price year 2024); the Distribution method unchanged.</t>
        </is>
      </c>
      <c r="C37" s="193" t="inlineStr">
        <is>
          <t>2026-10-29</t>
        </is>
      </c>
    </row>
    <row r="38">
      <c r="A38" s="3" t="inlineStr">
        <is>
          <t>0.1.4</t>
        </is>
      </c>
      <c r="B38" s="26" t="inlineStr">
        <is>
          <t>Cut from the mitigation prototype v0.9.2: bug M22 fixed (found by Coded CPAT): the 25th/75th percentile recycling rows (hrec) add the public investment amount per person (pui of the sample, LCU), not its % row.</t>
        </is>
      </c>
      <c r="C38" s="193" t="inlineStr">
        <is>
          <t>2026-10-29</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3"/>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 (CPAT 1.0pre_465)</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96" t="inlineStr">
        <is>
          <t>Base</t>
        </is>
      </c>
      <c r="K2" s="196" t="inlineStr">
        <is>
          <t>CP20</t>
        </is>
      </c>
      <c r="L2" s="196" t="inlineStr">
        <is>
          <t>CP20-b</t>
        </is>
      </c>
      <c r="M2" s="196" t="inlineStr">
        <is>
          <t>PkgA</t>
        </is>
      </c>
      <c r="N2" s="196" t="inlineStr">
        <is>
          <t>PkgB</t>
        </is>
      </c>
      <c r="O2" s="196" t="inlineStr">
        <is>
          <t>CP50</t>
        </is>
      </c>
    </row>
    <row r="3">
      <c r="A3" s="46" t="n"/>
      <c r="B3" s="46" t="inlineStr">
        <is>
          <t>Rows must match legacy 465 exactly. Column H: the names of the codes map (tab Inputs; legacy name kept there).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96" t="inlineStr">
        <is>
          <t>Yes</t>
        </is>
      </c>
      <c r="M4" s="196" t="inlineStr">
        <is>
          <t>Yes</t>
        </is>
      </c>
      <c r="N4" s="196" t="inlineStr">
        <is>
          <t>Yes</t>
        </is>
      </c>
      <c r="O4" s="196" t="inlineStr">
        <is>
          <t>Yes</t>
        </is>
      </c>
    </row>
    <row r="5">
      <c r="C5" t="b">
        <v>0</v>
      </c>
      <c r="D5" t="inlineStr">
        <is>
          <t>&lt;-- Should normally  be "FALSE"!</t>
        </is>
      </c>
      <c r="J5" s="197" t="n">
        <v>1</v>
      </c>
      <c r="K5" s="48">
        <f>J5+1</f>
        <v>2.0</v>
      </c>
      <c r="L5" s="48">
        <f>K5+1</f>
        <v>3.0</v>
      </c>
      <c r="M5" s="48">
        <f>L5+1</f>
        <v>4.0</v>
      </c>
      <c r="N5" s="48">
        <f>M5+1</f>
        <v>5.0</v>
      </c>
      <c r="O5" s="48">
        <f>N5+1</f>
        <v>6.0</v>
      </c>
    </row>
    <row r="6">
      <c r="D6" t="n">
        <v>6</v>
      </c>
      <c r="J6" s="196" t="inlineStr">
        <is>
          <t>Baseline (no carbon price)</t>
        </is>
      </c>
      <c r="K6" s="196" t="inlineStr">
        <is>
          <t>Carbon price $20/tCO2 from 2027</t>
        </is>
      </c>
      <c r="L6" s="196" t="inlineStr">
        <is>
          <t>Carbon price $20/tCO2 from 2027</t>
        </is>
      </c>
      <c r="M6" s="196" t="inlineStr">
        <is>
          <t>Package A: carbon tax to $50 by 2030 + feebates (transport, industry)</t>
        </is>
      </c>
      <c r="N6" s="196" t="inlineStr">
        <is>
          <t>Package B: ETS on power and industry (cap -5% 2027 to -20% 2035) + carbon tax $25 elsewhere</t>
        </is>
      </c>
      <c r="O6" s="19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(v0.5.4; legacy fixes) and the scope of carbon-tax coverage of biomass and of the subsidy and price-control phase-outs (v0.5.6; were Constants)</t>
        </is>
      </c>
    </row>
    <row r="480" hidden="1">
      <c r="B480" s="53" t="inlineStr">
        <is>
          <t>New renewable energy subsidy: year it starts (v0.5.4;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v0.5.6,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v0.5.6,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v0.5.6,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v0.5.6,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v0.5.6,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v0.5.6,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v0.5.6,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v0.5.6,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v0.5.6,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v0.5.6,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v0.5.6,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v0.5.6,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v0.5.6,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v0.5.6,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v0.5.6,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v0.5.6,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v0.5.6,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v0.5.6,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v0.5.6,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v0.5.6,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v0.5.6,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v0.5.6,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v0.5.6,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v0.5.6,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v0.5.6,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v0.5.6,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v0.5.6,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v0.5.6,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v0.5.6,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row r="512" hidden="1"/>
    <row r="513" hidden="1"/>
    <row r="514" hidden="1">
      <c r="B514" s="6" t="inlineStr">
        <is>
          <t>A. Road engineer model: parameters and options (v0.5.6; legacy Dashboard rows 540-559; global rows, read by sheet TransportParams)</t>
        </is>
      </c>
    </row>
    <row r="515" hidden="1"/>
    <row r="516" hidden="1">
      <c r="B516" s="6" t="inlineStr">
        <is>
          <t>B. Power: model choices (v0.5.6; legacy Dashboard Q197; global)</t>
        </is>
      </c>
    </row>
    <row r="517" hidden="1">
      <c r="B517" s="3" t="inlineStr">
        <is>
          <t>Share of transmission capex in the levelised cost of new plants (legacy IncludeTransmissionCostsInGenerationCostsPercent)</t>
        </is>
      </c>
      <c r="C517" s="3" t="inlineStr">
        <is>
          <t>share</t>
        </is>
      </c>
      <c r="D517" s="3" t="n"/>
      <c r="E517" s="3" t="inlineStr">
        <is>
          <t>global; legacy Dashboard Q197; read by name TrCostShare</t>
        </is>
      </c>
      <c r="F517" s="3" t="n">
        <v>1</v>
      </c>
      <c r="G517" s="3" t="n">
        <v>1</v>
      </c>
      <c r="H517" s="3" t="inlineStr">
        <is>
          <t>TransmissionCostShare</t>
        </is>
      </c>
      <c r="J517" s="54" t="n">
        <v>1</v>
      </c>
      <c r="K517" s="21">
        <f>$J517</f>
        <v>1.0</v>
      </c>
      <c r="L517" s="21">
        <f>$J517</f>
        <v>1.0</v>
      </c>
      <c r="M517" s="21">
        <f>$J517</f>
        <v>1.0</v>
      </c>
      <c r="N517" s="21">
        <f>$J517</f>
        <v>1.0</v>
      </c>
      <c r="O517" s="21">
        <f>$J517</f>
        <v>1.0</v>
      </c>
    </row>
    <row r="518" hidden="1"/>
    <row r="519" hidden="1">
      <c r="B519" s="6" t="inlineStr">
        <is>
          <t>C. CPAT-AI settings (v0.5.6; global; Settings reads these rows)</t>
        </is>
      </c>
    </row>
    <row r="520" hidden="1">
      <c r="B520" s="3" t="inlineStr">
        <is>
          <t>Last historical price year (LastHist)</t>
        </is>
      </c>
      <c r="C520" s="3" t="inlineStr">
        <is>
          <t>year</t>
        </is>
      </c>
      <c r="D520" s="3" t="n"/>
      <c r="E520" s="3" t="inlineStr">
        <is>
          <t>global; prototype; read by Settings C10</t>
        </is>
      </c>
      <c r="F520" s="3" t="n">
        <v>2024</v>
      </c>
      <c r="G520" s="3" t="n">
        <v>2024</v>
      </c>
      <c r="H520" s="3" t="inlineStr">
        <is>
          <t>LastHistPriceYear</t>
        </is>
      </c>
      <c r="J520" s="54" t="n">
        <v>2024</v>
      </c>
      <c r="K520" s="21">
        <f>$J520</f>
        <v>2024.0</v>
      </c>
      <c r="L520" s="21">
        <f>$J520</f>
        <v>2024.0</v>
      </c>
      <c r="M520" s="21">
        <f>$J520</f>
        <v>2024.0</v>
      </c>
      <c r="N520" s="21">
        <f>$J520</f>
        <v>2024.0</v>
      </c>
      <c r="O520" s="21">
        <f>$J520</f>
        <v>2024.0</v>
      </c>
    </row>
    <row r="521" hidden="1">
      <c r="B521" s="3" t="inlineStr">
        <is>
          <t>ETS: relative effectiveness of output-based allocation (OBREff)</t>
        </is>
      </c>
      <c r="C521" s="3" t="inlineStr">
        <is>
          <t>share</t>
        </is>
      </c>
      <c r="D521" s="3" t="n"/>
      <c r="E521" s="3" t="inlineStr">
        <is>
          <t>global; legacy hardcoded; read by Settings C14</t>
        </is>
      </c>
      <c r="F521" s="3" t="n">
        <v>0.5</v>
      </c>
      <c r="G521" s="3" t="n">
        <v>0.5</v>
      </c>
      <c r="H521" s="3" t="inlineStr">
        <is>
          <t>ETSOBREffectiveness</t>
        </is>
      </c>
      <c r="J521" s="54" t="n">
        <v>0.5</v>
      </c>
      <c r="K521" s="21">
        <f>$J521</f>
        <v>0.5</v>
      </c>
      <c r="L521" s="21">
        <f>$J521</f>
        <v>0.5</v>
      </c>
      <c r="M521" s="21">
        <f>$J521</f>
        <v>0.5</v>
      </c>
      <c r="N521" s="21">
        <f>$J521</f>
        <v>0.5</v>
      </c>
      <c r="O521" s="21">
        <f>$J521</f>
        <v>0.5</v>
      </c>
    </row>
    <row r="522" hidden="1">
      <c r="B522" s="3" t="inlineStr">
        <is>
          <t>ETS: convergence exponent of the next-price proposal</t>
        </is>
      </c>
      <c r="C522" s="3" t="inlineStr">
        <is>
          <t>exponent</t>
        </is>
      </c>
      <c r="D522" s="3" t="n"/>
      <c r="E522" s="3" t="inlineStr">
        <is>
          <t>global; legacy row 1966; read by Settings C15</t>
        </is>
      </c>
      <c r="F522" s="3" t="n">
        <v>0.5</v>
      </c>
      <c r="G522" s="3" t="n">
        <v>0.5</v>
      </c>
      <c r="H522" s="3" t="inlineStr">
        <is>
          <t>ETSNextPriceExponent</t>
        </is>
      </c>
      <c r="J522" s="54" t="n">
        <v>0.5</v>
      </c>
      <c r="K522" s="21">
        <f>$J522</f>
        <v>0.5</v>
      </c>
      <c r="L522" s="21">
        <f>$J522</f>
        <v>0.5</v>
      </c>
      <c r="M522" s="21">
        <f>$J522</f>
        <v>0.5</v>
      </c>
      <c r="N522" s="21">
        <f>$J522</f>
        <v>0.5</v>
      </c>
      <c r="O522" s="21">
        <f>$J522</f>
        <v>0.5</v>
      </c>
    </row>
    <row r="523" hidden="1">
      <c r="B523" s="3" t="inlineStr">
        <is>
          <t>Apply the legacy 2023-2024 energy demand shock (1 = yes)</t>
        </is>
      </c>
      <c r="C523" s="3" t="inlineStr">
        <is>
          <t>0/1</t>
        </is>
      </c>
      <c r="D523" s="3" t="n"/>
      <c r="E523" s="3" t="inlineStr">
        <is>
          <t>global; legacy (always on, I92); read by Settings C19</t>
        </is>
      </c>
      <c r="F523" s="3" t="n">
        <v>1</v>
      </c>
      <c r="G523" s="3" t="n">
        <v>1</v>
      </c>
      <c r="H523" s="3" t="inlineStr">
        <is>
          <t>ApplyDemandShock</t>
        </is>
      </c>
      <c r="J523" s="54" t="n">
        <v>1</v>
      </c>
      <c r="K523" s="21">
        <f>$J523</f>
        <v>1.0</v>
      </c>
      <c r="L523" s="21">
        <f>$J523</f>
        <v>1.0</v>
      </c>
      <c r="M523" s="21">
        <f>$J523</f>
        <v>1.0</v>
      </c>
      <c r="N523" s="21">
        <f>$J523</f>
        <v>1.0</v>
      </c>
      <c r="O523" s="21">
        <f>$J523</f>
        <v>1.0</v>
      </c>
    </row>
    <row r="524" hidden="1">
      <c r="B524" s="3" t="inlineStr">
        <is>
          <t>Year of the target-consistent carbon price (SCCTgtYr)</t>
        </is>
      </c>
      <c r="C524" s="3" t="inlineStr">
        <is>
          <t>year</t>
        </is>
      </c>
      <c r="D524" s="3" t="n"/>
      <c r="E524" s="3" t="inlineStr">
        <is>
          <t>global; prototype; read by Settings C34</t>
        </is>
      </c>
      <c r="F524" s="3" t="n">
        <v>2030</v>
      </c>
      <c r="G524" s="3" t="n">
        <v>2030</v>
      </c>
      <c r="H524" s="3" t="inlineStr">
        <is>
          <t>SCCTargetYear</t>
        </is>
      </c>
      <c r="J524" s="54" t="n">
        <v>2030</v>
      </c>
      <c r="K524" s="21">
        <f>$J524</f>
        <v>2030.0</v>
      </c>
      <c r="L524" s="21">
        <f>$J524</f>
        <v>2030.0</v>
      </c>
      <c r="M524" s="21">
        <f>$J524</f>
        <v>2030.0</v>
      </c>
      <c r="N524" s="21">
        <f>$J524</f>
        <v>2030.0</v>
      </c>
      <c r="O524" s="21">
        <f>$J524</f>
        <v>2030.0</v>
      </c>
    </row>
    <row r="525" hidden="1">
      <c r="B525" s="3" t="inlineStr">
        <is>
          <t>US EPA SCC in the base year (SCCEpa)</t>
        </is>
      </c>
      <c r="C525" s="3" t="inlineStr">
        <is>
          <t>$/tCO2</t>
        </is>
      </c>
      <c r="D525" s="3" t="n"/>
      <c r="E525" s="3" t="inlineStr">
        <is>
          <t>global; legacy row 17684; read by Settings C40</t>
        </is>
      </c>
      <c r="F525" s="3" t="n">
        <v>62</v>
      </c>
      <c r="G525" s="3" t="n">
        <v>62</v>
      </c>
      <c r="H525" s="3" t="inlineStr">
        <is>
          <t>SCCEpaBaseYear</t>
        </is>
      </c>
      <c r="J525" s="54" t="n">
        <v>62</v>
      </c>
      <c r="K525" s="21">
        <f>$J525</f>
        <v>62.0</v>
      </c>
      <c r="L525" s="21">
        <f>$J525</f>
        <v>62.0</v>
      </c>
      <c r="M525" s="21">
        <f>$J525</f>
        <v>62.0</v>
      </c>
      <c r="N525" s="21">
        <f>$J525</f>
        <v>62.0</v>
      </c>
      <c r="O525" s="21">
        <f>$J525</f>
        <v>62.0</v>
      </c>
    </row>
    <row r="526" hidden="1">
      <c r="B526" s="3" t="inlineStr">
        <is>
          <t>Average price change reported: Legacy* / Laspeyres (PavMethod)</t>
        </is>
      </c>
      <c r="C526" s="3" t="inlineStr">
        <is>
          <t>option</t>
        </is>
      </c>
      <c r="D526" s="3" t="n"/>
      <c r="E526" s="3" t="inlineStr">
        <is>
          <t>global; prototype (I31); read by Settings C54</t>
        </is>
      </c>
      <c r="F526" s="3" t="inlineStr">
        <is>
          <t>Legacy*</t>
        </is>
      </c>
      <c r="G526" s="3" t="inlineStr">
        <is>
          <t>Legacy*</t>
        </is>
      </c>
      <c r="H526" s="3" t="inlineStr">
        <is>
          <t>AveragePriceMethod</t>
        </is>
      </c>
      <c r="J526" s="54" t="inlineStr">
        <is>
          <t>Legacy*</t>
        </is>
      </c>
      <c r="K526" s="21" t="str">
        <f>$J526</f>
        <v>Legacy*</v>
      </c>
      <c r="L526" s="21" t="str">
        <f>$J526</f>
        <v>Legacy*</v>
      </c>
      <c r="M526" s="21" t="str">
        <f>$J526</f>
        <v>Legacy*</v>
      </c>
      <c r="N526" s="21" t="str">
        <f>$J526</f>
        <v>Legacy*</v>
      </c>
      <c r="O526" s="21" t="str">
        <f>$J526</f>
        <v>Legacy*</v>
      </c>
    </row>
    <row r="527" hidden="1">
      <c r="B527" s="3" t="inlineStr">
        <is>
          <t>Power: investment deficit after the second round to gas (Yes / No)</t>
        </is>
      </c>
      <c r="C527" s="3" t="inlineStr">
        <is>
          <t>switch</t>
        </is>
      </c>
      <c r="D527" s="3" t="n"/>
      <c r="E527" s="3" t="inlineStr">
        <is>
          <t>global; legacy E4248; read by Settings C45</t>
        </is>
      </c>
      <c r="F527" s="3" t="inlineStr">
        <is>
          <t>No</t>
        </is>
      </c>
      <c r="G527" s="3" t="inlineStr">
        <is>
          <t>No</t>
        </is>
      </c>
      <c r="H527" s="3" t="inlineStr">
        <is>
          <t>PwDeficitGas</t>
        </is>
      </c>
      <c r="J527" s="54" t="inlineStr">
        <is>
          <t>No</t>
        </is>
      </c>
      <c r="K527" s="21" t="str">
        <f>$J527</f>
        <v>No</v>
      </c>
      <c r="L527" s="21" t="str">
        <f>$J527</f>
        <v>No</v>
      </c>
      <c r="M527" s="21" t="str">
        <f>$J527</f>
        <v>No</v>
      </c>
      <c r="N527" s="21" t="str">
        <f>$J527</f>
        <v>No</v>
      </c>
      <c r="O527" s="21" t="str">
        <f>$J527</f>
        <v>No</v>
      </c>
    </row>
    <row r="528" hidden="1">
      <c r="B528" s="3" t="inlineStr">
        <is>
          <t>Power: coal implicit cost in generation costs and tariffs (Yes / No)</t>
        </is>
      </c>
      <c r="C528" s="3" t="inlineStr">
        <is>
          <t>switch</t>
        </is>
      </c>
      <c r="D528" s="3" t="n"/>
      <c r="E528" s="3" t="inlineStr">
        <is>
          <t>global; prototype (P5); read by Settings C66</t>
        </is>
      </c>
      <c r="F528" s="3" t="inlineStr">
        <is>
          <t>Yes</t>
        </is>
      </c>
      <c r="G528" s="3" t="inlineStr">
        <is>
          <t>Yes</t>
        </is>
      </c>
      <c r="H528" s="3" t="inlineStr">
        <is>
          <t>PwCoalICTariff</t>
        </is>
      </c>
      <c r="J528" s="54" t="inlineStr">
        <is>
          <t>Yes</t>
        </is>
      </c>
      <c r="K528" s="21" t="str">
        <f>$J528</f>
        <v>Yes</v>
      </c>
      <c r="L528" s="21" t="str">
        <f>$J528</f>
        <v>Yes</v>
      </c>
      <c r="M528" s="21" t="str">
        <f>$J528</f>
        <v>Yes</v>
      </c>
      <c r="N528" s="21" t="str">
        <f>$J528</f>
        <v>Yes</v>
      </c>
      <c r="O528" s="21" t="str">
        <f>$J528</f>
        <v>Yes</v>
      </c>
    </row>
    <row r="529" hidden="1"/>
    <row r="530" hidden="1">
      <c r="B530" s="6" t="inlineStr">
        <is>
          <t>D. Choices from Constants (v0.5.6; global; Constants reads these rows)</t>
        </is>
      </c>
    </row>
    <row r="531" hidden="1">
      <c r="B531" s="3" t="inlineStr">
        <is>
          <t>Pass-through buckets: a raw pass-through up to this value counts as 0</t>
        </is>
      </c>
      <c r="C531" s="3" t="inlineStr">
        <is>
          <t>share</t>
        </is>
      </c>
      <c r="D531" s="3" t="n"/>
      <c r="E531" s="3" t="inlineStr">
        <is>
          <t>global; Constants; read by Constants PassLo</t>
        </is>
      </c>
      <c r="F531" s="3" t="n">
        <v>0.25</v>
      </c>
      <c r="G531" s="3" t="n">
        <v>0.25</v>
      </c>
      <c r="H531" s="3" t="inlineStr">
        <is>
          <t>PassLo</t>
        </is>
      </c>
      <c r="J531" s="54" t="n">
        <v>0.25</v>
      </c>
      <c r="K531" s="21">
        <f>$J531</f>
        <v>0.25</v>
      </c>
      <c r="L531" s="21">
        <f>$J531</f>
        <v>0.25</v>
      </c>
      <c r="M531" s="21">
        <f>$J531</f>
        <v>0.25</v>
      </c>
      <c r="N531" s="21">
        <f>$J531</f>
        <v>0.25</v>
      </c>
      <c r="O531" s="21">
        <f>$J531</f>
        <v>0.25</v>
      </c>
    </row>
    <row r="532" hidden="1">
      <c r="B532" s="3" t="inlineStr">
        <is>
          <t>Pass-through of the middle bucket</t>
        </is>
      </c>
      <c r="C532" s="3" t="inlineStr">
        <is>
          <t>share</t>
        </is>
      </c>
      <c r="D532" s="3" t="n"/>
      <c r="E532" s="3" t="inlineStr">
        <is>
          <t>global; Constants; read by Constants PassMid</t>
        </is>
      </c>
      <c r="F532" s="3" t="n">
        <v>0.5</v>
      </c>
      <c r="G532" s="3" t="n">
        <v>0.5</v>
      </c>
      <c r="H532" s="3" t="inlineStr">
        <is>
          <t>PassMid</t>
        </is>
      </c>
      <c r="J532" s="54" t="n">
        <v>0.5</v>
      </c>
      <c r="K532" s="21">
        <f>$J532</f>
        <v>0.5</v>
      </c>
      <c r="L532" s="21">
        <f>$J532</f>
        <v>0.5</v>
      </c>
      <c r="M532" s="21">
        <f>$J532</f>
        <v>0.5</v>
      </c>
      <c r="N532" s="21">
        <f>$J532</f>
        <v>0.5</v>
      </c>
      <c r="O532" s="21">
        <f>$J532</f>
        <v>0.5</v>
      </c>
    </row>
    <row r="533" hidden="1">
      <c r="B533" s="3" t="inlineStr">
        <is>
          <t>Pass-through buckets: above PassLo and up to this value counts as PassMid, above as 1</t>
        </is>
      </c>
      <c r="C533" s="3" t="inlineStr">
        <is>
          <t>share</t>
        </is>
      </c>
      <c r="D533" s="3" t="n"/>
      <c r="E533" s="3" t="inlineStr">
        <is>
          <t>global; Constants; read by Constants PassHi</t>
        </is>
      </c>
      <c r="F533" s="3" t="n">
        <v>0.5</v>
      </c>
      <c r="G533" s="3" t="n">
        <v>0.5</v>
      </c>
      <c r="H533" s="3" t="inlineStr">
        <is>
          <t>PassHi</t>
        </is>
      </c>
      <c r="J533" s="54" t="n">
        <v>0.5</v>
      </c>
      <c r="K533" s="21">
        <f>$J533</f>
        <v>0.5</v>
      </c>
      <c r="L533" s="21">
        <f>$J533</f>
        <v>0.5</v>
      </c>
      <c r="M533" s="21">
        <f>$J533</f>
        <v>0.5</v>
      </c>
      <c r="N533" s="21">
        <f>$J533</f>
        <v>0.5</v>
      </c>
      <c r="O533" s="21">
        <f>$J533</f>
        <v>0.5</v>
      </c>
    </row>
    <row r="534" hidden="1">
      <c r="B534" s="3" t="inlineStr">
        <is>
          <t>Floor of the after-tax fuel price (atp)</t>
        </is>
      </c>
      <c r="C534" s="3" t="inlineStr">
        <is>
          <t>$/GJ real</t>
        </is>
      </c>
      <c r="D534" s="3" t="n"/>
      <c r="E534" s="3" t="inlineStr">
        <is>
          <t>global; Constants; read by Constants PriceFloor</t>
        </is>
      </c>
      <c r="F534" s="3" t="n">
        <v>0.01</v>
      </c>
      <c r="G534" s="3" t="n">
        <v>0.01</v>
      </c>
      <c r="H534" s="3" t="inlineStr">
        <is>
          <t>PriceFloor</t>
        </is>
      </c>
      <c r="J534" s="54" t="n">
        <v>0.01</v>
      </c>
      <c r="K534" s="21">
        <f>$J534</f>
        <v>0.01</v>
      </c>
      <c r="L534" s="21">
        <f>$J534</f>
        <v>0.01</v>
      </c>
      <c r="M534" s="21">
        <f>$J534</f>
        <v>0.01</v>
      </c>
      <c r="N534" s="21">
        <f>$J534</f>
        <v>0.01</v>
      </c>
      <c r="O534" s="21">
        <f>$J534</f>
        <v>0.01</v>
      </c>
    </row>
    <row r="535" hidden="1">
      <c r="B535" s="3" t="inlineStr">
        <is>
          <t>Year of the final combustion emission factor: linear path from the base year, continued after it, as legacy (v0.8.4, I98</t>
        </is>
      </c>
      <c r="C535" s="3" t="inlineStr">
        <is>
          <t>year</t>
        </is>
      </c>
      <c r="D535" s="3" t="n"/>
      <c r="E535" s="3" t="inlineStr">
        <is>
          <t>global; Constants; read by Constants EFEndYear</t>
        </is>
      </c>
      <c r="F535" s="3" t="n">
        <v>2039</v>
      </c>
      <c r="G535" s="3" t="n">
        <v>2039</v>
      </c>
      <c r="H535" s="3" t="inlineStr">
        <is>
          <t>EFEndYear</t>
        </is>
      </c>
      <c r="J535" s="54" t="n">
        <v>2039</v>
      </c>
      <c r="K535" s="21">
        <f>$J535</f>
        <v>2039.0</v>
      </c>
      <c r="L535" s="21">
        <f>$J535</f>
        <v>2039.0</v>
      </c>
      <c r="M535" s="21">
        <f>$J535</f>
        <v>2039.0</v>
      </c>
      <c r="N535" s="21">
        <f>$J535</f>
        <v>2039.0</v>
      </c>
      <c r="O535" s="21">
        <f>$J535</f>
        <v>2039.0</v>
      </c>
    </row>
    <row r="536" hidden="1">
      <c r="B536" s="3" t="inlineStr">
        <is>
          <t>Methane source shares: at most this multiple of the source's share of activity</t>
        </is>
      </c>
      <c r="C536" s="3" t="inlineStr">
        <is>
          <t>factor</t>
        </is>
      </c>
      <c r="D536" s="3" t="n"/>
      <c r="E536" s="3" t="inlineStr">
        <is>
          <t>global; Constants; read by Constants MethShareCap</t>
        </is>
      </c>
      <c r="F536" s="3" t="n">
        <v>10</v>
      </c>
      <c r="G536" s="3" t="n">
        <v>10</v>
      </c>
      <c r="H536" s="3" t="inlineStr">
        <is>
          <t>MethShareCap</t>
        </is>
      </c>
      <c r="J536" s="54" t="n">
        <v>10</v>
      </c>
      <c r="K536" s="21">
        <f>$J536</f>
        <v>10.0</v>
      </c>
      <c r="L536" s="21">
        <f>$J536</f>
        <v>10.0</v>
      </c>
      <c r="M536" s="21">
        <f>$J536</f>
        <v>10.0</v>
      </c>
      <c r="N536" s="21">
        <f>$J536</f>
        <v>10.0</v>
      </c>
      <c r="O536" s="21">
        <f>$J536</f>
        <v>10.0</v>
      </c>
    </row>
    <row r="537" hidden="1">
      <c r="B537" s="3" t="inlineStr">
        <is>
          <t>Maximum annual decrease of passenger and freight ownership (fix B4: the legacy 2-3 wheeler value; legacy 0)</t>
        </is>
      </c>
      <c r="C537" s="3" t="inlineStr">
        <is>
          <t>share per year</t>
        </is>
      </c>
      <c r="D537" s="3" t="n"/>
      <c r="E537" s="3" t="inlineStr">
        <is>
          <t>global; Constants; read by Constants TrOwnDecline</t>
        </is>
      </c>
      <c r="F537" s="3" t="n">
        <v>0.1</v>
      </c>
      <c r="G537" s="3" t="n">
        <v>0.1</v>
      </c>
      <c r="H537" s="3" t="inlineStr">
        <is>
          <t>TrOwnDecline</t>
        </is>
      </c>
      <c r="J537" s="54" t="n">
        <v>0.1</v>
      </c>
      <c r="K537" s="21">
        <f>$J537</f>
        <v>0.1</v>
      </c>
      <c r="L537" s="21">
        <f>$J537</f>
        <v>0.1</v>
      </c>
      <c r="M537" s="21">
        <f>$J537</f>
        <v>0.1</v>
      </c>
      <c r="N537" s="21">
        <f>$J537</f>
        <v>0.1</v>
      </c>
      <c r="O537" s="21">
        <f>$J537</f>
        <v>0.1</v>
      </c>
    </row>
    <row r="538" hidden="1">
      <c r="B538" s="3" t="inlineStr">
        <is>
          <t>Range anxiety: the start value holds in the first years of the horizon (base year counted as 1)</t>
        </is>
      </c>
      <c r="C538" s="3" t="inlineStr">
        <is>
          <t>years</t>
        </is>
      </c>
      <c r="D538" s="3" t="n"/>
      <c r="E538" s="3" t="inlineStr">
        <is>
          <t>global; Constants; read by Constants TrRALag</t>
        </is>
      </c>
      <c r="F538" s="3" t="n">
        <v>3</v>
      </c>
      <c r="G538" s="3" t="n">
        <v>3</v>
      </c>
      <c r="H538" s="3" t="inlineStr">
        <is>
          <t>TrRALag</t>
        </is>
      </c>
      <c r="J538" s="54" t="n">
        <v>3</v>
      </c>
      <c r="K538" s="21">
        <f>$J538</f>
        <v>3.0</v>
      </c>
      <c r="L538" s="21">
        <f>$J538</f>
        <v>3.0</v>
      </c>
      <c r="M538" s="21">
        <f>$J538</f>
        <v>3.0</v>
      </c>
      <c r="N538" s="21">
        <f>$J538</f>
        <v>3.0</v>
      </c>
      <c r="O538" s="21">
        <f>$J538</f>
        <v>3.0</v>
      </c>
    </row>
    <row r="539" hidden="1">
      <c r="B539" s="3" t="inlineStr">
        <is>
          <t>Feebate pivot: blank in the first years of the horizon (base year counted as 1)</t>
        </is>
      </c>
      <c r="C539" s="3" t="inlineStr">
        <is>
          <t>years</t>
        </is>
      </c>
      <c r="D539" s="3" t="n"/>
      <c r="E539" s="3" t="inlineStr">
        <is>
          <t>global; Constants; read by Constants TrPivotLag</t>
        </is>
      </c>
      <c r="F539" s="3" t="n">
        <v>2</v>
      </c>
      <c r="G539" s="3" t="n">
        <v>2</v>
      </c>
      <c r="H539" s="3" t="inlineStr">
        <is>
          <t>TrPivotLag</t>
        </is>
      </c>
      <c r="J539" s="54" t="n">
        <v>2</v>
      </c>
      <c r="K539" s="21">
        <f>$J539</f>
        <v>2.0</v>
      </c>
      <c r="L539" s="21">
        <f>$J539</f>
        <v>2.0</v>
      </c>
      <c r="M539" s="21">
        <f>$J539</f>
        <v>2.0</v>
      </c>
      <c r="N539" s="21">
        <f>$J539</f>
        <v>2.0</v>
      </c>
      <c r="O539" s="21">
        <f>$J539</f>
        <v>2.0</v>
      </c>
    </row>
    <row r="540" hidden="1">
      <c r="B540" s="3" t="inlineStr">
        <is>
          <t>Maximum early coal retirement, share of coal effective capacity (legacy typed)</t>
        </is>
      </c>
      <c r="C540" s="3" t="inlineStr">
        <is>
          <t>share</t>
        </is>
      </c>
      <c r="D540" s="3" t="n"/>
      <c r="E540" s="3" t="inlineStr">
        <is>
          <t>global; Constants; read by Constants EarlyMaxShare</t>
        </is>
      </c>
      <c r="F540" s="3" t="n">
        <v>0.8</v>
      </c>
      <c r="G540" s="3" t="n">
        <v>0.8</v>
      </c>
      <c r="H540" s="3" t="inlineStr">
        <is>
          <t>EarlyMaxShare</t>
        </is>
      </c>
      <c r="J540" s="54" t="n">
        <v>0.8</v>
      </c>
      <c r="K540" s="21">
        <f>$J540</f>
        <v>0.8</v>
      </c>
      <c r="L540" s="21">
        <f>$J540</f>
        <v>0.8</v>
      </c>
      <c r="M540" s="21">
        <f>$J540</f>
        <v>0.8</v>
      </c>
      <c r="N540" s="21">
        <f>$J540</f>
        <v>0.8</v>
      </c>
      <c r="O540" s="21">
        <f>$J540</f>
        <v>0.8</v>
      </c>
    </row>
    <row r="541" hidden="1">
      <c r="B541" s="3" t="inlineStr">
        <is>
          <t>New investment "If Present": allowed when the type has more than this share of capacity</t>
        </is>
      </c>
      <c r="C541" s="3" t="inlineStr">
        <is>
          <t>share</t>
        </is>
      </c>
      <c r="D541" s="3" t="n"/>
      <c r="E541" s="3" t="inlineStr">
        <is>
          <t>global; Constants; read by Constants InvPresentShare</t>
        </is>
      </c>
      <c r="F541" s="3" t="n">
        <v>0.001</v>
      </c>
      <c r="G541" s="3" t="n">
        <v>0.001</v>
      </c>
      <c r="H541" s="3" t="inlineStr">
        <is>
          <t>InvPresentShare</t>
        </is>
      </c>
      <c r="J541" s="54" t="n">
        <v>0.001</v>
      </c>
      <c r="K541" s="21">
        <f>$J541</f>
        <v>0.001</v>
      </c>
      <c r="L541" s="21">
        <f>$J541</f>
        <v>0.001</v>
      </c>
      <c r="M541" s="21">
        <f>$J541</f>
        <v>0.001</v>
      </c>
      <c r="N541" s="21">
        <f>$J541</f>
        <v>0.001</v>
      </c>
      <c r="O541" s="21">
        <f>$J541</f>
        <v>0.001</v>
      </c>
    </row>
    <row r="542" hidden="1">
      <c r="B542" s="3" t="inlineStr">
        <is>
          <t>Hydro invests from the base year when its generation share is above this value, else from NewInvHydYear (v0.4.10, L54 fi</t>
        </is>
      </c>
      <c r="C542" s="3" t="inlineStr">
        <is>
          <t>share</t>
        </is>
      </c>
      <c r="D542" s="3" t="n"/>
      <c r="E542" s="3" t="inlineStr">
        <is>
          <t>global; Constants; read by Constants HydInvShare</t>
        </is>
      </c>
      <c r="F542" s="3" t="n">
        <v>0.5</v>
      </c>
      <c r="G542" s="3" t="n">
        <v>0.5</v>
      </c>
      <c r="H542" s="3" t="inlineStr">
        <is>
          <t>HydInvShare</t>
        </is>
      </c>
      <c r="J542" s="54" t="n">
        <v>0.5</v>
      </c>
      <c r="K542" s="21">
        <f>$J542</f>
        <v>0.5</v>
      </c>
      <c r="L542" s="21">
        <f>$J542</f>
        <v>0.5</v>
      </c>
      <c r="M542" s="21">
        <f>$J542</f>
        <v>0.5</v>
      </c>
      <c r="N542" s="21">
        <f>$J542</f>
        <v>0.5</v>
      </c>
      <c r="O542" s="21">
        <f>$J542</f>
        <v>0.5</v>
      </c>
    </row>
    <row r="543" hidden="1">
      <c r="B543" s="3" t="inlineStr">
        <is>
          <t>WACC of a country missing from CoC or without CoC risk data (legacy XLOOKUP default; v0.4.10: also without risk data, L5</t>
        </is>
      </c>
      <c r="C543" s="3" t="inlineStr">
        <is>
          <t>share</t>
        </is>
      </c>
      <c r="D543" s="3" t="n"/>
      <c r="E543" s="3" t="inlineStr">
        <is>
          <t>global; Constants; read by Constants WaccDefault</t>
        </is>
      </c>
      <c r="F543" s="3" t="n">
        <v>0.075</v>
      </c>
      <c r="G543" s="3" t="n">
        <v>0.075</v>
      </c>
      <c r="H543" s="3" t="inlineStr">
        <is>
          <t>WaccDefault</t>
        </is>
      </c>
      <c r="J543" s="54" t="n">
        <v>0.075</v>
      </c>
      <c r="K543" s="21">
        <f>$J543</f>
        <v>0.075</v>
      </c>
      <c r="L543" s="21">
        <f>$J543</f>
        <v>0.075</v>
      </c>
      <c r="M543" s="21">
        <f>$J543</f>
        <v>0.075</v>
      </c>
      <c r="N543" s="21">
        <f>$J543</f>
        <v>0.075</v>
      </c>
      <c r="O543" s="21">
        <f>$J543</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201" t="n">
        <v>1000000000</v>
      </c>
      <c r="E8" s="3" t="inlineStr">
        <is>
          <t>LCU</t>
        </is>
      </c>
      <c r="H8" s="3" t="inlineStr">
        <is>
          <t>Real GDP, baseline (local currency bn, sheet WEO; legacy row 464; v0.3.13)</t>
        </is>
      </c>
      <c r="I8" s="3" t="inlineStr">
        <is>
          <t>LCU bn</t>
        </is>
      </c>
      <c r="J8" s="3" t="inlineStr">
        <is>
          <t>Mitigation section 19a</t>
        </is>
      </c>
      <c r="K8" s="3" t="inlineStr">
        <is>
          <t>egy.mit.gdp.lcu.all.all.1</t>
        </is>
      </c>
      <c r="L8" s="202" t="n">
        <v>7842.5</v>
      </c>
      <c r="M8" s="202" t="n">
        <v>8137.4</v>
      </c>
      <c r="N8" s="202" t="n">
        <v>8332.6</v>
      </c>
      <c r="O8" s="202" t="n">
        <v>8698.6</v>
      </c>
      <c r="P8" s="202" t="n">
        <v>9067.395044999999</v>
      </c>
      <c r="Q8" s="202" t="n">
        <v>9505.279302000001</v>
      </c>
      <c r="R8" s="202" t="n">
        <v>10031.426538</v>
      </c>
      <c r="S8" s="202" t="n">
        <v>10555.729674</v>
      </c>
      <c r="T8" s="202" t="n">
        <v>11066.825114</v>
      </c>
      <c r="U8" s="202" t="n">
        <v>11596.786183</v>
      </c>
      <c r="V8" s="202" t="n">
        <v>12145.96300964284</v>
      </c>
      <c r="W8" s="202" t="n">
        <v>12714.69214042638</v>
      </c>
      <c r="X8" s="202" t="n">
        <v>13303.29503659312</v>
      </c>
      <c r="Y8" s="202" t="n">
        <v>13912.07669913508</v>
      </c>
      <c r="Z8" s="202" t="n">
        <v>14541.32424098074</v>
      </c>
      <c r="AA8" s="202" t="n">
        <v>15191.30543909591</v>
      </c>
      <c r="AB8" s="202" t="n">
        <v>15862.26727016413</v>
      </c>
      <c r="AC8" s="202" t="n">
        <v>16554.43443374639</v>
      </c>
      <c r="AD8" s="202" t="n">
        <v>17268.00786704966</v>
      </c>
      <c r="AE8" s="202" t="n">
        <v>18003.16325565561</v>
      </c>
      <c r="AF8" s="3" t="n"/>
      <c r="AG8" s="3" t="inlineStr">
        <is>
          <t>egy.mit.gdp.lcu.all.all.2</t>
        </is>
      </c>
      <c r="AH8" s="202" t="n">
        <v>7842.5</v>
      </c>
      <c r="AI8" s="202" t="n">
        <v>8137.4</v>
      </c>
      <c r="AJ8" s="202" t="n">
        <v>8332.6</v>
      </c>
      <c r="AK8" s="202" t="n">
        <v>8698.6</v>
      </c>
      <c r="AL8" s="202" t="n">
        <v>9067.395044999999</v>
      </c>
      <c r="AM8" s="202" t="n">
        <v>9505.279302000001</v>
      </c>
      <c r="AN8" s="202" t="n">
        <v>10031.426538</v>
      </c>
      <c r="AO8" s="202" t="n">
        <v>10555.729674</v>
      </c>
      <c r="AP8" s="202" t="n">
        <v>11066.825114</v>
      </c>
      <c r="AQ8" s="202" t="n">
        <v>11596.786183</v>
      </c>
      <c r="AR8" s="202" t="n">
        <v>12145.96300964284</v>
      </c>
      <c r="AS8" s="202" t="n">
        <v>12714.69214042638</v>
      </c>
      <c r="AT8" s="202" t="n">
        <v>13303.29503659312</v>
      </c>
      <c r="AU8" s="202" t="n">
        <v>13912.07669913508</v>
      </c>
      <c r="AV8" s="202" t="n">
        <v>14541.32424098074</v>
      </c>
      <c r="AW8" s="202" t="n">
        <v>15191.30543909591</v>
      </c>
      <c r="AX8" s="202" t="n">
        <v>15862.26727016413</v>
      </c>
      <c r="AY8" s="202" t="n">
        <v>16554.43443374639</v>
      </c>
      <c r="AZ8" s="202" t="n">
        <v>17268.00786704966</v>
      </c>
      <c r="BA8" s="202"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6" t="n">
        <v>1</v>
      </c>
      <c r="E9" s="3" t="n"/>
      <c r="H9" s="3" t="inlineStr">
        <is>
          <t>Exchange rate implied by real GDP: local currency per USD, constant in real terms (v0.3.13)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201" t="n">
        <v>1000</v>
      </c>
      <c r="E10" s="3" t="inlineStr">
        <is>
          <t>persons</t>
        </is>
      </c>
      <c r="H10" s="3" t="inlineStr">
        <is>
          <t>Population | All sectors | All fuels</t>
        </is>
      </c>
      <c r="I10" s="3" t="inlineStr">
        <is>
          <t>thousand</t>
        </is>
      </c>
      <c r="J10" s="3" t="inlineStr">
        <is>
          <t>Mitigation section 19a</t>
        </is>
      </c>
      <c r="K10" s="3" t="inlineStr">
        <is>
          <t>egy.mit.pop.all.all.1</t>
        </is>
      </c>
      <c r="L10" s="125" t="n">
        <v>111743.365</v>
      </c>
      <c r="M10" s="125" t="n">
        <v>113493.134</v>
      </c>
      <c r="N10" s="125" t="n">
        <v>116538.258</v>
      </c>
      <c r="O10" s="125" t="n">
        <v>118365.994</v>
      </c>
      <c r="P10" s="125" t="n">
        <v>120101.175</v>
      </c>
      <c r="Q10" s="125" t="n">
        <v>121847.617</v>
      </c>
      <c r="R10" s="125" t="n">
        <v>123608.457</v>
      </c>
      <c r="S10" s="125" t="n">
        <v>125373.049</v>
      </c>
      <c r="T10" s="125" t="n">
        <v>127139.321</v>
      </c>
      <c r="U10" s="125" t="n">
        <v>128912.252</v>
      </c>
      <c r="V10" s="125" t="n">
        <v>130695.078</v>
      </c>
      <c r="W10" s="125" t="n">
        <v>132485.605</v>
      </c>
      <c r="X10" s="125" t="n">
        <v>134287.84</v>
      </c>
      <c r="Y10" s="125" t="n">
        <v>136097.218</v>
      </c>
      <c r="Z10" s="125" t="n">
        <v>137913.263</v>
      </c>
      <c r="AA10" s="125" t="n">
        <v>139738.696</v>
      </c>
      <c r="AB10" s="125" t="n">
        <v>141565.83</v>
      </c>
      <c r="AC10" s="125" t="n">
        <v>143393.264</v>
      </c>
      <c r="AD10" s="125" t="n">
        <v>145213.654</v>
      </c>
      <c r="AE10" s="125" t="n">
        <v>147018.556</v>
      </c>
      <c r="AF10" s="3" t="n"/>
      <c r="AG10" s="3" t="inlineStr">
        <is>
          <t>egy.mit.pop.all.all.2</t>
        </is>
      </c>
      <c r="AH10" s="125" t="n">
        <v>111743.365</v>
      </c>
      <c r="AI10" s="125" t="n">
        <v>113493.134</v>
      </c>
      <c r="AJ10" s="125" t="n">
        <v>116538.258</v>
      </c>
      <c r="AK10" s="125" t="n">
        <v>118365.994</v>
      </c>
      <c r="AL10" s="125" t="n">
        <v>120101.175</v>
      </c>
      <c r="AM10" s="125" t="n">
        <v>121847.617</v>
      </c>
      <c r="AN10" s="125" t="n">
        <v>123608.457</v>
      </c>
      <c r="AO10" s="125" t="n">
        <v>125373.049</v>
      </c>
      <c r="AP10" s="125" t="n">
        <v>127139.321</v>
      </c>
      <c r="AQ10" s="125" t="n">
        <v>128912.252</v>
      </c>
      <c r="AR10" s="125" t="n">
        <v>130695.078</v>
      </c>
      <c r="AS10" s="125" t="n">
        <v>132485.605</v>
      </c>
      <c r="AT10" s="125" t="n">
        <v>134287.84</v>
      </c>
      <c r="AU10" s="125" t="n">
        <v>136097.218</v>
      </c>
      <c r="AV10" s="125" t="n">
        <v>137913.263</v>
      </c>
      <c r="AW10" s="125" t="n">
        <v>139738.696</v>
      </c>
      <c r="AX10" s="125" t="n">
        <v>141565.83</v>
      </c>
      <c r="AY10" s="125" t="n">
        <v>143393.264</v>
      </c>
      <c r="AZ10" s="125" t="n">
        <v>145213.654</v>
      </c>
      <c r="BA10" s="125"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201"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202" t="n">
        <v>0</v>
      </c>
      <c r="M11" s="202" t="n">
        <v>0</v>
      </c>
      <c r="N11" s="202" t="n">
        <v>0</v>
      </c>
      <c r="O11" s="202" t="n">
        <v>0</v>
      </c>
      <c r="P11" s="202" t="n">
        <v>0</v>
      </c>
      <c r="Q11" s="202" t="n">
        <v>0</v>
      </c>
      <c r="R11" s="202" t="n">
        <v>0</v>
      </c>
      <c r="S11" s="202" t="n">
        <v>0</v>
      </c>
      <c r="T11" s="202" t="n">
        <v>0</v>
      </c>
      <c r="U11" s="202" t="n">
        <v>0</v>
      </c>
      <c r="V11" s="202" t="n">
        <v>0</v>
      </c>
      <c r="W11" s="202" t="n">
        <v>0</v>
      </c>
      <c r="X11" s="202" t="n">
        <v>0</v>
      </c>
      <c r="Y11" s="202" t="n">
        <v>0</v>
      </c>
      <c r="Z11" s="202" t="n">
        <v>0</v>
      </c>
      <c r="AA11" s="202" t="n">
        <v>0</v>
      </c>
      <c r="AB11" s="202" t="n">
        <v>0</v>
      </c>
      <c r="AC11" s="202" t="n">
        <v>0</v>
      </c>
      <c r="AD11" s="202" t="n">
        <v>0</v>
      </c>
      <c r="AE11" s="202" t="n">
        <v>0</v>
      </c>
      <c r="AF11" s="3" t="n"/>
      <c r="AG11" s="3" t="inlineStr">
        <is>
          <t>egy.mit.rnew.tot.tot.2</t>
        </is>
      </c>
      <c r="AH11" s="202" t="n">
        <v>0</v>
      </c>
      <c r="AI11" s="202" t="n">
        <v>0</v>
      </c>
      <c r="AJ11" s="202" t="n">
        <v>0</v>
      </c>
      <c r="AK11" s="202" t="n">
        <v>0</v>
      </c>
      <c r="AL11" s="202" t="n">
        <v>0</v>
      </c>
      <c r="AM11" s="202" t="n">
        <v>5036.043459036968</v>
      </c>
      <c r="AN11" s="202" t="n">
        <v>4977.67722260204</v>
      </c>
      <c r="AO11" s="202" t="n">
        <v>5169.104596908062</v>
      </c>
      <c r="AP11" s="202" t="n">
        <v>5270.211322292442</v>
      </c>
      <c r="AQ11" s="202" t="n">
        <v>5352.649420793765</v>
      </c>
      <c r="AR11" s="202" t="n">
        <v>5406.690879015283</v>
      </c>
      <c r="AS11" s="202" t="n">
        <v>5522.716753895911</v>
      </c>
      <c r="AT11" s="202" t="n">
        <v>5624.012746255064</v>
      </c>
      <c r="AU11" s="202" t="n">
        <v>5738.328000573374</v>
      </c>
      <c r="AV11" s="202" t="n">
        <v>5853.966002645016</v>
      </c>
      <c r="AW11" s="202" t="n">
        <v>5974.604393381779</v>
      </c>
      <c r="AX11" s="202" t="n">
        <v>6093.86183525093</v>
      </c>
      <c r="AY11" s="202" t="n">
        <v>6213.899607614696</v>
      </c>
      <c r="AZ11" s="202" t="n">
        <v>6332.162470175455</v>
      </c>
      <c r="BA11" s="202" t="n">
        <v>6451.642891323396</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6" t="n">
        <v>1</v>
      </c>
      <c r="E12" s="3" t="n"/>
      <c r="H12" s="3" t="inlineStr">
        <is>
          <t>After-tax price | Residential | Coal</t>
        </is>
      </c>
      <c r="I12" s="3" t="inlineStr">
        <is>
          <t>USD/GJ real</t>
        </is>
      </c>
      <c r="J12" s="3" t="inlineStr">
        <is>
          <t>Mitigation section 19a</t>
        </is>
      </c>
      <c r="K12" s="3" t="inlineStr">
        <is>
          <t>egy.mit.atp.res.coa.1</t>
        </is>
      </c>
      <c r="L12" s="203" t="n">
        <v>23.39913918117366</v>
      </c>
      <c r="M12" s="203" t="n">
        <v>15.86383349743521</v>
      </c>
      <c r="N12" s="203" t="n">
        <v>14.74350889265477</v>
      </c>
      <c r="O12" s="203" t="n">
        <v>13.51860355079584</v>
      </c>
      <c r="P12" s="203" t="n">
        <v>14.19352006610932</v>
      </c>
      <c r="Q12" s="203" t="n">
        <v>14.34576421300796</v>
      </c>
      <c r="R12" s="203" t="n">
        <v>14.27357575998671</v>
      </c>
      <c r="S12" s="203" t="n">
        <v>14.19616228803893</v>
      </c>
      <c r="T12" s="203" t="n">
        <v>14.11330975300655</v>
      </c>
      <c r="U12" s="203" t="n">
        <v>14.03335368445128</v>
      </c>
      <c r="V12" s="203" t="n">
        <v>14.03335368445128</v>
      </c>
      <c r="W12" s="203" t="n">
        <v>14.03335368445128</v>
      </c>
      <c r="X12" s="203" t="n">
        <v>14.03335368445129</v>
      </c>
      <c r="Y12" s="203" t="n">
        <v>14.03335368445129</v>
      </c>
      <c r="Z12" s="203" t="n">
        <v>14.03335368445129</v>
      </c>
      <c r="AA12" s="203" t="n">
        <v>14.03335368445129</v>
      </c>
      <c r="AB12" s="203" t="n">
        <v>14.03335368445129</v>
      </c>
      <c r="AC12" s="203" t="n">
        <v>14.03335368445129</v>
      </c>
      <c r="AD12" s="203" t="n">
        <v>14.03335368445129</v>
      </c>
      <c r="AE12" s="203" t="n">
        <v>14.03335368445129</v>
      </c>
      <c r="AF12" s="3" t="n"/>
      <c r="AG12" s="3" t="inlineStr">
        <is>
          <t>egy.mit.atp.res.coa.2</t>
        </is>
      </c>
      <c r="AH12" s="203" t="n">
        <v>23.39913918117366</v>
      </c>
      <c r="AI12" s="203" t="n">
        <v>15.86383349743521</v>
      </c>
      <c r="AJ12" s="203" t="n">
        <v>14.74350889265477</v>
      </c>
      <c r="AK12" s="203" t="n">
        <v>13.51860355079584</v>
      </c>
      <c r="AL12" s="203" t="n">
        <v>14.19352006610932</v>
      </c>
      <c r="AM12" s="203" t="n">
        <v>16.45436896310888</v>
      </c>
      <c r="AN12" s="203" t="n">
        <v>16.38218051008763</v>
      </c>
      <c r="AO12" s="203" t="n">
        <v>16.30476703813985</v>
      </c>
      <c r="AP12" s="203" t="n">
        <v>16.22191450310747</v>
      </c>
      <c r="AQ12" s="203" t="n">
        <v>16.1419584345522</v>
      </c>
      <c r="AR12" s="203" t="n">
        <v>16.1419584345522</v>
      </c>
      <c r="AS12" s="203" t="n">
        <v>16.1419584345522</v>
      </c>
      <c r="AT12" s="203" t="n">
        <v>16.1419584345522</v>
      </c>
      <c r="AU12" s="203" t="n">
        <v>16.1419584345522</v>
      </c>
      <c r="AV12" s="203" t="n">
        <v>16.1419584345522</v>
      </c>
      <c r="AW12" s="203" t="n">
        <v>16.1419584345522</v>
      </c>
      <c r="AX12" s="203" t="n">
        <v>16.1419584345522</v>
      </c>
      <c r="AY12" s="203" t="n">
        <v>16.1419584345522</v>
      </c>
      <c r="AZ12" s="203" t="n">
        <v>16.1419584345522</v>
      </c>
      <c r="BA12" s="203" t="n">
        <v>16.1419584345522</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6" t="n">
        <v>1</v>
      </c>
      <c r="E13" s="3" t="n"/>
      <c r="H13" s="3" t="inlineStr">
        <is>
          <t>After-tax price | Residential | Natural gas</t>
        </is>
      </c>
      <c r="I13" s="3" t="inlineStr">
        <is>
          <t>USD/GJ real</t>
        </is>
      </c>
      <c r="J13" s="3" t="inlineStr">
        <is>
          <t>Mitigation section 19a</t>
        </is>
      </c>
      <c r="K13" s="3" t="inlineStr">
        <is>
          <t>egy.mit.atp.res.nga.1</t>
        </is>
      </c>
      <c r="L13" s="203" t="n">
        <v>4.633668494830392</v>
      </c>
      <c r="M13" s="203" t="n">
        <v>3.208685637036723</v>
      </c>
      <c r="N13" s="203" t="n">
        <v>2.330880568658216</v>
      </c>
      <c r="O13" s="203" t="n">
        <v>2.330880568658216</v>
      </c>
      <c r="P13" s="203" t="n">
        <v>2.330880568658216</v>
      </c>
      <c r="Q13" s="203" t="n">
        <v>2.330880568658216</v>
      </c>
      <c r="R13" s="203" t="n">
        <v>2.330880568658216</v>
      </c>
      <c r="S13" s="203" t="n">
        <v>2.330880568658216</v>
      </c>
      <c r="T13" s="203" t="n">
        <v>2.330880568658216</v>
      </c>
      <c r="U13" s="203" t="n">
        <v>2.330880568658216</v>
      </c>
      <c r="V13" s="203" t="n">
        <v>2.330880568658216</v>
      </c>
      <c r="W13" s="203" t="n">
        <v>2.330880568658216</v>
      </c>
      <c r="X13" s="203" t="n">
        <v>2.330880568658216</v>
      </c>
      <c r="Y13" s="203" t="n">
        <v>2.330880568658216</v>
      </c>
      <c r="Z13" s="203" t="n">
        <v>2.330880568658216</v>
      </c>
      <c r="AA13" s="203" t="n">
        <v>2.330880568658216</v>
      </c>
      <c r="AB13" s="203" t="n">
        <v>2.330880568658216</v>
      </c>
      <c r="AC13" s="203" t="n">
        <v>2.330880568658216</v>
      </c>
      <c r="AD13" s="203" t="n">
        <v>2.330880568658216</v>
      </c>
      <c r="AE13" s="203" t="n">
        <v>2.330880568658216</v>
      </c>
      <c r="AF13" s="3" t="n"/>
      <c r="AG13" s="3" t="inlineStr">
        <is>
          <t>egy.mit.atp.res.nga.2</t>
        </is>
      </c>
      <c r="AH13" s="203" t="n">
        <v>4.633668494830392</v>
      </c>
      <c r="AI13" s="203" t="n">
        <v>3.208685637036723</v>
      </c>
      <c r="AJ13" s="203" t="n">
        <v>2.330880568658216</v>
      </c>
      <c r="AK13" s="203" t="n">
        <v>2.330880568658216</v>
      </c>
      <c r="AL13" s="203" t="n">
        <v>2.330880568658216</v>
      </c>
      <c r="AM13" s="203" t="n">
        <v>3.425373183266608</v>
      </c>
      <c r="AN13" s="203" t="n">
        <v>3.425373183266608</v>
      </c>
      <c r="AO13" s="203" t="n">
        <v>3.425373183266608</v>
      </c>
      <c r="AP13" s="203" t="n">
        <v>3.425373183266608</v>
      </c>
      <c r="AQ13" s="203" t="n">
        <v>3.425373183266608</v>
      </c>
      <c r="AR13" s="203" t="n">
        <v>3.425373183266608</v>
      </c>
      <c r="AS13" s="203" t="n">
        <v>3.425373183266608</v>
      </c>
      <c r="AT13" s="203" t="n">
        <v>3.425373183266608</v>
      </c>
      <c r="AU13" s="203" t="n">
        <v>3.425373183266608</v>
      </c>
      <c r="AV13" s="203" t="n">
        <v>3.425373183266608</v>
      </c>
      <c r="AW13" s="203" t="n">
        <v>3.425373183266608</v>
      </c>
      <c r="AX13" s="203" t="n">
        <v>3.425373183266608</v>
      </c>
      <c r="AY13" s="203" t="n">
        <v>3.425373183266608</v>
      </c>
      <c r="AZ13" s="203" t="n">
        <v>3.425373183266608</v>
      </c>
      <c r="BA13" s="203" t="n">
        <v>3.425373183266608</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6" t="n">
        <v>1</v>
      </c>
      <c r="E14" s="3" t="n"/>
      <c r="H14" s="3" t="inlineStr">
        <is>
          <t>After-tax price | Residential | Other oil products</t>
        </is>
      </c>
      <c r="I14" s="3" t="inlineStr">
        <is>
          <t>USD/GJ real</t>
        </is>
      </c>
      <c r="J14" s="3" t="inlineStr">
        <is>
          <t>Mitigation section 19a</t>
        </is>
      </c>
      <c r="K14" s="3" t="inlineStr">
        <is>
          <t>egy.mit.atp.res.oop.1</t>
        </is>
      </c>
      <c r="L14" s="203" t="n">
        <v>5.400440813682353</v>
      </c>
      <c r="M14" s="203" t="n">
        <v>4.297471072828037</v>
      </c>
      <c r="N14" s="203" t="n">
        <v>3.786968755614531</v>
      </c>
      <c r="O14" s="203" t="n">
        <v>3.786968755614531</v>
      </c>
      <c r="P14" s="203" t="n">
        <v>3.786968755614531</v>
      </c>
      <c r="Q14" s="203" t="n">
        <v>3.786968755614531</v>
      </c>
      <c r="R14" s="203" t="n">
        <v>3.786968755614531</v>
      </c>
      <c r="S14" s="203" t="n">
        <v>3.786968755614531</v>
      </c>
      <c r="T14" s="203" t="n">
        <v>3.786968755614531</v>
      </c>
      <c r="U14" s="203" t="n">
        <v>3.786968755614531</v>
      </c>
      <c r="V14" s="203" t="n">
        <v>3.786968755614531</v>
      </c>
      <c r="W14" s="203" t="n">
        <v>3.786968755614531</v>
      </c>
      <c r="X14" s="203" t="n">
        <v>3.786968755614534</v>
      </c>
      <c r="Y14" s="203" t="n">
        <v>3.786968755614534</v>
      </c>
      <c r="Z14" s="203" t="n">
        <v>3.786968755614534</v>
      </c>
      <c r="AA14" s="203" t="n">
        <v>3.786968755614533</v>
      </c>
      <c r="AB14" s="203" t="n">
        <v>3.786968755614534</v>
      </c>
      <c r="AC14" s="203" t="n">
        <v>3.786968755614534</v>
      </c>
      <c r="AD14" s="203" t="n">
        <v>3.786968755614534</v>
      </c>
      <c r="AE14" s="203" t="n">
        <v>3.786968755614534</v>
      </c>
      <c r="AF14" s="3" t="n"/>
      <c r="AG14" s="3" t="inlineStr">
        <is>
          <t>egy.mit.atp.res.oop.2</t>
        </is>
      </c>
      <c r="AH14" s="203" t="n">
        <v>5.400440813682353</v>
      </c>
      <c r="AI14" s="203" t="n">
        <v>4.297471072828037</v>
      </c>
      <c r="AJ14" s="203" t="n">
        <v>3.786968755614531</v>
      </c>
      <c r="AK14" s="203" t="n">
        <v>3.786968755614531</v>
      </c>
      <c r="AL14" s="203" t="n">
        <v>3.786968755614531</v>
      </c>
      <c r="AM14" s="203" t="n">
        <v>5.291405736626424</v>
      </c>
      <c r="AN14" s="203" t="n">
        <v>5.291405736626424</v>
      </c>
      <c r="AO14" s="203" t="n">
        <v>5.291405736626424</v>
      </c>
      <c r="AP14" s="203" t="n">
        <v>5.291405736626424</v>
      </c>
      <c r="AQ14" s="203" t="n">
        <v>5.291405736626424</v>
      </c>
      <c r="AR14" s="203" t="n">
        <v>5.291405736626424</v>
      </c>
      <c r="AS14" s="203" t="n">
        <v>5.291405736626424</v>
      </c>
      <c r="AT14" s="203" t="n">
        <v>5.291405736626428</v>
      </c>
      <c r="AU14" s="203" t="n">
        <v>5.291405736626428</v>
      </c>
      <c r="AV14" s="203" t="n">
        <v>5.291405736626428</v>
      </c>
      <c r="AW14" s="203" t="n">
        <v>5.291405736626426</v>
      </c>
      <c r="AX14" s="203" t="n">
        <v>5.291405736626428</v>
      </c>
      <c r="AY14" s="203" t="n">
        <v>5.291405736626428</v>
      </c>
      <c r="AZ14" s="203" t="n">
        <v>5.291405736626428</v>
      </c>
      <c r="BA14" s="203" t="n">
        <v>5.291405736626428</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6" t="n">
        <v>1</v>
      </c>
      <c r="E15" s="3" t="n"/>
      <c r="H15" s="3" t="inlineStr">
        <is>
          <t>After-tax price | Residential | Gasoline</t>
        </is>
      </c>
      <c r="I15" s="3" t="inlineStr">
        <is>
          <t>USD/GJ real</t>
        </is>
      </c>
      <c r="J15" s="3" t="inlineStr">
        <is>
          <t>Mitigation section 19a</t>
        </is>
      </c>
      <c r="K15" s="3" t="inlineStr">
        <is>
          <t>egy.mit.atp.res.gso.1</t>
        </is>
      </c>
      <c r="L15" s="203" t="n">
        <v>17.16454532574956</v>
      </c>
      <c r="M15" s="203" t="n">
        <v>11.73878168453379</v>
      </c>
      <c r="N15" s="203" t="n">
        <v>9.582680592285923</v>
      </c>
      <c r="O15" s="203" t="n">
        <v>9.582680592285923</v>
      </c>
      <c r="P15" s="203" t="n">
        <v>9.582680592285923</v>
      </c>
      <c r="Q15" s="203" t="n">
        <v>9.582680592285923</v>
      </c>
      <c r="R15" s="203" t="n">
        <v>9.582680592285923</v>
      </c>
      <c r="S15" s="203" t="n">
        <v>9.582680592285923</v>
      </c>
      <c r="T15" s="203" t="n">
        <v>9.582680592285923</v>
      </c>
      <c r="U15" s="203" t="n">
        <v>9.582680592285923</v>
      </c>
      <c r="V15" s="203" t="n">
        <v>9.582680592285923</v>
      </c>
      <c r="W15" s="203" t="n">
        <v>9.582680592285923</v>
      </c>
      <c r="X15" s="203" t="n">
        <v>9.582680592285927</v>
      </c>
      <c r="Y15" s="203" t="n">
        <v>9.582680592285927</v>
      </c>
      <c r="Z15" s="203" t="n">
        <v>9.582680592285927</v>
      </c>
      <c r="AA15" s="203" t="n">
        <v>9.582680592285927</v>
      </c>
      <c r="AB15" s="203" t="n">
        <v>9.58268059228593</v>
      </c>
      <c r="AC15" s="203" t="n">
        <v>9.58268059228593</v>
      </c>
      <c r="AD15" s="203" t="n">
        <v>9.58268059228593</v>
      </c>
      <c r="AE15" s="203" t="n">
        <v>9.582680592285934</v>
      </c>
      <c r="AF15" s="3" t="n"/>
      <c r="AG15" s="3" t="inlineStr">
        <is>
          <t>egy.mit.atp.res.gso.2</t>
        </is>
      </c>
      <c r="AH15" s="203" t="n">
        <v>17.16454532574956</v>
      </c>
      <c r="AI15" s="203" t="n">
        <v>11.73878168453379</v>
      </c>
      <c r="AJ15" s="203" t="n">
        <v>9.582680592285923</v>
      </c>
      <c r="AK15" s="203" t="n">
        <v>9.582680592285923</v>
      </c>
      <c r="AL15" s="203" t="n">
        <v>9.582680592285923</v>
      </c>
      <c r="AM15" s="203" t="n">
        <v>10.92735695777836</v>
      </c>
      <c r="AN15" s="203" t="n">
        <v>10.92735695777836</v>
      </c>
      <c r="AO15" s="203" t="n">
        <v>10.92735695777836</v>
      </c>
      <c r="AP15" s="203" t="n">
        <v>10.92735695777836</v>
      </c>
      <c r="AQ15" s="203" t="n">
        <v>10.92735695777836</v>
      </c>
      <c r="AR15" s="203" t="n">
        <v>10.92735695777836</v>
      </c>
      <c r="AS15" s="203" t="n">
        <v>10.92735695777836</v>
      </c>
      <c r="AT15" s="203" t="n">
        <v>10.92735695777837</v>
      </c>
      <c r="AU15" s="203" t="n">
        <v>10.92735695777837</v>
      </c>
      <c r="AV15" s="203" t="n">
        <v>10.92735695777837</v>
      </c>
      <c r="AW15" s="203" t="n">
        <v>10.92735695777837</v>
      </c>
      <c r="AX15" s="203" t="n">
        <v>10.92735695777837</v>
      </c>
      <c r="AY15" s="203" t="n">
        <v>10.92735695777837</v>
      </c>
      <c r="AZ15" s="203" t="n">
        <v>10.92735695777837</v>
      </c>
      <c r="BA15" s="203" t="n">
        <v>10.92735695777838</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6" t="n">
        <v>1</v>
      </c>
      <c r="E16" s="3" t="n"/>
      <c r="H16" s="3" t="inlineStr">
        <is>
          <t>After-tax price | Residential | Diesel</t>
        </is>
      </c>
      <c r="I16" s="3" t="inlineStr">
        <is>
          <t>USD/GJ real</t>
        </is>
      </c>
      <c r="J16" s="3" t="inlineStr">
        <is>
          <t>Mitigation section 19a</t>
        </is>
      </c>
      <c r="K16" s="3" t="inlineStr">
        <is>
          <t>egy.mit.atp.res.die.1</t>
        </is>
      </c>
      <c r="L16" s="203" t="n">
        <v>11.09530753377407</v>
      </c>
      <c r="M16" s="203" t="n">
        <v>7.523291396960415</v>
      </c>
      <c r="N16" s="203" t="n">
        <v>6.682013851542891</v>
      </c>
      <c r="O16" s="203" t="n">
        <v>6.682013851542891</v>
      </c>
      <c r="P16" s="203" t="n">
        <v>6.682013851542891</v>
      </c>
      <c r="Q16" s="203" t="n">
        <v>6.682013851542891</v>
      </c>
      <c r="R16" s="203" t="n">
        <v>6.682013851542891</v>
      </c>
      <c r="S16" s="203" t="n">
        <v>6.682013851542891</v>
      </c>
      <c r="T16" s="203" t="n">
        <v>6.682013851542891</v>
      </c>
      <c r="U16" s="203" t="n">
        <v>6.682013851542891</v>
      </c>
      <c r="V16" s="203" t="n">
        <v>6.682013851542891</v>
      </c>
      <c r="W16" s="203" t="n">
        <v>6.682013851542891</v>
      </c>
      <c r="X16" s="203" t="n">
        <v>6.682013851542894</v>
      </c>
      <c r="Y16" s="203" t="n">
        <v>6.682013851542894</v>
      </c>
      <c r="Z16" s="203" t="n">
        <v>6.682013851542894</v>
      </c>
      <c r="AA16" s="203" t="n">
        <v>6.682013851542894</v>
      </c>
      <c r="AB16" s="203" t="n">
        <v>6.682013851542898</v>
      </c>
      <c r="AC16" s="203" t="n">
        <v>6.682013851542898</v>
      </c>
      <c r="AD16" s="203" t="n">
        <v>6.682013851542898</v>
      </c>
      <c r="AE16" s="203" t="n">
        <v>6.682013851542902</v>
      </c>
      <c r="AF16" s="3" t="n"/>
      <c r="AG16" s="3" t="inlineStr">
        <is>
          <t>egy.mit.atp.res.die.2</t>
        </is>
      </c>
      <c r="AH16" s="203" t="n">
        <v>11.09530753377407</v>
      </c>
      <c r="AI16" s="203" t="n">
        <v>7.523291396960415</v>
      </c>
      <c r="AJ16" s="203" t="n">
        <v>6.682013851542891</v>
      </c>
      <c r="AK16" s="203" t="n">
        <v>6.682013851542891</v>
      </c>
      <c r="AL16" s="203" t="n">
        <v>6.682013851542891</v>
      </c>
      <c r="AM16" s="203" t="n">
        <v>8.121722774701599</v>
      </c>
      <c r="AN16" s="203" t="n">
        <v>8.121722774701599</v>
      </c>
      <c r="AO16" s="203" t="n">
        <v>8.121722774701599</v>
      </c>
      <c r="AP16" s="203" t="n">
        <v>8.121722774701599</v>
      </c>
      <c r="AQ16" s="203" t="n">
        <v>8.121722774701599</v>
      </c>
      <c r="AR16" s="203" t="n">
        <v>8.121722774701599</v>
      </c>
      <c r="AS16" s="203" t="n">
        <v>8.121722774701599</v>
      </c>
      <c r="AT16" s="203" t="n">
        <v>8.121722774701603</v>
      </c>
      <c r="AU16" s="203" t="n">
        <v>8.121722774701603</v>
      </c>
      <c r="AV16" s="203" t="n">
        <v>8.121722774701603</v>
      </c>
      <c r="AW16" s="203" t="n">
        <v>8.121722774701603</v>
      </c>
      <c r="AX16" s="203" t="n">
        <v>8.121722774701606</v>
      </c>
      <c r="AY16" s="203" t="n">
        <v>8.121722774701606</v>
      </c>
      <c r="AZ16" s="203" t="n">
        <v>8.121722774701606</v>
      </c>
      <c r="BA16" s="203" t="n">
        <v>8.12172277470161</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6" t="n">
        <v>1</v>
      </c>
      <c r="E17" s="3" t="n"/>
      <c r="H17" s="3" t="inlineStr">
        <is>
          <t>After-tax price | Residential | Kerosene</t>
        </is>
      </c>
      <c r="I17" s="3" t="inlineStr">
        <is>
          <t>USD/GJ real</t>
        </is>
      </c>
      <c r="J17" s="3" t="inlineStr">
        <is>
          <t>Mitigation section 19a</t>
        </is>
      </c>
      <c r="K17" s="3" t="inlineStr">
        <is>
          <t>egy.mit.atp.res.ker.1</t>
        </is>
      </c>
      <c r="L17" s="203" t="n">
        <v>10.96197170511618</v>
      </c>
      <c r="M17" s="203" t="n">
        <v>6.854447251586659</v>
      </c>
      <c r="N17" s="203" t="n">
        <v>6.461251972988677</v>
      </c>
      <c r="O17" s="203" t="n">
        <v>6.461251972988677</v>
      </c>
      <c r="P17" s="203" t="n">
        <v>6.461251972988677</v>
      </c>
      <c r="Q17" s="203" t="n">
        <v>6.461251972988677</v>
      </c>
      <c r="R17" s="203" t="n">
        <v>6.461251972988677</v>
      </c>
      <c r="S17" s="203" t="n">
        <v>6.461251972988677</v>
      </c>
      <c r="T17" s="203" t="n">
        <v>6.461251972988677</v>
      </c>
      <c r="U17" s="203" t="n">
        <v>6.461251972988677</v>
      </c>
      <c r="V17" s="203" t="n">
        <v>6.461251972988677</v>
      </c>
      <c r="W17" s="203" t="n">
        <v>6.461251972988677</v>
      </c>
      <c r="X17" s="203" t="n">
        <v>6.461251972988679</v>
      </c>
      <c r="Y17" s="203" t="n">
        <v>6.461251972988679</v>
      </c>
      <c r="Z17" s="203" t="n">
        <v>6.461251972988679</v>
      </c>
      <c r="AA17" s="203" t="n">
        <v>6.461251972988679</v>
      </c>
      <c r="AB17" s="203" t="n">
        <v>6.461251972988679</v>
      </c>
      <c r="AC17" s="203" t="n">
        <v>6.461251972988679</v>
      </c>
      <c r="AD17" s="203" t="n">
        <v>6.461251972988679</v>
      </c>
      <c r="AE17" s="203" t="n">
        <v>6.461251972988681</v>
      </c>
      <c r="AF17" s="3" t="n"/>
      <c r="AG17" s="3" t="inlineStr">
        <is>
          <t>egy.mit.atp.res.ker.2</t>
        </is>
      </c>
      <c r="AH17" s="203" t="n">
        <v>10.96197170511618</v>
      </c>
      <c r="AI17" s="203" t="n">
        <v>6.854447251586659</v>
      </c>
      <c r="AJ17" s="203" t="n">
        <v>6.461251972988677</v>
      </c>
      <c r="AK17" s="203" t="n">
        <v>6.461251972988677</v>
      </c>
      <c r="AL17" s="203" t="n">
        <v>6.461251972988677</v>
      </c>
      <c r="AM17" s="203" t="n">
        <v>7.805928338481119</v>
      </c>
      <c r="AN17" s="203" t="n">
        <v>7.805928338481119</v>
      </c>
      <c r="AO17" s="203" t="n">
        <v>7.805928338481119</v>
      </c>
      <c r="AP17" s="203" t="n">
        <v>7.805928338481119</v>
      </c>
      <c r="AQ17" s="203" t="n">
        <v>7.805928338481119</v>
      </c>
      <c r="AR17" s="203" t="n">
        <v>7.805928338481119</v>
      </c>
      <c r="AS17" s="203" t="n">
        <v>7.805928338481119</v>
      </c>
      <c r="AT17" s="203" t="n">
        <v>7.805928338481121</v>
      </c>
      <c r="AU17" s="203" t="n">
        <v>7.805928338481121</v>
      </c>
      <c r="AV17" s="203" t="n">
        <v>7.805928338481121</v>
      </c>
      <c r="AW17" s="203" t="n">
        <v>7.805928338481121</v>
      </c>
      <c r="AX17" s="203" t="n">
        <v>7.805928338481121</v>
      </c>
      <c r="AY17" s="203" t="n">
        <v>7.805928338481121</v>
      </c>
      <c r="AZ17" s="203" t="n">
        <v>7.805928338481121</v>
      </c>
      <c r="BA17" s="203" t="n">
        <v>7.805928338481123</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6" t="n">
        <v>1</v>
      </c>
      <c r="E18" s="3" t="n"/>
      <c r="H18" s="3" t="inlineStr">
        <is>
          <t>After-tax price | Residential | LPG</t>
        </is>
      </c>
      <c r="I18" s="3" t="inlineStr">
        <is>
          <t>USD/GJ real</t>
        </is>
      </c>
      <c r="J18" s="3" t="inlineStr">
        <is>
          <t>Mitigation section 19a</t>
        </is>
      </c>
      <c r="K18" s="3" t="inlineStr">
        <is>
          <t>egy.mit.atp.res.lpg.1</t>
        </is>
      </c>
      <c r="L18" s="203" t="n">
        <v>6.791001701933233</v>
      </c>
      <c r="M18" s="203" t="n">
        <v>3.938518289677504</v>
      </c>
      <c r="N18" s="203" t="n">
        <v>3.414229885726776</v>
      </c>
      <c r="O18" s="203" t="n">
        <v>3.414229885726776</v>
      </c>
      <c r="P18" s="203" t="n">
        <v>3.414229885726776</v>
      </c>
      <c r="Q18" s="203" t="n">
        <v>3.414229885726776</v>
      </c>
      <c r="R18" s="203" t="n">
        <v>3.414229885726776</v>
      </c>
      <c r="S18" s="203" t="n">
        <v>3.414229885726776</v>
      </c>
      <c r="T18" s="203" t="n">
        <v>3.414229885726776</v>
      </c>
      <c r="U18" s="203" t="n">
        <v>3.414229885726776</v>
      </c>
      <c r="V18" s="203" t="n">
        <v>3.414229885726776</v>
      </c>
      <c r="W18" s="203" t="n">
        <v>3.414229885726776</v>
      </c>
      <c r="X18" s="203" t="n">
        <v>3.414229885726776</v>
      </c>
      <c r="Y18" s="203" t="n">
        <v>3.414229885726776</v>
      </c>
      <c r="Z18" s="203" t="n">
        <v>3.414229885726776</v>
      </c>
      <c r="AA18" s="203" t="n">
        <v>3.414229885726776</v>
      </c>
      <c r="AB18" s="203" t="n">
        <v>3.414229885726776</v>
      </c>
      <c r="AC18" s="203" t="n">
        <v>3.414229885726776</v>
      </c>
      <c r="AD18" s="203" t="n">
        <v>3.414229885726776</v>
      </c>
      <c r="AE18" s="203" t="n">
        <v>3.414229885726776</v>
      </c>
      <c r="AF18" s="3" t="n"/>
      <c r="AG18" s="3" t="inlineStr">
        <is>
          <t>egy.mit.atp.res.lpg.2</t>
        </is>
      </c>
      <c r="AH18" s="203" t="n">
        <v>6.791001701933233</v>
      </c>
      <c r="AI18" s="203" t="n">
        <v>3.938518289677504</v>
      </c>
      <c r="AJ18" s="203" t="n">
        <v>3.414229885726776</v>
      </c>
      <c r="AK18" s="203" t="n">
        <v>3.414229885726776</v>
      </c>
      <c r="AL18" s="203" t="n">
        <v>3.414229885726776</v>
      </c>
      <c r="AM18" s="203" t="n">
        <v>4.759788906553579</v>
      </c>
      <c r="AN18" s="203" t="n">
        <v>4.759788906553579</v>
      </c>
      <c r="AO18" s="203" t="n">
        <v>4.759788906553579</v>
      </c>
      <c r="AP18" s="203" t="n">
        <v>4.759788906553579</v>
      </c>
      <c r="AQ18" s="203" t="n">
        <v>4.759788906553579</v>
      </c>
      <c r="AR18" s="203" t="n">
        <v>4.759788906553579</v>
      </c>
      <c r="AS18" s="203" t="n">
        <v>4.759788906553579</v>
      </c>
      <c r="AT18" s="203" t="n">
        <v>4.759788906553579</v>
      </c>
      <c r="AU18" s="203" t="n">
        <v>4.759788906553579</v>
      </c>
      <c r="AV18" s="203" t="n">
        <v>4.759788906553579</v>
      </c>
      <c r="AW18" s="203" t="n">
        <v>4.759788906553579</v>
      </c>
      <c r="AX18" s="203" t="n">
        <v>4.759788906553579</v>
      </c>
      <c r="AY18" s="203" t="n">
        <v>4.759788906553579</v>
      </c>
      <c r="AZ18" s="203" t="n">
        <v>4.759788906553579</v>
      </c>
      <c r="BA18" s="203" t="n">
        <v>4.759788906553579</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6"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0.05240452894786071</v>
      </c>
      <c r="N19" s="60" t="n">
        <v>0.04559957436410522</v>
      </c>
      <c r="O19" s="60" t="n">
        <v>0.0442724245280057</v>
      </c>
      <c r="P19" s="60" t="n">
        <v>0.0442635413708603</v>
      </c>
      <c r="Q19" s="60" t="n">
        <v>0.04464964361341192</v>
      </c>
      <c r="R19" s="60" t="n">
        <v>0.04479230475273786</v>
      </c>
      <c r="S19" s="60" t="n">
        <v>0.04524242470674827</v>
      </c>
      <c r="T19" s="60" t="n">
        <v>0.04577177921587142</v>
      </c>
      <c r="U19" s="60" t="n">
        <v>0.0464266334784085</v>
      </c>
      <c r="V19" s="60" t="n">
        <v>0.04525334723521586</v>
      </c>
      <c r="W19" s="60" t="n">
        <v>0.0443041051945027</v>
      </c>
      <c r="X19" s="60" t="n">
        <v>0.0433276656683271</v>
      </c>
      <c r="Y19" s="60" t="n">
        <v>0.04242458633215916</v>
      </c>
      <c r="Z19" s="60" t="n">
        <v>0.04157653516550346</v>
      </c>
      <c r="AA19" s="60" t="n">
        <v>0.0407838483316396</v>
      </c>
      <c r="AB19" s="60" t="n">
        <v>0.04003966178174712</v>
      </c>
      <c r="AC19" s="60" t="n">
        <v>0.03933653581767325</v>
      </c>
      <c r="AD19" s="60" t="n">
        <v>0.03866963531021431</v>
      </c>
      <c r="AE19" s="60" t="n">
        <v>0.0380335426853915</v>
      </c>
      <c r="AF19" s="3" t="n"/>
      <c r="AG19" s="3" t="inlineStr">
        <is>
          <t>egy.mit.rp.res.ecy.2</t>
        </is>
      </c>
      <c r="AH19" s="60" t="n">
        <v>0.06138814983337612</v>
      </c>
      <c r="AI19" s="60" t="n">
        <v>0.05240452894786071</v>
      </c>
      <c r="AJ19" s="60" t="n">
        <v>0.04559957436410522</v>
      </c>
      <c r="AK19" s="60" t="n">
        <v>0.04427390533854378</v>
      </c>
      <c r="AL19" s="60" t="n">
        <v>0.04426713193382234</v>
      </c>
      <c r="AM19" s="60" t="n">
        <v>0.053871495199737</v>
      </c>
      <c r="AN19" s="60" t="n">
        <v>0.05380816667085719</v>
      </c>
      <c r="AO19" s="60" t="n">
        <v>0.0550145942387061</v>
      </c>
      <c r="AP19" s="60" t="n">
        <v>0.05435990295484826</v>
      </c>
      <c r="AQ19" s="60" t="n">
        <v>0.05461215794938325</v>
      </c>
      <c r="AR19" s="60" t="n">
        <v>0.05301362393422912</v>
      </c>
      <c r="AS19" s="60" t="n">
        <v>0.05171788829349687</v>
      </c>
      <c r="AT19" s="60" t="n">
        <v>0.05038150224418569</v>
      </c>
      <c r="AU19" s="60" t="n">
        <v>0.04917266848109951</v>
      </c>
      <c r="AV19" s="60" t="n">
        <v>0.04805375833476147</v>
      </c>
      <c r="AW19" s="60" t="n">
        <v>0.04701601405858096</v>
      </c>
      <c r="AX19" s="60" t="n">
        <v>0.04604512905709933</v>
      </c>
      <c r="AY19" s="60" t="n">
        <v>0.04513485304911596</v>
      </c>
      <c r="AZ19" s="60" t="n">
        <v>0.04427600709767125</v>
      </c>
      <c r="BA19" s="60" t="n">
        <v>0.04346352496559571</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6"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203" t="n">
        <v>11.46594220776725</v>
      </c>
      <c r="M20" s="203" t="n">
        <v>8.830163127714529</v>
      </c>
      <c r="N20" s="203" t="n">
        <v>7.745564910591269</v>
      </c>
      <c r="O20" s="203" t="n">
        <v>6.943560707304042</v>
      </c>
      <c r="P20" s="203" t="n">
        <v>7.385460880037321</v>
      </c>
      <c r="Q20" s="203" t="n">
        <v>7.485142415880157</v>
      </c>
      <c r="R20" s="203" t="n">
        <v>7.437877177683069</v>
      </c>
      <c r="S20" s="203" t="n">
        <v>7.387190869303551</v>
      </c>
      <c r="T20" s="203" t="n">
        <v>7.332943345778078</v>
      </c>
      <c r="U20" s="203" t="n">
        <v>7.280592277603025</v>
      </c>
      <c r="V20" s="203" t="n">
        <v>7.280592277603025</v>
      </c>
      <c r="W20" s="203" t="n">
        <v>7.280592277603025</v>
      </c>
      <c r="X20" s="203" t="n">
        <v>7.280592277603027</v>
      </c>
      <c r="Y20" s="203" t="n">
        <v>7.280592277603028</v>
      </c>
      <c r="Z20" s="203" t="n">
        <v>7.280592277603026</v>
      </c>
      <c r="AA20" s="203" t="n">
        <v>7.280592277603026</v>
      </c>
      <c r="AB20" s="203" t="n">
        <v>7.280592277603027</v>
      </c>
      <c r="AC20" s="203" t="n">
        <v>7.280592277603027</v>
      </c>
      <c r="AD20" s="203" t="n">
        <v>7.280592277603028</v>
      </c>
      <c r="AE20" s="203" t="n">
        <v>7.280592277603028</v>
      </c>
      <c r="AF20" s="3" t="n"/>
      <c r="AG20" s="3" t="inlineStr">
        <is>
          <t>egy.mit.rpn.ind.coa.2</t>
        </is>
      </c>
      <c r="AH20" s="203" t="n">
        <v>11.46594220776725</v>
      </c>
      <c r="AI20" s="203" t="n">
        <v>8.830163127714529</v>
      </c>
      <c r="AJ20" s="203" t="n">
        <v>7.745564910591269</v>
      </c>
      <c r="AK20" s="203" t="n">
        <v>6.943560707304042</v>
      </c>
      <c r="AL20" s="203" t="n">
        <v>7.385460880037321</v>
      </c>
      <c r="AM20" s="203" t="n">
        <v>9.446598714461501</v>
      </c>
      <c r="AN20" s="203" t="n">
        <v>9.399333476264415</v>
      </c>
      <c r="AO20" s="203" t="n">
        <v>9.348647167884899</v>
      </c>
      <c r="AP20" s="203" t="n">
        <v>9.294399644359425</v>
      </c>
      <c r="AQ20" s="203" t="n">
        <v>9.242048576184372</v>
      </c>
      <c r="AR20" s="203" t="n">
        <v>9.242048576184372</v>
      </c>
      <c r="AS20" s="203" t="n">
        <v>9.24204857618437</v>
      </c>
      <c r="AT20" s="203" t="n">
        <v>9.242048576184374</v>
      </c>
      <c r="AU20" s="203" t="n">
        <v>9.242048576184374</v>
      </c>
      <c r="AV20" s="203" t="n">
        <v>9.242048576184374</v>
      </c>
      <c r="AW20" s="203" t="n">
        <v>9.242048576184374</v>
      </c>
      <c r="AX20" s="203" t="n">
        <v>9.242048576184374</v>
      </c>
      <c r="AY20" s="203" t="n">
        <v>9.242048576184372</v>
      </c>
      <c r="AZ20" s="203" t="n">
        <v>9.242048576184372</v>
      </c>
      <c r="BA20" s="203" t="n">
        <v>9.242048576184375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6"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203" t="n">
        <v>5.336221765145694</v>
      </c>
      <c r="M21" s="203" t="n">
        <v>5.010091319619435</v>
      </c>
      <c r="N21" s="203" t="n">
        <v>5.087003679642157</v>
      </c>
      <c r="O21" s="203" t="n">
        <v>5.087003679642156</v>
      </c>
      <c r="P21" s="203" t="n">
        <v>5.087003679642156</v>
      </c>
      <c r="Q21" s="203" t="n">
        <v>5.087003679642156</v>
      </c>
      <c r="R21" s="203" t="n">
        <v>5.087003679642156</v>
      </c>
      <c r="S21" s="203" t="n">
        <v>5.087003679642156</v>
      </c>
      <c r="T21" s="203" t="n">
        <v>5.087003679642155</v>
      </c>
      <c r="U21" s="203" t="n">
        <v>5.087003679642156</v>
      </c>
      <c r="V21" s="203" t="n">
        <v>5.087003679642155</v>
      </c>
      <c r="W21" s="203" t="n">
        <v>5.087003679642156</v>
      </c>
      <c r="X21" s="203" t="n">
        <v>5.087003679642156</v>
      </c>
      <c r="Y21" s="203" t="n">
        <v>5.087003679642156</v>
      </c>
      <c r="Z21" s="203" t="n">
        <v>5.087003679642156</v>
      </c>
      <c r="AA21" s="203" t="n">
        <v>5.087003679642156</v>
      </c>
      <c r="AB21" s="203" t="n">
        <v>5.087003679642156</v>
      </c>
      <c r="AC21" s="203" t="n">
        <v>5.087003679642156</v>
      </c>
      <c r="AD21" s="203" t="n">
        <v>5.087003679642156</v>
      </c>
      <c r="AE21" s="203" t="n">
        <v>5.087003679642156</v>
      </c>
      <c r="AF21" s="3" t="n"/>
      <c r="AG21" s="3" t="inlineStr">
        <is>
          <t>egy.mit.rpn.ind.nga.2</t>
        </is>
      </c>
      <c r="AH21" s="203" t="n">
        <v>5.336221765145694</v>
      </c>
      <c r="AI21" s="203" t="n">
        <v>5.010091319619435</v>
      </c>
      <c r="AJ21" s="203" t="n">
        <v>5.087003679642157</v>
      </c>
      <c r="AK21" s="203" t="n">
        <v>5.087003679642156</v>
      </c>
      <c r="AL21" s="203" t="n">
        <v>5.087003679642156</v>
      </c>
      <c r="AM21" s="203" t="n">
        <v>6.181496294250548</v>
      </c>
      <c r="AN21" s="203" t="n">
        <v>6.181496294250547</v>
      </c>
      <c r="AO21" s="203" t="n">
        <v>6.181496294250548</v>
      </c>
      <c r="AP21" s="203" t="n">
        <v>6.181496294250548</v>
      </c>
      <c r="AQ21" s="203" t="n">
        <v>6.181496294250548</v>
      </c>
      <c r="AR21" s="203" t="n">
        <v>6.181496294250548</v>
      </c>
      <c r="AS21" s="203" t="n">
        <v>6.181496294250548</v>
      </c>
      <c r="AT21" s="203" t="n">
        <v>6.181496294250548</v>
      </c>
      <c r="AU21" s="203" t="n">
        <v>6.181496294250548</v>
      </c>
      <c r="AV21" s="203" t="n">
        <v>6.181496294250548</v>
      </c>
      <c r="AW21" s="203" t="n">
        <v>6.181496294250548</v>
      </c>
      <c r="AX21" s="203" t="n">
        <v>6.181496294250548</v>
      </c>
      <c r="AY21" s="203" t="n">
        <v>6.181496294250548</v>
      </c>
      <c r="AZ21" s="203" t="n">
        <v>6.181496294250548</v>
      </c>
      <c r="BA21" s="203" t="n">
        <v>6.181496294250548</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6"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203" t="n">
        <v>5.400440813682353</v>
      </c>
      <c r="M22" s="203" t="n">
        <v>4.297471072828037</v>
      </c>
      <c r="N22" s="203" t="n">
        <v>3.786968755614531</v>
      </c>
      <c r="O22" s="203" t="n">
        <v>3.786968755614531</v>
      </c>
      <c r="P22" s="203" t="n">
        <v>3.786968755614531</v>
      </c>
      <c r="Q22" s="203" t="n">
        <v>3.786968755614531</v>
      </c>
      <c r="R22" s="203" t="n">
        <v>3.786968755614531</v>
      </c>
      <c r="S22" s="203" t="n">
        <v>3.786968755614531</v>
      </c>
      <c r="T22" s="203" t="n">
        <v>3.78696875561453</v>
      </c>
      <c r="U22" s="203" t="n">
        <v>3.78696875561453</v>
      </c>
      <c r="V22" s="203" t="n">
        <v>3.786968755614531</v>
      </c>
      <c r="W22" s="203" t="n">
        <v>3.786968755614531</v>
      </c>
      <c r="X22" s="203" t="n">
        <v>3.786968755614535</v>
      </c>
      <c r="Y22" s="203" t="n">
        <v>3.786968755614534</v>
      </c>
      <c r="Z22" s="203" t="n">
        <v>3.786968755614534</v>
      </c>
      <c r="AA22" s="203" t="n">
        <v>3.786968755614533</v>
      </c>
      <c r="AB22" s="203" t="n">
        <v>3.786968755614534</v>
      </c>
      <c r="AC22" s="203" t="n">
        <v>3.786968755614535</v>
      </c>
      <c r="AD22" s="203" t="n">
        <v>3.786968755614534</v>
      </c>
      <c r="AE22" s="203" t="n">
        <v>3.786968755614534</v>
      </c>
      <c r="AF22" s="3" t="n"/>
      <c r="AG22" s="3" t="inlineStr">
        <is>
          <t>egy.mit.rpn.all.oop.2</t>
        </is>
      </c>
      <c r="AH22" s="203" t="n">
        <v>5.400440813682353</v>
      </c>
      <c r="AI22" s="203" t="n">
        <v>4.297471072828037</v>
      </c>
      <c r="AJ22" s="203" t="n">
        <v>3.786968755614531</v>
      </c>
      <c r="AK22" s="203" t="n">
        <v>3.786968755614531</v>
      </c>
      <c r="AL22" s="203" t="n">
        <v>3.786968755614531</v>
      </c>
      <c r="AM22" s="203" t="n">
        <v>5.223476130208251</v>
      </c>
      <c r="AN22" s="203" t="n">
        <v>5.223492979947175</v>
      </c>
      <c r="AO22" s="203" t="n">
        <v>5.223509774737364</v>
      </c>
      <c r="AP22" s="203" t="n">
        <v>5.22352651471529</v>
      </c>
      <c r="AQ22" s="203" t="n">
        <v>5.22354320001739</v>
      </c>
      <c r="AR22" s="203" t="n">
        <v>5.223559830780081</v>
      </c>
      <c r="AS22" s="203" t="n">
        <v>5.22357640713974</v>
      </c>
      <c r="AT22" s="203" t="n">
        <v>5.223592929232717</v>
      </c>
      <c r="AU22" s="203" t="n">
        <v>5.223609397195311</v>
      </c>
      <c r="AV22" s="203" t="n">
        <v>5.223625811163795</v>
      </c>
      <c r="AW22" s="203" t="n">
        <v>5.223642171274387</v>
      </c>
      <c r="AX22" s="203" t="n">
        <v>5.223658477663276</v>
      </c>
      <c r="AY22" s="203" t="n">
        <v>5.223674730466585</v>
      </c>
      <c r="AZ22" s="203" t="n">
        <v>5.223690929820398</v>
      </c>
      <c r="BA22" s="203" t="n">
        <v>5.223707075860744</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6"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203" t="n">
        <v>17.16454532574956</v>
      </c>
      <c r="M23" s="203" t="n">
        <v>11.73878168453379</v>
      </c>
      <c r="N23" s="203" t="n">
        <v>9.582680592285923</v>
      </c>
      <c r="O23" s="203" t="n">
        <v>9.582680592285923</v>
      </c>
      <c r="P23" s="203" t="n">
        <v>9.582680592285923</v>
      </c>
      <c r="Q23" s="203" t="n">
        <v>9.582680592285923</v>
      </c>
      <c r="R23" s="203" t="n">
        <v>9.582680592285923</v>
      </c>
      <c r="S23" s="203" t="n">
        <v>9.582680592285923</v>
      </c>
      <c r="T23" s="203" t="n">
        <v>9.582680592285923</v>
      </c>
      <c r="U23" s="203" t="n">
        <v>9.582680592285923</v>
      </c>
      <c r="V23" s="203" t="n">
        <v>9.582680592285923</v>
      </c>
      <c r="W23" s="203" t="n">
        <v>9.582680592285923</v>
      </c>
      <c r="X23" s="203" t="n">
        <v>9.582680592285927</v>
      </c>
      <c r="Y23" s="203" t="n">
        <v>9.582680592285927</v>
      </c>
      <c r="Z23" s="203" t="n">
        <v>9.582680592285927</v>
      </c>
      <c r="AA23" s="203" t="n">
        <v>9.582680592285927</v>
      </c>
      <c r="AB23" s="203" t="n">
        <v>9.58268059228593</v>
      </c>
      <c r="AC23" s="203" t="n">
        <v>9.58268059228593</v>
      </c>
      <c r="AD23" s="203" t="n">
        <v>9.58268059228593</v>
      </c>
      <c r="AE23" s="203" t="n">
        <v>9.582680592285934</v>
      </c>
      <c r="AF23" s="3" t="n"/>
      <c r="AG23" s="3" t="inlineStr">
        <is>
          <t>egy.mit.rpn.all.gso.2</t>
        </is>
      </c>
      <c r="AH23" s="203" t="n">
        <v>17.16454532574956</v>
      </c>
      <c r="AI23" s="203" t="n">
        <v>11.73878168453379</v>
      </c>
      <c r="AJ23" s="203" t="n">
        <v>9.582680592285923</v>
      </c>
      <c r="AK23" s="203" t="n">
        <v>9.582680592285923</v>
      </c>
      <c r="AL23" s="203" t="n">
        <v>9.582680592285923</v>
      </c>
      <c r="AM23" s="203" t="n">
        <v>10.88073314156109</v>
      </c>
      <c r="AN23" s="203" t="n">
        <v>10.88073314156109</v>
      </c>
      <c r="AO23" s="203" t="n">
        <v>10.88073314156109</v>
      </c>
      <c r="AP23" s="203" t="n">
        <v>10.88073314156109</v>
      </c>
      <c r="AQ23" s="203" t="n">
        <v>10.88073314156109</v>
      </c>
      <c r="AR23" s="203" t="n">
        <v>10.88073314156109</v>
      </c>
      <c r="AS23" s="203" t="n">
        <v>10.88073314156109</v>
      </c>
      <c r="AT23" s="203" t="n">
        <v>10.88073314156109</v>
      </c>
      <c r="AU23" s="203" t="n">
        <v>10.88073314156109</v>
      </c>
      <c r="AV23" s="203" t="n">
        <v>10.88073314156109</v>
      </c>
      <c r="AW23" s="203" t="n">
        <v>10.88073314156109</v>
      </c>
      <c r="AX23" s="203" t="n">
        <v>10.88073314156109</v>
      </c>
      <c r="AY23" s="203" t="n">
        <v>10.88073314156109</v>
      </c>
      <c r="AZ23" s="203" t="n">
        <v>10.88073314156109</v>
      </c>
      <c r="BA23" s="203" t="n">
        <v>10.8807331415611</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6"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203" t="n">
        <v>11.09530753377407</v>
      </c>
      <c r="M24" s="203" t="n">
        <v>7.523291396960415</v>
      </c>
      <c r="N24" s="203" t="n">
        <v>6.682013851542891</v>
      </c>
      <c r="O24" s="203" t="n">
        <v>6.682013851542891</v>
      </c>
      <c r="P24" s="203" t="n">
        <v>6.682013851542892</v>
      </c>
      <c r="Q24" s="203" t="n">
        <v>6.682013851542891</v>
      </c>
      <c r="R24" s="203" t="n">
        <v>6.682013851542891</v>
      </c>
      <c r="S24" s="203" t="n">
        <v>6.682013851542891</v>
      </c>
      <c r="T24" s="203" t="n">
        <v>6.682013851542891</v>
      </c>
      <c r="U24" s="203" t="n">
        <v>6.682013851542891</v>
      </c>
      <c r="V24" s="203" t="n">
        <v>6.682013851542891</v>
      </c>
      <c r="W24" s="203" t="n">
        <v>6.68201385154289</v>
      </c>
      <c r="X24" s="203" t="n">
        <v>6.682013851542894</v>
      </c>
      <c r="Y24" s="203" t="n">
        <v>6.682013851542894</v>
      </c>
      <c r="Z24" s="203" t="n">
        <v>6.682013851542894</v>
      </c>
      <c r="AA24" s="203" t="n">
        <v>6.682013851542895</v>
      </c>
      <c r="AB24" s="203" t="n">
        <v>6.682013851542898</v>
      </c>
      <c r="AC24" s="203" t="n">
        <v>6.682013851542897</v>
      </c>
      <c r="AD24" s="203" t="n">
        <v>6.682013851542898</v>
      </c>
      <c r="AE24" s="203" t="n">
        <v>6.682013851542901</v>
      </c>
      <c r="AF24" s="3" t="n"/>
      <c r="AG24" s="3" t="inlineStr">
        <is>
          <t>egy.mit.rpn.all.die.2</t>
        </is>
      </c>
      <c r="AH24" s="203" t="n">
        <v>11.09530753377407</v>
      </c>
      <c r="AI24" s="203" t="n">
        <v>7.523291396960415</v>
      </c>
      <c r="AJ24" s="203" t="n">
        <v>6.682013851542891</v>
      </c>
      <c r="AK24" s="203" t="n">
        <v>6.682013851542891</v>
      </c>
      <c r="AL24" s="203" t="n">
        <v>6.682013851542892</v>
      </c>
      <c r="AM24" s="203" t="n">
        <v>8.080655839625962</v>
      </c>
      <c r="AN24" s="203" t="n">
        <v>8.080656592255055</v>
      </c>
      <c r="AO24" s="203" t="n">
        <v>8.080659080717959</v>
      </c>
      <c r="AP24" s="203" t="n">
        <v>8.080665179342779</v>
      </c>
      <c r="AQ24" s="203" t="n">
        <v>8.080670817098138</v>
      </c>
      <c r="AR24" s="203" t="n">
        <v>8.080677266192659</v>
      </c>
      <c r="AS24" s="203" t="n">
        <v>8.080683354259342</v>
      </c>
      <c r="AT24" s="203" t="n">
        <v>8.080689456626777</v>
      </c>
      <c r="AU24" s="203" t="n">
        <v>8.080696090127098</v>
      </c>
      <c r="AV24" s="203" t="n">
        <v>8.080702943202759</v>
      </c>
      <c r="AW24" s="203" t="n">
        <v>8.08070981920247</v>
      </c>
      <c r="AX24" s="203" t="n">
        <v>8.080717357877838</v>
      </c>
      <c r="AY24" s="203" t="n">
        <v>8.080725400499741</v>
      </c>
      <c r="AZ24" s="203" t="n">
        <v>8.080734147748489</v>
      </c>
      <c r="BA24" s="203" t="n">
        <v>8.080743325440148</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6"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203" t="n">
        <v>6.791001701933234</v>
      </c>
      <c r="M25" s="203" t="n">
        <v>3.938518289677504</v>
      </c>
      <c r="N25" s="203" t="n">
        <v>3.414229885726776</v>
      </c>
      <c r="O25" s="203" t="n">
        <v>3.414229885726776</v>
      </c>
      <c r="P25" s="203" t="n">
        <v>3.414229885726776</v>
      </c>
      <c r="Q25" s="203" t="n">
        <v>3.414229885726776</v>
      </c>
      <c r="R25" s="203" t="n">
        <v>3.414229885726776</v>
      </c>
      <c r="S25" s="203" t="n">
        <v>3.414229885726776</v>
      </c>
      <c r="T25" s="203" t="n">
        <v>3.414229885726776</v>
      </c>
      <c r="U25" s="203" t="n">
        <v>3.414229885726776</v>
      </c>
      <c r="V25" s="203" t="n">
        <v>3.414229885726777</v>
      </c>
      <c r="W25" s="203" t="n">
        <v>3.414229885726776</v>
      </c>
      <c r="X25" s="203" t="n">
        <v>3.414229885726776</v>
      </c>
      <c r="Y25" s="203" t="n">
        <v>3.414229885726776</v>
      </c>
      <c r="Z25" s="203" t="n">
        <v>3.414229885726776</v>
      </c>
      <c r="AA25" s="203" t="n">
        <v>3.414229885726776</v>
      </c>
      <c r="AB25" s="203" t="n">
        <v>3.414229885726776</v>
      </c>
      <c r="AC25" s="203" t="n">
        <v>3.414229885726776</v>
      </c>
      <c r="AD25" s="203" t="n">
        <v>3.414229885726776</v>
      </c>
      <c r="AE25" s="203" t="n">
        <v>3.414229885726777</v>
      </c>
      <c r="AF25" s="3" t="n"/>
      <c r="AG25" s="3" t="inlineStr">
        <is>
          <t>egy.mit.rpn.all.lpg.2</t>
        </is>
      </c>
      <c r="AH25" s="203" t="n">
        <v>6.791001701933234</v>
      </c>
      <c r="AI25" s="203" t="n">
        <v>3.938518289677504</v>
      </c>
      <c r="AJ25" s="203" t="n">
        <v>3.414229885726776</v>
      </c>
      <c r="AK25" s="203" t="n">
        <v>3.414229885726776</v>
      </c>
      <c r="AL25" s="203" t="n">
        <v>3.414229885726776</v>
      </c>
      <c r="AM25" s="203" t="n">
        <v>4.759788906553579</v>
      </c>
      <c r="AN25" s="203" t="n">
        <v>4.759788906553579</v>
      </c>
      <c r="AO25" s="203" t="n">
        <v>4.759788906553579</v>
      </c>
      <c r="AP25" s="203" t="n">
        <v>4.759788906553579</v>
      </c>
      <c r="AQ25" s="203" t="n">
        <v>4.759788906553579</v>
      </c>
      <c r="AR25" s="203" t="n">
        <v>4.759788906553579</v>
      </c>
      <c r="AS25" s="203" t="n">
        <v>4.759788906553579</v>
      </c>
      <c r="AT25" s="203" t="n">
        <v>4.759788906553579</v>
      </c>
      <c r="AU25" s="203" t="n">
        <v>4.759788906553579</v>
      </c>
      <c r="AV25" s="203" t="n">
        <v>4.759788906553579</v>
      </c>
      <c r="AW25" s="203" t="n">
        <v>4.759788906553578</v>
      </c>
      <c r="AX25" s="203" t="n">
        <v>4.759788906553578</v>
      </c>
      <c r="AY25" s="203" t="n">
        <v>4.759788906553579</v>
      </c>
      <c r="AZ25" s="203" t="n">
        <v>4.75978890655358</v>
      </c>
      <c r="BA25" s="203" t="n">
        <v>4.759788906553579</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6"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203" t="n">
        <v>10.96197170511618</v>
      </c>
      <c r="M26" s="203" t="n">
        <v>6.854447251586659</v>
      </c>
      <c r="N26" s="203" t="n">
        <v>6.461251972988677</v>
      </c>
      <c r="O26" s="203" t="n">
        <v>6.461251972988676</v>
      </c>
      <c r="P26" s="203" t="n">
        <v>6.461251972988677</v>
      </c>
      <c r="Q26" s="203" t="n">
        <v>6.461251972988677</v>
      </c>
      <c r="R26" s="203" t="n">
        <v>6.461251972988677</v>
      </c>
      <c r="S26" s="203" t="n">
        <v>6.461251972988677</v>
      </c>
      <c r="T26" s="203" t="n">
        <v>6.461251972988677</v>
      </c>
      <c r="U26" s="203" t="n">
        <v>6.461251972988677</v>
      </c>
      <c r="V26" s="203" t="n">
        <v>6.461251972988677</v>
      </c>
      <c r="W26" s="203" t="n">
        <v>6.461251972988677</v>
      </c>
      <c r="X26" s="203" t="n">
        <v>6.461251972988679</v>
      </c>
      <c r="Y26" s="203" t="n">
        <v>6.461251972988679</v>
      </c>
      <c r="Z26" s="203" t="n">
        <v>6.46125197298868</v>
      </c>
      <c r="AA26" s="203" t="n">
        <v>6.461251972988679</v>
      </c>
      <c r="AB26" s="203" t="n">
        <v>6.461251972988679</v>
      </c>
      <c r="AC26" s="203" t="n">
        <v>6.46125197298868</v>
      </c>
      <c r="AD26" s="203" t="n">
        <v>6.46125197298868</v>
      </c>
      <c r="AE26" s="203" t="n">
        <v>6.461251972988681</v>
      </c>
      <c r="AF26" s="3" t="n"/>
      <c r="AG26" s="3" t="inlineStr">
        <is>
          <t>egy.mit.rpn.all.ker.2</t>
        </is>
      </c>
      <c r="AH26" s="203" t="n">
        <v>10.96197170511618</v>
      </c>
      <c r="AI26" s="203" t="n">
        <v>6.854447251586659</v>
      </c>
      <c r="AJ26" s="203" t="n">
        <v>6.461251972988677</v>
      </c>
      <c r="AK26" s="203" t="n">
        <v>6.461251972988676</v>
      </c>
      <c r="AL26" s="203" t="n">
        <v>6.461251972988677</v>
      </c>
      <c r="AM26" s="203" t="n">
        <v>7.862975988641569</v>
      </c>
      <c r="AN26" s="203" t="n">
        <v>7.862976839961102</v>
      </c>
      <c r="AO26" s="203" t="n">
        <v>7.862977460172117</v>
      </c>
      <c r="AP26" s="203" t="n">
        <v>7.862977654628679</v>
      </c>
      <c r="AQ26" s="203" t="n">
        <v>7.862977869462432</v>
      </c>
      <c r="AR26" s="203" t="n">
        <v>7.862977969181477</v>
      </c>
      <c r="AS26" s="203" t="n">
        <v>7.862978078957948</v>
      </c>
      <c r="AT26" s="203" t="n">
        <v>7.862978159016772</v>
      </c>
      <c r="AU26" s="203" t="n">
        <v>7.862978156677496</v>
      </c>
      <c r="AV26" s="203" t="n">
        <v>7.862978105284939</v>
      </c>
      <c r="AW26" s="203" t="n">
        <v>7.862978025372024</v>
      </c>
      <c r="AX26" s="203" t="n">
        <v>7.862977853547039</v>
      </c>
      <c r="AY26" s="203" t="n">
        <v>7.862977607443413</v>
      </c>
      <c r="AZ26" s="203" t="n">
        <v>7.862977268953585</v>
      </c>
      <c r="BA26" s="203" t="n">
        <v>7.862976866549449</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6"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0.06223037812558459</v>
      </c>
      <c r="N27" s="60" t="n">
        <v>0.05196230567072456</v>
      </c>
      <c r="O27" s="60" t="n">
        <v>0.05036557901530686</v>
      </c>
      <c r="P27" s="60" t="n">
        <v>0.05035489147015371</v>
      </c>
      <c r="Q27" s="60" t="n">
        <v>0.05081942058783841</v>
      </c>
      <c r="R27" s="60" t="n">
        <v>0.05099105971829519</v>
      </c>
      <c r="S27" s="60" t="n">
        <v>0.05153261012138767</v>
      </c>
      <c r="T27" s="60" t="n">
        <v>0.05213451052249077</v>
      </c>
      <c r="U27" s="60" t="n">
        <v>0.05278936478502784</v>
      </c>
      <c r="V27" s="60" t="n">
        <v>0.05154575128440812</v>
      </c>
      <c r="W27" s="60" t="n">
        <v>0.05040369480546197</v>
      </c>
      <c r="X27" s="60" t="n">
        <v>0.04922891636188381</v>
      </c>
      <c r="Y27" s="60" t="n">
        <v>0.04814239936976013</v>
      </c>
      <c r="Z27" s="60" t="n">
        <v>0.04712208812371654</v>
      </c>
      <c r="AA27" s="60" t="n">
        <v>0.04616838707007442</v>
      </c>
      <c r="AB27" s="60" t="n">
        <v>0.04527303790263681</v>
      </c>
      <c r="AC27" s="60" t="n">
        <v>0.04442708973731689</v>
      </c>
      <c r="AD27" s="60" t="n">
        <v>0.04362472531108082</v>
      </c>
      <c r="AE27" s="60" t="n">
        <v>0.04285942660724025</v>
      </c>
      <c r="AF27" s="3" t="n"/>
      <c r="AG27" s="3" t="inlineStr">
        <is>
          <t>egy.mit.rp.ind.ecy.2</t>
        </is>
      </c>
      <c r="AH27" s="60" t="n">
        <v>0.06366178501239006</v>
      </c>
      <c r="AI27" s="60" t="n">
        <v>0.06223037812558459</v>
      </c>
      <c r="AJ27" s="60" t="n">
        <v>0.05196230567072456</v>
      </c>
      <c r="AK27" s="60" t="n">
        <v>0.05036750481791644</v>
      </c>
      <c r="AL27" s="60" t="n">
        <v>0.05035935630466169</v>
      </c>
      <c r="AM27" s="60" t="n">
        <v>0.06004240541846695</v>
      </c>
      <c r="AN27" s="60" t="n">
        <v>0.06000831692763593</v>
      </c>
      <c r="AO27" s="60" t="n">
        <v>0.06137732554532543</v>
      </c>
      <c r="AP27" s="60" t="n">
        <v>0.06068410957669811</v>
      </c>
      <c r="AQ27" s="60" t="n">
        <v>0.06097488925600259</v>
      </c>
      <c r="AR27" s="60" t="n">
        <v>0.05922146560589736</v>
      </c>
      <c r="AS27" s="60" t="n">
        <v>0.05772360178937051</v>
      </c>
      <c r="AT27" s="60" t="n">
        <v>0.0561841131464471</v>
      </c>
      <c r="AU27" s="60" t="n">
        <v>0.05478665213636108</v>
      </c>
      <c r="AV27" s="60" t="n">
        <v>0.05349393249589844</v>
      </c>
      <c r="AW27" s="60" t="n">
        <v>0.05229467105848792</v>
      </c>
      <c r="AX27" s="60" t="n">
        <v>0.05117296161989961</v>
      </c>
      <c r="AY27" s="60" t="n">
        <v>0.0501209729950706</v>
      </c>
      <c r="AZ27" s="60" t="n">
        <v>0.04912837673762797</v>
      </c>
      <c r="BA27" s="60" t="n">
        <v>0.04818881330541678</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6"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202" t="n">
        <v>18950.88812739385</v>
      </c>
      <c r="M28" s="202" t="n">
        <v>13655.30560306855</v>
      </c>
      <c r="N28" s="202" t="n">
        <v>14240.34438549033</v>
      </c>
      <c r="O28" s="202" t="n">
        <v>13853.62175854659</v>
      </c>
      <c r="P28" s="202" t="n">
        <v>14466.89381669192</v>
      </c>
      <c r="Q28" s="202" t="n">
        <v>14843.78041129769</v>
      </c>
      <c r="R28" s="202" t="n">
        <v>15151.94939508969</v>
      </c>
      <c r="S28" s="202" t="n">
        <v>15436.40457208361</v>
      </c>
      <c r="T28" s="202" t="n">
        <v>15690.62178660767</v>
      </c>
      <c r="U28" s="202" t="n">
        <v>15944.24409674462</v>
      </c>
      <c r="V28" s="202" t="n">
        <v>16245.83852398194</v>
      </c>
      <c r="W28" s="202" t="n">
        <v>16548.19078345854</v>
      </c>
      <c r="X28" s="202" t="n">
        <v>16851.21473740532</v>
      </c>
      <c r="Y28" s="202" t="n">
        <v>17154.82500868065</v>
      </c>
      <c r="Z28" s="202" t="n">
        <v>17458.93690833649</v>
      </c>
      <c r="AA28" s="202" t="n">
        <v>17763.46635542694</v>
      </c>
      <c r="AB28" s="202" t="n">
        <v>18068.3297894577</v>
      </c>
      <c r="AC28" s="202" t="n">
        <v>18373.4440758493</v>
      </c>
      <c r="AD28" s="202" t="n">
        <v>18678.72640476151</v>
      </c>
      <c r="AE28" s="202" t="n">
        <v>18984.09418360066</v>
      </c>
      <c r="AF28" s="3" t="n"/>
      <c r="AG28" s="3" t="inlineStr">
        <is>
          <t>egy.mit.pav.sp.all.coa.2</t>
        </is>
      </c>
      <c r="AH28" s="202" t="n">
        <v>18950.88812739385</v>
      </c>
      <c r="AI28" s="202" t="n">
        <v>13655.30560306855</v>
      </c>
      <c r="AJ28" s="202" t="n">
        <v>14240.34438549033</v>
      </c>
      <c r="AK28" s="202" t="n">
        <v>13853.62175854659</v>
      </c>
      <c r="AL28" s="202" t="n">
        <v>14466.89381669192</v>
      </c>
      <c r="AM28" s="202" t="n">
        <v>16366.8014549364</v>
      </c>
      <c r="AN28" s="202" t="n">
        <v>16715.84652636196</v>
      </c>
      <c r="AO28" s="202" t="n">
        <v>17044.9359553315</v>
      </c>
      <c r="AP28" s="202" t="n">
        <v>17325.46696673066</v>
      </c>
      <c r="AQ28" s="202" t="n">
        <v>17618.64569446542</v>
      </c>
      <c r="AR28" s="202" t="n">
        <v>17947.25897440104</v>
      </c>
      <c r="AS28" s="202" t="n">
        <v>18287.50734781973</v>
      </c>
      <c r="AT28" s="202" t="n">
        <v>18634.00961700575</v>
      </c>
      <c r="AU28" s="202" t="n">
        <v>18978.73736359325</v>
      </c>
      <c r="AV28" s="202" t="n">
        <v>19326.35187796036</v>
      </c>
      <c r="AW28" s="202" t="n">
        <v>19679.99084560787</v>
      </c>
      <c r="AX28" s="202" t="n">
        <v>20029.12700990366</v>
      </c>
      <c r="AY28" s="202" t="n">
        <v>20375.98416296343</v>
      </c>
      <c r="AZ28" s="202" t="n">
        <v>20716.79497097824</v>
      </c>
      <c r="BA28" s="202" t="n">
        <v>21055.85109537994</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6"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202" t="n">
        <v>70305.62581771295</v>
      </c>
      <c r="M29" s="202" t="n">
        <v>55615.09464390567</v>
      </c>
      <c r="N29" s="202" t="n">
        <v>61184.94829068319</v>
      </c>
      <c r="O29" s="202" t="n">
        <v>63361.70614449462</v>
      </c>
      <c r="P29" s="202" t="n">
        <v>65508.52208095027</v>
      </c>
      <c r="Q29" s="202" t="n">
        <v>68068.96845945744</v>
      </c>
      <c r="R29" s="202" t="n">
        <v>71146.00314761876</v>
      </c>
      <c r="S29" s="202" t="n">
        <v>74133.11680329316</v>
      </c>
      <c r="T29" s="202" t="n">
        <v>76962.23440528158</v>
      </c>
      <c r="U29" s="202" t="n">
        <v>79849.50682988959</v>
      </c>
      <c r="V29" s="202" t="n">
        <v>82805.60149191236</v>
      </c>
      <c r="W29" s="202" t="n">
        <v>85830.51163726191</v>
      </c>
      <c r="X29" s="202" t="n">
        <v>88924.17908181582</v>
      </c>
      <c r="Y29" s="202" t="n">
        <v>92086.49337318465</v>
      </c>
      <c r="Z29" s="202" t="n">
        <v>95317.29084488783</v>
      </c>
      <c r="AA29" s="202" t="n">
        <v>98616.35355422254</v>
      </c>
      <c r="AB29" s="202" t="n">
        <v>101983.4080954377</v>
      </c>
      <c r="AC29" s="202" t="n">
        <v>105418.12428015</v>
      </c>
      <c r="AD29" s="202" t="n">
        <v>108920.1136772541</v>
      </c>
      <c r="AE29" s="202" t="n">
        <v>112488.9280048922</v>
      </c>
      <c r="AF29" s="3" t="n"/>
      <c r="AG29" s="3" t="inlineStr">
        <is>
          <t>egy.mit.pav.sp.all.nga.2</t>
        </is>
      </c>
      <c r="AH29" s="202" t="n">
        <v>70305.62581771295</v>
      </c>
      <c r="AI29" s="202" t="n">
        <v>55615.09464390567</v>
      </c>
      <c r="AJ29" s="202" t="n">
        <v>61184.94829068319</v>
      </c>
      <c r="AK29" s="202" t="n">
        <v>63361.70614449462</v>
      </c>
      <c r="AL29" s="202" t="n">
        <v>65508.52208095027</v>
      </c>
      <c r="AM29" s="202" t="n">
        <v>72060.63399951468</v>
      </c>
      <c r="AN29" s="202" t="n">
        <v>75298.76580476151</v>
      </c>
      <c r="AO29" s="202" t="n">
        <v>78484.62641168026</v>
      </c>
      <c r="AP29" s="202" t="n">
        <v>81363.27131018198</v>
      </c>
      <c r="AQ29" s="202" t="n">
        <v>84415.50701336085</v>
      </c>
      <c r="AR29" s="202" t="n">
        <v>87481.34961169207</v>
      </c>
      <c r="AS29" s="202" t="n">
        <v>90717.30348691545</v>
      </c>
      <c r="AT29" s="202" t="n">
        <v>94079.39211941432</v>
      </c>
      <c r="AU29" s="202" t="n">
        <v>97494.43950344525</v>
      </c>
      <c r="AV29" s="202" t="n">
        <v>101007.4594213918</v>
      </c>
      <c r="AW29" s="202" t="n">
        <v>104651.7501257218</v>
      </c>
      <c r="AX29" s="202" t="n">
        <v>108324.2350678288</v>
      </c>
      <c r="AY29" s="202" t="n">
        <v>112045.8043121757</v>
      </c>
      <c r="AZ29" s="202" t="n">
        <v>115775.9366469276</v>
      </c>
      <c r="BA29" s="202" t="n">
        <v>119557.6518569977</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6"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202" t="n">
        <v>16181.78418622724</v>
      </c>
      <c r="M30" s="202" t="n">
        <v>12110.009764422</v>
      </c>
      <c r="N30" s="202" t="n">
        <v>12835.23457585987</v>
      </c>
      <c r="O30" s="202" t="n">
        <v>13247.87642272871</v>
      </c>
      <c r="P30" s="202" t="n">
        <v>13653.13838683532</v>
      </c>
      <c r="Q30" s="202" t="n">
        <v>14131.23655501875</v>
      </c>
      <c r="R30" s="202" t="n">
        <v>14699.30140068322</v>
      </c>
      <c r="S30" s="202" t="n">
        <v>15247.73826030183</v>
      </c>
      <c r="T30" s="202" t="n">
        <v>15765.04072279946</v>
      </c>
      <c r="U30" s="202" t="n">
        <v>16289.83264379134</v>
      </c>
      <c r="V30" s="202" t="n">
        <v>16823.92362437298</v>
      </c>
      <c r="W30" s="202" t="n">
        <v>17367.22954930406</v>
      </c>
      <c r="X30" s="202" t="n">
        <v>17919.66082212283</v>
      </c>
      <c r="Y30" s="202" t="n">
        <v>18481.12232711611</v>
      </c>
      <c r="Z30" s="202" t="n">
        <v>19051.51337022443</v>
      </c>
      <c r="AA30" s="202" t="n">
        <v>19630.72759829016</v>
      </c>
      <c r="AB30" s="202" t="n">
        <v>20218.65289610433</v>
      </c>
      <c r="AC30" s="202" t="n">
        <v>20815.17126075082</v>
      </c>
      <c r="AD30" s="202" t="n">
        <v>21420.15865278361</v>
      </c>
      <c r="AE30" s="202" t="n">
        <v>22033.48482380728</v>
      </c>
      <c r="AF30" s="3" t="n"/>
      <c r="AG30" s="3" t="inlineStr">
        <is>
          <t>egy.mit.pav.sp.all.oop.2</t>
        </is>
      </c>
      <c r="AH30" s="202" t="n">
        <v>16181.78418622724</v>
      </c>
      <c r="AI30" s="202" t="n">
        <v>12110.009764422</v>
      </c>
      <c r="AJ30" s="202" t="n">
        <v>12835.23457585987</v>
      </c>
      <c r="AK30" s="202" t="n">
        <v>13247.87642272871</v>
      </c>
      <c r="AL30" s="202" t="n">
        <v>13653.13838683532</v>
      </c>
      <c r="AM30" s="202" t="n">
        <v>15898.31904379343</v>
      </c>
      <c r="AN30" s="202" t="n">
        <v>16537.3389920402</v>
      </c>
      <c r="AO30" s="202" t="n">
        <v>17162.39059310589</v>
      </c>
      <c r="AP30" s="202" t="n">
        <v>17725.78037179936</v>
      </c>
      <c r="AQ30" s="202" t="n">
        <v>18318.94443684238</v>
      </c>
      <c r="AR30" s="202" t="n">
        <v>18911.60492461941</v>
      </c>
      <c r="AS30" s="202" t="n">
        <v>19532.87472018349</v>
      </c>
      <c r="AT30" s="202" t="n">
        <v>20174.23392981389</v>
      </c>
      <c r="AU30" s="202" t="n">
        <v>20822.02182339754</v>
      </c>
      <c r="AV30" s="202" t="n">
        <v>21484.41892621533</v>
      </c>
      <c r="AW30" s="202" t="n">
        <v>22167.29374779487</v>
      </c>
      <c r="AX30" s="202" t="n">
        <v>22851.84804504408</v>
      </c>
      <c r="AY30" s="202" t="n">
        <v>23541.89148309883</v>
      </c>
      <c r="AZ30" s="202" t="n">
        <v>24230.22292260568</v>
      </c>
      <c r="BA30" s="202" t="n">
        <v>24924.57596959627</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6"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202" t="n">
        <v>127091.6815426275</v>
      </c>
      <c r="M31" s="202" t="n">
        <v>89598.27517096116</v>
      </c>
      <c r="N31" s="202" t="n">
        <v>91981.99767883596</v>
      </c>
      <c r="O31" s="202" t="n">
        <v>94276.77595733487</v>
      </c>
      <c r="P31" s="202" t="n">
        <v>96501.02394436384</v>
      </c>
      <c r="Q31" s="202" t="n">
        <v>99148.78825455945</v>
      </c>
      <c r="R31" s="202" t="n">
        <v>102315.2029607938</v>
      </c>
      <c r="S31" s="202" t="n">
        <v>105326.0100805547</v>
      </c>
      <c r="T31" s="202" t="n">
        <v>108115.743502334</v>
      </c>
      <c r="U31" s="202" t="n">
        <v>110919.3070997237</v>
      </c>
      <c r="V31" s="202" t="n">
        <v>113747.1130239242</v>
      </c>
      <c r="W31" s="202" t="n">
        <v>116598.1513957458</v>
      </c>
      <c r="X31" s="202" t="n">
        <v>119471.4033659037</v>
      </c>
      <c r="Y31" s="202" t="n">
        <v>122365.8411813093</v>
      </c>
      <c r="Z31" s="202" t="n">
        <v>125280.4281330618</v>
      </c>
      <c r="AA31" s="202" t="n">
        <v>128214.1183881849</v>
      </c>
      <c r="AB31" s="202" t="n">
        <v>131165.8567072882</v>
      </c>
      <c r="AC31" s="202" t="n">
        <v>134134.5780504294</v>
      </c>
      <c r="AD31" s="202" t="n">
        <v>137119.207073521</v>
      </c>
      <c r="AE31" s="202" t="n">
        <v>140118.657517668</v>
      </c>
      <c r="AF31" s="3" t="n"/>
      <c r="AG31" s="3" t="inlineStr">
        <is>
          <t>egy.mit.pav.sp.all.gso.2</t>
        </is>
      </c>
      <c r="AH31" s="202" t="n">
        <v>127091.6815426275</v>
      </c>
      <c r="AI31" s="202" t="n">
        <v>89598.27517096116</v>
      </c>
      <c r="AJ31" s="202" t="n">
        <v>91981.99767883596</v>
      </c>
      <c r="AK31" s="202" t="n">
        <v>94276.77595733487</v>
      </c>
      <c r="AL31" s="202" t="n">
        <v>96501.02394436384</v>
      </c>
      <c r="AM31" s="202" t="n">
        <v>103788.4541702611</v>
      </c>
      <c r="AN31" s="202" t="n">
        <v>107103.0237195451</v>
      </c>
      <c r="AO31" s="202" t="n">
        <v>110300.366128742</v>
      </c>
      <c r="AP31" s="202" t="n">
        <v>113116.9526298143</v>
      </c>
      <c r="AQ31" s="202" t="n">
        <v>116067.8721383092</v>
      </c>
      <c r="AR31" s="202" t="n">
        <v>118983.6051801561</v>
      </c>
      <c r="AS31" s="202" t="n">
        <v>122024.0279565003</v>
      </c>
      <c r="AT31" s="202" t="n">
        <v>125140.2697627127</v>
      </c>
      <c r="AU31" s="202" t="n">
        <v>128257.1047835659</v>
      </c>
      <c r="AV31" s="202" t="n">
        <v>131418.2917703711</v>
      </c>
      <c r="AW31" s="202" t="n">
        <v>134654.087084533</v>
      </c>
      <c r="AX31" s="202" t="n">
        <v>137863.7009325529</v>
      </c>
      <c r="AY31" s="202" t="n">
        <v>141067.6113615021</v>
      </c>
      <c r="AZ31" s="202" t="n">
        <v>144228.3895994138</v>
      </c>
      <c r="BA31" s="202" t="n">
        <v>147386.856586653</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6"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202" t="n">
        <v>168813.2689625064</v>
      </c>
      <c r="M32" s="202" t="n">
        <v>121490.4895692079</v>
      </c>
      <c r="N32" s="202" t="n">
        <v>129664.8370218902</v>
      </c>
      <c r="O32" s="202" t="n">
        <v>132247.4015370829</v>
      </c>
      <c r="P32" s="202" t="n">
        <v>134738.9597660796</v>
      </c>
      <c r="Q32" s="202" t="n">
        <v>137689.2043403021</v>
      </c>
      <c r="R32" s="202" t="n">
        <v>141195.8563628418</v>
      </c>
      <c r="S32" s="202" t="n">
        <v>144510.5579688074</v>
      </c>
      <c r="T32" s="202" t="n">
        <v>147565.6191056066</v>
      </c>
      <c r="U32" s="202" t="n">
        <v>150620.1657846547</v>
      </c>
      <c r="V32" s="202" t="n">
        <v>153685.693092124</v>
      </c>
      <c r="W32" s="202" t="n">
        <v>156761.1975459933</v>
      </c>
      <c r="X32" s="202" t="n">
        <v>159845.6828442113</v>
      </c>
      <c r="Y32" s="202" t="n">
        <v>162938.1594163211</v>
      </c>
      <c r="Z32" s="202" t="n">
        <v>166037.6438726352</v>
      </c>
      <c r="AA32" s="202" t="n">
        <v>169143.1583556049</v>
      </c>
      <c r="AB32" s="202" t="n">
        <v>172253.7297978553</v>
      </c>
      <c r="AC32" s="202" t="n">
        <v>175368.3890911691</v>
      </c>
      <c r="AD32" s="202" t="n">
        <v>178486.1701704976</v>
      </c>
      <c r="AE32" s="202" t="n">
        <v>181606.1090168619</v>
      </c>
      <c r="AF32" s="3" t="n"/>
      <c r="AG32" s="3" t="inlineStr">
        <is>
          <t>egy.mit.pav.sp.all.die.2</t>
        </is>
      </c>
      <c r="AH32" s="202" t="n">
        <v>168813.2689625064</v>
      </c>
      <c r="AI32" s="202" t="n">
        <v>121490.4895692079</v>
      </c>
      <c r="AJ32" s="202" t="n">
        <v>129664.8370218902</v>
      </c>
      <c r="AK32" s="202" t="n">
        <v>132247.4015370829</v>
      </c>
      <c r="AL32" s="202" t="n">
        <v>134738.9597660796</v>
      </c>
      <c r="AM32" s="202" t="n">
        <v>144931.0109474661</v>
      </c>
      <c r="AN32" s="202" t="n">
        <v>148621.6139252147</v>
      </c>
      <c r="AO32" s="202" t="n">
        <v>152159.3671415279</v>
      </c>
      <c r="AP32" s="202" t="n">
        <v>155257.2270318157</v>
      </c>
      <c r="AQ32" s="202" t="n">
        <v>158486.5582609248</v>
      </c>
      <c r="AR32" s="202" t="n">
        <v>161660.8591892301</v>
      </c>
      <c r="AS32" s="202" t="n">
        <v>164954.5645031335</v>
      </c>
      <c r="AT32" s="202" t="n">
        <v>168313.3957369337</v>
      </c>
      <c r="AU32" s="202" t="n">
        <v>171655.8796207433</v>
      </c>
      <c r="AV32" s="202" t="n">
        <v>175029.2469904069</v>
      </c>
      <c r="AW32" s="202" t="n">
        <v>178465.448126214</v>
      </c>
      <c r="AX32" s="202" t="n">
        <v>181857.2023814096</v>
      </c>
      <c r="AY32" s="202" t="n">
        <v>185226.9371181095</v>
      </c>
      <c r="AZ32" s="202" t="n">
        <v>188535.9517371583</v>
      </c>
      <c r="BA32" s="202" t="n">
        <v>191827.8665232833</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6"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202" t="n">
        <v>36598.49963796716</v>
      </c>
      <c r="M33" s="202" t="n">
        <v>23864.88801935255</v>
      </c>
      <c r="N33" s="202" t="n">
        <v>24940.42859311133</v>
      </c>
      <c r="O33" s="202" t="n">
        <v>25555.60907993353</v>
      </c>
      <c r="P33" s="202" t="n">
        <v>26155.81983872738</v>
      </c>
      <c r="Q33" s="202" t="n">
        <v>26862.38895911673</v>
      </c>
      <c r="R33" s="202" t="n">
        <v>27699.18854804019</v>
      </c>
      <c r="S33" s="202" t="n">
        <v>28500.780656569</v>
      </c>
      <c r="T33" s="202" t="n">
        <v>29250.95773066195</v>
      </c>
      <c r="U33" s="202" t="n">
        <v>30007.56362658817</v>
      </c>
      <c r="V33" s="202" t="n">
        <v>30773.25914835068</v>
      </c>
      <c r="W33" s="202" t="n">
        <v>31547.89112855759</v>
      </c>
      <c r="X33" s="202" t="n">
        <v>32331.30240215049</v>
      </c>
      <c r="Y33" s="202" t="n">
        <v>33123.33170218111</v>
      </c>
      <c r="Z33" s="202" t="n">
        <v>33923.81352930514</v>
      </c>
      <c r="AA33" s="202" t="n">
        <v>34732.57799487225</v>
      </c>
      <c r="AB33" s="202" t="n">
        <v>35549.45063750658</v>
      </c>
      <c r="AC33" s="202" t="n">
        <v>36374.25221308248</v>
      </c>
      <c r="AD33" s="202" t="n">
        <v>37206.79845800557</v>
      </c>
      <c r="AE33" s="202" t="n">
        <v>38046.89982571244</v>
      </c>
      <c r="AF33" s="3" t="n"/>
      <c r="AG33" s="3" t="inlineStr">
        <is>
          <t>egy.mit.pav.sp.all.lpg.2</t>
        </is>
      </c>
      <c r="AH33" s="202" t="n">
        <v>36598.49963796716</v>
      </c>
      <c r="AI33" s="202" t="n">
        <v>23864.88801935255</v>
      </c>
      <c r="AJ33" s="202" t="n">
        <v>24940.42859311133</v>
      </c>
      <c r="AK33" s="202" t="n">
        <v>25555.60907993353</v>
      </c>
      <c r="AL33" s="202" t="n">
        <v>26155.81983872738</v>
      </c>
      <c r="AM33" s="202" t="n">
        <v>30611.64251256127</v>
      </c>
      <c r="AN33" s="202" t="n">
        <v>31562.65944407613</v>
      </c>
      <c r="AO33" s="202" t="n">
        <v>32485.7780663281</v>
      </c>
      <c r="AP33" s="202" t="n">
        <v>33310.42707940558</v>
      </c>
      <c r="AQ33" s="202" t="n">
        <v>34174.37408329289</v>
      </c>
      <c r="AR33" s="202" t="n">
        <v>35032.33104488013</v>
      </c>
      <c r="AS33" s="202" t="n">
        <v>35927.34001981247</v>
      </c>
      <c r="AT33" s="202" t="n">
        <v>36846.47370115922</v>
      </c>
      <c r="AU33" s="202" t="n">
        <v>37769.60872734051</v>
      </c>
      <c r="AV33" s="202" t="n">
        <v>38708.65747165919</v>
      </c>
      <c r="AW33" s="202" t="n">
        <v>39671.95884129162</v>
      </c>
      <c r="AX33" s="202" t="n">
        <v>40632.34594886137</v>
      </c>
      <c r="AY33" s="202" t="n">
        <v>41595.42313237848</v>
      </c>
      <c r="AZ33" s="202" t="n">
        <v>42551.05475346751</v>
      </c>
      <c r="BA33" s="202" t="n">
        <v>43510.38580150402</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6"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202" t="n">
        <v>76.72722475279022</v>
      </c>
      <c r="M34" s="202" t="n">
        <v>51.93893266305161</v>
      </c>
      <c r="N34" s="202" t="n">
        <v>56.22219091395158</v>
      </c>
      <c r="O34" s="202" t="n">
        <v>57.75902038558977</v>
      </c>
      <c r="P34" s="202" t="n">
        <v>59.26298640382574</v>
      </c>
      <c r="Q34" s="202" t="n">
        <v>61.03419891699685</v>
      </c>
      <c r="R34" s="202" t="n">
        <v>63.13383909993001</v>
      </c>
      <c r="S34" s="202" t="n">
        <v>65.15237331879507</v>
      </c>
      <c r="T34" s="202" t="n">
        <v>67.04847915972843</v>
      </c>
      <c r="U34" s="202" t="n">
        <v>68.96583859990922</v>
      </c>
      <c r="V34" s="202" t="n">
        <v>70.91112229560693</v>
      </c>
      <c r="W34" s="202" t="n">
        <v>72.88398828950839</v>
      </c>
      <c r="X34" s="202" t="n">
        <v>74.8840802269556</v>
      </c>
      <c r="Y34" s="202" t="n">
        <v>76.91102713201313</v>
      </c>
      <c r="Z34" s="202" t="n">
        <v>78.96444311293632</v>
      </c>
      <c r="AA34" s="202" t="n">
        <v>81.04392699590089</v>
      </c>
      <c r="AB34" s="202" t="n">
        <v>83.14906188594652</v>
      </c>
      <c r="AC34" s="202" t="n">
        <v>85.279414654167</v>
      </c>
      <c r="AD34" s="202" t="n">
        <v>87.43453535024096</v>
      </c>
      <c r="AE34" s="202" t="n">
        <v>89.61395653945326</v>
      </c>
      <c r="AF34" s="3" t="n"/>
      <c r="AG34" s="3" t="inlineStr">
        <is>
          <t>egy.mit.pav.sp.all.ker.2</t>
        </is>
      </c>
      <c r="AH34" s="202" t="n">
        <v>76.72722475279022</v>
      </c>
      <c r="AI34" s="202" t="n">
        <v>51.93893266305161</v>
      </c>
      <c r="AJ34" s="202" t="n">
        <v>56.22219091395158</v>
      </c>
      <c r="AK34" s="202" t="n">
        <v>57.75902038558977</v>
      </c>
      <c r="AL34" s="202" t="n">
        <v>59.26298640382574</v>
      </c>
      <c r="AM34" s="202" t="n">
        <v>65.57532051393885</v>
      </c>
      <c r="AN34" s="202" t="n">
        <v>67.82807198072518</v>
      </c>
      <c r="AO34" s="202" t="n">
        <v>70.02240219480763</v>
      </c>
      <c r="AP34" s="202" t="n">
        <v>71.99127061691034</v>
      </c>
      <c r="AQ34" s="202" t="n">
        <v>74.05828628787117</v>
      </c>
      <c r="AR34" s="202" t="n">
        <v>76.11675027973581</v>
      </c>
      <c r="AS34" s="202" t="n">
        <v>78.26860173108494</v>
      </c>
      <c r="AT34" s="202" t="n">
        <v>80.48357864206179</v>
      </c>
      <c r="AU34" s="202" t="n">
        <v>82.71396208684025</v>
      </c>
      <c r="AV34" s="202" t="n">
        <v>84.98816058164411</v>
      </c>
      <c r="AW34" s="202" t="n">
        <v>87.32628071557689</v>
      </c>
      <c r="AX34" s="202" t="n">
        <v>89.66335464077842</v>
      </c>
      <c r="AY34" s="202" t="n">
        <v>92.0126934781091</v>
      </c>
      <c r="AZ34" s="202" t="n">
        <v>94.34977721832458</v>
      </c>
      <c r="BA34" s="202" t="n">
        <v>96.70130606225527</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6"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3" t="inlineStr">
        <is>
          <t>egy.mit.pav.sp.all.ecy.1</t>
        </is>
      </c>
      <c r="L35" s="202" t="n">
        <v>10606.32229697168</v>
      </c>
      <c r="M35" s="202" t="n">
        <v>9536.842570795958</v>
      </c>
      <c r="N35" s="202" t="n">
        <v>9312.253379505586</v>
      </c>
      <c r="O35" s="202" t="n">
        <v>10199.0181042153</v>
      </c>
      <c r="P35" s="202" t="n">
        <v>10719.18249119576</v>
      </c>
      <c r="Q35" s="202" t="n">
        <v>11246.39046063318</v>
      </c>
      <c r="R35" s="202" t="n">
        <v>11742.25878981501</v>
      </c>
      <c r="S35" s="202" t="n">
        <v>12345.60598672123</v>
      </c>
      <c r="T35" s="202" t="n">
        <v>12901.89117009405</v>
      </c>
      <c r="U35" s="202" t="n">
        <v>13485.83779733718</v>
      </c>
      <c r="V35" s="202" t="n">
        <v>13559.07731019415</v>
      </c>
      <c r="W35" s="202" t="n">
        <v>13930.20766443757</v>
      </c>
      <c r="X35" s="202" t="n">
        <v>14271.20432407401</v>
      </c>
      <c r="Y35" s="202" t="n">
        <v>14641.26906860651</v>
      </c>
      <c r="Z35" s="202" t="n">
        <v>15017.89937687083</v>
      </c>
      <c r="AA35" s="202" t="n">
        <v>15405.27514222218</v>
      </c>
      <c r="AB35" s="202" t="n">
        <v>15801.40111980365</v>
      </c>
      <c r="AC35" s="202" t="n">
        <v>16205.18683313431</v>
      </c>
      <c r="AD35" s="202" t="n">
        <v>16616.60812163852</v>
      </c>
      <c r="AE35" s="202" t="n">
        <v>17034.70277656061</v>
      </c>
      <c r="AF35" s="3" t="n"/>
      <c r="AG35" s="3" t="inlineStr">
        <is>
          <t>egy.mit.pav.sp.all.ecy.2</t>
        </is>
      </c>
      <c r="AH35" s="202" t="n">
        <v>10606.32229697168</v>
      </c>
      <c r="AI35" s="202" t="n">
        <v>9536.842570795958</v>
      </c>
      <c r="AJ35" s="202" t="n">
        <v>9312.253379505586</v>
      </c>
      <c r="AK35" s="202" t="n">
        <v>10199.38959056258</v>
      </c>
      <c r="AL35" s="202" t="n">
        <v>10719.89862730098</v>
      </c>
      <c r="AM35" s="202" t="n">
        <v>13392.23717319081</v>
      </c>
      <c r="AN35" s="202" t="n">
        <v>12728.04402136029</v>
      </c>
      <c r="AO35" s="202" t="n">
        <v>13578.03052974903</v>
      </c>
      <c r="AP35" s="202" t="n">
        <v>13759.99312243638</v>
      </c>
      <c r="AQ35" s="202" t="n">
        <v>14436.2109225299</v>
      </c>
      <c r="AR35" s="202" t="n">
        <v>14497.88401994454</v>
      </c>
      <c r="AS35" s="202" t="n">
        <v>14889.88018249639</v>
      </c>
      <c r="AT35" s="202" t="n">
        <v>15240.09616175211</v>
      </c>
      <c r="AU35" s="202" t="n">
        <v>15628.37037809005</v>
      </c>
      <c r="AV35" s="202" t="n">
        <v>16027.94455167558</v>
      </c>
      <c r="AW35" s="202" t="n">
        <v>16447.18193373467</v>
      </c>
      <c r="AX35" s="202" t="n">
        <v>16868.08168775853</v>
      </c>
      <c r="AY35" s="202" t="n">
        <v>17294.88974374263</v>
      </c>
      <c r="AZ35" s="202" t="n">
        <v>17720.26141171399</v>
      </c>
      <c r="BA35" s="202" t="n">
        <v>18151.00052811905</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204" t="n">
        <v>0</v>
      </c>
      <c r="M1" s="205" t="n">
        <v>1</v>
      </c>
      <c r="N1" s="205" t="n">
        <v>2</v>
      </c>
      <c r="O1" s="205" t="n">
        <v>3</v>
      </c>
      <c r="P1" s="205" t="n">
        <v>4</v>
      </c>
      <c r="Q1" s="205" t="n">
        <v>5</v>
      </c>
      <c r="R1" s="205" t="n">
        <v>6</v>
      </c>
      <c r="S1" s="205" t="n">
        <v>7</v>
      </c>
      <c r="T1" s="205" t="n">
        <v>8</v>
      </c>
      <c r="U1" s="205" t="n">
        <v>9</v>
      </c>
      <c r="V1" s="205" t="n">
        <v>10</v>
      </c>
      <c r="X1" s="6" t="inlineStr">
        <is>
          <t>Scenario: output code</t>
        </is>
      </c>
      <c r="Y1" s="204" t="n">
        <v>0</v>
      </c>
      <c r="Z1" s="205" t="n">
        <v>1</v>
      </c>
      <c r="AA1" s="205" t="n">
        <v>2</v>
      </c>
      <c r="AB1" s="205" t="n">
        <v>3</v>
      </c>
      <c r="AC1" s="205" t="n">
        <v>4</v>
      </c>
      <c r="AD1" s="205" t="n">
        <v>5</v>
      </c>
      <c r="AE1" s="205" t="n">
        <v>6</v>
      </c>
      <c r="AF1" s="205" t="n">
        <v>7</v>
      </c>
      <c r="AG1" s="205" t="n">
        <v>8</v>
      </c>
      <c r="AH1" s="205" t="n">
        <v>9</v>
      </c>
      <c r="AI1" s="205"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206"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33" t="inlineStr">
        <is>
          <t>ScenarioDefinition</t>
        </is>
      </c>
      <c r="K16" s="9" t="str">
        <f>LOWER(CtryCode)&amp;".distn."&amp;$A16&amp;IF($B16="","","."&amp;$B16)&amp;IF($C16="","",".dec."&amp;$C16)&amp;"."&amp;K$5</f>
        <v>egy.distn.YearDistn.1</v>
      </c>
      <c r="L16" s="10">
        <f>INDEX(ScenarioDefinition!$J$1:$AZ$510,$D16,MATCH(L$5,ScenarioDefinition!$J$5:$AZ$5,0))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7" t="str">
        <f>IF(X$5=K$5,SUM(Y16:AI16)-SUM(L16:V16),"")</f>
        <v/>
      </c>
      <c r="X16" s="9" t="str">
        <f>LOWER(CtryCode)&amp;".distn."&amp;$A16&amp;IF($B16="","","."&amp;$B16)&amp;IF($C16="","",".dec."&amp;$C16)&amp;"."&amp;X$5</f>
        <v>egy.distn.YearDistn.2</v>
      </c>
      <c r="Y16" s="10">
        <f>INDEX(ScenarioDefinition!$J$1:$AZ$510,$D16,MATCH(Y$5,ScenarioDefinition!$J$5:$AZ$5,0))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33" t="inlineStr">
        <is>
          <t>ScenarioDefinition</t>
        </is>
      </c>
      <c r="K17" s="9" t="str">
        <f>LOWER(CtryCode)&amp;".distn."&amp;$A17&amp;IF($B17="","","."&amp;$B17)&amp;IF($C17="","",".dec."&amp;$C17)&amp;"."&amp;K$5</f>
        <v>egy.distn.QuantilesStatistic.1</v>
      </c>
      <c r="L17" s="10" t="str">
        <f>INDEX(ScenarioDefinition!$J$1:$AZ$510,$D17,MATCH(L$5,ScenarioDefinition!$J$5:$AZ$5,0))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7" t="str">
        <f>IF(X$5=K$5,SUM(Y17:AI17)-SUM(L17:V17),"")</f>
        <v/>
      </c>
      <c r="X17" s="9" t="str">
        <f>LOWER(CtryCode)&amp;".distn."&amp;$A17&amp;IF($B17="","","."&amp;$B17)&amp;IF($C17="","",".dec."&amp;$C17)&amp;"."&amp;X$5</f>
        <v>egy.distn.QuantilesStatistic.2</v>
      </c>
      <c r="Y17" s="10" t="str">
        <f>INDEX(ScenarioDefinition!$J$1:$AZ$510,$D17,MATCH(Y$5,ScenarioDefinition!$J$5:$AZ$5,0))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33" t="inlineStr">
        <is>
          <t>ScenarioDefinition</t>
        </is>
      </c>
      <c r="K18" s="9" t="str">
        <f>LOWER(CtryCode)&amp;".distn."&amp;$A18&amp;IF($B18="","","."&amp;$B18)&amp;IF($C18="","",".dec."&amp;$C18)&amp;"."&amp;K$5</f>
        <v>egy.distn.PEDs.1</v>
      </c>
      <c r="L18" s="10" t="str">
        <f>INDEX(ScenarioDefinition!$J$1:$AZ$510,$D18,MATCH(L$5,ScenarioDefinition!$J$5:$AZ$5,0))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7" t="str">
        <f>IF(X$5=K$5,SUM(Y18:AI18)-SUM(L18:V18),"")</f>
        <v/>
      </c>
      <c r="X18" s="9" t="str">
        <f>LOWER(CtryCode)&amp;".distn."&amp;$A18&amp;IF($B18="","","."&amp;$B18)&amp;IF($C18="","",".dec."&amp;$C18)&amp;"."&amp;X$5</f>
        <v>egy.distn.PEDs.2</v>
      </c>
      <c r="Y18" s="10" t="str">
        <f>INDEX(ScenarioDefinition!$J$1:$AZ$510,$D18,MATCH(Y$5,ScenarioDefinition!$J$5:$AZ$5,0))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33" t="inlineStr">
        <is>
          <t>ScenarioDefinition</t>
        </is>
      </c>
      <c r="K19" s="9" t="str">
        <f>LOWER(CtryCode)&amp;".distn."&amp;$A19&amp;IF($B19="","","."&amp;$B19)&amp;IF($C19="","",".dec."&amp;$C19)&amp;"."&amp;K$5</f>
        <v>egy.distn.ScaleGTAP.1</v>
      </c>
      <c r="L19" s="10" t="str">
        <f>INDEX(ScenarioDefinition!$J$1:$AZ$510,$D19,MATCH(L$5,ScenarioDefinition!$J$5:$AZ$5,0))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7" t="str">
        <f>IF(X$5=K$5,SUM(Y19:AI19)-SUM(L19:V19),"")</f>
        <v/>
      </c>
      <c r="X19" s="9" t="str">
        <f>LOWER(CtryCode)&amp;".distn."&amp;$A19&amp;IF($B19="","","."&amp;$B19)&amp;IF($C19="","",".dec."&amp;$C19)&amp;"."&amp;X$5</f>
        <v>egy.distn.ScaleGTAP.2</v>
      </c>
      <c r="Y19" s="10" t="str">
        <f>INDEX(ScenarioDefinition!$J$1:$AZ$510,$D19,MATCH(Y$5,ScenarioDefinition!$J$5:$AZ$5,0))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33" t="inlineStr">
        <is>
          <t>ScenarioDefinition</t>
        </is>
      </c>
      <c r="K20" s="9" t="str">
        <f>LOWER(CtryCode)&amp;".distn."&amp;$A20&amp;IF($B20="","","."&amp;$B20)&amp;IF($C20="","",".dec."&amp;$C20)&amp;"."&amp;K$5</f>
        <v>egy.distn.InferredDist.1</v>
      </c>
      <c r="L20" s="10" t="str">
        <f>INDEX(ScenarioDefinition!$J$1:$AZ$510,$D20,MATCH(L$5,ScenarioDefinition!$J$5:$AZ$5,0))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7" t="str">
        <f>IF(X$5=K$5,SUM(Y20:AI20)-SUM(L20:V20),"")</f>
        <v/>
      </c>
      <c r="X20" s="9" t="str">
        <f>LOWER(CtryCode)&amp;".distn."&amp;$A20&amp;IF($B20="","","."&amp;$B20)&amp;IF($C20="","",".dec."&amp;$C20)&amp;"."&amp;X$5</f>
        <v>egy.distn.InferredDist.2</v>
      </c>
      <c r="Y20" s="10" t="str">
        <f>INDEX(ScenarioDefinition!$J$1:$AZ$510,$D20,MATCH(Y$5,ScenarioDefinition!$J$5:$AZ$5,0))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33" t="inlineStr">
        <is>
          <t>ScenarioDefinition</t>
        </is>
      </c>
      <c r="K21" s="9" t="str">
        <f>LOWER(CtryCode)&amp;".distn."&amp;$A21&amp;IF($B21="","","."&amp;$B21)&amp;IF($C21="","",".dec."&amp;$C21)&amp;"."&amp;K$5</f>
        <v>egy.distn.DWLs.1</v>
      </c>
      <c r="L21" s="10" t="str">
        <f>INDEX(ScenarioDefinition!$J$1:$AZ$510,$D21,MATCH(L$5,ScenarioDefinition!$J$5:$AZ$5,0))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7" t="str">
        <f>IF(X$5=K$5,SUM(Y21:AI21)-SUM(L21:V21),"")</f>
        <v/>
      </c>
      <c r="X21" s="9" t="str">
        <f>LOWER(CtryCode)&amp;".distn."&amp;$A21&amp;IF($B21="","","."&amp;$B21)&amp;IF($C21="","",".dec."&amp;$C21)&amp;"."&amp;X$5</f>
        <v>egy.distn.DWLs.2</v>
      </c>
      <c r="Y21" s="10" t="str">
        <f>INDEX(ScenarioDefinition!$J$1:$AZ$510,$D21,MATCH(Y$5,ScenarioDefinition!$J$5:$AZ$5,0))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33" t="inlineStr">
        <is>
          <t>ScenarioDefinition</t>
        </is>
      </c>
      <c r="K22" s="9" t="str">
        <f>LOWER(CtryCode)&amp;".distn."&amp;$A22&amp;IF($B22="","","."&amp;$B22)&amp;IF($C22="","",".dec."&amp;$C22)&amp;"."&amp;K$5</f>
        <v>egy.distn.ExemptMostCook.1</v>
      </c>
      <c r="L22" s="10" t="str">
        <f>INDEX(ScenarioDefinition!$J$1:$AZ$510,$D22,MATCH(L$5,ScenarioDefinition!$J$5:$AZ$5,0))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7" t="str">
        <f>IF(X$5=K$5,SUM(Y22:AI22)-SUM(L22:V22),"")</f>
        <v/>
      </c>
      <c r="X22" s="9" t="str">
        <f>LOWER(CtryCode)&amp;".distn."&amp;$A22&amp;IF($B22="","","."&amp;$B22)&amp;IF($C22="","",".dec."&amp;$C22)&amp;"."&amp;X$5</f>
        <v>egy.distn.ExemptMostCook.2</v>
      </c>
      <c r="Y22" s="10" t="str">
        <f>INDEX(ScenarioDefinition!$J$1:$AZ$510,$D22,MATCH(Y$5,ScenarioDefinition!$J$5:$AZ$5,0))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33" t="inlineStr">
        <is>
          <t>ScenarioDefinition</t>
        </is>
      </c>
      <c r="K23" s="9" t="str">
        <f>LOWER(CtryCode)&amp;".distn."&amp;$A23&amp;IF($B23="","","."&amp;$B23)&amp;IF($C23="","",".dec."&amp;$C23)&amp;"."&amp;K$5</f>
        <v>egy.distn.ExemptCookDeciles.1</v>
      </c>
      <c r="L23" s="10">
        <f>INDEX(ScenarioDefinition!$J$1:$AZ$510,$D23,MATCH(L$5,ScenarioDefinition!$J$5:$AZ$5,0))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7" t="str">
        <f>IF(X$5=K$5,SUM(Y23:AI23)-SUM(L23:V23),"")</f>
        <v/>
      </c>
      <c r="X23" s="9" t="str">
        <f>LOWER(CtryCode)&amp;".distn."&amp;$A23&amp;IF($B23="","","."&amp;$B23)&amp;IF($C23="","",".dec."&amp;$C23)&amp;"."&amp;X$5</f>
        <v>egy.distn.ExemptCookDeciles.2</v>
      </c>
      <c r="Y23" s="10">
        <f>INDEX(ScenarioDefinition!$J$1:$AZ$510,$D23,MATCH(Y$5,ScenarioDefinition!$J$5:$AZ$5,0))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33" t="inlineStr">
        <is>
          <t>ScenarioDefinition</t>
        </is>
      </c>
      <c r="K24" s="9" t="str">
        <f>LOWER(CtryCode)&amp;".distn."&amp;$A24&amp;IF($B24="","","."&amp;$B24)&amp;IF($C24="","",".dec."&amp;$C24)&amp;"."&amp;K$5</f>
        <v>egy.distn.EXPLabortax.1</v>
      </c>
      <c r="L24" s="10">
        <f>INDEX(ScenarioDefinition!$J$1:$AZ$510,$D24,MATCH(L$5,ScenarioDefinition!$J$5:$AZ$5,0))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7" t="str">
        <f>IF(X$5=K$5,SUM(Y24:AI24)-SUM(L24:V24),"")</f>
        <v/>
      </c>
      <c r="X24" s="9" t="str">
        <f>LOWER(CtryCode)&amp;".distn."&amp;$A24&amp;IF($B24="","","."&amp;$B24)&amp;IF($C24="","",".dec."&amp;$C24)&amp;"."&amp;X$5</f>
        <v>egy.distn.EXPLabortax.2</v>
      </c>
      <c r="Y24" s="10">
        <f>INDEX(ScenarioDefinition!$J$1:$AZ$510,$D24,MATCH(Y$5,ScenarioDefinition!$J$5:$AZ$5,0))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33" t="inlineStr">
        <is>
          <t>ScenarioDefinition</t>
        </is>
      </c>
      <c r="K25" s="9" t="str">
        <f>LOWER(CtryCode)&amp;".distn."&amp;$A25&amp;IF($B25="","","."&amp;$B25)&amp;IF($C25="","",".dec."&amp;$C25)&amp;"."&amp;K$5</f>
        <v>egy.distn.EXPCapex.1</v>
      </c>
      <c r="L25" s="10">
        <f>INDEX(ScenarioDefinition!$J$1:$AZ$510,$D25,MATCH(L$5,ScenarioDefinition!$J$5:$AZ$5,0))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7" t="str">
        <f>IF(X$5=K$5,SUM(Y25:AI25)-SUM(L25:V25),"")</f>
        <v/>
      </c>
      <c r="X25" s="9" t="str">
        <f>LOWER(CtryCode)&amp;".distn."&amp;$A25&amp;IF($B25="","","."&amp;$B25)&amp;IF($C25="","",".dec."&amp;$C25)&amp;"."&amp;X$5</f>
        <v>egy.distn.EXPCapex.2</v>
      </c>
      <c r="Y25" s="10">
        <f>INDEX(ScenarioDefinition!$J$1:$AZ$510,$D25,MATCH(Y$5,ScenarioDefinition!$J$5:$AZ$5,0))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33" t="inlineStr">
        <is>
          <t>ScenarioDefinition</t>
        </is>
      </c>
      <c r="K26" s="9" t="str">
        <f>LOWER(CtryCode)&amp;".distn."&amp;$A26&amp;IF($B26="","","."&amp;$B26)&amp;IF($C26="","",".dec."&amp;$C26)&amp;"."&amp;K$5</f>
        <v>egy.distn.EXPGoodsandserv.1</v>
      </c>
      <c r="L26" s="10">
        <f>INDEX(ScenarioDefinition!$J$1:$AZ$510,$D26,MATCH(L$5,ScenarioDefinition!$J$5:$AZ$5,0))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7" t="str">
        <f>IF(X$5=K$5,SUM(Y26:AI26)-SUM(L26:V26),"")</f>
        <v/>
      </c>
      <c r="X26" s="9" t="str">
        <f>LOWER(CtryCode)&amp;".distn."&amp;$A26&amp;IF($B26="","","."&amp;$B26)&amp;IF($C26="","",".dec."&amp;$C26)&amp;"."&amp;X$5</f>
        <v>egy.distn.EXPGoodsandserv.2</v>
      </c>
      <c r="Y26" s="10">
        <f>INDEX(ScenarioDefinition!$J$1:$AZ$510,$D26,MATCH(Y$5,ScenarioDefinition!$J$5:$AZ$5,0))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33" t="inlineStr">
        <is>
          <t>ScenarioDefinition</t>
        </is>
      </c>
      <c r="K27" s="9" t="str">
        <f>LOWER(CtryCode)&amp;".distn."&amp;$A27&amp;IF($B27="","","."&amp;$B27)&amp;IF($C27="","",".dec."&amp;$C27)&amp;"."&amp;K$5</f>
        <v>egy.distn.EXPTransfers.1</v>
      </c>
      <c r="L27" s="10">
        <f>INDEX(ScenarioDefinition!$J$1:$AZ$510,$D27,MATCH(L$5,ScenarioDefinition!$J$5:$AZ$5,0))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7" t="str">
        <f>IF(X$5=K$5,SUM(Y27:AI27)-SUM(L27:V27),"")</f>
        <v/>
      </c>
      <c r="X27" s="9" t="str">
        <f>LOWER(CtryCode)&amp;".distn."&amp;$A27&amp;IF($B27="","","."&amp;$B27)&amp;IF($C27="","",".dec."&amp;$C27)&amp;"."&amp;X$5</f>
        <v>egy.distn.EXPTransfers.2</v>
      </c>
      <c r="Y27" s="10">
        <f>INDEX(ScenarioDefinition!$J$1:$AZ$510,$D27,MATCH(Y$5,ScenarioDefinition!$J$5:$AZ$5,0))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33" t="inlineStr">
        <is>
          <t>ScenarioDefinition</t>
        </is>
      </c>
      <c r="K28" s="9" t="str">
        <f>LOWER(CtryCode)&amp;".distn."&amp;$A28&amp;IF($B28="","","."&amp;$B28)&amp;IF($C28="","",".dec."&amp;$C28)&amp;"."&amp;K$5</f>
        <v>egy.distn.PITReductionType.1</v>
      </c>
      <c r="L28" s="10" t="str">
        <f>INDEX(ScenarioDefinition!$J$1:$AZ$510,$D28,MATCH(L$5,ScenarioDefinition!$J$5:$AZ$5,0))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7" t="str">
        <f>IF(X$5=K$5,SUM(Y28:AI28)-SUM(L28:V28),"")</f>
        <v/>
      </c>
      <c r="X28" s="9" t="str">
        <f>LOWER(CtryCode)&amp;".distn."&amp;$A28&amp;IF($B28="","","."&amp;$B28)&amp;IF($C28="","",".dec."&amp;$C28)&amp;"."&amp;X$5</f>
        <v>egy.distn.PITReductionType.2</v>
      </c>
      <c r="Y28" s="10" t="str">
        <f>INDEX(ScenarioDefinition!$J$1:$AZ$510,$D28,MATCH(Y$5,ScenarioDefinition!$J$5:$AZ$5,0))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33" t="inlineStr">
        <is>
          <t>ScenarioDefinition</t>
        </is>
      </c>
      <c r="K29" s="9" t="str">
        <f>LOWER(CtryCode)&amp;".distn."&amp;$A29&amp;IF($B29="","","."&amp;$B29)&amp;IF($C29="","",".dec."&amp;$C29)&amp;"."&amp;K$5</f>
        <v>egy.distn.DistExcCfDec.1</v>
      </c>
      <c r="L29" s="10">
        <f>INDEX(ScenarioDefinition!$J$1:$AZ$510,$D29,MATCH(L$5,ScenarioDefinition!$J$5:$AZ$5,0))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7" t="str">
        <f>IF(X$5=K$5,SUM(Y29:AI29)-SUM(L29:V29),"")</f>
        <v/>
      </c>
      <c r="X29" s="9" t="str">
        <f>LOWER(CtryCode)&amp;".distn."&amp;$A29&amp;IF($B29="","","."&amp;$B29)&amp;IF($C29="","",".dec."&amp;$C29)&amp;"."&amp;X$5</f>
        <v>egy.distn.DistExcCfDec.2</v>
      </c>
      <c r="Y29" s="10">
        <f>INDEX(ScenarioDefinition!$J$1:$AZ$510,$D29,MATCH(Y$5,ScenarioDefinition!$J$5:$AZ$5,0))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33" t="inlineStr">
        <is>
          <t>ScenarioDefinition</t>
        </is>
      </c>
      <c r="K30" s="9" t="str">
        <f>LOWER(CtryCode)&amp;".distn."&amp;$A30&amp;IF($B30="","","."&amp;$B30)&amp;IF($C30="","",".dec."&amp;$C30)&amp;"."&amp;K$5</f>
        <v>egy.distn.MissingDataReplacement.1</v>
      </c>
      <c r="L30" s="10" t="str">
        <f>INDEX(ScenarioDefinition!$J$1:$AZ$510,$D30,MATCH(L$5,ScenarioDefinition!$J$5:$AZ$5,0))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7" t="str">
        <f>IF(X$5=K$5,SUM(Y30:AI30)-SUM(L30:V30),"")</f>
        <v/>
      </c>
      <c r="X30" s="9" t="str">
        <f>LOWER(CtryCode)&amp;".distn."&amp;$A30&amp;IF($B30="","","."&amp;$B30)&amp;IF($C30="","",".dec."&amp;$C30)&amp;"."&amp;X$5</f>
        <v>egy.distn.MissingDataReplacement.2</v>
      </c>
      <c r="Y30" s="10" t="str">
        <f>INDEX(ScenarioDefinition!$J$1:$AZ$510,$D30,MATCH(Y$5,ScenarioDefinition!$J$5:$AZ$5,0))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33" t="inlineStr">
        <is>
          <t>ScenarioDefinition</t>
        </is>
      </c>
      <c r="K31" s="9" t="str">
        <f>LOWER(CtryCode)&amp;".distn."&amp;$A31&amp;IF($B31="","","."&amp;$B31)&amp;IF($C31="","",".dec."&amp;$C31)&amp;"."&amp;K$5</f>
        <v>egy.distn.TransferType.1</v>
      </c>
      <c r="L31" s="10" t="str">
        <f>INDEX(ScenarioDefinition!$J$1:$AZ$510,$D31,MATCH(L$5,ScenarioDefinition!$J$5:$AZ$5,0))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7" t="str">
        <f>IF(X$5=K$5,SUM(Y31:AI31)-SUM(L31:V31),"")</f>
        <v/>
      </c>
      <c r="X31" s="9" t="str">
        <f>LOWER(CtryCode)&amp;".distn."&amp;$A31&amp;IF($B31="","","."&amp;$B31)&amp;IF($C31="","",".dec."&amp;$C31)&amp;"."&amp;X$5</f>
        <v>egy.distn.TransferType.2</v>
      </c>
      <c r="Y31" s="10" t="str">
        <f>INDEX(ScenarioDefinition!$J$1:$AZ$510,$D31,MATCH(Y$5,ScenarioDefinition!$J$5:$AZ$5,0))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33" t="inlineStr">
        <is>
          <t>ScenarioDefinition</t>
        </is>
      </c>
      <c r="K32" s="9" t="str">
        <f>LOWER(CtryCode)&amp;".distn."&amp;$A32&amp;IF($B32="","","."&amp;$B32)&amp;IF($C32="","",".dec."&amp;$C32)&amp;"."&amp;K$5</f>
        <v>egy.distn.TargetBelow.1</v>
      </c>
      <c r="L32" s="10" t="str">
        <f>INDEX(ScenarioDefinition!$J$1:$AZ$510,$D32,MATCH(L$5,ScenarioDefinition!$J$5:$AZ$5,0))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7" t="str">
        <f>IF(X$5=K$5,SUM(Y32:AI32)-SUM(L32:V32),"")</f>
        <v/>
      </c>
      <c r="X32" s="9" t="str">
        <f>LOWER(CtryCode)&amp;".distn."&amp;$A32&amp;IF($B32="","","."&amp;$B32)&amp;IF($C32="","",".dec."&amp;$C32)&amp;"."&amp;X$5</f>
        <v>egy.distn.TargetBelow.2</v>
      </c>
      <c r="Y32" s="10" t="str">
        <f>INDEX(ScenarioDefinition!$J$1:$AZ$510,$D32,MATCH(Y$5,ScenarioDefinition!$J$5:$AZ$5,0))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33" t="inlineStr">
        <is>
          <t>ScenarioDefinition</t>
        </is>
      </c>
      <c r="K33" s="9" t="str">
        <f>LOWER(CtryCode)&amp;".distn."&amp;$A33&amp;IF($B33="","","."&amp;$B33)&amp;IF($C33="","",".dec."&amp;$C33)&amp;"."&amp;K$5</f>
        <v>egy.distn.TargettedPercentile.1</v>
      </c>
      <c r="L33" s="10">
        <f>INDEX(ScenarioDefinition!$J$1:$AZ$510,$D33,MATCH(L$5,ScenarioDefinition!$J$5:$AZ$5,0))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7" t="str">
        <f>IF(X$5=K$5,SUM(Y33:AI33)-SUM(L33:V33),"")</f>
        <v/>
      </c>
      <c r="X33" s="9" t="str">
        <f>LOWER(CtryCode)&amp;".distn."&amp;$A33&amp;IF($B33="","","."&amp;$B33)&amp;IF($C33="","",".dec."&amp;$C33)&amp;"."&amp;X$5</f>
        <v>egy.distn.TargettedPercentile.2</v>
      </c>
      <c r="Y33" s="10">
        <f>INDEX(ScenarioDefinition!$J$1:$AZ$510,$D33,MATCH(Y$5,ScenarioDefinition!$J$5:$AZ$5,0))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33" t="inlineStr">
        <is>
          <t>ScenarioDefinition</t>
        </is>
      </c>
      <c r="K34" s="9" t="str">
        <f>LOWER(CtryCode)&amp;".distn."&amp;$A34&amp;IF($B34="","","."&amp;$B34)&amp;IF($C34="","",".dec."&amp;$C34)&amp;"."&amp;K$5</f>
        <v>egy.distn.CoverageRate.1</v>
      </c>
      <c r="L34" s="10">
        <f>INDEX(ScenarioDefinition!$J$1:$AZ$510,$D34,MATCH(L$5,ScenarioDefinition!$J$5:$AZ$5,0))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7" t="str">
        <f>IF(X$5=K$5,SUM(Y34:AI34)-SUM(L34:V34),"")</f>
        <v/>
      </c>
      <c r="X34" s="9" t="str">
        <f>LOWER(CtryCode)&amp;".distn."&amp;$A34&amp;IF($B34="","","."&amp;$B34)&amp;IF($C34="","",".dec."&amp;$C34)&amp;"."&amp;X$5</f>
        <v>egy.distn.CoverageRate.2</v>
      </c>
      <c r="Y34" s="10">
        <f>INDEX(ScenarioDefinition!$J$1:$AZ$510,$D34,MATCH(Y$5,ScenarioDefinition!$J$5:$AZ$5,0))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33" t="inlineStr">
        <is>
          <t>ScenarioDefinition</t>
        </is>
      </c>
      <c r="K35" s="9" t="str">
        <f>LOWER(CtryCode)&amp;".distn."&amp;$A35&amp;IF($B35="","","."&amp;$B35)&amp;IF($C35="","",".dec."&amp;$C35)&amp;"."&amp;K$5</f>
        <v>egy.distn.LeakageRate.1</v>
      </c>
      <c r="L35" s="10">
        <f>INDEX(ScenarioDefinition!$J$1:$AZ$510,$D35,MATCH(L$5,ScenarioDefinition!$J$5:$AZ$5,0))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7" t="str">
        <f>IF(X$5=K$5,SUM(Y35:AI35)-SUM(L35:V35),"")</f>
        <v/>
      </c>
      <c r="X35" s="9" t="str">
        <f>LOWER(CtryCode)&amp;".distn."&amp;$A35&amp;IF($B35="","","."&amp;$B35)&amp;IF($C35="","",".dec."&amp;$C35)&amp;"."&amp;X$5</f>
        <v>egy.distn.LeakageRate.2</v>
      </c>
      <c r="Y35" s="10">
        <f>INDEX(ScenarioDefinition!$J$1:$AZ$510,$D35,MATCH(Y$5,ScenarioDefinition!$J$5:$AZ$5,0))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33" t="inlineStr">
        <is>
          <t>ScenarioDefinition</t>
        </is>
      </c>
      <c r="K36" s="9" t="str">
        <f>LOWER(CtryCode)&amp;".distn."&amp;$A36&amp;IF($B36="","","."&amp;$B36)&amp;IF($C36="","",".dec."&amp;$C36)&amp;"."&amp;K$5</f>
        <v>egy.distn.PublicInfrastructureInvType.1</v>
      </c>
      <c r="L36" s="10" t="str">
        <f>INDEX(ScenarioDefinition!$J$1:$AZ$510,$D36,MATCH(L$5,ScenarioDefinition!$J$5:$AZ$5,0))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7" t="str">
        <f>IF(X$5=K$5,SUM(Y36:AI36)-SUM(L36:V36),"")</f>
        <v/>
      </c>
      <c r="X36" s="9" t="str">
        <f>LOWER(CtryCode)&amp;".distn."&amp;$A36&amp;IF($B36="","","."&amp;$B36)&amp;IF($C36="","",".dec."&amp;$C36)&amp;"."&amp;X$5</f>
        <v>egy.distn.PublicInfrastructureInvType.2</v>
      </c>
      <c r="Y36" s="10" t="str">
        <f>INDEX(ScenarioDefinition!$J$1:$AZ$510,$D36,MATCH(Y$5,ScenarioDefinition!$J$5:$AZ$5,0))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33" t="inlineStr">
        <is>
          <t>ScenarioDefinition</t>
        </is>
      </c>
      <c r="K37" s="9" t="str">
        <f>LOWER(CtryCode)&amp;".distn."&amp;$A37&amp;IF($B37="","","."&amp;$B37)&amp;IF($C37="","",".dec."&amp;$C37)&amp;"."&amp;K$5</f>
        <v>egy.distn.CurrentSpendingType.1</v>
      </c>
      <c r="L37" s="10" t="str">
        <f>INDEX(ScenarioDefinition!$J$1:$AZ$510,$D37,MATCH(L$5,ScenarioDefinition!$J$5:$AZ$5,0))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7" t="str">
        <f>IF(X$5=K$5,SUM(Y37:AI37)-SUM(L37:V37),"")</f>
        <v/>
      </c>
      <c r="X37" s="9" t="str">
        <f>LOWER(CtryCode)&amp;".distn."&amp;$A37&amp;IF($B37="","","."&amp;$B37)&amp;IF($C37="","",".dec."&amp;$C37)&amp;"."&amp;X$5</f>
        <v>egy.distn.CurrentSpendingType.2</v>
      </c>
      <c r="Y37" s="10" t="str">
        <f>INDEX(ScenarioDefinition!$J$1:$AZ$510,$D37,MATCH(Y$5,ScenarioDefinition!$J$5:$AZ$5,0))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33" t="inlineStr">
        <is>
          <t>ScenarioDefinition</t>
        </is>
      </c>
      <c r="K38" s="9" t="str">
        <f>LOWER(CtryCode)&amp;".distn."&amp;$A38&amp;IF($B38="","","."&amp;$B38)&amp;IF($C38="","",".dec."&amp;$C38)&amp;"."&amp;K$5</f>
        <v>egy.distn.PassthroughDist.1</v>
      </c>
      <c r="L38" s="10" t="str">
        <f>INDEX(ScenarioDefinition!$J$1:$AZ$510,$D38,MATCH(L$5,ScenarioDefinition!$J$5:$AZ$5,0))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7" t="str">
        <f>IF(X$5=K$5,SUM(Y38:AI38)-SUM(L38:V38),"")</f>
        <v/>
      </c>
      <c r="X38" s="9" t="str">
        <f>LOWER(CtryCode)&amp;".distn."&amp;$A38&amp;IF($B38="","","."&amp;$B38)&amp;IF($C38="","",".dec."&amp;$C38)&amp;"."&amp;X$5</f>
        <v>egy.distn.PassthroughDist.2</v>
      </c>
      <c r="Y38" s="10" t="str">
        <f>INDEX(ScenarioDefinition!$J$1:$AZ$510,$D38,MATCH(Y$5,ScenarioDefinition!$J$5:$AZ$5,0))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33" t="inlineStr">
        <is>
          <t>ScenarioDefinition</t>
        </is>
      </c>
      <c r="K39" s="9" t="str">
        <f>LOWER(CtryCode)&amp;".distn."&amp;$A39&amp;IF($B39="","","."&amp;$B39)&amp;IF($C39="","",".dec."&amp;$C39)&amp;"."&amp;K$5</f>
        <v>egy.distn.QuantilesLCU.1</v>
      </c>
      <c r="L39" s="10" t="str">
        <f>INDEX(ScenarioDefinition!$J$1:$AZ$510,$D39,MATCH(L$5,ScenarioDefinition!$J$5:$AZ$5,0))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7" t="str">
        <f>IF(X$5=K$5,SUM(Y39:AI39)-SUM(L39:V39),"")</f>
        <v/>
      </c>
      <c r="X39" s="9" t="str">
        <f>LOWER(CtryCode)&amp;".distn."&amp;$A39&amp;IF($B39="","","."&amp;$B39)&amp;IF($C39="","",".dec."&amp;$C39)&amp;"."&amp;X$5</f>
        <v>egy.distn.QuantilesLCU.2</v>
      </c>
      <c r="Y39" s="10" t="str">
        <f>INDEX(ScenarioDefinition!$J$1:$AZ$510,$D39,MATCH(Y$5,ScenarioDefinition!$J$5:$AZ$5,0))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33"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7"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33"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7"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33"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7"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33"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7"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33" t="inlineStr">
        <is>
          <t>DistMapping (legacy I216; v0.6.0)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7"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33" t="inlineStr">
        <is>
          <t>ASPIRE (legacy I213; v0.6.0)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7"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33" t="inlineStr">
        <is>
          <t>HHSurvey pct_belowpl_* (legacy Q2551; v0.6.0)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7"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33" t="inlineStr">
        <is>
          <t>legacy Q2545, Q2550 (v0.6.0;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7"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33" t="inlineStr">
        <is>
          <t>Methods, chapter Distribution (v0.6.0: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7"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33" t="inlineStr">
        <is>
          <t>Mitigation atp.res.coa</t>
        </is>
      </c>
      <c r="K55" s="9" t="str">
        <f>LOWER(CtryCode)&amp;".distn."&amp;$A55&amp;IF($B55="","","."&amp;$B55)&amp;IF($C55="","",".dec."&amp;$C55)&amp;"."&amp;K$5</f>
        <v>egy.distn.dpr.coa.res.1</v>
      </c>
      <c r="L55" s="208">
        <f>INDEX(FromMitigation!$K$12:$IZ$12,L$8)/INDEX(FromMitigation!$K$12:$IZ$12,L$7)-1</f>
        <v>0.0</v>
      </c>
      <c r="M55" s="203">
        <f>L55</f>
        <v>0.0</v>
      </c>
      <c r="N55" s="203">
        <f>M55</f>
        <v>0.0</v>
      </c>
      <c r="O55" s="203">
        <f>N55</f>
        <v>0.0</v>
      </c>
      <c r="P55" s="203">
        <f>O55</f>
        <v>0.0</v>
      </c>
      <c r="Q55" s="203">
        <f>P55</f>
        <v>0.0</v>
      </c>
      <c r="R55" s="203">
        <f>Q55</f>
        <v>0.0</v>
      </c>
      <c r="S55" s="203">
        <f>R55</f>
        <v>0.0</v>
      </c>
      <c r="T55" s="203">
        <f>S55</f>
        <v>0.0</v>
      </c>
      <c r="U55" s="203">
        <f>T55</f>
        <v>0.0</v>
      </c>
      <c r="V55" s="203">
        <f>U55</f>
        <v>0.0</v>
      </c>
      <c r="W55" s="207" t="str">
        <f>IF(X$5=K$5,SUM(Y55:AI55)-SUM(L55:V55),"")</f>
        <v/>
      </c>
      <c r="X55" s="9" t="str">
        <f>LOWER(CtryCode)&amp;".distn."&amp;$A55&amp;IF($B55="","","."&amp;$B55)&amp;IF($C55="","",".dec."&amp;$C55)&amp;"."&amp;X$5</f>
        <v>egy.distn.dpr.coa.res.2</v>
      </c>
      <c r="Y55" s="209">
        <f>DPCHG(INDEX(FromMitigation!$K$12:$IZ$12,Y$8),INDEX(FromMitigation!$K$12:$IZ$12,Y$7))</f>
        <v>0.1494054043313069</v>
      </c>
      <c r="Z55" s="203">
        <f>Y55</f>
        <v>0.1494054043313069</v>
      </c>
      <c r="AA55" s="203">
        <f>Z55</f>
        <v>0.1494054043313069</v>
      </c>
      <c r="AB55" s="203">
        <f>AA55</f>
        <v>0.1494054043313069</v>
      </c>
      <c r="AC55" s="203">
        <f>AB55</f>
        <v>0.1494054043313069</v>
      </c>
      <c r="AD55" s="203">
        <f>AC55</f>
        <v>0.1494054043313069</v>
      </c>
      <c r="AE55" s="203">
        <f>AD55</f>
        <v>0.1494054043313069</v>
      </c>
      <c r="AF55" s="203">
        <f>AE55</f>
        <v>0.1494054043313069</v>
      </c>
      <c r="AG55" s="203">
        <f>AF55</f>
        <v>0.1494054043313069</v>
      </c>
      <c r="AH55" s="203">
        <f>AG55</f>
        <v>0.1494054043313069</v>
      </c>
      <c r="AI55" s="203">
        <f>AH55</f>
        <v>0.1494054043313069</v>
      </c>
    </row>
    <row r="56" hidden="1" outlineLevel="1">
      <c r="A56" s="62" t="inlineStr">
        <is>
          <t>dpr</t>
        </is>
      </c>
      <c r="B56" s="3" t="inlineStr">
        <is>
          <t>ely.res</t>
        </is>
      </c>
      <c r="C56" s="3" t="inlineStr"/>
      <c r="D56" s="3" t="n"/>
      <c r="E56" s="3" t="n"/>
      <c r="H56" s="3" t="inlineStr">
        <is>
          <t>Electricity: household price change</t>
        </is>
      </c>
      <c r="I56" s="3" t="inlineStr">
        <is>
          <t>fraction</t>
        </is>
      </c>
      <c r="J56" s="133" t="inlineStr">
        <is>
          <t>Mitigation rp.res.ecy</t>
        </is>
      </c>
      <c r="K56" s="9" t="str">
        <f>LOWER(CtryCode)&amp;".distn."&amp;$A56&amp;IF($B56="","","."&amp;$B56)&amp;IF($C56="","",".dec."&amp;$C56)&amp;"."&amp;K$5</f>
        <v>egy.distn.dpr.ely.res.1</v>
      </c>
      <c r="L56" s="208">
        <f>INDEX(FromMitigation!$K$19:$IZ$19,L$8)/INDEX(FromMitigation!$K$19:$IZ$19,L$7)-1</f>
        <v>0.0</v>
      </c>
      <c r="M56" s="203">
        <f>L56</f>
        <v>0.0</v>
      </c>
      <c r="N56" s="203">
        <f>M56</f>
        <v>0.0</v>
      </c>
      <c r="O56" s="203">
        <f>N56</f>
        <v>0.0</v>
      </c>
      <c r="P56" s="203">
        <f>O56</f>
        <v>0.0</v>
      </c>
      <c r="Q56" s="203">
        <f>P56</f>
        <v>0.0</v>
      </c>
      <c r="R56" s="203">
        <f>Q56</f>
        <v>0.0</v>
      </c>
      <c r="S56" s="203">
        <f>R56</f>
        <v>0.0</v>
      </c>
      <c r="T56" s="203">
        <f>S56</f>
        <v>0.0</v>
      </c>
      <c r="U56" s="203">
        <f>T56</f>
        <v>0.0</v>
      </c>
      <c r="V56" s="203">
        <f>U56</f>
        <v>0.0</v>
      </c>
      <c r="W56" s="207" t="str">
        <f>IF(X$5=K$5,SUM(Y56:AI56)-SUM(L56:V56),"")</f>
        <v/>
      </c>
      <c r="X56" s="9" t="str">
        <f>LOWER(CtryCode)&amp;".distn."&amp;$A56&amp;IF($B56="","","."&amp;$B56)&amp;IF($C56="","",".dec."&amp;$C56)&amp;"."&amp;X$5</f>
        <v>egy.distn.dpr.ely.res.2</v>
      </c>
      <c r="Y56" s="209">
        <f>DPCHG(INDEX(FromMitigation!$K$19:$IZ$19,Y$8),INDEX(FromMitigation!$K$19:$IZ$19,Y$7))</f>
        <v>0.18762923106993612</v>
      </c>
      <c r="Z56" s="203">
        <f>Y56</f>
        <v>0.18762923106993612</v>
      </c>
      <c r="AA56" s="203">
        <f>Z56</f>
        <v>0.18762923106993612</v>
      </c>
      <c r="AB56" s="203">
        <f>AA56</f>
        <v>0.18762923106993612</v>
      </c>
      <c r="AC56" s="203">
        <f>AB56</f>
        <v>0.18762923106993612</v>
      </c>
      <c r="AD56" s="203">
        <f>AC56</f>
        <v>0.18762923106993612</v>
      </c>
      <c r="AE56" s="203">
        <f>AD56</f>
        <v>0.18762923106993612</v>
      </c>
      <c r="AF56" s="203">
        <f>AE56</f>
        <v>0.18762923106993612</v>
      </c>
      <c r="AG56" s="203">
        <f>AF56</f>
        <v>0.18762923106993612</v>
      </c>
      <c r="AH56" s="203">
        <f>AG56</f>
        <v>0.18762923106993612</v>
      </c>
      <c r="AI56" s="203">
        <f>AH56</f>
        <v>0.18762923106993612</v>
      </c>
    </row>
    <row r="57" hidden="1" outlineLevel="1">
      <c r="A57" s="62" t="inlineStr">
        <is>
          <t>dpr</t>
        </is>
      </c>
      <c r="B57" s="3" t="inlineStr">
        <is>
          <t>nga.res</t>
        </is>
      </c>
      <c r="C57" s="3" t="inlineStr"/>
      <c r="D57" s="3" t="n"/>
      <c r="E57" s="3" t="n"/>
      <c r="H57" s="3" t="inlineStr">
        <is>
          <t>Natural gas: household price change</t>
        </is>
      </c>
      <c r="I57" s="3" t="inlineStr">
        <is>
          <t>fraction</t>
        </is>
      </c>
      <c r="J57" s="133" t="inlineStr">
        <is>
          <t>Mitigation atp.res.nga</t>
        </is>
      </c>
      <c r="K57" s="9" t="str">
        <f>LOWER(CtryCode)&amp;".distn."&amp;$A57&amp;IF($B57="","","."&amp;$B57)&amp;IF($C57="","",".dec."&amp;$C57)&amp;"."&amp;K$5</f>
        <v>egy.distn.dpr.nga.res.1</v>
      </c>
      <c r="L57" s="208">
        <f>INDEX(FromMitigation!$K$13:$IZ$13,L$8)/INDEX(FromMitigation!$K$13:$IZ$13,L$7)-1</f>
        <v>0.0</v>
      </c>
      <c r="M57" s="203">
        <f>L57</f>
        <v>0.0</v>
      </c>
      <c r="N57" s="203">
        <f>M57</f>
        <v>0.0</v>
      </c>
      <c r="O57" s="203">
        <f>N57</f>
        <v>0.0</v>
      </c>
      <c r="P57" s="203">
        <f>O57</f>
        <v>0.0</v>
      </c>
      <c r="Q57" s="203">
        <f>P57</f>
        <v>0.0</v>
      </c>
      <c r="R57" s="203">
        <f>Q57</f>
        <v>0.0</v>
      </c>
      <c r="S57" s="203">
        <f>R57</f>
        <v>0.0</v>
      </c>
      <c r="T57" s="203">
        <f>S57</f>
        <v>0.0</v>
      </c>
      <c r="U57" s="203">
        <f>T57</f>
        <v>0.0</v>
      </c>
      <c r="V57" s="203">
        <f>U57</f>
        <v>0.0</v>
      </c>
      <c r="W57" s="207" t="str">
        <f>IF(X$5=K$5,SUM(Y57:AI57)-SUM(L57:V57),"")</f>
        <v/>
      </c>
      <c r="X57" s="9" t="str">
        <f>LOWER(CtryCode)&amp;".distn."&amp;$A57&amp;IF($B57="","","."&amp;$B57)&amp;IF($C57="","",".dec."&amp;$C57)&amp;"."&amp;X$5</f>
        <v>egy.distn.dpr.nga.res.2</v>
      </c>
      <c r="Y57" s="209">
        <f>DPCHG(INDEX(FromMitigation!$K$13:$IZ$13,Y$8),INDEX(FromMitigation!$K$13:$IZ$13,Y$7))</f>
        <v>0.46956185972172837</v>
      </c>
      <c r="Z57" s="203">
        <f>Y57</f>
        <v>0.46956185972172837</v>
      </c>
      <c r="AA57" s="203">
        <f>Z57</f>
        <v>0.46956185972172837</v>
      </c>
      <c r="AB57" s="203">
        <f>AA57</f>
        <v>0.46956185972172837</v>
      </c>
      <c r="AC57" s="203">
        <f>AB57</f>
        <v>0.46956185972172837</v>
      </c>
      <c r="AD57" s="203">
        <f>AC57</f>
        <v>0.46956185972172837</v>
      </c>
      <c r="AE57" s="203">
        <f>AD57</f>
        <v>0.46956185972172837</v>
      </c>
      <c r="AF57" s="203">
        <f>AE57</f>
        <v>0.46956185972172837</v>
      </c>
      <c r="AG57" s="203">
        <f>AF57</f>
        <v>0.46956185972172837</v>
      </c>
      <c r="AH57" s="203">
        <f>AG57</f>
        <v>0.46956185972172837</v>
      </c>
      <c r="AI57" s="203">
        <f>AH57</f>
        <v>0.46956185972172837</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33" t="inlineStr">
        <is>
          <t>Mitigation atp.res.oop</t>
        </is>
      </c>
      <c r="K58" s="9" t="str">
        <f>LOWER(CtryCode)&amp;".distn."&amp;$A58&amp;IF($B58="","","."&amp;$B58)&amp;IF($C58="","",".dec."&amp;$C58)&amp;"."&amp;K$5</f>
        <v>egy.distn.dpr.oop.res.1</v>
      </c>
      <c r="L58" s="208">
        <f>INDEX(FromMitigation!$K$14:$IZ$14,L$8)/INDEX(FromMitigation!$K$14:$IZ$14,L$7)-1</f>
        <v>0.0</v>
      </c>
      <c r="M58" s="203">
        <f>L58</f>
        <v>0.0</v>
      </c>
      <c r="N58" s="203">
        <f>M58</f>
        <v>0.0</v>
      </c>
      <c r="O58" s="203">
        <f>N58</f>
        <v>0.0</v>
      </c>
      <c r="P58" s="203">
        <f>O58</f>
        <v>0.0</v>
      </c>
      <c r="Q58" s="203">
        <f>P58</f>
        <v>0.0</v>
      </c>
      <c r="R58" s="203">
        <f>Q58</f>
        <v>0.0</v>
      </c>
      <c r="S58" s="203">
        <f>R58</f>
        <v>0.0</v>
      </c>
      <c r="T58" s="203">
        <f>S58</f>
        <v>0.0</v>
      </c>
      <c r="U58" s="203">
        <f>T58</f>
        <v>0.0</v>
      </c>
      <c r="V58" s="203">
        <f>U58</f>
        <v>0.0</v>
      </c>
      <c r="W58" s="207" t="str">
        <f>IF(X$5=K$5,SUM(Y58:AI58)-SUM(L58:V58),"")</f>
        <v/>
      </c>
      <c r="X58" s="9" t="str">
        <f>LOWER(CtryCode)&amp;".distn."&amp;$A58&amp;IF($B58="","","."&amp;$B58)&amp;IF($C58="","",".dec."&amp;$C58)&amp;"."&amp;X$5</f>
        <v>egy.distn.dpr.oop.res.2</v>
      </c>
      <c r="Y58" s="209">
        <f>DPCHG(INDEX(FromMitigation!$K$14:$IZ$14,Y$8),INDEX(FromMitigation!$K$14:$IZ$14,Y$7))</f>
        <v>0.3972668057483777</v>
      </c>
      <c r="Z58" s="203">
        <f>Y58</f>
        <v>0.3972668057483777</v>
      </c>
      <c r="AA58" s="203">
        <f>Z58</f>
        <v>0.3972668057483777</v>
      </c>
      <c r="AB58" s="203">
        <f>AA58</f>
        <v>0.3972668057483777</v>
      </c>
      <c r="AC58" s="203">
        <f>AB58</f>
        <v>0.3972668057483777</v>
      </c>
      <c r="AD58" s="203">
        <f>AC58</f>
        <v>0.3972668057483777</v>
      </c>
      <c r="AE58" s="203">
        <f>AD58</f>
        <v>0.3972668057483777</v>
      </c>
      <c r="AF58" s="203">
        <f>AE58</f>
        <v>0.3972668057483777</v>
      </c>
      <c r="AG58" s="203">
        <f>AF58</f>
        <v>0.3972668057483777</v>
      </c>
      <c r="AH58" s="203">
        <f>AG58</f>
        <v>0.3972668057483777</v>
      </c>
      <c r="AI58" s="203">
        <f>AH58</f>
        <v>0.3972668057483777</v>
      </c>
    </row>
    <row r="59" hidden="1" outlineLevel="1">
      <c r="A59" s="62" t="inlineStr">
        <is>
          <t>dpr</t>
        </is>
      </c>
      <c r="B59" s="3" t="inlineStr">
        <is>
          <t>gso.res</t>
        </is>
      </c>
      <c r="C59" s="3" t="inlineStr"/>
      <c r="D59" s="3" t="n"/>
      <c r="E59" s="3" t="n"/>
      <c r="H59" s="3" t="inlineStr">
        <is>
          <t>Gasoline: household price change</t>
        </is>
      </c>
      <c r="I59" s="3" t="inlineStr">
        <is>
          <t>fraction</t>
        </is>
      </c>
      <c r="J59" s="133" t="inlineStr">
        <is>
          <t>Mitigation atp.res.gso</t>
        </is>
      </c>
      <c r="K59" s="9" t="str">
        <f>LOWER(CtryCode)&amp;".distn."&amp;$A59&amp;IF($B59="","","."&amp;$B59)&amp;IF($C59="","",".dec."&amp;$C59)&amp;"."&amp;K$5</f>
        <v>egy.distn.dpr.gso.res.1</v>
      </c>
      <c r="L59" s="208">
        <f>INDEX(FromMitigation!$K$15:$IZ$15,L$8)/INDEX(FromMitigation!$K$15:$IZ$15,L$7)-1</f>
        <v>0.0</v>
      </c>
      <c r="M59" s="203">
        <f>L59</f>
        <v>0.0</v>
      </c>
      <c r="N59" s="203">
        <f>M59</f>
        <v>0.0</v>
      </c>
      <c r="O59" s="203">
        <f>N59</f>
        <v>0.0</v>
      </c>
      <c r="P59" s="203">
        <f>O59</f>
        <v>0.0</v>
      </c>
      <c r="Q59" s="203">
        <f>P59</f>
        <v>0.0</v>
      </c>
      <c r="R59" s="203">
        <f>Q59</f>
        <v>0.0</v>
      </c>
      <c r="S59" s="203">
        <f>R59</f>
        <v>0.0</v>
      </c>
      <c r="T59" s="203">
        <f>S59</f>
        <v>0.0</v>
      </c>
      <c r="U59" s="203">
        <f>T59</f>
        <v>0.0</v>
      </c>
      <c r="V59" s="203">
        <f>U59</f>
        <v>0.0</v>
      </c>
      <c r="W59" s="207" t="str">
        <f>IF(X$5=K$5,SUM(Y59:AI59)-SUM(L59:V59),"")</f>
        <v/>
      </c>
      <c r="X59" s="9" t="str">
        <f>LOWER(CtryCode)&amp;".distn."&amp;$A59&amp;IF($B59="","","."&amp;$B59)&amp;IF($C59="","",".dec."&amp;$C59)&amp;"."&amp;X$5</f>
        <v>egy.distn.dpr.gso.res.2</v>
      </c>
      <c r="Y59" s="209">
        <f>DPCHG(INDEX(FromMitigation!$K$15:$IZ$15,Y$8),INDEX(FromMitigation!$K$15:$IZ$15,Y$7))</f>
        <v>0.140323613266929</v>
      </c>
      <c r="Z59" s="203">
        <f>Y59</f>
        <v>0.140323613266929</v>
      </c>
      <c r="AA59" s="203">
        <f>Z59</f>
        <v>0.140323613266929</v>
      </c>
      <c r="AB59" s="203">
        <f>AA59</f>
        <v>0.140323613266929</v>
      </c>
      <c r="AC59" s="203">
        <f>AB59</f>
        <v>0.140323613266929</v>
      </c>
      <c r="AD59" s="203">
        <f>AC59</f>
        <v>0.140323613266929</v>
      </c>
      <c r="AE59" s="203">
        <f>AD59</f>
        <v>0.140323613266929</v>
      </c>
      <c r="AF59" s="203">
        <f>AE59</f>
        <v>0.140323613266929</v>
      </c>
      <c r="AG59" s="203">
        <f>AF59</f>
        <v>0.140323613266929</v>
      </c>
      <c r="AH59" s="203">
        <f>AG59</f>
        <v>0.140323613266929</v>
      </c>
      <c r="AI59" s="203">
        <f>AH59</f>
        <v>0.140323613266929</v>
      </c>
    </row>
    <row r="60" hidden="1" outlineLevel="1">
      <c r="A60" s="62" t="inlineStr">
        <is>
          <t>dpr</t>
        </is>
      </c>
      <c r="B60" s="3" t="inlineStr">
        <is>
          <t>die.res</t>
        </is>
      </c>
      <c r="C60" s="3" t="inlineStr"/>
      <c r="D60" s="3" t="n"/>
      <c r="E60" s="3" t="n"/>
      <c r="H60" s="3" t="inlineStr">
        <is>
          <t>Diesel: household price change</t>
        </is>
      </c>
      <c r="I60" s="3" t="inlineStr">
        <is>
          <t>fraction</t>
        </is>
      </c>
      <c r="J60" s="133" t="inlineStr">
        <is>
          <t>Mitigation atp.res.die</t>
        </is>
      </c>
      <c r="K60" s="9" t="str">
        <f>LOWER(CtryCode)&amp;".distn."&amp;$A60&amp;IF($B60="","","."&amp;$B60)&amp;IF($C60="","",".dec."&amp;$C60)&amp;"."&amp;K$5</f>
        <v>egy.distn.dpr.die.res.1</v>
      </c>
      <c r="L60" s="208">
        <f>INDEX(FromMitigation!$K$16:$IZ$16,L$8)/INDEX(FromMitigation!$K$16:$IZ$16,L$7)-1</f>
        <v>0.0</v>
      </c>
      <c r="M60" s="203">
        <f>L60</f>
        <v>0.0</v>
      </c>
      <c r="N60" s="203">
        <f>M60</f>
        <v>0.0</v>
      </c>
      <c r="O60" s="203">
        <f>N60</f>
        <v>0.0</v>
      </c>
      <c r="P60" s="203">
        <f>O60</f>
        <v>0.0</v>
      </c>
      <c r="Q60" s="203">
        <f>P60</f>
        <v>0.0</v>
      </c>
      <c r="R60" s="203">
        <f>Q60</f>
        <v>0.0</v>
      </c>
      <c r="S60" s="203">
        <f>R60</f>
        <v>0.0</v>
      </c>
      <c r="T60" s="203">
        <f>S60</f>
        <v>0.0</v>
      </c>
      <c r="U60" s="203">
        <f>T60</f>
        <v>0.0</v>
      </c>
      <c r="V60" s="203">
        <f>U60</f>
        <v>0.0</v>
      </c>
      <c r="W60" s="207" t="str">
        <f>IF(X$5=K$5,SUM(Y60:AI60)-SUM(L60:V60),"")</f>
        <v/>
      </c>
      <c r="X60" s="9" t="str">
        <f>LOWER(CtryCode)&amp;".distn."&amp;$A60&amp;IF($B60="","","."&amp;$B60)&amp;IF($C60="","",".dec."&amp;$C60)&amp;"."&amp;X$5</f>
        <v>egy.distn.dpr.die.res.2</v>
      </c>
      <c r="Y60" s="209">
        <f>DPCHG(INDEX(FromMitigation!$K$16:$IZ$16,Y$8),INDEX(FromMitigation!$K$16:$IZ$16,Y$7))</f>
        <v>0.21546033204140635</v>
      </c>
      <c r="Z60" s="203">
        <f>Y60</f>
        <v>0.21546033204140635</v>
      </c>
      <c r="AA60" s="203">
        <f>Z60</f>
        <v>0.21546033204140635</v>
      </c>
      <c r="AB60" s="203">
        <f>AA60</f>
        <v>0.21546033204140635</v>
      </c>
      <c r="AC60" s="203">
        <f>AB60</f>
        <v>0.21546033204140635</v>
      </c>
      <c r="AD60" s="203">
        <f>AC60</f>
        <v>0.21546033204140635</v>
      </c>
      <c r="AE60" s="203">
        <f>AD60</f>
        <v>0.21546033204140635</v>
      </c>
      <c r="AF60" s="203">
        <f>AE60</f>
        <v>0.21546033204140635</v>
      </c>
      <c r="AG60" s="203">
        <f>AF60</f>
        <v>0.21546033204140635</v>
      </c>
      <c r="AH60" s="203">
        <f>AG60</f>
        <v>0.21546033204140635</v>
      </c>
      <c r="AI60" s="203">
        <f>AH60</f>
        <v>0.21546033204140635</v>
      </c>
    </row>
    <row r="61" hidden="1" outlineLevel="1">
      <c r="A61" s="62" t="inlineStr">
        <is>
          <t>dpr</t>
        </is>
      </c>
      <c r="B61" s="3" t="inlineStr">
        <is>
          <t>ker.res</t>
        </is>
      </c>
      <c r="C61" s="3" t="inlineStr"/>
      <c r="D61" s="3" t="n"/>
      <c r="E61" s="3" t="n"/>
      <c r="H61" s="3" t="inlineStr">
        <is>
          <t>Kerosene: household price change</t>
        </is>
      </c>
      <c r="I61" s="3" t="inlineStr">
        <is>
          <t>fraction</t>
        </is>
      </c>
      <c r="J61" s="133" t="inlineStr">
        <is>
          <t>Mitigation atp.res.ker</t>
        </is>
      </c>
      <c r="K61" s="9" t="str">
        <f>LOWER(CtryCode)&amp;".distn."&amp;$A61&amp;IF($B61="","","."&amp;$B61)&amp;IF($C61="","",".dec."&amp;$C61)&amp;"."&amp;K$5</f>
        <v>egy.distn.dpr.ker.res.1</v>
      </c>
      <c r="L61" s="208">
        <f>INDEX(FromMitigation!$K$17:$IZ$17,L$8)/INDEX(FromMitigation!$K$17:$IZ$17,L$7)-1</f>
        <v>0.0</v>
      </c>
      <c r="M61" s="203">
        <f>L61</f>
        <v>0.0</v>
      </c>
      <c r="N61" s="203">
        <f>M61</f>
        <v>0.0</v>
      </c>
      <c r="O61" s="203">
        <f>N61</f>
        <v>0.0</v>
      </c>
      <c r="P61" s="203">
        <f>O61</f>
        <v>0.0</v>
      </c>
      <c r="Q61" s="203">
        <f>P61</f>
        <v>0.0</v>
      </c>
      <c r="R61" s="203">
        <f>Q61</f>
        <v>0.0</v>
      </c>
      <c r="S61" s="203">
        <f>R61</f>
        <v>0.0</v>
      </c>
      <c r="T61" s="203">
        <f>S61</f>
        <v>0.0</v>
      </c>
      <c r="U61" s="203">
        <f>T61</f>
        <v>0.0</v>
      </c>
      <c r="V61" s="203">
        <f>U61</f>
        <v>0.0</v>
      </c>
      <c r="W61" s="207" t="str">
        <f>IF(X$5=K$5,SUM(Y61:AI61)-SUM(L61:V61),"")</f>
        <v/>
      </c>
      <c r="X61" s="9" t="str">
        <f>LOWER(CtryCode)&amp;".distn."&amp;$A61&amp;IF($B61="","","."&amp;$B61)&amp;IF($C61="","",".dec."&amp;$C61)&amp;"."&amp;X$5</f>
        <v>egy.distn.dpr.ker.res.2</v>
      </c>
      <c r="Y61" s="209">
        <f>DPCHG(INDEX(FromMitigation!$K$17:$IZ$17,Y$8),INDEX(FromMitigation!$K$17:$IZ$17,Y$7))</f>
        <v>0.20811390286493614</v>
      </c>
      <c r="Z61" s="203">
        <f>Y61</f>
        <v>0.20811390286493614</v>
      </c>
      <c r="AA61" s="203">
        <f>Z61</f>
        <v>0.20811390286493614</v>
      </c>
      <c r="AB61" s="203">
        <f>AA61</f>
        <v>0.20811390286493614</v>
      </c>
      <c r="AC61" s="203">
        <f>AB61</f>
        <v>0.20811390286493614</v>
      </c>
      <c r="AD61" s="203">
        <f>AC61</f>
        <v>0.20811390286493614</v>
      </c>
      <c r="AE61" s="203">
        <f>AD61</f>
        <v>0.20811390286493614</v>
      </c>
      <c r="AF61" s="203">
        <f>AE61</f>
        <v>0.20811390286493614</v>
      </c>
      <c r="AG61" s="203">
        <f>AF61</f>
        <v>0.20811390286493614</v>
      </c>
      <c r="AH61" s="203">
        <f>AG61</f>
        <v>0.20811390286493614</v>
      </c>
      <c r="AI61" s="203">
        <f>AH61</f>
        <v>0.20811390286493614</v>
      </c>
    </row>
    <row r="62" hidden="1" outlineLevel="1">
      <c r="A62" s="62" t="inlineStr">
        <is>
          <t>dpr</t>
        </is>
      </c>
      <c r="B62" s="3" t="inlineStr">
        <is>
          <t>lpg.res</t>
        </is>
      </c>
      <c r="C62" s="3" t="inlineStr"/>
      <c r="D62" s="3" t="n"/>
      <c r="E62" s="3" t="n"/>
      <c r="H62" s="3" t="inlineStr">
        <is>
          <t>LPG: household price change</t>
        </is>
      </c>
      <c r="I62" s="3" t="inlineStr">
        <is>
          <t>fraction</t>
        </is>
      </c>
      <c r="J62" s="133" t="inlineStr">
        <is>
          <t>Mitigation atp.res.lpg</t>
        </is>
      </c>
      <c r="K62" s="9" t="str">
        <f>LOWER(CtryCode)&amp;".distn."&amp;$A62&amp;IF($B62="","","."&amp;$B62)&amp;IF($C62="","",".dec."&amp;$C62)&amp;"."&amp;K$5</f>
        <v>egy.distn.dpr.lpg.res.1</v>
      </c>
      <c r="L62" s="208">
        <f>INDEX(FromMitigation!$K$18:$IZ$18,L$8)/INDEX(FromMitigation!$K$18:$IZ$18,L$7)-1</f>
        <v>0.0</v>
      </c>
      <c r="M62" s="203">
        <f>L62</f>
        <v>0.0</v>
      </c>
      <c r="N62" s="203">
        <f>M62</f>
        <v>0.0</v>
      </c>
      <c r="O62" s="203">
        <f>N62</f>
        <v>0.0</v>
      </c>
      <c r="P62" s="203">
        <f>O62</f>
        <v>0.0</v>
      </c>
      <c r="Q62" s="203">
        <f>P62</f>
        <v>0.0</v>
      </c>
      <c r="R62" s="203">
        <f>Q62</f>
        <v>0.0</v>
      </c>
      <c r="S62" s="203">
        <f>R62</f>
        <v>0.0</v>
      </c>
      <c r="T62" s="203">
        <f>S62</f>
        <v>0.0</v>
      </c>
      <c r="U62" s="203">
        <f>T62</f>
        <v>0.0</v>
      </c>
      <c r="V62" s="203">
        <f>U62</f>
        <v>0.0</v>
      </c>
      <c r="W62" s="207" t="str">
        <f>IF(X$5=K$5,SUM(Y62:AI62)-SUM(L62:V62),"")</f>
        <v/>
      </c>
      <c r="X62" s="9" t="str">
        <f>LOWER(CtryCode)&amp;".distn."&amp;$A62&amp;IF($B62="","","."&amp;$B62)&amp;IF($C62="","",".dec."&amp;$C62)&amp;"."&amp;X$5</f>
        <v>egy.distn.dpr.lpg.res.2</v>
      </c>
      <c r="Y62" s="209">
        <f>DPCHG(INDEX(FromMitigation!$K$18:$IZ$18,Y$8),INDEX(FromMitigation!$K$18:$IZ$18,Y$7))</f>
        <v>0.3941032285060613</v>
      </c>
      <c r="Z62" s="203">
        <f>Y62</f>
        <v>0.3941032285060613</v>
      </c>
      <c r="AA62" s="203">
        <f>Z62</f>
        <v>0.3941032285060613</v>
      </c>
      <c r="AB62" s="203">
        <f>AA62</f>
        <v>0.3941032285060613</v>
      </c>
      <c r="AC62" s="203">
        <f>AB62</f>
        <v>0.3941032285060613</v>
      </c>
      <c r="AD62" s="203">
        <f>AC62</f>
        <v>0.3941032285060613</v>
      </c>
      <c r="AE62" s="203">
        <f>AD62</f>
        <v>0.3941032285060613</v>
      </c>
      <c r="AF62" s="203">
        <f>AE62</f>
        <v>0.3941032285060613</v>
      </c>
      <c r="AG62" s="203">
        <f>AF62</f>
        <v>0.3941032285060613</v>
      </c>
      <c r="AH62" s="203">
        <f>AG62</f>
        <v>0.3941032285060613</v>
      </c>
      <c r="AI62" s="203">
        <f>AH62</f>
        <v>0.3941032285060613</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33" t="inlineStr">
        <is>
          <t>Mitigation rpn.ind.coa</t>
        </is>
      </c>
      <c r="K65" s="9" t="str">
        <f>LOWER(CtryCode)&amp;".distn."&amp;$A65&amp;IF($B65="","","."&amp;$B65)&amp;IF($C65="","",".dec."&amp;$C65)&amp;"."&amp;K$5</f>
        <v>egy.distn.dpa.coa.1</v>
      </c>
      <c r="L65" s="208">
        <f>INDEX(FromMitigation!$K$20:$IZ$20,L$8)/INDEX(FromMitigation!$K$20:$IZ$20,L$7)-1</f>
        <v>0.0</v>
      </c>
      <c r="M65" s="203">
        <f>L65</f>
        <v>0.0</v>
      </c>
      <c r="N65" s="203">
        <f>M65</f>
        <v>0.0</v>
      </c>
      <c r="O65" s="203">
        <f>N65</f>
        <v>0.0</v>
      </c>
      <c r="P65" s="203">
        <f>O65</f>
        <v>0.0</v>
      </c>
      <c r="Q65" s="203">
        <f>P65</f>
        <v>0.0</v>
      </c>
      <c r="R65" s="203">
        <f>Q65</f>
        <v>0.0</v>
      </c>
      <c r="S65" s="203">
        <f>R65</f>
        <v>0.0</v>
      </c>
      <c r="T65" s="203">
        <f>S65</f>
        <v>0.0</v>
      </c>
      <c r="U65" s="203">
        <f>T65</f>
        <v>0.0</v>
      </c>
      <c r="V65" s="203">
        <f>U65</f>
        <v>0.0</v>
      </c>
      <c r="W65" s="207" t="str">
        <f>IF(X$5=K$5,SUM(Y65:AI65)-SUM(L65:V65),"")</f>
        <v/>
      </c>
      <c r="X65" s="9" t="str">
        <f>LOWER(CtryCode)&amp;".distn."&amp;$A65&amp;IF($B65="","","."&amp;$B65)&amp;IF($C65="","",".dec."&amp;$C65)&amp;"."&amp;X$5</f>
        <v>egy.distn.dpa.coa.2</v>
      </c>
      <c r="Y65" s="209">
        <f>DPCHG(INDEX(FromMitigation!$K$20:$IZ$20,Y$8),INDEX(FromMitigation!$K$20:$IZ$20,Y$7))</f>
        <v>0.2674855383562522</v>
      </c>
      <c r="Z65" s="203">
        <f>Y65</f>
        <v>0.2674855383562522</v>
      </c>
      <c r="AA65" s="203">
        <f>Z65</f>
        <v>0.2674855383562522</v>
      </c>
      <c r="AB65" s="203">
        <f>AA65</f>
        <v>0.2674855383562522</v>
      </c>
      <c r="AC65" s="203">
        <f>AB65</f>
        <v>0.2674855383562522</v>
      </c>
      <c r="AD65" s="203">
        <f>AC65</f>
        <v>0.2674855383562522</v>
      </c>
      <c r="AE65" s="203">
        <f>AD65</f>
        <v>0.2674855383562522</v>
      </c>
      <c r="AF65" s="203">
        <f>AE65</f>
        <v>0.2674855383562522</v>
      </c>
      <c r="AG65" s="203">
        <f>AF65</f>
        <v>0.2674855383562522</v>
      </c>
      <c r="AH65" s="203">
        <f>AG65</f>
        <v>0.2674855383562522</v>
      </c>
      <c r="AI65" s="203">
        <f>AH65</f>
        <v>0.2674855383562522</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33" t="inlineStr">
        <is>
          <t>Mitigation rpn.ind.nga</t>
        </is>
      </c>
      <c r="K66" s="9" t="str">
        <f>LOWER(CtryCode)&amp;".distn."&amp;$A66&amp;IF($B66="","","."&amp;$B66)&amp;IF($C66="","",".dec."&amp;$C66)&amp;"."&amp;K$5</f>
        <v>egy.distn.dpa.nga.1</v>
      </c>
      <c r="L66" s="208">
        <f>INDEX(FromMitigation!$K$21:$IZ$21,L$8)/INDEX(FromMitigation!$K$21:$IZ$21,L$7)-1</f>
        <v>0.0</v>
      </c>
      <c r="M66" s="203">
        <f>L66</f>
        <v>0.0</v>
      </c>
      <c r="N66" s="203">
        <f>M66</f>
        <v>0.0</v>
      </c>
      <c r="O66" s="203">
        <f>N66</f>
        <v>0.0</v>
      </c>
      <c r="P66" s="203">
        <f>O66</f>
        <v>0.0</v>
      </c>
      <c r="Q66" s="203">
        <f>P66</f>
        <v>0.0</v>
      </c>
      <c r="R66" s="203">
        <f>Q66</f>
        <v>0.0</v>
      </c>
      <c r="S66" s="203">
        <f>R66</f>
        <v>0.0</v>
      </c>
      <c r="T66" s="203">
        <f>S66</f>
        <v>0.0</v>
      </c>
      <c r="U66" s="203">
        <f>T66</f>
        <v>0.0</v>
      </c>
      <c r="V66" s="203">
        <f>U66</f>
        <v>0.0</v>
      </c>
      <c r="W66" s="207" t="str">
        <f>IF(X$5=K$5,SUM(Y66:AI66)-SUM(L66:V66),"")</f>
        <v/>
      </c>
      <c r="X66" s="9" t="str">
        <f>LOWER(CtryCode)&amp;".distn."&amp;$A66&amp;IF($B66="","","."&amp;$B66)&amp;IF($C66="","",".dec."&amp;$C66)&amp;"."&amp;X$5</f>
        <v>egy.distn.dpa.nga.2</v>
      </c>
      <c r="Y66" s="209">
        <f>DPCHG(INDEX(FromMitigation!$K$21:$IZ$21,Y$8),INDEX(FromMitigation!$K$21:$IZ$21,Y$7))</f>
        <v>0.2151546732683678</v>
      </c>
      <c r="Z66" s="203">
        <f>Y66</f>
        <v>0.2151546732683678</v>
      </c>
      <c r="AA66" s="203">
        <f>Z66</f>
        <v>0.2151546732683678</v>
      </c>
      <c r="AB66" s="203">
        <f>AA66</f>
        <v>0.2151546732683678</v>
      </c>
      <c r="AC66" s="203">
        <f>AB66</f>
        <v>0.2151546732683678</v>
      </c>
      <c r="AD66" s="203">
        <f>AC66</f>
        <v>0.2151546732683678</v>
      </c>
      <c r="AE66" s="203">
        <f>AD66</f>
        <v>0.2151546732683678</v>
      </c>
      <c r="AF66" s="203">
        <f>AE66</f>
        <v>0.2151546732683678</v>
      </c>
      <c r="AG66" s="203">
        <f>AF66</f>
        <v>0.2151546732683678</v>
      </c>
      <c r="AH66" s="203">
        <f>AG66</f>
        <v>0.2151546732683678</v>
      </c>
      <c r="AI66" s="203">
        <f>AH66</f>
        <v>0.2151546732683678</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33" t="inlineStr">
        <is>
          <t>Mitigation rpn.all.oop</t>
        </is>
      </c>
      <c r="K67" s="9" t="str">
        <f>LOWER(CtryCode)&amp;".distn."&amp;$A67&amp;IF($B67="","","."&amp;$B67)&amp;IF($C67="","",".dec."&amp;$C67)&amp;"."&amp;K$5</f>
        <v>egy.distn.dpa.oop.1</v>
      </c>
      <c r="L67" s="208">
        <f>INDEX(FromMitigation!$K$22:$IZ$22,L$8)/INDEX(FromMitigation!$K$22:$IZ$22,L$7)-1</f>
        <v>0.0</v>
      </c>
      <c r="M67" s="203">
        <f>L67</f>
        <v>0.0</v>
      </c>
      <c r="N67" s="203">
        <f>M67</f>
        <v>0.0</v>
      </c>
      <c r="O67" s="203">
        <f>N67</f>
        <v>0.0</v>
      </c>
      <c r="P67" s="203">
        <f>O67</f>
        <v>0.0</v>
      </c>
      <c r="Q67" s="203">
        <f>P67</f>
        <v>0.0</v>
      </c>
      <c r="R67" s="203">
        <f>Q67</f>
        <v>0.0</v>
      </c>
      <c r="S67" s="203">
        <f>R67</f>
        <v>0.0</v>
      </c>
      <c r="T67" s="203">
        <f>S67</f>
        <v>0.0</v>
      </c>
      <c r="U67" s="203">
        <f>T67</f>
        <v>0.0</v>
      </c>
      <c r="V67" s="203">
        <f>U67</f>
        <v>0.0</v>
      </c>
      <c r="W67" s="207" t="str">
        <f>IF(X$5=K$5,SUM(Y67:AI67)-SUM(L67:V67),"")</f>
        <v/>
      </c>
      <c r="X67" s="9" t="str">
        <f>LOWER(CtryCode)&amp;".distn."&amp;$A67&amp;IF($B67="","","."&amp;$B67)&amp;IF($C67="","",".dec."&amp;$C67)&amp;"."&amp;X$5</f>
        <v>egy.distn.dpa.oop.2</v>
      </c>
      <c r="Y67" s="209">
        <f>DPCHG(INDEX(FromMitigation!$K$22:$IZ$22,Y$8),INDEX(FromMitigation!$K$22:$IZ$22,Y$7))</f>
        <v>0.37934238484828553</v>
      </c>
      <c r="Z67" s="203">
        <f>Y67</f>
        <v>0.37934238484828553</v>
      </c>
      <c r="AA67" s="203">
        <f>Z67</f>
        <v>0.37934238484828553</v>
      </c>
      <c r="AB67" s="203">
        <f>AA67</f>
        <v>0.37934238484828553</v>
      </c>
      <c r="AC67" s="203">
        <f>AB67</f>
        <v>0.37934238484828553</v>
      </c>
      <c r="AD67" s="203">
        <f>AC67</f>
        <v>0.37934238484828553</v>
      </c>
      <c r="AE67" s="203">
        <f>AD67</f>
        <v>0.37934238484828553</v>
      </c>
      <c r="AF67" s="203">
        <f>AE67</f>
        <v>0.37934238484828553</v>
      </c>
      <c r="AG67" s="203">
        <f>AF67</f>
        <v>0.37934238484828553</v>
      </c>
      <c r="AH67" s="203">
        <f>AG67</f>
        <v>0.37934238484828553</v>
      </c>
      <c r="AI67" s="203">
        <f>AH67</f>
        <v>0.37934238484828553</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33" t="inlineStr">
        <is>
          <t>Mitigation rpn.all.gso</t>
        </is>
      </c>
      <c r="K68" s="9" t="str">
        <f>LOWER(CtryCode)&amp;".distn."&amp;$A68&amp;IF($B68="","","."&amp;$B68)&amp;IF($C68="","",".dec."&amp;$C68)&amp;"."&amp;K$5</f>
        <v>egy.distn.dpa.gso.1</v>
      </c>
      <c r="L68" s="208">
        <f>INDEX(FromMitigation!$K$23:$IZ$23,L$8)/INDEX(FromMitigation!$K$23:$IZ$23,L$7)-1</f>
        <v>0.0</v>
      </c>
      <c r="M68" s="203">
        <f>L68</f>
        <v>0.0</v>
      </c>
      <c r="N68" s="203">
        <f>M68</f>
        <v>0.0</v>
      </c>
      <c r="O68" s="203">
        <f>N68</f>
        <v>0.0</v>
      </c>
      <c r="P68" s="203">
        <f>O68</f>
        <v>0.0</v>
      </c>
      <c r="Q68" s="203">
        <f>P68</f>
        <v>0.0</v>
      </c>
      <c r="R68" s="203">
        <f>Q68</f>
        <v>0.0</v>
      </c>
      <c r="S68" s="203">
        <f>R68</f>
        <v>0.0</v>
      </c>
      <c r="T68" s="203">
        <f>S68</f>
        <v>0.0</v>
      </c>
      <c r="U68" s="203">
        <f>T68</f>
        <v>0.0</v>
      </c>
      <c r="V68" s="203">
        <f>U68</f>
        <v>0.0</v>
      </c>
      <c r="W68" s="207" t="str">
        <f>IF(X$5=K$5,SUM(Y68:AI68)-SUM(L68:V68),"")</f>
        <v/>
      </c>
      <c r="X68" s="9" t="str">
        <f>LOWER(CtryCode)&amp;".distn."&amp;$A68&amp;IF($B68="","","."&amp;$B68)&amp;IF($C68="","",".dec."&amp;$C68)&amp;"."&amp;X$5</f>
        <v>egy.distn.dpa.gso.2</v>
      </c>
      <c r="Y68" s="209">
        <f>DPCHG(INDEX(FromMitigation!$K$23:$IZ$23,Y$8),INDEX(FromMitigation!$K$23:$IZ$23,Y$7))</f>
        <v>0.13545818800640208</v>
      </c>
      <c r="Z68" s="203">
        <f>Y68</f>
        <v>0.13545818800640208</v>
      </c>
      <c r="AA68" s="203">
        <f>Z68</f>
        <v>0.13545818800640208</v>
      </c>
      <c r="AB68" s="203">
        <f>AA68</f>
        <v>0.13545818800640208</v>
      </c>
      <c r="AC68" s="203">
        <f>AB68</f>
        <v>0.13545818800640208</v>
      </c>
      <c r="AD68" s="203">
        <f>AC68</f>
        <v>0.13545818800640208</v>
      </c>
      <c r="AE68" s="203">
        <f>AD68</f>
        <v>0.13545818800640208</v>
      </c>
      <c r="AF68" s="203">
        <f>AE68</f>
        <v>0.13545818800640208</v>
      </c>
      <c r="AG68" s="203">
        <f>AF68</f>
        <v>0.13545818800640208</v>
      </c>
      <c r="AH68" s="203">
        <f>AG68</f>
        <v>0.13545818800640208</v>
      </c>
      <c r="AI68" s="203">
        <f>AH68</f>
        <v>0.13545818800640208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33" t="inlineStr">
        <is>
          <t>Mitigation rpn.all.die</t>
        </is>
      </c>
      <c r="K69" s="9" t="str">
        <f>LOWER(CtryCode)&amp;".distn."&amp;$A69&amp;IF($B69="","","."&amp;$B69)&amp;IF($C69="","",".dec."&amp;$C69)&amp;"."&amp;K$5</f>
        <v>egy.distn.dpa.die.1</v>
      </c>
      <c r="L69" s="208">
        <f>INDEX(FromMitigation!$K$24:$IZ$24,L$8)/INDEX(FromMitigation!$K$24:$IZ$24,L$7)-1</f>
        <v>0.0</v>
      </c>
      <c r="M69" s="203">
        <f>L69</f>
        <v>0.0</v>
      </c>
      <c r="N69" s="203">
        <f>M69</f>
        <v>0.0</v>
      </c>
      <c r="O69" s="203">
        <f>N69</f>
        <v>0.0</v>
      </c>
      <c r="P69" s="203">
        <f>O69</f>
        <v>0.0</v>
      </c>
      <c r="Q69" s="203">
        <f>P69</f>
        <v>0.0</v>
      </c>
      <c r="R69" s="203">
        <f>Q69</f>
        <v>0.0</v>
      </c>
      <c r="S69" s="203">
        <f>R69</f>
        <v>0.0</v>
      </c>
      <c r="T69" s="203">
        <f>S69</f>
        <v>0.0</v>
      </c>
      <c r="U69" s="203">
        <f>T69</f>
        <v>0.0</v>
      </c>
      <c r="V69" s="203">
        <f>U69</f>
        <v>0.0</v>
      </c>
      <c r="W69" s="207" t="str">
        <f>IF(X$5=K$5,SUM(Y69:AI69)-SUM(L69:V69),"")</f>
        <v/>
      </c>
      <c r="X69" s="9" t="str">
        <f>LOWER(CtryCode)&amp;".distn."&amp;$A69&amp;IF($B69="","","."&amp;$B69)&amp;IF($C69="","",".dec."&amp;$C69)&amp;"."&amp;X$5</f>
        <v>egy.distn.dpa.die.2</v>
      </c>
      <c r="Y69" s="209">
        <f>DPCHG(INDEX(FromMitigation!$K$24:$IZ$24,Y$8),INDEX(FromMitigation!$K$24:$IZ$24,Y$7))</f>
        <v>0.20931583784085328</v>
      </c>
      <c r="Z69" s="203">
        <f>Y69</f>
        <v>0.20931583784085328</v>
      </c>
      <c r="AA69" s="203">
        <f>Z69</f>
        <v>0.20931583784085328</v>
      </c>
      <c r="AB69" s="203">
        <f>AA69</f>
        <v>0.20931583784085328</v>
      </c>
      <c r="AC69" s="203">
        <f>AB69</f>
        <v>0.20931583784085328</v>
      </c>
      <c r="AD69" s="203">
        <f>AC69</f>
        <v>0.20931583784085328</v>
      </c>
      <c r="AE69" s="203">
        <f>AD69</f>
        <v>0.20931583784085328</v>
      </c>
      <c r="AF69" s="203">
        <f>AE69</f>
        <v>0.20931583784085328</v>
      </c>
      <c r="AG69" s="203">
        <f>AF69</f>
        <v>0.20931583784085328</v>
      </c>
      <c r="AH69" s="203">
        <f>AG69</f>
        <v>0.20931583784085328</v>
      </c>
      <c r="AI69" s="203">
        <f>AH69</f>
        <v>0.20931583784085328</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33" t="inlineStr">
        <is>
          <t>Mitigation rpn.all.lpg</t>
        </is>
      </c>
      <c r="K70" s="9" t="str">
        <f>LOWER(CtryCode)&amp;".distn."&amp;$A70&amp;IF($B70="","","."&amp;$B70)&amp;IF($C70="","",".dec."&amp;$C70)&amp;"."&amp;K$5</f>
        <v>egy.distn.dpa.lpg.1</v>
      </c>
      <c r="L70" s="208">
        <f>INDEX(FromMitigation!$K$25:$IZ$25,L$8)/INDEX(FromMitigation!$K$25:$IZ$25,L$7)-1</f>
        <v>0.0</v>
      </c>
      <c r="M70" s="203">
        <f>L70</f>
        <v>0.0</v>
      </c>
      <c r="N70" s="203">
        <f>M70</f>
        <v>0.0</v>
      </c>
      <c r="O70" s="203">
        <f>N70</f>
        <v>0.0</v>
      </c>
      <c r="P70" s="203">
        <f>O70</f>
        <v>0.0</v>
      </c>
      <c r="Q70" s="203">
        <f>P70</f>
        <v>0.0</v>
      </c>
      <c r="R70" s="203">
        <f>Q70</f>
        <v>0.0</v>
      </c>
      <c r="S70" s="203">
        <f>R70</f>
        <v>0.0</v>
      </c>
      <c r="T70" s="203">
        <f>S70</f>
        <v>0.0</v>
      </c>
      <c r="U70" s="203">
        <f>T70</f>
        <v>0.0</v>
      </c>
      <c r="V70" s="203">
        <f>U70</f>
        <v>0.0</v>
      </c>
      <c r="W70" s="207" t="str">
        <f>IF(X$5=K$5,SUM(Y70:AI70)-SUM(L70:V70),"")</f>
        <v/>
      </c>
      <c r="X70" s="9" t="str">
        <f>LOWER(CtryCode)&amp;".distn."&amp;$A70&amp;IF($B70="","","."&amp;$B70)&amp;IF($C70="","",".dec."&amp;$C70)&amp;"."&amp;X$5</f>
        <v>egy.distn.dpa.lpg.2</v>
      </c>
      <c r="Y70" s="209">
        <f>DPCHG(INDEX(FromMitigation!$K$25:$IZ$25,Y$8),INDEX(FromMitigation!$K$25:$IZ$25,Y$7))</f>
        <v>0.3941032285060613</v>
      </c>
      <c r="Z70" s="203">
        <f>Y70</f>
        <v>0.3941032285060613</v>
      </c>
      <c r="AA70" s="203">
        <f>Z70</f>
        <v>0.3941032285060613</v>
      </c>
      <c r="AB70" s="203">
        <f>AA70</f>
        <v>0.3941032285060613</v>
      </c>
      <c r="AC70" s="203">
        <f>AB70</f>
        <v>0.3941032285060613</v>
      </c>
      <c r="AD70" s="203">
        <f>AC70</f>
        <v>0.3941032285060613</v>
      </c>
      <c r="AE70" s="203">
        <f>AD70</f>
        <v>0.3941032285060613</v>
      </c>
      <c r="AF70" s="203">
        <f>AE70</f>
        <v>0.3941032285060613</v>
      </c>
      <c r="AG70" s="203">
        <f>AF70</f>
        <v>0.3941032285060613</v>
      </c>
      <c r="AH70" s="203">
        <f>AG70</f>
        <v>0.3941032285060613</v>
      </c>
      <c r="AI70" s="203">
        <f>AH70</f>
        <v>0.3941032285060613</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33" t="inlineStr">
        <is>
          <t>Mitigation rpn.all.ker</t>
        </is>
      </c>
      <c r="K71" s="9" t="str">
        <f>LOWER(CtryCode)&amp;".distn."&amp;$A71&amp;IF($B71="","","."&amp;$B71)&amp;IF($C71="","",".dec."&amp;$C71)&amp;"."&amp;K$5</f>
        <v>egy.distn.dpa.ker.1</v>
      </c>
      <c r="L71" s="208">
        <f>INDEX(FromMitigation!$K$26:$IZ$26,L$8)/INDEX(FromMitigation!$K$26:$IZ$26,L$7)-1</f>
        <v>0.0</v>
      </c>
      <c r="M71" s="203">
        <f>L71</f>
        <v>0.0</v>
      </c>
      <c r="N71" s="203">
        <f>M71</f>
        <v>0.0</v>
      </c>
      <c r="O71" s="203">
        <f>N71</f>
        <v>0.0</v>
      </c>
      <c r="P71" s="203">
        <f>O71</f>
        <v>0.0</v>
      </c>
      <c r="Q71" s="203">
        <f>P71</f>
        <v>0.0</v>
      </c>
      <c r="R71" s="203">
        <f>Q71</f>
        <v>0.0</v>
      </c>
      <c r="S71" s="203">
        <f>R71</f>
        <v>0.0</v>
      </c>
      <c r="T71" s="203">
        <f>S71</f>
        <v>0.0</v>
      </c>
      <c r="U71" s="203">
        <f>T71</f>
        <v>0.0</v>
      </c>
      <c r="V71" s="203">
        <f>U71</f>
        <v>0.0</v>
      </c>
      <c r="W71" s="207" t="str">
        <f>IF(X$5=K$5,SUM(Y71:AI71)-SUM(L71:V71),"")</f>
        <v/>
      </c>
      <c r="X71" s="9" t="str">
        <f>LOWER(CtryCode)&amp;".distn."&amp;$A71&amp;IF($B71="","","."&amp;$B71)&amp;IF($C71="","",".dec."&amp;$C71)&amp;"."&amp;X$5</f>
        <v>egy.distn.dpa.ker.2</v>
      </c>
      <c r="Y71" s="209">
        <f>DPCHG(INDEX(FromMitigation!$K$26:$IZ$26,Y$8),INDEX(FromMitigation!$K$26:$IZ$26,Y$7))</f>
        <v>0.2169433551732589</v>
      </c>
      <c r="Z71" s="203">
        <f>Y71</f>
        <v>0.2169433551732589</v>
      </c>
      <c r="AA71" s="203">
        <f>Z71</f>
        <v>0.2169433551732589</v>
      </c>
      <c r="AB71" s="203">
        <f>AA71</f>
        <v>0.2169433551732589</v>
      </c>
      <c r="AC71" s="203">
        <f>AB71</f>
        <v>0.2169433551732589</v>
      </c>
      <c r="AD71" s="203">
        <f>AC71</f>
        <v>0.2169433551732589</v>
      </c>
      <c r="AE71" s="203">
        <f>AD71</f>
        <v>0.2169433551732589</v>
      </c>
      <c r="AF71" s="203">
        <f>AE71</f>
        <v>0.2169433551732589</v>
      </c>
      <c r="AG71" s="203">
        <f>AF71</f>
        <v>0.2169433551732589</v>
      </c>
      <c r="AH71" s="203">
        <f>AG71</f>
        <v>0.2169433551732589</v>
      </c>
      <c r="AI71" s="203">
        <f>AH71</f>
        <v>0.2169433551732589</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33" t="inlineStr">
        <is>
          <t>Mitigation rp.ind.ecy</t>
        </is>
      </c>
      <c r="K72" s="9" t="str">
        <f>LOWER(CtryCode)&amp;".distn."&amp;$A72&amp;IF($B72="","","."&amp;$B72)&amp;IF($C72="","",".dec."&amp;$C72)&amp;"."&amp;K$5</f>
        <v>egy.distn.dpa.ecy.1</v>
      </c>
      <c r="L72" s="208">
        <f>INDEX(FromMitigation!$K$27:$IZ$27,L$8)/INDEX(FromMitigation!$K$27:$IZ$27,L$7)-1</f>
        <v>0.0</v>
      </c>
      <c r="M72" s="203">
        <f>L72</f>
        <v>0.0</v>
      </c>
      <c r="N72" s="203">
        <f>M72</f>
        <v>0.0</v>
      </c>
      <c r="O72" s="203">
        <f>N72</f>
        <v>0.0</v>
      </c>
      <c r="P72" s="203">
        <f>O72</f>
        <v>0.0</v>
      </c>
      <c r="Q72" s="203">
        <f>P72</f>
        <v>0.0</v>
      </c>
      <c r="R72" s="203">
        <f>Q72</f>
        <v>0.0</v>
      </c>
      <c r="S72" s="203">
        <f>R72</f>
        <v>0.0</v>
      </c>
      <c r="T72" s="203">
        <f>S72</f>
        <v>0.0</v>
      </c>
      <c r="U72" s="203">
        <f>T72</f>
        <v>0.0</v>
      </c>
      <c r="V72" s="203">
        <f>U72</f>
        <v>0.0</v>
      </c>
      <c r="W72" s="207" t="str">
        <f>IF(X$5=K$5,SUM(Y72:AI72)-SUM(L72:V72),"")</f>
        <v/>
      </c>
      <c r="X72" s="9" t="str">
        <f>LOWER(CtryCode)&amp;".distn."&amp;$A72&amp;IF($B72="","","."&amp;$B72)&amp;IF($C72="","",".dec."&amp;$C72)&amp;"."&amp;X$5</f>
        <v>egy.distn.dpa.ecy.2</v>
      </c>
      <c r="Y72" s="209">
        <f>DPCHG(INDEX(FromMitigation!$K$27:$IZ$27,Y$8),INDEX(FromMitigation!$K$27:$IZ$27,Y$7))</f>
        <v>0.16399116379003997</v>
      </c>
      <c r="Z72" s="203">
        <f>Y72</f>
        <v>0.16399116379003997</v>
      </c>
      <c r="AA72" s="203">
        <f>Z72</f>
        <v>0.16399116379003997</v>
      </c>
      <c r="AB72" s="203">
        <f>AA72</f>
        <v>0.16399116379003997</v>
      </c>
      <c r="AC72" s="203">
        <f>AB72</f>
        <v>0.16399116379003997</v>
      </c>
      <c r="AD72" s="203">
        <f>AC72</f>
        <v>0.16399116379003997</v>
      </c>
      <c r="AE72" s="203">
        <f>AD72</f>
        <v>0.16399116379003997</v>
      </c>
      <c r="AF72" s="203">
        <f>AE72</f>
        <v>0.16399116379003997</v>
      </c>
      <c r="AG72" s="203">
        <f>AF72</f>
        <v>0.16399116379003997</v>
      </c>
      <c r="AH72" s="203">
        <f>AG72</f>
        <v>0.16399116379003997</v>
      </c>
      <c r="AI72" s="203">
        <f>AH72</f>
        <v>0.16399116379003997</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33" t="inlineStr">
        <is>
          <t>Mitigation pav.sp (fossil: $/GJ x ktoe x PJ/ktoe)</t>
        </is>
      </c>
      <c r="K73" s="9" t="str">
        <f>LOWER(CtryCode)&amp;".distn."&amp;$A73&amp;IF($B73="","","."&amp;$B73)&amp;IF($C73="","",".dec."&amp;$C73)&amp;"."&amp;K$5</f>
        <v>egy.distn.spend.coa.1</v>
      </c>
      <c r="L73" s="124">
        <f>INDEX(FromMitigation!$K$28:$IZ$28,MATCH(BaseYr,FromMitigation!$K$1:$AF$1,0))*Settings!$C$13</f>
        <v>793.4357841177257</v>
      </c>
      <c r="M73" s="125">
        <f>L73</f>
        <v>793.4357841177257</v>
      </c>
      <c r="N73" s="125">
        <f>M73</f>
        <v>793.4357841177257</v>
      </c>
      <c r="O73" s="125">
        <f>N73</f>
        <v>793.4357841177257</v>
      </c>
      <c r="P73" s="125">
        <f>O73</f>
        <v>793.4357841177257</v>
      </c>
      <c r="Q73" s="125">
        <f>P73</f>
        <v>793.4357841177257</v>
      </c>
      <c r="R73" s="125">
        <f>Q73</f>
        <v>793.4357841177257</v>
      </c>
      <c r="S73" s="125">
        <f>R73</f>
        <v>793.4357841177257</v>
      </c>
      <c r="T73" s="125">
        <f>S73</f>
        <v>793.4357841177257</v>
      </c>
      <c r="U73" s="125">
        <f>T73</f>
        <v>793.4357841177257</v>
      </c>
      <c r="V73" s="125">
        <f>U73</f>
        <v>793.4357841177257</v>
      </c>
      <c r="W73" s="207" t="str">
        <f>IF(X$5=K$5,SUM(Y73:AI73)-SUM(L73:V73),"")</f>
        <v/>
      </c>
      <c r="X73" s="9" t="str">
        <f>LOWER(CtryCode)&amp;".distn."&amp;$A73&amp;IF($B73="","","."&amp;$B73)&amp;IF($C73="","",".dec."&amp;$C73)&amp;"."&amp;X$5</f>
        <v>egy.distn.spend.coa.2</v>
      </c>
      <c r="Y73" s="124">
        <f>INDEX(FromMitigation!$K$28:$IZ$28,MATCH(BaseYr,FromMitigation!$K$1:$AF$1,0))*Settings!$C$13</f>
        <v>793.4357841177257</v>
      </c>
      <c r="Z73" s="125">
        <f>Y73</f>
        <v>793.4357841177257</v>
      </c>
      <c r="AA73" s="125">
        <f>Z73</f>
        <v>793.4357841177257</v>
      </c>
      <c r="AB73" s="125">
        <f>AA73</f>
        <v>793.4357841177257</v>
      </c>
      <c r="AC73" s="125">
        <f>AB73</f>
        <v>793.4357841177257</v>
      </c>
      <c r="AD73" s="125">
        <f>AC73</f>
        <v>793.4357841177257</v>
      </c>
      <c r="AE73" s="125">
        <f>AD73</f>
        <v>793.4357841177257</v>
      </c>
      <c r="AF73" s="125">
        <f>AE73</f>
        <v>793.4357841177257</v>
      </c>
      <c r="AG73" s="125">
        <f>AF73</f>
        <v>793.4357841177257</v>
      </c>
      <c r="AH73" s="125">
        <f>AG73</f>
        <v>793.4357841177257</v>
      </c>
      <c r="AI73" s="125">
        <f>AH73</f>
        <v>793.4357841177257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33" t="inlineStr">
        <is>
          <t>Mitigation pav.sp (fossil: $/GJ x ktoe x PJ/ktoe)</t>
        </is>
      </c>
      <c r="K74" s="9" t="str">
        <f>LOWER(CtryCode)&amp;".distn."&amp;$A74&amp;IF($B74="","","."&amp;$B74)&amp;IF($C74="","",".dec."&amp;$C74)&amp;"."&amp;K$5</f>
        <v>egy.distn.spend.nga.1</v>
      </c>
      <c r="L74" s="124">
        <f>INDEX(FromMitigation!$K$29:$IZ$29,MATCH(BaseYr,FromMitigation!$K$1:$AF$1,0))*Settings!$C$13</f>
        <v>2943.555941736006</v>
      </c>
      <c r="M74" s="125">
        <f>L74</f>
        <v>2943.555941736006</v>
      </c>
      <c r="N74" s="125">
        <f>M74</f>
        <v>2943.555941736006</v>
      </c>
      <c r="O74" s="125">
        <f>N74</f>
        <v>2943.555941736006</v>
      </c>
      <c r="P74" s="125">
        <f>O74</f>
        <v>2943.555941736006</v>
      </c>
      <c r="Q74" s="125">
        <f>P74</f>
        <v>2943.555941736006</v>
      </c>
      <c r="R74" s="125">
        <f>Q74</f>
        <v>2943.555941736006</v>
      </c>
      <c r="S74" s="125">
        <f>R74</f>
        <v>2943.555941736006</v>
      </c>
      <c r="T74" s="125">
        <f>S74</f>
        <v>2943.555941736006</v>
      </c>
      <c r="U74" s="125">
        <f>T74</f>
        <v>2943.555941736006</v>
      </c>
      <c r="V74" s="125">
        <f>U74</f>
        <v>2943.555941736006</v>
      </c>
      <c r="W74" s="207" t="str">
        <f>IF(X$5=K$5,SUM(Y74:AI74)-SUM(L74:V74),"")</f>
        <v/>
      </c>
      <c r="X74" s="9" t="str">
        <f>LOWER(CtryCode)&amp;".distn."&amp;$A74&amp;IF($B74="","","."&amp;$B74)&amp;IF($C74="","",".dec."&amp;$C74)&amp;"."&amp;X$5</f>
        <v>egy.distn.spend.nga.2</v>
      </c>
      <c r="Y74" s="124">
        <f>INDEX(FromMitigation!$K$29:$IZ$29,MATCH(BaseYr,FromMitigation!$K$1:$AF$1,0))*Settings!$C$13</f>
        <v>2943.555941736006</v>
      </c>
      <c r="Z74" s="125">
        <f>Y74</f>
        <v>2943.555941736006</v>
      </c>
      <c r="AA74" s="125">
        <f>Z74</f>
        <v>2943.555941736006</v>
      </c>
      <c r="AB74" s="125">
        <f>AA74</f>
        <v>2943.555941736006</v>
      </c>
      <c r="AC74" s="125">
        <f>AB74</f>
        <v>2943.555941736006</v>
      </c>
      <c r="AD74" s="125">
        <f>AC74</f>
        <v>2943.555941736006</v>
      </c>
      <c r="AE74" s="125">
        <f>AD74</f>
        <v>2943.555941736006</v>
      </c>
      <c r="AF74" s="125">
        <f>AE74</f>
        <v>2943.555941736006</v>
      </c>
      <c r="AG74" s="125">
        <f>AF74</f>
        <v>2943.555941736006</v>
      </c>
      <c r="AH74" s="125">
        <f>AG74</f>
        <v>2943.555941736006</v>
      </c>
      <c r="AI74" s="125">
        <f>AH74</f>
        <v>2943.555941736006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33" t="inlineStr">
        <is>
          <t>Mitigation pav.sp (fossil: $/GJ x ktoe x PJ/ktoe)</t>
        </is>
      </c>
      <c r="K75" s="9" t="str">
        <f>LOWER(CtryCode)&amp;".distn."&amp;$A75&amp;IF($B75="","","."&amp;$B75)&amp;IF($C75="","",".dec."&amp;$C75)&amp;"."&amp;K$5</f>
        <v>egy.distn.spend.oop.1</v>
      </c>
      <c r="L75" s="124">
        <f>INDEX(FromMitigation!$K$30:$IZ$30,MATCH(BaseYr,FromMitigation!$K$1:$AF$1,0))*Settings!$C$13</f>
        <v>677.4989403089621</v>
      </c>
      <c r="M75" s="125">
        <f>L75</f>
        <v>677.4989403089621</v>
      </c>
      <c r="N75" s="125">
        <f>M75</f>
        <v>677.4989403089621</v>
      </c>
      <c r="O75" s="125">
        <f>N75</f>
        <v>677.4989403089621</v>
      </c>
      <c r="P75" s="125">
        <f>O75</f>
        <v>677.4989403089621</v>
      </c>
      <c r="Q75" s="125">
        <f>P75</f>
        <v>677.4989403089621</v>
      </c>
      <c r="R75" s="125">
        <f>Q75</f>
        <v>677.4989403089621</v>
      </c>
      <c r="S75" s="125">
        <f>R75</f>
        <v>677.4989403089621</v>
      </c>
      <c r="T75" s="125">
        <f>S75</f>
        <v>677.4989403089621</v>
      </c>
      <c r="U75" s="125">
        <f>T75</f>
        <v>677.4989403089621</v>
      </c>
      <c r="V75" s="125">
        <f>U75</f>
        <v>677.4989403089621</v>
      </c>
      <c r="W75" s="207" t="str">
        <f>IF(X$5=K$5,SUM(Y75:AI75)-SUM(L75:V75),"")</f>
        <v/>
      </c>
      <c r="X75" s="9" t="str">
        <f>LOWER(CtryCode)&amp;".distn."&amp;$A75&amp;IF($B75="","","."&amp;$B75)&amp;IF($C75="","",".dec."&amp;$C75)&amp;"."&amp;X$5</f>
        <v>egy.distn.spend.oop.2</v>
      </c>
      <c r="Y75" s="124">
        <f>INDEX(FromMitigation!$K$30:$IZ$30,MATCH(BaseYr,FromMitigation!$K$1:$AF$1,0))*Settings!$C$13</f>
        <v>677.4989403089621</v>
      </c>
      <c r="Z75" s="125">
        <f>Y75</f>
        <v>677.4989403089621</v>
      </c>
      <c r="AA75" s="125">
        <f>Z75</f>
        <v>677.4989403089621</v>
      </c>
      <c r="AB75" s="125">
        <f>AA75</f>
        <v>677.4989403089621</v>
      </c>
      <c r="AC75" s="125">
        <f>AB75</f>
        <v>677.4989403089621</v>
      </c>
      <c r="AD75" s="125">
        <f>AC75</f>
        <v>677.4989403089621</v>
      </c>
      <c r="AE75" s="125">
        <f>AD75</f>
        <v>677.4989403089621</v>
      </c>
      <c r="AF75" s="125">
        <f>AE75</f>
        <v>677.4989403089621</v>
      </c>
      <c r="AG75" s="125">
        <f>AF75</f>
        <v>677.4989403089621</v>
      </c>
      <c r="AH75" s="125">
        <f>AG75</f>
        <v>677.4989403089621</v>
      </c>
      <c r="AI75" s="125">
        <f>AH75</f>
        <v>677.4989403089621</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33" t="inlineStr">
        <is>
          <t>Mitigation pav.sp (fossil: $/GJ x ktoe x PJ/ktoe)</t>
        </is>
      </c>
      <c r="K76" s="9" t="str">
        <f>LOWER(CtryCode)&amp;".distn."&amp;$A76&amp;IF($B76="","","."&amp;$B76)&amp;IF($C76="","",".dec."&amp;$C76)&amp;"."&amp;K$5</f>
        <v>egy.distn.spend.gso.1</v>
      </c>
      <c r="L76" s="124">
        <f>INDEX(FromMitigation!$K$31:$IZ$31,MATCH(BaseYr,FromMitigation!$K$1:$AF$1,0))*Settings!$C$13</f>
        <v>5321.074522826729</v>
      </c>
      <c r="M76" s="125">
        <f>L76</f>
        <v>5321.074522826729</v>
      </c>
      <c r="N76" s="125">
        <f>M76</f>
        <v>5321.074522826729</v>
      </c>
      <c r="O76" s="125">
        <f>N76</f>
        <v>5321.074522826729</v>
      </c>
      <c r="P76" s="125">
        <f>O76</f>
        <v>5321.074522826729</v>
      </c>
      <c r="Q76" s="125">
        <f>P76</f>
        <v>5321.074522826729</v>
      </c>
      <c r="R76" s="125">
        <f>Q76</f>
        <v>5321.074522826729</v>
      </c>
      <c r="S76" s="125">
        <f>R76</f>
        <v>5321.074522826729</v>
      </c>
      <c r="T76" s="125">
        <f>S76</f>
        <v>5321.074522826729</v>
      </c>
      <c r="U76" s="125">
        <f>T76</f>
        <v>5321.074522826729</v>
      </c>
      <c r="V76" s="125">
        <f>U76</f>
        <v>5321.074522826729</v>
      </c>
      <c r="W76" s="207" t="str">
        <f>IF(X$5=K$5,SUM(Y76:AI76)-SUM(L76:V76),"")</f>
        <v/>
      </c>
      <c r="X76" s="9" t="str">
        <f>LOWER(CtryCode)&amp;".distn."&amp;$A76&amp;IF($B76="","","."&amp;$B76)&amp;IF($C76="","",".dec."&amp;$C76)&amp;"."&amp;X$5</f>
        <v>egy.distn.spend.gso.2</v>
      </c>
      <c r="Y76" s="124">
        <f>INDEX(FromMitigation!$K$31:$IZ$31,MATCH(BaseYr,FromMitigation!$K$1:$AF$1,0))*Settings!$C$13</f>
        <v>5321.074522826729</v>
      </c>
      <c r="Z76" s="125">
        <f>Y76</f>
        <v>5321.074522826729</v>
      </c>
      <c r="AA76" s="125">
        <f>Z76</f>
        <v>5321.074522826729</v>
      </c>
      <c r="AB76" s="125">
        <f>AA76</f>
        <v>5321.074522826729</v>
      </c>
      <c r="AC76" s="125">
        <f>AB76</f>
        <v>5321.074522826729</v>
      </c>
      <c r="AD76" s="125">
        <f>AC76</f>
        <v>5321.074522826729</v>
      </c>
      <c r="AE76" s="125">
        <f>AD76</f>
        <v>5321.074522826729</v>
      </c>
      <c r="AF76" s="125">
        <f>AE76</f>
        <v>5321.074522826729</v>
      </c>
      <c r="AG76" s="125">
        <f>AF76</f>
        <v>5321.074522826729</v>
      </c>
      <c r="AH76" s="125">
        <f>AG76</f>
        <v>5321.074522826729</v>
      </c>
      <c r="AI76" s="125">
        <f>AH76</f>
        <v>5321.074522826729</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33" t="inlineStr">
        <is>
          <t>Mitigation pav.sp (fossil: $/GJ x ktoe x PJ/ktoe)</t>
        </is>
      </c>
      <c r="K77" s="9" t="str">
        <f>LOWER(CtryCode)&amp;".distn."&amp;$A77&amp;IF($B77="","","."&amp;$B77)&amp;IF($C77="","",".dec."&amp;$C77)&amp;"."&amp;K$5</f>
        <v>egy.distn.spend.die.1</v>
      </c>
      <c r="L77" s="124">
        <f>INDEX(FromMitigation!$K$32:$IZ$32,MATCH(BaseYr,FromMitigation!$K$1:$AF$1,0))*Settings!$C$13</f>
        <v>7067.8739449222185</v>
      </c>
      <c r="M77" s="125">
        <f>L77</f>
        <v>7067.8739449222185</v>
      </c>
      <c r="N77" s="125">
        <f>M77</f>
        <v>7067.8739449222185</v>
      </c>
      <c r="O77" s="125">
        <f>N77</f>
        <v>7067.8739449222185</v>
      </c>
      <c r="P77" s="125">
        <f>O77</f>
        <v>7067.8739449222185</v>
      </c>
      <c r="Q77" s="125">
        <f>P77</f>
        <v>7067.8739449222185</v>
      </c>
      <c r="R77" s="125">
        <f>Q77</f>
        <v>7067.8739449222185</v>
      </c>
      <c r="S77" s="125">
        <f>R77</f>
        <v>7067.8739449222185</v>
      </c>
      <c r="T77" s="125">
        <f>S77</f>
        <v>7067.8739449222185</v>
      </c>
      <c r="U77" s="125">
        <f>T77</f>
        <v>7067.8739449222185</v>
      </c>
      <c r="V77" s="125">
        <f>U77</f>
        <v>7067.8739449222185</v>
      </c>
      <c r="W77" s="207" t="str">
        <f>IF(X$5=K$5,SUM(Y77:AI77)-SUM(L77:V77),"")</f>
        <v/>
      </c>
      <c r="X77" s="9" t="str">
        <f>LOWER(CtryCode)&amp;".distn."&amp;$A77&amp;IF($B77="","","."&amp;$B77)&amp;IF($C77="","",".dec."&amp;$C77)&amp;"."&amp;X$5</f>
        <v>egy.distn.spend.die.2</v>
      </c>
      <c r="Y77" s="124">
        <f>INDEX(FromMitigation!$K$32:$IZ$32,MATCH(BaseYr,FromMitigation!$K$1:$AF$1,0))*Settings!$C$13</f>
        <v>7067.8739449222185</v>
      </c>
      <c r="Z77" s="125">
        <f>Y77</f>
        <v>7067.8739449222185</v>
      </c>
      <c r="AA77" s="125">
        <f>Z77</f>
        <v>7067.8739449222185</v>
      </c>
      <c r="AB77" s="125">
        <f>AA77</f>
        <v>7067.8739449222185</v>
      </c>
      <c r="AC77" s="125">
        <f>AB77</f>
        <v>7067.8739449222185</v>
      </c>
      <c r="AD77" s="125">
        <f>AC77</f>
        <v>7067.8739449222185</v>
      </c>
      <c r="AE77" s="125">
        <f>AD77</f>
        <v>7067.8739449222185</v>
      </c>
      <c r="AF77" s="125">
        <f>AE77</f>
        <v>7067.8739449222185</v>
      </c>
      <c r="AG77" s="125">
        <f>AF77</f>
        <v>7067.8739449222185</v>
      </c>
      <c r="AH77" s="125">
        <f>AG77</f>
        <v>7067.8739449222185</v>
      </c>
      <c r="AI77" s="125">
        <f>AH77</f>
        <v>7067.8739449222185</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33" t="inlineStr">
        <is>
          <t>Mitigation pav.sp (fossil: $/GJ x ktoe x PJ/ktoe)</t>
        </is>
      </c>
      <c r="K78" s="9" t="str">
        <f>LOWER(CtryCode)&amp;".distn."&amp;$A78&amp;IF($B78="","","."&amp;$B78)&amp;IF($C78="","",".dec."&amp;$C78)&amp;"."&amp;K$5</f>
        <v>egy.distn.spend.lpg.1</v>
      </c>
      <c r="L78" s="124">
        <f>INDEX(FromMitigation!$K$33:$IZ$33,MATCH(BaseYr,FromMitigation!$K$1:$AF$1,0))*Settings!$C$13</f>
        <v>1532.305982842409</v>
      </c>
      <c r="M78" s="125">
        <f>L78</f>
        <v>1532.305982842409</v>
      </c>
      <c r="N78" s="125">
        <f>M78</f>
        <v>1532.305982842409</v>
      </c>
      <c r="O78" s="125">
        <f>N78</f>
        <v>1532.305982842409</v>
      </c>
      <c r="P78" s="125">
        <f>O78</f>
        <v>1532.305982842409</v>
      </c>
      <c r="Q78" s="125">
        <f>P78</f>
        <v>1532.305982842409</v>
      </c>
      <c r="R78" s="125">
        <f>Q78</f>
        <v>1532.305982842409</v>
      </c>
      <c r="S78" s="125">
        <f>R78</f>
        <v>1532.305982842409</v>
      </c>
      <c r="T78" s="125">
        <f>S78</f>
        <v>1532.305982842409</v>
      </c>
      <c r="U78" s="125">
        <f>T78</f>
        <v>1532.305982842409</v>
      </c>
      <c r="V78" s="125">
        <f>U78</f>
        <v>1532.305982842409</v>
      </c>
      <c r="W78" s="207" t="str">
        <f>IF(X$5=K$5,SUM(Y78:AI78)-SUM(L78:V78),"")</f>
        <v/>
      </c>
      <c r="X78" s="9" t="str">
        <f>LOWER(CtryCode)&amp;".distn."&amp;$A78&amp;IF($B78="","","."&amp;$B78)&amp;IF($C78="","",".dec."&amp;$C78)&amp;"."&amp;X$5</f>
        <v>egy.distn.spend.lpg.2</v>
      </c>
      <c r="Y78" s="124">
        <f>INDEX(FromMitigation!$K$33:$IZ$33,MATCH(BaseYr,FromMitigation!$K$1:$AF$1,0))*Settings!$C$13</f>
        <v>1532.305982842409</v>
      </c>
      <c r="Z78" s="125">
        <f>Y78</f>
        <v>1532.305982842409</v>
      </c>
      <c r="AA78" s="125">
        <f>Z78</f>
        <v>1532.305982842409</v>
      </c>
      <c r="AB78" s="125">
        <f>AA78</f>
        <v>1532.305982842409</v>
      </c>
      <c r="AC78" s="125">
        <f>AB78</f>
        <v>1532.305982842409</v>
      </c>
      <c r="AD78" s="125">
        <f>AC78</f>
        <v>1532.305982842409</v>
      </c>
      <c r="AE78" s="125">
        <f>AD78</f>
        <v>1532.305982842409</v>
      </c>
      <c r="AF78" s="125">
        <f>AE78</f>
        <v>1532.305982842409</v>
      </c>
      <c r="AG78" s="125">
        <f>AF78</f>
        <v>1532.305982842409</v>
      </c>
      <c r="AH78" s="125">
        <f>AG78</f>
        <v>1532.305982842409</v>
      </c>
      <c r="AI78" s="125">
        <f>AH78</f>
        <v>1532.305982842409</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33" t="inlineStr">
        <is>
          <t>Mitigation pav.sp (fossil: $/GJ x ktoe x PJ/ktoe)</t>
        </is>
      </c>
      <c r="K79" s="9" t="str">
        <f>LOWER(CtryCode)&amp;".distn."&amp;$A79&amp;IF($B79="","","."&amp;$B79)&amp;IF($C79="","",".dec."&amp;$C79)&amp;"."&amp;K$5</f>
        <v>egy.distn.spend.ker.1</v>
      </c>
      <c r="L79" s="124">
        <f>INDEX(FromMitigation!$K$34:$IZ$34,MATCH(BaseYr,FromMitigation!$K$1:$AF$1,0))*Settings!$C$13</f>
        <v>3.212415445949821</v>
      </c>
      <c r="M79" s="125">
        <f>L79</f>
        <v>3.212415445949821</v>
      </c>
      <c r="N79" s="125">
        <f>M79</f>
        <v>3.212415445949821</v>
      </c>
      <c r="O79" s="125">
        <f>N79</f>
        <v>3.212415445949821</v>
      </c>
      <c r="P79" s="125">
        <f>O79</f>
        <v>3.212415445949821</v>
      </c>
      <c r="Q79" s="125">
        <f>P79</f>
        <v>3.212415445949821</v>
      </c>
      <c r="R79" s="125">
        <f>Q79</f>
        <v>3.212415445949821</v>
      </c>
      <c r="S79" s="125">
        <f>R79</f>
        <v>3.212415445949821</v>
      </c>
      <c r="T79" s="125">
        <f>S79</f>
        <v>3.212415445949821</v>
      </c>
      <c r="U79" s="125">
        <f>T79</f>
        <v>3.212415445949821</v>
      </c>
      <c r="V79" s="125">
        <f>U79</f>
        <v>3.212415445949821</v>
      </c>
      <c r="W79" s="207" t="str">
        <f>IF(X$5=K$5,SUM(Y79:AI79)-SUM(L79:V79),"")</f>
        <v/>
      </c>
      <c r="X79" s="9" t="str">
        <f>LOWER(CtryCode)&amp;".distn."&amp;$A79&amp;IF($B79="","","."&amp;$B79)&amp;IF($C79="","",".dec."&amp;$C79)&amp;"."&amp;X$5</f>
        <v>egy.distn.spend.ker.2</v>
      </c>
      <c r="Y79" s="124">
        <f>INDEX(FromMitigation!$K$34:$IZ$34,MATCH(BaseYr,FromMitigation!$K$1:$AF$1,0))*Settings!$C$13</f>
        <v>3.212415445949821</v>
      </c>
      <c r="Z79" s="125">
        <f>Y79</f>
        <v>3.212415445949821</v>
      </c>
      <c r="AA79" s="125">
        <f>Z79</f>
        <v>3.212415445949821</v>
      </c>
      <c r="AB79" s="125">
        <f>AA79</f>
        <v>3.212415445949821</v>
      </c>
      <c r="AC79" s="125">
        <f>AB79</f>
        <v>3.212415445949821</v>
      </c>
      <c r="AD79" s="125">
        <f>AC79</f>
        <v>3.212415445949821</v>
      </c>
      <c r="AE79" s="125">
        <f>AD79</f>
        <v>3.212415445949821</v>
      </c>
      <c r="AF79" s="125">
        <f>AE79</f>
        <v>3.212415445949821</v>
      </c>
      <c r="AG79" s="125">
        <f>AF79</f>
        <v>3.212415445949821</v>
      </c>
      <c r="AH79" s="125">
        <f>AG79</f>
        <v>3.212415445949821</v>
      </c>
      <c r="AI79" s="125">
        <f>AH79</f>
        <v>3.212415445949821</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33" t="inlineStr">
        <is>
          <t>Mitigation pav.sp (fossil: $/GJ x ktoe x PJ/ktoe)</t>
        </is>
      </c>
      <c r="K80" s="9" t="str">
        <f>LOWER(CtryCode)&amp;".distn."&amp;$A80&amp;IF($B80="","","."&amp;$B80)&amp;IF($C80="","",".dec."&amp;$C80)&amp;"."&amp;K$5</f>
        <v>egy.distn.spend.ecy.1</v>
      </c>
      <c r="L80" s="124">
        <f>INDEX(FromMitigation!$K$35:$IZ$35,MATCH(BaseYr,FromMitigation!$K$1:$AF$1,0))</f>
        <v>10606.32229697168</v>
      </c>
      <c r="M80" s="125">
        <f>L80</f>
        <v>10606.32229697168</v>
      </c>
      <c r="N80" s="125">
        <f>M80</f>
        <v>10606.32229697168</v>
      </c>
      <c r="O80" s="125">
        <f>N80</f>
        <v>10606.32229697168</v>
      </c>
      <c r="P80" s="125">
        <f>O80</f>
        <v>10606.32229697168</v>
      </c>
      <c r="Q80" s="125">
        <f>P80</f>
        <v>10606.32229697168</v>
      </c>
      <c r="R80" s="125">
        <f>Q80</f>
        <v>10606.32229697168</v>
      </c>
      <c r="S80" s="125">
        <f>R80</f>
        <v>10606.32229697168</v>
      </c>
      <c r="T80" s="125">
        <f>S80</f>
        <v>10606.32229697168</v>
      </c>
      <c r="U80" s="125">
        <f>T80</f>
        <v>10606.32229697168</v>
      </c>
      <c r="V80" s="125">
        <f>U80</f>
        <v>10606.32229697168</v>
      </c>
      <c r="W80" s="207" t="str">
        <f>IF(X$5=K$5,SUM(Y80:AI80)-SUM(L80:V80),"")</f>
        <v/>
      </c>
      <c r="X80" s="9" t="str">
        <f>LOWER(CtryCode)&amp;".distn."&amp;$A80&amp;IF($B80="","","."&amp;$B80)&amp;IF($C80="","",".dec."&amp;$C80)&amp;"."&amp;X$5</f>
        <v>egy.distn.spend.ecy.2</v>
      </c>
      <c r="Y80" s="124">
        <f>INDEX(FromMitigation!$K$35:$IZ$35,MATCH(BaseYr,FromMitigation!$K$1:$AF$1,0))</f>
        <v>10606.32229697168</v>
      </c>
      <c r="Z80" s="125">
        <f>Y80</f>
        <v>10606.32229697168</v>
      </c>
      <c r="AA80" s="125">
        <f>Z80</f>
        <v>10606.32229697168</v>
      </c>
      <c r="AB80" s="125">
        <f>AA80</f>
        <v>10606.32229697168</v>
      </c>
      <c r="AC80" s="125">
        <f>AB80</f>
        <v>10606.32229697168</v>
      </c>
      <c r="AD80" s="125">
        <f>AC80</f>
        <v>10606.32229697168</v>
      </c>
      <c r="AE80" s="125">
        <f>AD80</f>
        <v>10606.32229697168</v>
      </c>
      <c r="AF80" s="125">
        <f>AE80</f>
        <v>10606.32229697168</v>
      </c>
      <c r="AG80" s="125">
        <f>AF80</f>
        <v>10606.32229697168</v>
      </c>
      <c r="AH80" s="125">
        <f>AG80</f>
        <v>10606.32229697168</v>
      </c>
      <c r="AI80" s="125">
        <f>AH80</f>
        <v>10606.32229697168</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33" t="inlineStr">
        <is>
          <t>Mitigation gdp.lcu (header row 12)</t>
        </is>
      </c>
      <c r="K83" s="9" t="str">
        <f>LOWER(CtryCode)&amp;".distn."&amp;$A83&amp;IF($B83="","","."&amp;$B83)&amp;IF($C83="","",".dec."&amp;$C83)&amp;"."&amp;K$5</f>
        <v>egy.distn.gdp.1</v>
      </c>
      <c r="L83" s="210">
        <f>INDEX(FromMitigation!$K$8:$IZ$8,L$8)*FromMitigation!$D$8</f>
        <v>11066825114000.0</v>
      </c>
      <c r="M83" s="211">
        <f>L83</f>
        <v>11066825114000.0</v>
      </c>
      <c r="N83" s="211">
        <f>M83</f>
        <v>11066825114000.0</v>
      </c>
      <c r="O83" s="211">
        <f>N83</f>
        <v>11066825114000.0</v>
      </c>
      <c r="P83" s="211">
        <f>O83</f>
        <v>11066825114000.0</v>
      </c>
      <c r="Q83" s="211">
        <f>P83</f>
        <v>11066825114000.0</v>
      </c>
      <c r="R83" s="211">
        <f>Q83</f>
        <v>11066825114000.0</v>
      </c>
      <c r="S83" s="211">
        <f>R83</f>
        <v>11066825114000.0</v>
      </c>
      <c r="T83" s="211">
        <f>S83</f>
        <v>11066825114000.0</v>
      </c>
      <c r="U83" s="211">
        <f>T83</f>
        <v>11066825114000.0</v>
      </c>
      <c r="V83" s="211">
        <f>U83</f>
        <v>11066825114000.0</v>
      </c>
      <c r="W83" s="207" t="str">
        <f>IF(X$5=K$5,SUM(Y83:AI83)-SUM(L83:V83),"")</f>
        <v/>
      </c>
      <c r="X83" s="9" t="str">
        <f>LOWER(CtryCode)&amp;".distn."&amp;$A83&amp;IF($B83="","","."&amp;$B83)&amp;IF($C83="","",".dec."&amp;$C83)&amp;"."&amp;X$5</f>
        <v>egy.distn.gdp.2</v>
      </c>
      <c r="Y83" s="210">
        <f>INDEX(FromMitigation!$K$8:$IZ$8,Y$8)*FromMitigation!$D$8</f>
        <v>11066825114000.0</v>
      </c>
      <c r="Z83" s="211">
        <f>Y83</f>
        <v>11066825114000.0</v>
      </c>
      <c r="AA83" s="211">
        <f>Z83</f>
        <v>11066825114000.0</v>
      </c>
      <c r="AB83" s="211">
        <f>AA83</f>
        <v>11066825114000.0</v>
      </c>
      <c r="AC83" s="211">
        <f>AB83</f>
        <v>11066825114000.0</v>
      </c>
      <c r="AD83" s="211">
        <f>AC83</f>
        <v>11066825114000.0</v>
      </c>
      <c r="AE83" s="211">
        <f>AD83</f>
        <v>11066825114000.0</v>
      </c>
      <c r="AF83" s="211">
        <f>AE83</f>
        <v>11066825114000.0</v>
      </c>
      <c r="AG83" s="211">
        <f>AF83</f>
        <v>11066825114000.0</v>
      </c>
      <c r="AH83" s="211">
        <f>AG83</f>
        <v>11066825114000.0</v>
      </c>
      <c r="AI83" s="211">
        <f>AH83</f>
        <v>11066825114000.0</v>
      </c>
    </row>
    <row r="84" hidden="1" outlineLevel="1">
      <c r="A84" s="62" t="inlineStr">
        <is>
          <t>pop</t>
        </is>
      </c>
      <c r="B84" s="3" t="inlineStr"/>
      <c r="C84" s="3" t="inlineStr"/>
      <c r="D84" s="3" t="n"/>
      <c r="E84" s="3" t="n"/>
      <c r="H84" s="3" t="inlineStr">
        <is>
          <t>Population</t>
        </is>
      </c>
      <c r="I84" s="3" t="inlineStr">
        <is>
          <t>persons m</t>
        </is>
      </c>
      <c r="J84" s="133" t="inlineStr">
        <is>
          <t>Mitigation pop</t>
        </is>
      </c>
      <c r="K84" s="9" t="str">
        <f>LOWER(CtryCode)&amp;".distn."&amp;$A84&amp;IF($B84="","","."&amp;$B84)&amp;IF($C84="","",".dec."&amp;$C84)&amp;"."&amp;K$5</f>
        <v>egy.distn.pop.1</v>
      </c>
      <c r="L84" s="212">
        <f>INDEX(FromMitigation!$K$10:$IZ$10,L$8)*FromMitigation!$D$10</f>
        <v>127139321.0</v>
      </c>
      <c r="M84" s="213">
        <f>L84</f>
        <v>127139321.0</v>
      </c>
      <c r="N84" s="213">
        <f>M84</f>
        <v>127139321.0</v>
      </c>
      <c r="O84" s="213">
        <f>N84</f>
        <v>127139321.0</v>
      </c>
      <c r="P84" s="213">
        <f>O84</f>
        <v>127139321.0</v>
      </c>
      <c r="Q84" s="213">
        <f>P84</f>
        <v>127139321.0</v>
      </c>
      <c r="R84" s="213">
        <f>Q84</f>
        <v>127139321.0</v>
      </c>
      <c r="S84" s="213">
        <f>R84</f>
        <v>127139321.0</v>
      </c>
      <c r="T84" s="213">
        <f>S84</f>
        <v>127139321.0</v>
      </c>
      <c r="U84" s="213">
        <f>T84</f>
        <v>127139321.0</v>
      </c>
      <c r="V84" s="213">
        <f>U84</f>
        <v>127139321.0</v>
      </c>
      <c r="W84" s="207" t="str">
        <f>IF(X$5=K$5,SUM(Y84:AI84)-SUM(L84:V84),"")</f>
        <v/>
      </c>
      <c r="X84" s="9" t="str">
        <f>LOWER(CtryCode)&amp;".distn."&amp;$A84&amp;IF($B84="","","."&amp;$B84)&amp;IF($C84="","",".dec."&amp;$C84)&amp;"."&amp;X$5</f>
        <v>egy.distn.pop.2</v>
      </c>
      <c r="Y84" s="212">
        <f>INDEX(FromMitigation!$K$10:$IZ$10,Y$8)*FromMitigation!$D$10</f>
        <v>127139321.0</v>
      </c>
      <c r="Z84" s="213">
        <f>Y84</f>
        <v>127139321.0</v>
      </c>
      <c r="AA84" s="213">
        <f>Z84</f>
        <v>127139321.0</v>
      </c>
      <c r="AB84" s="213">
        <f>AA84</f>
        <v>127139321.0</v>
      </c>
      <c r="AC84" s="213">
        <f>AB84</f>
        <v>127139321.0</v>
      </c>
      <c r="AD84" s="213">
        <f>AC84</f>
        <v>127139321.0</v>
      </c>
      <c r="AE84" s="213">
        <f>AD84</f>
        <v>127139321.0</v>
      </c>
      <c r="AF84" s="213">
        <f>AE84</f>
        <v>127139321.0</v>
      </c>
      <c r="AG84" s="213">
        <f>AF84</f>
        <v>127139321.0</v>
      </c>
      <c r="AH84" s="213">
        <f>AG84</f>
        <v>127139321.0</v>
      </c>
      <c r="AI84" s="213">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33" t="inlineStr">
        <is>
          <t>Mitigation rnew x xr</t>
        </is>
      </c>
      <c r="K86" s="9" t="str">
        <f>LOWER(CtryCode)&amp;".distn."&amp;$A86&amp;IF($B86="","","."&amp;$B86)&amp;IF($C86="","",".dec."&amp;$C86)&amp;"."&amp;K$5</f>
        <v>egy.distn.rev.1</v>
      </c>
      <c r="L86" s="82">
        <f>INDEX(FromMitigation!$K$11:$IZ$11,L$8)*FromMitigation!$D$11*INDEX(FromMitigation!$K$9:$IZ$9,L$8)</f>
        <v>0.0</v>
      </c>
      <c r="M86" s="83">
        <f>L86</f>
        <v>0.0</v>
      </c>
      <c r="N86" s="83">
        <f>M86</f>
        <v>0.0</v>
      </c>
      <c r="O86" s="83">
        <f>N86</f>
        <v>0.0</v>
      </c>
      <c r="P86" s="83">
        <f>O86</f>
        <v>0.0</v>
      </c>
      <c r="Q86" s="83">
        <f>P86</f>
        <v>0.0</v>
      </c>
      <c r="R86" s="83">
        <f>Q86</f>
        <v>0.0</v>
      </c>
      <c r="S86" s="83">
        <f>R86</f>
        <v>0.0</v>
      </c>
      <c r="T86" s="83">
        <f>S86</f>
        <v>0.0</v>
      </c>
      <c r="U86" s="83">
        <f>T86</f>
        <v>0.0</v>
      </c>
      <c r="V86" s="83">
        <f>U86</f>
        <v>0.0</v>
      </c>
      <c r="W86" s="207" t="str">
        <f>IF(X$5=K$5,SUM(Y86:AI86)-SUM(L86:V86),"")</f>
        <v/>
      </c>
      <c r="X86" s="9" t="str">
        <f>LOWER(CtryCode)&amp;".distn."&amp;$A86&amp;IF($B86="","","."&amp;$B86)&amp;IF($C86="","",".dec."&amp;$C86)&amp;"."&amp;X$5</f>
        <v>egy.distn.rev.2</v>
      </c>
      <c r="Y86" s="82">
        <f>INDEX(FromMitigation!$K$11:$IZ$11,Y$8)*FromMitigation!$D$11*INDEX(FromMitigation!$K$9:$IZ$9,Y$8)</f>
        <v>75564586117.45625</v>
      </c>
      <c r="Z86" s="83">
        <f>Y86</f>
        <v>75564586117.45625</v>
      </c>
      <c r="AA86" s="83">
        <f>Z86</f>
        <v>75564586117.45625</v>
      </c>
      <c r="AB86" s="83">
        <f>AA86</f>
        <v>75564586117.45625</v>
      </c>
      <c r="AC86" s="83">
        <f>AB86</f>
        <v>75564586117.45625</v>
      </c>
      <c r="AD86" s="83">
        <f>AC86</f>
        <v>75564586117.45625</v>
      </c>
      <c r="AE86" s="83">
        <f>AD86</f>
        <v>75564586117.45625</v>
      </c>
      <c r="AF86" s="83">
        <f>AE86</f>
        <v>75564586117.45625</v>
      </c>
      <c r="AG86" s="83">
        <f>AF86</f>
        <v>75564586117.45625</v>
      </c>
      <c r="AH86" s="83">
        <f>AG86</f>
        <v>75564586117.45625</v>
      </c>
      <c r="AI86" s="83">
        <f>AH86</f>
        <v>75564586117.45625</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33" t="inlineStr">
        <is>
          <t>legacy rows 549-556</t>
        </is>
      </c>
      <c r="K91" s="9" t="str">
        <f>LOWER(CtryCode)&amp;".distn."&amp;$A91&amp;IF($B91="","","."&amp;$B91)&amp;IF($C91="","",".dec."&amp;$C91)&amp;"."&amp;K$5</f>
        <v>egy.distn.grev.coa.1</v>
      </c>
      <c r="L91" s="214">
        <f>SUMPRODUCT(($D$73:$D$80=$B91)*L$73:L$80*L$65:L$72)</f>
        <v>0.0</v>
      </c>
      <c r="M91" s="202">
        <f>L91</f>
        <v>0.0</v>
      </c>
      <c r="N91" s="202">
        <f>M91</f>
        <v>0.0</v>
      </c>
      <c r="O91" s="202">
        <f>N91</f>
        <v>0.0</v>
      </c>
      <c r="P91" s="202">
        <f>O91</f>
        <v>0.0</v>
      </c>
      <c r="Q91" s="202">
        <f>P91</f>
        <v>0.0</v>
      </c>
      <c r="R91" s="202">
        <f>Q91</f>
        <v>0.0</v>
      </c>
      <c r="S91" s="202">
        <f>R91</f>
        <v>0.0</v>
      </c>
      <c r="T91" s="202">
        <f>S91</f>
        <v>0.0</v>
      </c>
      <c r="U91" s="202">
        <f>T91</f>
        <v>0.0</v>
      </c>
      <c r="V91" s="202">
        <f>U91</f>
        <v>0.0</v>
      </c>
      <c r="W91" s="207" t="str">
        <f>IF(X$5=K$5,SUM(Y91:AI91)-SUM(L91:V91),"")</f>
        <v/>
      </c>
      <c r="X91" s="9" t="str">
        <f>LOWER(CtryCode)&amp;".distn."&amp;$A91&amp;IF($B91="","","."&amp;$B91)&amp;IF($C91="","",".dec."&amp;$C91)&amp;"."&amp;X$5</f>
        <v>egy.distn.grev.coa.2</v>
      </c>
      <c r="Y91" s="214">
        <f>SUMPRODUCT(($D$73:$D$80=$B91)*Y$73:Y$80*Y$65:Y$72)</f>
        <v>212.23259786584498</v>
      </c>
      <c r="Z91" s="202">
        <f>Y91</f>
        <v>212.23259786584498</v>
      </c>
      <c r="AA91" s="202">
        <f>Z91</f>
        <v>212.23259786584498</v>
      </c>
      <c r="AB91" s="202">
        <f>AA91</f>
        <v>212.23259786584498</v>
      </c>
      <c r="AC91" s="202">
        <f>AB91</f>
        <v>212.23259786584498</v>
      </c>
      <c r="AD91" s="202">
        <f>AC91</f>
        <v>212.23259786584498</v>
      </c>
      <c r="AE91" s="202">
        <f>AD91</f>
        <v>212.23259786584498</v>
      </c>
      <c r="AF91" s="202">
        <f>AE91</f>
        <v>212.23259786584498</v>
      </c>
      <c r="AG91" s="202">
        <f>AF91</f>
        <v>212.23259786584498</v>
      </c>
      <c r="AH91" s="202">
        <f>AG91</f>
        <v>212.23259786584498</v>
      </c>
      <c r="AI91" s="202">
        <f>AH91</f>
        <v>212.23259786584498</v>
      </c>
    </row>
    <row r="92" hidden="1" outlineLevel="1">
      <c r="A92" s="62" t="inlineStr">
        <is>
          <t>grev</t>
        </is>
      </c>
      <c r="B92" s="3" t="inlineStr">
        <is>
          <t>ely</t>
        </is>
      </c>
      <c r="C92" s="3" t="inlineStr"/>
      <c r="D92" s="3" t="n"/>
      <c r="E92" s="3" t="n"/>
      <c r="H92" s="3" t="inlineStr">
        <is>
          <t>Electricity: revenue at scenario-1 spending</t>
        </is>
      </c>
      <c r="I92" s="3" t="inlineStr">
        <is>
          <t>USD m</t>
        </is>
      </c>
      <c r="J92" s="133" t="inlineStr">
        <is>
          <t>legacy rows 549-556</t>
        </is>
      </c>
      <c r="K92" s="9" t="str">
        <f>LOWER(CtryCode)&amp;".distn."&amp;$A92&amp;IF($B92="","","."&amp;$B92)&amp;IF($C92="","",".dec."&amp;$C92)&amp;"."&amp;K$5</f>
        <v>egy.distn.grev.ely.1</v>
      </c>
      <c r="L92" s="214">
        <f>SUMPRODUCT(($D$73:$D$80=$B92)*L$73:L$80*L$65:L$72)</f>
        <v>0.0</v>
      </c>
      <c r="M92" s="202">
        <f>L92</f>
        <v>0.0</v>
      </c>
      <c r="N92" s="202">
        <f>M92</f>
        <v>0.0</v>
      </c>
      <c r="O92" s="202">
        <f>N92</f>
        <v>0.0</v>
      </c>
      <c r="P92" s="202">
        <f>O92</f>
        <v>0.0</v>
      </c>
      <c r="Q92" s="202">
        <f>P92</f>
        <v>0.0</v>
      </c>
      <c r="R92" s="202">
        <f>Q92</f>
        <v>0.0</v>
      </c>
      <c r="S92" s="202">
        <f>R92</f>
        <v>0.0</v>
      </c>
      <c r="T92" s="202">
        <f>S92</f>
        <v>0.0</v>
      </c>
      <c r="U92" s="202">
        <f>T92</f>
        <v>0.0</v>
      </c>
      <c r="V92" s="202">
        <f>U92</f>
        <v>0.0</v>
      </c>
      <c r="W92" s="207" t="str">
        <f>IF(X$5=K$5,SUM(Y92:AI92)-SUM(L92:V92),"")</f>
        <v/>
      </c>
      <c r="X92" s="9" t="str">
        <f>LOWER(CtryCode)&amp;".distn."&amp;$A92&amp;IF($B92="","","."&amp;$B92)&amp;IF($C92="","",".dec."&amp;$C92)&amp;"."&amp;X$5</f>
        <v>egy.distn.grev.ely.2</v>
      </c>
      <c r="Y92" s="214">
        <f>SUMPRODUCT(($D$73:$D$80=$B92)*Y$73:Y$80*Y$65:Y$72)</f>
        <v>1739.343137012636</v>
      </c>
      <c r="Z92" s="202">
        <f>Y92</f>
        <v>1739.343137012636</v>
      </c>
      <c r="AA92" s="202">
        <f>Z92</f>
        <v>1739.343137012636</v>
      </c>
      <c r="AB92" s="202">
        <f>AA92</f>
        <v>1739.343137012636</v>
      </c>
      <c r="AC92" s="202">
        <f>AB92</f>
        <v>1739.343137012636</v>
      </c>
      <c r="AD92" s="202">
        <f>AC92</f>
        <v>1739.343137012636</v>
      </c>
      <c r="AE92" s="202">
        <f>AD92</f>
        <v>1739.343137012636</v>
      </c>
      <c r="AF92" s="202">
        <f>AE92</f>
        <v>1739.343137012636</v>
      </c>
      <c r="AG92" s="202">
        <f>AF92</f>
        <v>1739.343137012636</v>
      </c>
      <c r="AH92" s="202">
        <f>AG92</f>
        <v>1739.343137012636</v>
      </c>
      <c r="AI92" s="202">
        <f>AH92</f>
        <v>1739.343137012636</v>
      </c>
    </row>
    <row r="93" hidden="1" outlineLevel="1">
      <c r="A93" s="62" t="inlineStr">
        <is>
          <t>grev</t>
        </is>
      </c>
      <c r="B93" s="3" t="inlineStr">
        <is>
          <t>nga</t>
        </is>
      </c>
      <c r="C93" s="3" t="inlineStr"/>
      <c r="D93" s="3" t="n"/>
      <c r="E93" s="3" t="n"/>
      <c r="H93" s="3" t="inlineStr">
        <is>
          <t>Natural gas: revenue at scenario-1 spending</t>
        </is>
      </c>
      <c r="I93" s="3" t="inlineStr">
        <is>
          <t>USD m</t>
        </is>
      </c>
      <c r="J93" s="133" t="inlineStr">
        <is>
          <t>legacy rows 549-556</t>
        </is>
      </c>
      <c r="K93" s="9" t="str">
        <f>LOWER(CtryCode)&amp;".distn."&amp;$A93&amp;IF($B93="","","."&amp;$B93)&amp;IF($C93="","",".dec."&amp;$C93)&amp;"."&amp;K$5</f>
        <v>egy.distn.grev.nga.1</v>
      </c>
      <c r="L93" s="214">
        <f>SUMPRODUCT(($D$73:$D$80=$B93)*L$73:L$80*L$65:L$72)</f>
        <v>0.0</v>
      </c>
      <c r="M93" s="202">
        <f>L93</f>
        <v>0.0</v>
      </c>
      <c r="N93" s="202">
        <f>M93</f>
        <v>0.0</v>
      </c>
      <c r="O93" s="202">
        <f>N93</f>
        <v>0.0</v>
      </c>
      <c r="P93" s="202">
        <f>O93</f>
        <v>0.0</v>
      </c>
      <c r="Q93" s="202">
        <f>P93</f>
        <v>0.0</v>
      </c>
      <c r="R93" s="202">
        <f>Q93</f>
        <v>0.0</v>
      </c>
      <c r="S93" s="202">
        <f>R93</f>
        <v>0.0</v>
      </c>
      <c r="T93" s="202">
        <f>S93</f>
        <v>0.0</v>
      </c>
      <c r="U93" s="202">
        <f>T93</f>
        <v>0.0</v>
      </c>
      <c r="V93" s="202">
        <f>U93</f>
        <v>0.0</v>
      </c>
      <c r="W93" s="207" t="str">
        <f>IF(X$5=K$5,SUM(Y93:AI93)-SUM(L93:V93),"")</f>
        <v/>
      </c>
      <c r="X93" s="9" t="str">
        <f>LOWER(CtryCode)&amp;".distn."&amp;$A93&amp;IF($B93="","","."&amp;$B93)&amp;IF($C93="","",".dec."&amp;$C93)&amp;"."&amp;X$5</f>
        <v>egy.distn.grev.nga.2</v>
      </c>
      <c r="Y93" s="214">
        <f>SUMPRODUCT(($D$73:$D$80=$B93)*Y$73:Y$80*Y$65:Y$72)</f>
        <v>633.319816891373</v>
      </c>
      <c r="Z93" s="202">
        <f>Y93</f>
        <v>633.319816891373</v>
      </c>
      <c r="AA93" s="202">
        <f>Z93</f>
        <v>633.319816891373</v>
      </c>
      <c r="AB93" s="202">
        <f>AA93</f>
        <v>633.319816891373</v>
      </c>
      <c r="AC93" s="202">
        <f>AB93</f>
        <v>633.319816891373</v>
      </c>
      <c r="AD93" s="202">
        <f>AC93</f>
        <v>633.319816891373</v>
      </c>
      <c r="AE93" s="202">
        <f>AD93</f>
        <v>633.319816891373</v>
      </c>
      <c r="AF93" s="202">
        <f>AE93</f>
        <v>633.319816891373</v>
      </c>
      <c r="AG93" s="202">
        <f>AF93</f>
        <v>633.319816891373</v>
      </c>
      <c r="AH93" s="202">
        <f>AG93</f>
        <v>633.319816891373</v>
      </c>
      <c r="AI93" s="202">
        <f>AH93</f>
        <v>633.319816891373</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33" t="inlineStr">
        <is>
          <t>legacy rows 549-556</t>
        </is>
      </c>
      <c r="K94" s="9" t="str">
        <f>LOWER(CtryCode)&amp;".distn."&amp;$A94&amp;IF($B94="","","."&amp;$B94)&amp;IF($C94="","",".dec."&amp;$C94)&amp;"."&amp;K$5</f>
        <v>egy.distn.grev.oil.1</v>
      </c>
      <c r="L94" s="214">
        <f>SUMPRODUCT(($D$73:$D$80=$B94)*L$73:L$80*L$65:L$72)</f>
        <v>0.0</v>
      </c>
      <c r="M94" s="202">
        <f>L94</f>
        <v>0.0</v>
      </c>
      <c r="N94" s="202">
        <f>M94</f>
        <v>0.0</v>
      </c>
      <c r="O94" s="202">
        <f>N94</f>
        <v>0.0</v>
      </c>
      <c r="P94" s="202">
        <f>O94</f>
        <v>0.0</v>
      </c>
      <c r="Q94" s="202">
        <f>P94</f>
        <v>0.0</v>
      </c>
      <c r="R94" s="202">
        <f>Q94</f>
        <v>0.0</v>
      </c>
      <c r="S94" s="202">
        <f>R94</f>
        <v>0.0</v>
      </c>
      <c r="T94" s="202">
        <f>S94</f>
        <v>0.0</v>
      </c>
      <c r="U94" s="202">
        <f>T94</f>
        <v>0.0</v>
      </c>
      <c r="V94" s="202">
        <f>U94</f>
        <v>0.0</v>
      </c>
      <c r="W94" s="207" t="str">
        <f>IF(X$5=K$5,SUM(Y94:AI94)-SUM(L94:V94),"")</f>
        <v/>
      </c>
      <c r="X94" s="9" t="str">
        <f>LOWER(CtryCode)&amp;".distn."&amp;$A94&amp;IF($B94="","","."&amp;$B94)&amp;IF($C94="","",".dec."&amp;$C94)&amp;"."&amp;X$5</f>
        <v>egy.distn.grev.oil.2</v>
      </c>
      <c r="Y94" s="214">
        <f>SUMPRODUCT(($D$73:$D$80=$B94)*Y$73:Y$80*Y$65:Y$72)</f>
        <v>257.00406374898796</v>
      </c>
      <c r="Z94" s="202">
        <f>Y94</f>
        <v>257.00406374898796</v>
      </c>
      <c r="AA94" s="202">
        <f>Z94</f>
        <v>257.00406374898796</v>
      </c>
      <c r="AB94" s="202">
        <f>AA94</f>
        <v>257.00406374898796</v>
      </c>
      <c r="AC94" s="202">
        <f>AB94</f>
        <v>257.00406374898796</v>
      </c>
      <c r="AD94" s="202">
        <f>AC94</f>
        <v>257.00406374898796</v>
      </c>
      <c r="AE94" s="202">
        <f>AD94</f>
        <v>257.00406374898796</v>
      </c>
      <c r="AF94" s="202">
        <f>AE94</f>
        <v>257.00406374898796</v>
      </c>
      <c r="AG94" s="202">
        <f>AF94</f>
        <v>257.00406374898796</v>
      </c>
      <c r="AH94" s="202">
        <f>AG94</f>
        <v>257.00406374898796</v>
      </c>
      <c r="AI94" s="202">
        <f>AH94</f>
        <v>257.00406374898796</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33" t="inlineStr">
        <is>
          <t>legacy rows 549-556</t>
        </is>
      </c>
      <c r="K95" s="9" t="str">
        <f>LOWER(CtryCode)&amp;".distn."&amp;$A95&amp;IF($B95="","","."&amp;$B95)&amp;IF($C95="","",".dec."&amp;$C95)&amp;"."&amp;K$5</f>
        <v>egy.distn.grev.p_c.1</v>
      </c>
      <c r="L95" s="214">
        <f>SUMPRODUCT(($D$73:$D$80=$B95)*L$73:L$80*L$65:L$72)</f>
        <v>0.0</v>
      </c>
      <c r="M95" s="202">
        <f>L95</f>
        <v>0.0</v>
      </c>
      <c r="N95" s="202">
        <f>M95</f>
        <v>0.0</v>
      </c>
      <c r="O95" s="202">
        <f>N95</f>
        <v>0.0</v>
      </c>
      <c r="P95" s="202">
        <f>O95</f>
        <v>0.0</v>
      </c>
      <c r="Q95" s="202">
        <f>P95</f>
        <v>0.0</v>
      </c>
      <c r="R95" s="202">
        <f>Q95</f>
        <v>0.0</v>
      </c>
      <c r="S95" s="202">
        <f>R95</f>
        <v>0.0</v>
      </c>
      <c r="T95" s="202">
        <f>S95</f>
        <v>0.0</v>
      </c>
      <c r="U95" s="202">
        <f>T95</f>
        <v>0.0</v>
      </c>
      <c r="V95" s="202">
        <f>U95</f>
        <v>0.0</v>
      </c>
      <c r="W95" s="207" t="str">
        <f>IF(X$5=K$5,SUM(Y95:AI95)-SUM(L95:V95),"")</f>
        <v/>
      </c>
      <c r="X95" s="9" t="str">
        <f>LOWER(CtryCode)&amp;".distn."&amp;$A95&amp;IF($B95="","","."&amp;$B95)&amp;IF($C95="","",".dec."&amp;$C95)&amp;"."&amp;X$5</f>
        <v>egy.distn.grev.p_c.2</v>
      </c>
      <c r="Y95" s="214">
        <f>SUMPRODUCT(($D$73:$D$80=$B95)*Y$73:Y$80*Y$65:Y$72)</f>
        <v>2804.7847167264717</v>
      </c>
      <c r="Z95" s="202">
        <f>Y95</f>
        <v>2804.7847167264717</v>
      </c>
      <c r="AA95" s="202">
        <f>Z95</f>
        <v>2804.7847167264717</v>
      </c>
      <c r="AB95" s="202">
        <f>AA95</f>
        <v>2804.7847167264717</v>
      </c>
      <c r="AC95" s="202">
        <f>AB95</f>
        <v>2804.7847167264717</v>
      </c>
      <c r="AD95" s="202">
        <f>AC95</f>
        <v>2804.7847167264717</v>
      </c>
      <c r="AE95" s="202">
        <f>AD95</f>
        <v>2804.7847167264717</v>
      </c>
      <c r="AF95" s="202">
        <f>AE95</f>
        <v>2804.7847167264717</v>
      </c>
      <c r="AG95" s="202">
        <f>AF95</f>
        <v>2804.7847167264717</v>
      </c>
      <c r="AH95" s="202">
        <f>AG95</f>
        <v>2804.7847167264717</v>
      </c>
      <c r="AI95" s="202">
        <f>AH95</f>
        <v>2804.7847167264717</v>
      </c>
    </row>
    <row r="96" hidden="1" outlineLevel="1">
      <c r="A96" s="62" t="inlineStr">
        <is>
          <t>gspend</t>
        </is>
      </c>
      <c r="B96" s="3" t="inlineStr">
        <is>
          <t>coa</t>
        </is>
      </c>
      <c r="C96" s="3" t="inlineStr"/>
      <c r="D96" s="3" t="n"/>
      <c r="E96" s="3" t="n"/>
      <c r="H96" s="3" t="inlineStr">
        <is>
          <t>Coal: spending</t>
        </is>
      </c>
      <c r="I96" s="3" t="inlineStr">
        <is>
          <t>USD m</t>
        </is>
      </c>
      <c r="J96" s="133" t="inlineStr">
        <is>
          <t>legacy rows 528-535</t>
        </is>
      </c>
      <c r="K96" s="9" t="str">
        <f>LOWER(CtryCode)&amp;".distn."&amp;$A96&amp;IF($B96="","","."&amp;$B96)&amp;IF($C96="","",".dec."&amp;$C96)&amp;"."&amp;K$5</f>
        <v>egy.distn.gspend.coa.1</v>
      </c>
      <c r="L96" s="214">
        <f>SUMIF($D$73:$D$80,$B96,L$73:L$80)</f>
        <v>793.4357841177257</v>
      </c>
      <c r="M96" s="202">
        <f>L96</f>
        <v>793.4357841177257</v>
      </c>
      <c r="N96" s="202">
        <f>M96</f>
        <v>793.4357841177257</v>
      </c>
      <c r="O96" s="202">
        <f>N96</f>
        <v>793.4357841177257</v>
      </c>
      <c r="P96" s="202">
        <f>O96</f>
        <v>793.4357841177257</v>
      </c>
      <c r="Q96" s="202">
        <f>P96</f>
        <v>793.4357841177257</v>
      </c>
      <c r="R96" s="202">
        <f>Q96</f>
        <v>793.4357841177257</v>
      </c>
      <c r="S96" s="202">
        <f>R96</f>
        <v>793.4357841177257</v>
      </c>
      <c r="T96" s="202">
        <f>S96</f>
        <v>793.4357841177257</v>
      </c>
      <c r="U96" s="202">
        <f>T96</f>
        <v>793.4357841177257</v>
      </c>
      <c r="V96" s="202">
        <f>U96</f>
        <v>793.4357841177257</v>
      </c>
      <c r="W96" s="207" t="str">
        <f>IF(X$5=K$5,SUM(Y96:AI96)-SUM(L96:V96),"")</f>
        <v/>
      </c>
      <c r="X96" s="9" t="str">
        <f>LOWER(CtryCode)&amp;".distn."&amp;$A96&amp;IF($B96="","","."&amp;$B96)&amp;IF($C96="","",".dec."&amp;$C96)&amp;"."&amp;X$5</f>
        <v>egy.distn.gspend.coa.2</v>
      </c>
      <c r="Y96" s="214">
        <f>SUMIF($D$73:$D$80,$B96,Y$73:Y$80)</f>
        <v>793.4357841177257</v>
      </c>
      <c r="Z96" s="202">
        <f>Y96</f>
        <v>793.4357841177257</v>
      </c>
      <c r="AA96" s="202">
        <f>Z96</f>
        <v>793.4357841177257</v>
      </c>
      <c r="AB96" s="202">
        <f>AA96</f>
        <v>793.4357841177257</v>
      </c>
      <c r="AC96" s="202">
        <f>AB96</f>
        <v>793.4357841177257</v>
      </c>
      <c r="AD96" s="202">
        <f>AC96</f>
        <v>793.4357841177257</v>
      </c>
      <c r="AE96" s="202">
        <f>AD96</f>
        <v>793.4357841177257</v>
      </c>
      <c r="AF96" s="202">
        <f>AE96</f>
        <v>793.4357841177257</v>
      </c>
      <c r="AG96" s="202">
        <f>AF96</f>
        <v>793.4357841177257</v>
      </c>
      <c r="AH96" s="202">
        <f>AG96</f>
        <v>793.4357841177257</v>
      </c>
      <c r="AI96" s="202">
        <f>AH96</f>
        <v>793.4357841177257</v>
      </c>
    </row>
    <row r="97" hidden="1" outlineLevel="1">
      <c r="A97" s="62" t="inlineStr">
        <is>
          <t>gspend</t>
        </is>
      </c>
      <c r="B97" s="3" t="inlineStr">
        <is>
          <t>ely</t>
        </is>
      </c>
      <c r="C97" s="3" t="inlineStr"/>
      <c r="D97" s="3" t="n"/>
      <c r="E97" s="3" t="n"/>
      <c r="H97" s="3" t="inlineStr">
        <is>
          <t>Electricity: spending</t>
        </is>
      </c>
      <c r="I97" s="3" t="inlineStr">
        <is>
          <t>USD m</t>
        </is>
      </c>
      <c r="J97" s="133" t="inlineStr">
        <is>
          <t>legacy rows 528-535</t>
        </is>
      </c>
      <c r="K97" s="9" t="str">
        <f>LOWER(CtryCode)&amp;".distn."&amp;$A97&amp;IF($B97="","","."&amp;$B97)&amp;IF($C97="","",".dec."&amp;$C97)&amp;"."&amp;K$5</f>
        <v>egy.distn.gspend.ely.1</v>
      </c>
      <c r="L97" s="214">
        <f>SUMIF($D$73:$D$80,$B97,L$73:L$80)</f>
        <v>10606.32229697168</v>
      </c>
      <c r="M97" s="202">
        <f>L97</f>
        <v>10606.32229697168</v>
      </c>
      <c r="N97" s="202">
        <f>M97</f>
        <v>10606.32229697168</v>
      </c>
      <c r="O97" s="202">
        <f>N97</f>
        <v>10606.32229697168</v>
      </c>
      <c r="P97" s="202">
        <f>O97</f>
        <v>10606.32229697168</v>
      </c>
      <c r="Q97" s="202">
        <f>P97</f>
        <v>10606.32229697168</v>
      </c>
      <c r="R97" s="202">
        <f>Q97</f>
        <v>10606.32229697168</v>
      </c>
      <c r="S97" s="202">
        <f>R97</f>
        <v>10606.32229697168</v>
      </c>
      <c r="T97" s="202">
        <f>S97</f>
        <v>10606.32229697168</v>
      </c>
      <c r="U97" s="202">
        <f>T97</f>
        <v>10606.32229697168</v>
      </c>
      <c r="V97" s="202">
        <f>U97</f>
        <v>10606.32229697168</v>
      </c>
      <c r="W97" s="207" t="str">
        <f>IF(X$5=K$5,SUM(Y97:AI97)-SUM(L97:V97),"")</f>
        <v/>
      </c>
      <c r="X97" s="9" t="str">
        <f>LOWER(CtryCode)&amp;".distn."&amp;$A97&amp;IF($B97="","","."&amp;$B97)&amp;IF($C97="","",".dec."&amp;$C97)&amp;"."&amp;X$5</f>
        <v>egy.distn.gspend.ely.2</v>
      </c>
      <c r="Y97" s="214">
        <f>SUMIF($D$73:$D$80,$B97,Y$73:Y$80)</f>
        <v>10606.32229697168</v>
      </c>
      <c r="Z97" s="202">
        <f>Y97</f>
        <v>10606.32229697168</v>
      </c>
      <c r="AA97" s="202">
        <f>Z97</f>
        <v>10606.32229697168</v>
      </c>
      <c r="AB97" s="202">
        <f>AA97</f>
        <v>10606.32229697168</v>
      </c>
      <c r="AC97" s="202">
        <f>AB97</f>
        <v>10606.32229697168</v>
      </c>
      <c r="AD97" s="202">
        <f>AC97</f>
        <v>10606.32229697168</v>
      </c>
      <c r="AE97" s="202">
        <f>AD97</f>
        <v>10606.32229697168</v>
      </c>
      <c r="AF97" s="202">
        <f>AE97</f>
        <v>10606.32229697168</v>
      </c>
      <c r="AG97" s="202">
        <f>AF97</f>
        <v>10606.32229697168</v>
      </c>
      <c r="AH97" s="202">
        <f>AG97</f>
        <v>10606.32229697168</v>
      </c>
      <c r="AI97" s="202">
        <f>AH97</f>
        <v>10606.32229697168</v>
      </c>
    </row>
    <row r="98" hidden="1" outlineLevel="1">
      <c r="A98" s="62" t="inlineStr">
        <is>
          <t>gspend</t>
        </is>
      </c>
      <c r="B98" s="3" t="inlineStr">
        <is>
          <t>nga</t>
        </is>
      </c>
      <c r="C98" s="3" t="inlineStr"/>
      <c r="D98" s="3" t="n"/>
      <c r="E98" s="3" t="n"/>
      <c r="H98" s="3" t="inlineStr">
        <is>
          <t>Natural gas: spending</t>
        </is>
      </c>
      <c r="I98" s="3" t="inlineStr">
        <is>
          <t>USD m</t>
        </is>
      </c>
      <c r="J98" s="133" t="inlineStr">
        <is>
          <t>legacy rows 528-535</t>
        </is>
      </c>
      <c r="K98" s="9" t="str">
        <f>LOWER(CtryCode)&amp;".distn."&amp;$A98&amp;IF($B98="","","."&amp;$B98)&amp;IF($C98="","",".dec."&amp;$C98)&amp;"."&amp;K$5</f>
        <v>egy.distn.gspend.nga.1</v>
      </c>
      <c r="L98" s="214">
        <f>SUMIF($D$73:$D$80,$B98,L$73:L$80)</f>
        <v>2943.555941736006</v>
      </c>
      <c r="M98" s="202">
        <f>L98</f>
        <v>2943.555941736006</v>
      </c>
      <c r="N98" s="202">
        <f>M98</f>
        <v>2943.555941736006</v>
      </c>
      <c r="O98" s="202">
        <f>N98</f>
        <v>2943.555941736006</v>
      </c>
      <c r="P98" s="202">
        <f>O98</f>
        <v>2943.555941736006</v>
      </c>
      <c r="Q98" s="202">
        <f>P98</f>
        <v>2943.555941736006</v>
      </c>
      <c r="R98" s="202">
        <f>Q98</f>
        <v>2943.555941736006</v>
      </c>
      <c r="S98" s="202">
        <f>R98</f>
        <v>2943.555941736006</v>
      </c>
      <c r="T98" s="202">
        <f>S98</f>
        <v>2943.555941736006</v>
      </c>
      <c r="U98" s="202">
        <f>T98</f>
        <v>2943.555941736006</v>
      </c>
      <c r="V98" s="202">
        <f>U98</f>
        <v>2943.555941736006</v>
      </c>
      <c r="W98" s="207" t="str">
        <f>IF(X$5=K$5,SUM(Y98:AI98)-SUM(L98:V98),"")</f>
        <v/>
      </c>
      <c r="X98" s="9" t="str">
        <f>LOWER(CtryCode)&amp;".distn."&amp;$A98&amp;IF($B98="","","."&amp;$B98)&amp;IF($C98="","",".dec."&amp;$C98)&amp;"."&amp;X$5</f>
        <v>egy.distn.gspend.nga.2</v>
      </c>
      <c r="Y98" s="214">
        <f>SUMIF($D$73:$D$80,$B98,Y$73:Y$80)</f>
        <v>2943.555941736006</v>
      </c>
      <c r="Z98" s="202">
        <f>Y98</f>
        <v>2943.555941736006</v>
      </c>
      <c r="AA98" s="202">
        <f>Z98</f>
        <v>2943.555941736006</v>
      </c>
      <c r="AB98" s="202">
        <f>AA98</f>
        <v>2943.555941736006</v>
      </c>
      <c r="AC98" s="202">
        <f>AB98</f>
        <v>2943.555941736006</v>
      </c>
      <c r="AD98" s="202">
        <f>AC98</f>
        <v>2943.555941736006</v>
      </c>
      <c r="AE98" s="202">
        <f>AD98</f>
        <v>2943.555941736006</v>
      </c>
      <c r="AF98" s="202">
        <f>AE98</f>
        <v>2943.555941736006</v>
      </c>
      <c r="AG98" s="202">
        <f>AF98</f>
        <v>2943.555941736006</v>
      </c>
      <c r="AH98" s="202">
        <f>AG98</f>
        <v>2943.555941736006</v>
      </c>
      <c r="AI98" s="202">
        <f>AH98</f>
        <v>2943.555941736006</v>
      </c>
    </row>
    <row r="99" hidden="1" outlineLevel="1">
      <c r="A99" s="62" t="inlineStr">
        <is>
          <t>gspend</t>
        </is>
      </c>
      <c r="B99" s="3" t="inlineStr">
        <is>
          <t>oil</t>
        </is>
      </c>
      <c r="C99" s="3" t="inlineStr"/>
      <c r="D99" s="3" t="n"/>
      <c r="E99" s="3" t="n"/>
      <c r="H99" s="3" t="inlineStr">
        <is>
          <t>Crude and other oil: spending</t>
        </is>
      </c>
      <c r="I99" s="3" t="inlineStr">
        <is>
          <t>USD m</t>
        </is>
      </c>
      <c r="J99" s="133" t="inlineStr">
        <is>
          <t>legacy rows 528-535</t>
        </is>
      </c>
      <c r="K99" s="9" t="str">
        <f>LOWER(CtryCode)&amp;".distn."&amp;$A99&amp;IF($B99="","","."&amp;$B99)&amp;IF($C99="","",".dec."&amp;$C99)&amp;"."&amp;K$5</f>
        <v>egy.distn.gspend.oil.1</v>
      </c>
      <c r="L99" s="214">
        <f>SUMIF($D$73:$D$80,$B99,L$73:L$80)</f>
        <v>677.4989403089621</v>
      </c>
      <c r="M99" s="202">
        <f>L99</f>
        <v>677.4989403089621</v>
      </c>
      <c r="N99" s="202">
        <f>M99</f>
        <v>677.4989403089621</v>
      </c>
      <c r="O99" s="202">
        <f>N99</f>
        <v>677.4989403089621</v>
      </c>
      <c r="P99" s="202">
        <f>O99</f>
        <v>677.4989403089621</v>
      </c>
      <c r="Q99" s="202">
        <f>P99</f>
        <v>677.4989403089621</v>
      </c>
      <c r="R99" s="202">
        <f>Q99</f>
        <v>677.4989403089621</v>
      </c>
      <c r="S99" s="202">
        <f>R99</f>
        <v>677.4989403089621</v>
      </c>
      <c r="T99" s="202">
        <f>S99</f>
        <v>677.4989403089621</v>
      </c>
      <c r="U99" s="202">
        <f>T99</f>
        <v>677.4989403089621</v>
      </c>
      <c r="V99" s="202">
        <f>U99</f>
        <v>677.4989403089621</v>
      </c>
      <c r="W99" s="207" t="str">
        <f>IF(X$5=K$5,SUM(Y99:AI99)-SUM(L99:V99),"")</f>
        <v/>
      </c>
      <c r="X99" s="9" t="str">
        <f>LOWER(CtryCode)&amp;".distn."&amp;$A99&amp;IF($B99="","","."&amp;$B99)&amp;IF($C99="","",".dec."&amp;$C99)&amp;"."&amp;X$5</f>
        <v>egy.distn.gspend.oil.2</v>
      </c>
      <c r="Y99" s="214">
        <f>SUMIF($D$73:$D$80,$B99,Y$73:Y$80)</f>
        <v>677.4989403089621</v>
      </c>
      <c r="Z99" s="202">
        <f>Y99</f>
        <v>677.4989403089621</v>
      </c>
      <c r="AA99" s="202">
        <f>Z99</f>
        <v>677.4989403089621</v>
      </c>
      <c r="AB99" s="202">
        <f>AA99</f>
        <v>677.4989403089621</v>
      </c>
      <c r="AC99" s="202">
        <f>AB99</f>
        <v>677.4989403089621</v>
      </c>
      <c r="AD99" s="202">
        <f>AC99</f>
        <v>677.4989403089621</v>
      </c>
      <c r="AE99" s="202">
        <f>AD99</f>
        <v>677.4989403089621</v>
      </c>
      <c r="AF99" s="202">
        <f>AE99</f>
        <v>677.4989403089621</v>
      </c>
      <c r="AG99" s="202">
        <f>AF99</f>
        <v>677.4989403089621</v>
      </c>
      <c r="AH99" s="202">
        <f>AG99</f>
        <v>677.4989403089621</v>
      </c>
      <c r="AI99" s="202">
        <f>AH99</f>
        <v>677.4989403089621</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33" t="inlineStr">
        <is>
          <t>legacy rows 528-535</t>
        </is>
      </c>
      <c r="K100" s="9" t="str">
        <f>LOWER(CtryCode)&amp;".distn."&amp;$A100&amp;IF($B100="","","."&amp;$B100)&amp;IF($C100="","",".dec."&amp;$C100)&amp;"."&amp;K$5</f>
        <v>egy.distn.gspend.p_c.1</v>
      </c>
      <c r="L100" s="214">
        <f>SUMIF($D$73:$D$80,$B100,L$73:L$80)</f>
        <v>13924.466866037306</v>
      </c>
      <c r="M100" s="202">
        <f>L100</f>
        <v>13924.466866037306</v>
      </c>
      <c r="N100" s="202">
        <f>M100</f>
        <v>13924.466866037306</v>
      </c>
      <c r="O100" s="202">
        <f>N100</f>
        <v>13924.466866037306</v>
      </c>
      <c r="P100" s="202">
        <f>O100</f>
        <v>13924.466866037306</v>
      </c>
      <c r="Q100" s="202">
        <f>P100</f>
        <v>13924.466866037306</v>
      </c>
      <c r="R100" s="202">
        <f>Q100</f>
        <v>13924.466866037306</v>
      </c>
      <c r="S100" s="202">
        <f>R100</f>
        <v>13924.466866037306</v>
      </c>
      <c r="T100" s="202">
        <f>S100</f>
        <v>13924.466866037306</v>
      </c>
      <c r="U100" s="202">
        <f>T100</f>
        <v>13924.466866037306</v>
      </c>
      <c r="V100" s="202">
        <f>U100</f>
        <v>13924.466866037306</v>
      </c>
      <c r="W100" s="207" t="str">
        <f>IF(X$5=K$5,SUM(Y100:AI100)-SUM(L100:V100),"")</f>
        <v/>
      </c>
      <c r="X100" s="9" t="str">
        <f>LOWER(CtryCode)&amp;".distn."&amp;$A100&amp;IF($B100="","","."&amp;$B100)&amp;IF($C100="","",".dec."&amp;$C100)&amp;"."&amp;X$5</f>
        <v>egy.distn.gspend.p_c.2</v>
      </c>
      <c r="Y100" s="214">
        <f>SUMIF($D$73:$D$80,$B100,Y$73:Y$80)</f>
        <v>13924.466866037306</v>
      </c>
      <c r="Z100" s="202">
        <f>Y100</f>
        <v>13924.466866037306</v>
      </c>
      <c r="AA100" s="202">
        <f>Z100</f>
        <v>13924.466866037306</v>
      </c>
      <c r="AB100" s="202">
        <f>AA100</f>
        <v>13924.466866037306</v>
      </c>
      <c r="AC100" s="202">
        <f>AB100</f>
        <v>13924.466866037306</v>
      </c>
      <c r="AD100" s="202">
        <f>AC100</f>
        <v>13924.466866037306</v>
      </c>
      <c r="AE100" s="202">
        <f>AD100</f>
        <v>13924.466866037306</v>
      </c>
      <c r="AF100" s="202">
        <f>AE100</f>
        <v>13924.466866037306</v>
      </c>
      <c r="AG100" s="202">
        <f>AF100</f>
        <v>13924.466866037306</v>
      </c>
      <c r="AH100" s="202">
        <f>AG100</f>
        <v>13924.466866037306</v>
      </c>
      <c r="AI100" s="202">
        <f>AH100</f>
        <v>13924.466866037306</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33" t="inlineStr">
        <is>
          <t>DistMapping, IO tables (legacy rows 588-600)</t>
        </is>
      </c>
      <c r="K101" s="9" t="str">
        <f>LOWER(CtryCode)&amp;".distn."&amp;$A101&amp;IF($B101="","","."&amp;$B101)&amp;IF($C101="","",".dec."&amp;$C101)&amp;"."&amp;K$5</f>
        <v>egy.distn.gtot.coa.1</v>
      </c>
      <c r="L101" s="214">
        <f>INDEX(DIOTot,MATCH($B101,DIOTKey,0))</f>
        <v>4511.404577797534</v>
      </c>
      <c r="M101" s="202">
        <f>L101</f>
        <v>4511.404577797534</v>
      </c>
      <c r="N101" s="202">
        <f>M101</f>
        <v>4511.404577797534</v>
      </c>
      <c r="O101" s="202">
        <f>N101</f>
        <v>4511.404577797534</v>
      </c>
      <c r="P101" s="202">
        <f>O101</f>
        <v>4511.404577797534</v>
      </c>
      <c r="Q101" s="202">
        <f>P101</f>
        <v>4511.404577797534</v>
      </c>
      <c r="R101" s="202">
        <f>Q101</f>
        <v>4511.404577797534</v>
      </c>
      <c r="S101" s="202">
        <f>R101</f>
        <v>4511.404577797534</v>
      </c>
      <c r="T101" s="202">
        <f>S101</f>
        <v>4511.404577797534</v>
      </c>
      <c r="U101" s="202">
        <f>T101</f>
        <v>4511.404577797534</v>
      </c>
      <c r="V101" s="202">
        <f>U101</f>
        <v>4511.404577797534</v>
      </c>
      <c r="W101" s="207" t="str">
        <f>IF(X$5=K$5,SUM(Y101:AI101)-SUM(L101:V101),"")</f>
        <v/>
      </c>
      <c r="X101" s="9" t="str">
        <f>LOWER(CtryCode)&amp;".distn."&amp;$A101&amp;IF($B101="","","."&amp;$B101)&amp;IF($C101="","",".dec."&amp;$C101)&amp;"."&amp;X$5</f>
        <v>egy.distn.gtot.coa.2</v>
      </c>
      <c r="Y101" s="214">
        <f>INDEX(DIOTot,MATCH($B101,DIOTKey,0))</f>
        <v>4511.404577797534</v>
      </c>
      <c r="Z101" s="202">
        <f>Y101</f>
        <v>4511.404577797534</v>
      </c>
      <c r="AA101" s="202">
        <f>Z101</f>
        <v>4511.404577797534</v>
      </c>
      <c r="AB101" s="202">
        <f>AA101</f>
        <v>4511.404577797534</v>
      </c>
      <c r="AC101" s="202">
        <f>AB101</f>
        <v>4511.404577797534</v>
      </c>
      <c r="AD101" s="202">
        <f>AC101</f>
        <v>4511.404577797534</v>
      </c>
      <c r="AE101" s="202">
        <f>AD101</f>
        <v>4511.404577797534</v>
      </c>
      <c r="AF101" s="202">
        <f>AE101</f>
        <v>4511.404577797534</v>
      </c>
      <c r="AG101" s="202">
        <f>AF101</f>
        <v>4511.404577797534</v>
      </c>
      <c r="AH101" s="202">
        <f>AG101</f>
        <v>4511.404577797534</v>
      </c>
      <c r="AI101" s="202">
        <f>AH101</f>
        <v>4511.404577797534</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33" t="inlineStr">
        <is>
          <t>DistMapping, IO tables (legacy rows 588-600)</t>
        </is>
      </c>
      <c r="K102" s="9" t="str">
        <f>LOWER(CtryCode)&amp;".distn."&amp;$A102&amp;IF($B102="","","."&amp;$B102)&amp;IF($C102="","",".dec."&amp;$C102)&amp;"."&amp;K$5</f>
        <v>egy.distn.gtot.ely.1</v>
      </c>
      <c r="L102" s="214">
        <f>INDEX(DIOTot,MATCH($B102,DIOTKey,0))</f>
        <v>34189.52700250687</v>
      </c>
      <c r="M102" s="202">
        <f>L102</f>
        <v>34189.52700250687</v>
      </c>
      <c r="N102" s="202">
        <f>M102</f>
        <v>34189.52700250687</v>
      </c>
      <c r="O102" s="202">
        <f>N102</f>
        <v>34189.52700250687</v>
      </c>
      <c r="P102" s="202">
        <f>O102</f>
        <v>34189.52700250687</v>
      </c>
      <c r="Q102" s="202">
        <f>P102</f>
        <v>34189.52700250687</v>
      </c>
      <c r="R102" s="202">
        <f>Q102</f>
        <v>34189.52700250687</v>
      </c>
      <c r="S102" s="202">
        <f>R102</f>
        <v>34189.52700250687</v>
      </c>
      <c r="T102" s="202">
        <f>S102</f>
        <v>34189.52700250687</v>
      </c>
      <c r="U102" s="202">
        <f>T102</f>
        <v>34189.52700250687</v>
      </c>
      <c r="V102" s="202">
        <f>U102</f>
        <v>34189.52700250687</v>
      </c>
      <c r="W102" s="207" t="str">
        <f>IF(X$5=K$5,SUM(Y102:AI102)-SUM(L102:V102),"")</f>
        <v/>
      </c>
      <c r="X102" s="9" t="str">
        <f>LOWER(CtryCode)&amp;".distn."&amp;$A102&amp;IF($B102="","","."&amp;$B102)&amp;IF($C102="","",".dec."&amp;$C102)&amp;"."&amp;X$5</f>
        <v>egy.distn.gtot.ely.2</v>
      </c>
      <c r="Y102" s="214">
        <f>INDEX(DIOTot,MATCH($B102,DIOTKey,0))</f>
        <v>34189.52700250687</v>
      </c>
      <c r="Z102" s="202">
        <f>Y102</f>
        <v>34189.52700250687</v>
      </c>
      <c r="AA102" s="202">
        <f>Z102</f>
        <v>34189.52700250687</v>
      </c>
      <c r="AB102" s="202">
        <f>AA102</f>
        <v>34189.52700250687</v>
      </c>
      <c r="AC102" s="202">
        <f>AB102</f>
        <v>34189.52700250687</v>
      </c>
      <c r="AD102" s="202">
        <f>AC102</f>
        <v>34189.52700250687</v>
      </c>
      <c r="AE102" s="202">
        <f>AD102</f>
        <v>34189.52700250687</v>
      </c>
      <c r="AF102" s="202">
        <f>AE102</f>
        <v>34189.52700250687</v>
      </c>
      <c r="AG102" s="202">
        <f>AF102</f>
        <v>34189.52700250687</v>
      </c>
      <c r="AH102" s="202">
        <f>AG102</f>
        <v>34189.52700250687</v>
      </c>
      <c r="AI102" s="202">
        <f>AH102</f>
        <v>34189.52700250687</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33" t="inlineStr">
        <is>
          <t>DistMapping, IO tables (legacy rows 588-600)</t>
        </is>
      </c>
      <c r="K103" s="9" t="str">
        <f>LOWER(CtryCode)&amp;".distn."&amp;$A103&amp;IF($B103="","","."&amp;$B103)&amp;IF($C103="","",".dec."&amp;$C103)&amp;"."&amp;K$5</f>
        <v>egy.distn.gtot.nga.1</v>
      </c>
      <c r="L103" s="214">
        <f>INDEX(DIOTot,MATCH($B103,DIOTKey,0))</f>
        <v>11797.29060329465</v>
      </c>
      <c r="M103" s="202">
        <f>L103</f>
        <v>11797.29060329465</v>
      </c>
      <c r="N103" s="202">
        <f>M103</f>
        <v>11797.29060329465</v>
      </c>
      <c r="O103" s="202">
        <f>N103</f>
        <v>11797.29060329465</v>
      </c>
      <c r="P103" s="202">
        <f>O103</f>
        <v>11797.29060329465</v>
      </c>
      <c r="Q103" s="202">
        <f>P103</f>
        <v>11797.29060329465</v>
      </c>
      <c r="R103" s="202">
        <f>Q103</f>
        <v>11797.29060329465</v>
      </c>
      <c r="S103" s="202">
        <f>R103</f>
        <v>11797.29060329465</v>
      </c>
      <c r="T103" s="202">
        <f>S103</f>
        <v>11797.29060329465</v>
      </c>
      <c r="U103" s="202">
        <f>T103</f>
        <v>11797.29060329465</v>
      </c>
      <c r="V103" s="202">
        <f>U103</f>
        <v>11797.29060329465</v>
      </c>
      <c r="W103" s="207" t="str">
        <f>IF(X$5=K$5,SUM(Y103:AI103)-SUM(L103:V103),"")</f>
        <v/>
      </c>
      <c r="X103" s="9" t="str">
        <f>LOWER(CtryCode)&amp;".distn."&amp;$A103&amp;IF($B103="","","."&amp;$B103)&amp;IF($C103="","",".dec."&amp;$C103)&amp;"."&amp;X$5</f>
        <v>egy.distn.gtot.nga.2</v>
      </c>
      <c r="Y103" s="214">
        <f>INDEX(DIOTot,MATCH($B103,DIOTKey,0))</f>
        <v>11797.29060329465</v>
      </c>
      <c r="Z103" s="202">
        <f>Y103</f>
        <v>11797.29060329465</v>
      </c>
      <c r="AA103" s="202">
        <f>Z103</f>
        <v>11797.29060329465</v>
      </c>
      <c r="AB103" s="202">
        <f>AA103</f>
        <v>11797.29060329465</v>
      </c>
      <c r="AC103" s="202">
        <f>AB103</f>
        <v>11797.29060329465</v>
      </c>
      <c r="AD103" s="202">
        <f>AC103</f>
        <v>11797.29060329465</v>
      </c>
      <c r="AE103" s="202">
        <f>AD103</f>
        <v>11797.29060329465</v>
      </c>
      <c r="AF103" s="202">
        <f>AE103</f>
        <v>11797.29060329465</v>
      </c>
      <c r="AG103" s="202">
        <f>AF103</f>
        <v>11797.29060329465</v>
      </c>
      <c r="AH103" s="202">
        <f>AG103</f>
        <v>11797.29060329465</v>
      </c>
      <c r="AI103" s="202">
        <f>AH103</f>
        <v>11797.29060329465</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33" t="inlineStr">
        <is>
          <t>DistMapping, IO tables (legacy rows 588-600)</t>
        </is>
      </c>
      <c r="K104" s="9" t="str">
        <f>LOWER(CtryCode)&amp;".distn."&amp;$A104&amp;IF($B104="","","."&amp;$B104)&amp;IF($C104="","",".dec."&amp;$C104)&amp;"."&amp;K$5</f>
        <v>egy.distn.gtot.oil.1</v>
      </c>
      <c r="L104" s="214">
        <f>INDEX(DIOTot,MATCH($B104,DIOTKey,0))</f>
        <v>74280.99898978737</v>
      </c>
      <c r="M104" s="202">
        <f>L104</f>
        <v>74280.99898978737</v>
      </c>
      <c r="N104" s="202">
        <f>M104</f>
        <v>74280.99898978737</v>
      </c>
      <c r="O104" s="202">
        <f>N104</f>
        <v>74280.99898978737</v>
      </c>
      <c r="P104" s="202">
        <f>O104</f>
        <v>74280.99898978737</v>
      </c>
      <c r="Q104" s="202">
        <f>P104</f>
        <v>74280.99898978737</v>
      </c>
      <c r="R104" s="202">
        <f>Q104</f>
        <v>74280.99898978737</v>
      </c>
      <c r="S104" s="202">
        <f>R104</f>
        <v>74280.99898978737</v>
      </c>
      <c r="T104" s="202">
        <f>S104</f>
        <v>74280.99898978737</v>
      </c>
      <c r="U104" s="202">
        <f>T104</f>
        <v>74280.99898978737</v>
      </c>
      <c r="V104" s="202">
        <f>U104</f>
        <v>74280.99898978737</v>
      </c>
      <c r="W104" s="207" t="str">
        <f>IF(X$5=K$5,SUM(Y104:AI104)-SUM(L104:V104),"")</f>
        <v/>
      </c>
      <c r="X104" s="9" t="str">
        <f>LOWER(CtryCode)&amp;".distn."&amp;$A104&amp;IF($B104="","","."&amp;$B104)&amp;IF($C104="","",".dec."&amp;$C104)&amp;"."&amp;X$5</f>
        <v>egy.distn.gtot.oil.2</v>
      </c>
      <c r="Y104" s="214">
        <f>INDEX(DIOTot,MATCH($B104,DIOTKey,0))</f>
        <v>74280.99898978737</v>
      </c>
      <c r="Z104" s="202">
        <f>Y104</f>
        <v>74280.99898978737</v>
      </c>
      <c r="AA104" s="202">
        <f>Z104</f>
        <v>74280.99898978737</v>
      </c>
      <c r="AB104" s="202">
        <f>AA104</f>
        <v>74280.99898978737</v>
      </c>
      <c r="AC104" s="202">
        <f>AB104</f>
        <v>74280.99898978737</v>
      </c>
      <c r="AD104" s="202">
        <f>AC104</f>
        <v>74280.99898978737</v>
      </c>
      <c r="AE104" s="202">
        <f>AD104</f>
        <v>74280.99898978737</v>
      </c>
      <c r="AF104" s="202">
        <f>AE104</f>
        <v>74280.99898978737</v>
      </c>
      <c r="AG104" s="202">
        <f>AF104</f>
        <v>74280.99898978737</v>
      </c>
      <c r="AH104" s="202">
        <f>AG104</f>
        <v>74280.99898978737</v>
      </c>
      <c r="AI104" s="202">
        <f>AH104</f>
        <v>74280.99898978737</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33" t="inlineStr">
        <is>
          <t>DistMapping, IO tables (legacy rows 588-600)</t>
        </is>
      </c>
      <c r="K105" s="9" t="str">
        <f>LOWER(CtryCode)&amp;".distn."&amp;$A105&amp;IF($B105="","","."&amp;$B105)&amp;IF($C105="","",".dec."&amp;$C105)&amp;"."&amp;K$5</f>
        <v>egy.distn.gtot.p_c.1</v>
      </c>
      <c r="L105" s="214">
        <f>INDEX(DIOTot,MATCH($B105,DIOTKey,0))</f>
        <v>137250.73706348182</v>
      </c>
      <c r="M105" s="202">
        <f>L105</f>
        <v>137250.73706348182</v>
      </c>
      <c r="N105" s="202">
        <f>M105</f>
        <v>137250.73706348182</v>
      </c>
      <c r="O105" s="202">
        <f>N105</f>
        <v>137250.73706348182</v>
      </c>
      <c r="P105" s="202">
        <f>O105</f>
        <v>137250.73706348182</v>
      </c>
      <c r="Q105" s="202">
        <f>P105</f>
        <v>137250.73706348182</v>
      </c>
      <c r="R105" s="202">
        <f>Q105</f>
        <v>137250.73706348182</v>
      </c>
      <c r="S105" s="202">
        <f>R105</f>
        <v>137250.73706348182</v>
      </c>
      <c r="T105" s="202">
        <f>S105</f>
        <v>137250.73706348182</v>
      </c>
      <c r="U105" s="202">
        <f>T105</f>
        <v>137250.73706348182</v>
      </c>
      <c r="V105" s="202">
        <f>U105</f>
        <v>137250.73706348182</v>
      </c>
      <c r="W105" s="207" t="str">
        <f>IF(X$5=K$5,SUM(Y105:AI105)-SUM(L105:V105),"")</f>
        <v/>
      </c>
      <c r="X105" s="9" t="str">
        <f>LOWER(CtryCode)&amp;".distn."&amp;$A105&amp;IF($B105="","","."&amp;$B105)&amp;IF($C105="","",".dec."&amp;$C105)&amp;"."&amp;X$5</f>
        <v>egy.distn.gtot.p_c.2</v>
      </c>
      <c r="Y105" s="214">
        <f>INDEX(DIOTot,MATCH($B105,DIOTKey,0))</f>
        <v>137250.73706348182</v>
      </c>
      <c r="Z105" s="202">
        <f>Y105</f>
        <v>137250.73706348182</v>
      </c>
      <c r="AA105" s="202">
        <f>Z105</f>
        <v>137250.73706348182</v>
      </c>
      <c r="AB105" s="202">
        <f>AA105</f>
        <v>137250.73706348182</v>
      </c>
      <c r="AC105" s="202">
        <f>AB105</f>
        <v>137250.73706348182</v>
      </c>
      <c r="AD105" s="202">
        <f>AC105</f>
        <v>137250.73706348182</v>
      </c>
      <c r="AE105" s="202">
        <f>AD105</f>
        <v>137250.73706348182</v>
      </c>
      <c r="AF105" s="202">
        <f>AE105</f>
        <v>137250.73706348182</v>
      </c>
      <c r="AG105" s="202">
        <f>AF105</f>
        <v>137250.73706348182</v>
      </c>
      <c r="AH105" s="202">
        <f>AG105</f>
        <v>137250.73706348182</v>
      </c>
      <c r="AI105" s="202">
        <f>AH105</f>
        <v>137250.73706348182</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33" t="inlineStr">
        <is>
          <t>legacy rows 617-643 (k(s) cancels: method note)</t>
        </is>
      </c>
      <c r="K106" s="9" t="str">
        <f>LOWER(CtryCode)&amp;".distn."&amp;$A106&amp;IF($B106="","","."&amp;$B106)&amp;IF($C106="","",".dec."&amp;$C106)&amp;"."&amp;K$5</f>
        <v>egy.distn.gfac.coa.1</v>
      </c>
      <c r="L106" s="208">
        <f>IF(LEFT(L$19,3)="Yes",L91/L101,IF(L96&gt;0,L91/L96,0))</f>
        <v>0.0</v>
      </c>
      <c r="M106" s="203">
        <f>L106</f>
        <v>0.0</v>
      </c>
      <c r="N106" s="203">
        <f>M106</f>
        <v>0.0</v>
      </c>
      <c r="O106" s="203">
        <f>N106</f>
        <v>0.0</v>
      </c>
      <c r="P106" s="203">
        <f>O106</f>
        <v>0.0</v>
      </c>
      <c r="Q106" s="203">
        <f>P106</f>
        <v>0.0</v>
      </c>
      <c r="R106" s="203">
        <f>Q106</f>
        <v>0.0</v>
      </c>
      <c r="S106" s="203">
        <f>R106</f>
        <v>0.0</v>
      </c>
      <c r="T106" s="203">
        <f>S106</f>
        <v>0.0</v>
      </c>
      <c r="U106" s="203">
        <f>T106</f>
        <v>0.0</v>
      </c>
      <c r="V106" s="203">
        <f>U106</f>
        <v>0.0</v>
      </c>
      <c r="W106" s="207" t="str">
        <f>IF(X$5=K$5,SUM(Y106:AI106)-SUM(L106:V106),"")</f>
        <v/>
      </c>
      <c r="X106" s="9" t="str">
        <f>LOWER(CtryCode)&amp;".distn."&amp;$A106&amp;IF($B106="","","."&amp;$B106)&amp;IF($C106="","",".dec."&amp;$C106)&amp;"."&amp;X$5</f>
        <v>egy.distn.gfac.coa.2</v>
      </c>
      <c r="Y106" s="208">
        <f>IF(LEFT(Y$19,3)="Yes",Y91/Y101,IF(Y96&gt;0,Y91/Y96,0))</f>
        <v>0.047043574613176646</v>
      </c>
      <c r="Z106" s="203">
        <f>Y106</f>
        <v>0.047043574613176646</v>
      </c>
      <c r="AA106" s="203">
        <f>Z106</f>
        <v>0.047043574613176646</v>
      </c>
      <c r="AB106" s="203">
        <f>AA106</f>
        <v>0.047043574613176646</v>
      </c>
      <c r="AC106" s="203">
        <f>AB106</f>
        <v>0.047043574613176646</v>
      </c>
      <c r="AD106" s="203">
        <f>AC106</f>
        <v>0.047043574613176646</v>
      </c>
      <c r="AE106" s="203">
        <f>AD106</f>
        <v>0.047043574613176646</v>
      </c>
      <c r="AF106" s="203">
        <f>AE106</f>
        <v>0.047043574613176646</v>
      </c>
      <c r="AG106" s="203">
        <f>AF106</f>
        <v>0.047043574613176646</v>
      </c>
      <c r="AH106" s="203">
        <f>AG106</f>
        <v>0.047043574613176646</v>
      </c>
      <c r="AI106" s="203">
        <f>AH106</f>
        <v>0.047043574613176646</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33" t="inlineStr">
        <is>
          <t>legacy rows 617-643 (k(s) cancels: method note)</t>
        </is>
      </c>
      <c r="K107" s="9" t="str">
        <f>LOWER(CtryCode)&amp;".distn."&amp;$A107&amp;IF($B107="","","."&amp;$B107)&amp;IF($C107="","",".dec."&amp;$C107)&amp;"."&amp;K$5</f>
        <v>egy.distn.gfac.ely.1</v>
      </c>
      <c r="L107" s="208">
        <f>IF(LEFT(L$19,3)="Yes",L92/L102,IF(L97&gt;0,L92/L97,0))</f>
        <v>0.0</v>
      </c>
      <c r="M107" s="203">
        <f>L107</f>
        <v>0.0</v>
      </c>
      <c r="N107" s="203">
        <f>M107</f>
        <v>0.0</v>
      </c>
      <c r="O107" s="203">
        <f>N107</f>
        <v>0.0</v>
      </c>
      <c r="P107" s="203">
        <f>O107</f>
        <v>0.0</v>
      </c>
      <c r="Q107" s="203">
        <f>P107</f>
        <v>0.0</v>
      </c>
      <c r="R107" s="203">
        <f>Q107</f>
        <v>0.0</v>
      </c>
      <c r="S107" s="203">
        <f>R107</f>
        <v>0.0</v>
      </c>
      <c r="T107" s="203">
        <f>S107</f>
        <v>0.0</v>
      </c>
      <c r="U107" s="203">
        <f>T107</f>
        <v>0.0</v>
      </c>
      <c r="V107" s="203">
        <f>U107</f>
        <v>0.0</v>
      </c>
      <c r="W107" s="207" t="str">
        <f>IF(X$5=K$5,SUM(Y107:AI107)-SUM(L107:V107),"")</f>
        <v/>
      </c>
      <c r="X107" s="9" t="str">
        <f>LOWER(CtryCode)&amp;".distn."&amp;$A107&amp;IF($B107="","","."&amp;$B107)&amp;IF($C107="","",".dec."&amp;$C107)&amp;"."&amp;X$5</f>
        <v>egy.distn.gfac.ely.2</v>
      </c>
      <c r="Y107" s="208">
        <f>IF(LEFT(Y$19,3)="Yes",Y92/Y102,IF(Y97&gt;0,Y92/Y97,0))</f>
        <v>0.05087356537237566</v>
      </c>
      <c r="Z107" s="203">
        <f>Y107</f>
        <v>0.05087356537237566</v>
      </c>
      <c r="AA107" s="203">
        <f>Z107</f>
        <v>0.05087356537237566</v>
      </c>
      <c r="AB107" s="203">
        <f>AA107</f>
        <v>0.05087356537237566</v>
      </c>
      <c r="AC107" s="203">
        <f>AB107</f>
        <v>0.05087356537237566</v>
      </c>
      <c r="AD107" s="203">
        <f>AC107</f>
        <v>0.05087356537237566</v>
      </c>
      <c r="AE107" s="203">
        <f>AD107</f>
        <v>0.05087356537237566</v>
      </c>
      <c r="AF107" s="203">
        <f>AE107</f>
        <v>0.05087356537237566</v>
      </c>
      <c r="AG107" s="203">
        <f>AF107</f>
        <v>0.05087356537237566</v>
      </c>
      <c r="AH107" s="203">
        <f>AG107</f>
        <v>0.05087356537237566</v>
      </c>
      <c r="AI107" s="203">
        <f>AH107</f>
        <v>0.05087356537237566</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33" t="inlineStr">
        <is>
          <t>legacy rows 617-643 (k(s) cancels: method note)</t>
        </is>
      </c>
      <c r="K108" s="9" t="str">
        <f>LOWER(CtryCode)&amp;".distn."&amp;$A108&amp;IF($B108="","","."&amp;$B108)&amp;IF($C108="","",".dec."&amp;$C108)&amp;"."&amp;K$5</f>
        <v>egy.distn.gfac.nga.1</v>
      </c>
      <c r="L108" s="208">
        <f>IF(LEFT(L$19,3)="Yes",L93/L103,IF(L98&gt;0,L93/L98,0))</f>
        <v>0.0</v>
      </c>
      <c r="M108" s="203">
        <f>L108</f>
        <v>0.0</v>
      </c>
      <c r="N108" s="203">
        <f>M108</f>
        <v>0.0</v>
      </c>
      <c r="O108" s="203">
        <f>N108</f>
        <v>0.0</v>
      </c>
      <c r="P108" s="203">
        <f>O108</f>
        <v>0.0</v>
      </c>
      <c r="Q108" s="203">
        <f>P108</f>
        <v>0.0</v>
      </c>
      <c r="R108" s="203">
        <f>Q108</f>
        <v>0.0</v>
      </c>
      <c r="S108" s="203">
        <f>R108</f>
        <v>0.0</v>
      </c>
      <c r="T108" s="203">
        <f>S108</f>
        <v>0.0</v>
      </c>
      <c r="U108" s="203">
        <f>T108</f>
        <v>0.0</v>
      </c>
      <c r="V108" s="203">
        <f>U108</f>
        <v>0.0</v>
      </c>
      <c r="W108" s="207" t="str">
        <f>IF(X$5=K$5,SUM(Y108:AI108)-SUM(L108:V108),"")</f>
        <v/>
      </c>
      <c r="X108" s="9" t="str">
        <f>LOWER(CtryCode)&amp;".distn."&amp;$A108&amp;IF($B108="","","."&amp;$B108)&amp;IF($C108="","",".dec."&amp;$C108)&amp;"."&amp;X$5</f>
        <v>egy.distn.gfac.nga.2</v>
      </c>
      <c r="Y108" s="208">
        <f>IF(LEFT(Y$19,3)="Yes",Y93/Y103,IF(Y98&gt;0,Y93/Y98,0))</f>
        <v>0.05368349718489639</v>
      </c>
      <c r="Z108" s="203">
        <f>Y108</f>
        <v>0.05368349718489639</v>
      </c>
      <c r="AA108" s="203">
        <f>Z108</f>
        <v>0.05368349718489639</v>
      </c>
      <c r="AB108" s="203">
        <f>AA108</f>
        <v>0.05368349718489639</v>
      </c>
      <c r="AC108" s="203">
        <f>AB108</f>
        <v>0.05368349718489639</v>
      </c>
      <c r="AD108" s="203">
        <f>AC108</f>
        <v>0.05368349718489639</v>
      </c>
      <c r="AE108" s="203">
        <f>AD108</f>
        <v>0.05368349718489639</v>
      </c>
      <c r="AF108" s="203">
        <f>AE108</f>
        <v>0.05368349718489639</v>
      </c>
      <c r="AG108" s="203">
        <f>AF108</f>
        <v>0.05368349718489639</v>
      </c>
      <c r="AH108" s="203">
        <f>AG108</f>
        <v>0.05368349718489639</v>
      </c>
      <c r="AI108" s="203">
        <f>AH108</f>
        <v>0.05368349718489639</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33" t="inlineStr">
        <is>
          <t>legacy rows 617-643 (k(s) cancels: method note)</t>
        </is>
      </c>
      <c r="K109" s="9" t="str">
        <f>LOWER(CtryCode)&amp;".distn."&amp;$A109&amp;IF($B109="","","."&amp;$B109)&amp;IF($C109="","",".dec."&amp;$C109)&amp;"."&amp;K$5</f>
        <v>egy.distn.gfac.oil.1</v>
      </c>
      <c r="L109" s="208">
        <f>IF(LEFT(L$19,3)="Yes",L94/L104,IF(L99&gt;0,L94/L99,0))</f>
        <v>0.0</v>
      </c>
      <c r="M109" s="203">
        <f>L109</f>
        <v>0.0</v>
      </c>
      <c r="N109" s="203">
        <f>M109</f>
        <v>0.0</v>
      </c>
      <c r="O109" s="203">
        <f>N109</f>
        <v>0.0</v>
      </c>
      <c r="P109" s="203">
        <f>O109</f>
        <v>0.0</v>
      </c>
      <c r="Q109" s="203">
        <f>P109</f>
        <v>0.0</v>
      </c>
      <c r="R109" s="203">
        <f>Q109</f>
        <v>0.0</v>
      </c>
      <c r="S109" s="203">
        <f>R109</f>
        <v>0.0</v>
      </c>
      <c r="T109" s="203">
        <f>S109</f>
        <v>0.0</v>
      </c>
      <c r="U109" s="203">
        <f>T109</f>
        <v>0.0</v>
      </c>
      <c r="V109" s="203">
        <f>U109</f>
        <v>0.0</v>
      </c>
      <c r="W109" s="207" t="str">
        <f>IF(X$5=K$5,SUM(Y109:AI109)-SUM(L109:V109),"")</f>
        <v/>
      </c>
      <c r="X109" s="9" t="str">
        <f>LOWER(CtryCode)&amp;".distn."&amp;$A109&amp;IF($B109="","","."&amp;$B109)&amp;IF($C109="","",".dec."&amp;$C109)&amp;"."&amp;X$5</f>
        <v>egy.distn.gfac.oil.2</v>
      </c>
      <c r="Y109" s="208">
        <f>IF(LEFT(Y$19,3)="Yes",Y94/Y104,IF(Y99&gt;0,Y94/Y99,0))</f>
        <v>0.0034598897059034237</v>
      </c>
      <c r="Z109" s="203">
        <f>Y109</f>
        <v>0.0034598897059034237</v>
      </c>
      <c r="AA109" s="203">
        <f>Z109</f>
        <v>0.0034598897059034237</v>
      </c>
      <c r="AB109" s="203">
        <f>AA109</f>
        <v>0.0034598897059034237</v>
      </c>
      <c r="AC109" s="203">
        <f>AB109</f>
        <v>0.0034598897059034237</v>
      </c>
      <c r="AD109" s="203">
        <f>AC109</f>
        <v>0.0034598897059034237</v>
      </c>
      <c r="AE109" s="203">
        <f>AD109</f>
        <v>0.0034598897059034237</v>
      </c>
      <c r="AF109" s="203">
        <f>AE109</f>
        <v>0.0034598897059034237</v>
      </c>
      <c r="AG109" s="203">
        <f>AF109</f>
        <v>0.0034598897059034237</v>
      </c>
      <c r="AH109" s="203">
        <f>AG109</f>
        <v>0.0034598897059034237</v>
      </c>
      <c r="AI109" s="203">
        <f>AH109</f>
        <v>0.0034598897059034237</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33" t="inlineStr">
        <is>
          <t>legacy rows 617-643 (k(s) cancels: method note)</t>
        </is>
      </c>
      <c r="K110" s="9" t="str">
        <f>LOWER(CtryCode)&amp;".distn."&amp;$A110&amp;IF($B110="","","."&amp;$B110)&amp;IF($C110="","",".dec."&amp;$C110)&amp;"."&amp;K$5</f>
        <v>egy.distn.gfac.p_c.1</v>
      </c>
      <c r="L110" s="208">
        <f>IF(LEFT(L$19,3)="Yes",L95/L105,IF(L100&gt;0,L95/L100,0))</f>
        <v>0.0</v>
      </c>
      <c r="M110" s="203">
        <f>L110</f>
        <v>0.0</v>
      </c>
      <c r="N110" s="203">
        <f>M110</f>
        <v>0.0</v>
      </c>
      <c r="O110" s="203">
        <f>N110</f>
        <v>0.0</v>
      </c>
      <c r="P110" s="203">
        <f>O110</f>
        <v>0.0</v>
      </c>
      <c r="Q110" s="203">
        <f>P110</f>
        <v>0.0</v>
      </c>
      <c r="R110" s="203">
        <f>Q110</f>
        <v>0.0</v>
      </c>
      <c r="S110" s="203">
        <f>R110</f>
        <v>0.0</v>
      </c>
      <c r="T110" s="203">
        <f>S110</f>
        <v>0.0</v>
      </c>
      <c r="U110" s="203">
        <f>T110</f>
        <v>0.0</v>
      </c>
      <c r="V110" s="203">
        <f>U110</f>
        <v>0.0</v>
      </c>
      <c r="W110" s="207" t="str">
        <f>IF(X$5=K$5,SUM(Y110:AI110)-SUM(L110:V110),"")</f>
        <v/>
      </c>
      <c r="X110" s="9" t="str">
        <f>LOWER(CtryCode)&amp;".distn."&amp;$A110&amp;IF($B110="","","."&amp;$B110)&amp;IF($C110="","",".dec."&amp;$C110)&amp;"."&amp;X$5</f>
        <v>egy.distn.gfac.p_c.2</v>
      </c>
      <c r="Y110" s="208">
        <f>IF(LEFT(Y$19,3)="Yes",Y95/Y105,IF(Y100&gt;0,Y95/Y100,0))</f>
        <v>0.020435480178362834</v>
      </c>
      <c r="Z110" s="203">
        <f>Y110</f>
        <v>0.020435480178362834</v>
      </c>
      <c r="AA110" s="203">
        <f>Z110</f>
        <v>0.020435480178362834</v>
      </c>
      <c r="AB110" s="203">
        <f>AA110</f>
        <v>0.020435480178362834</v>
      </c>
      <c r="AC110" s="203">
        <f>AB110</f>
        <v>0.020435480178362834</v>
      </c>
      <c r="AD110" s="203">
        <f>AC110</f>
        <v>0.020435480178362834</v>
      </c>
      <c r="AE110" s="203">
        <f>AD110</f>
        <v>0.020435480178362834</v>
      </c>
      <c r="AF110" s="203">
        <f>AE110</f>
        <v>0.020435480178362834</v>
      </c>
      <c r="AG110" s="203">
        <f>AF110</f>
        <v>0.020435480178362834</v>
      </c>
      <c r="AH110" s="203">
        <f>AG110</f>
        <v>0.020435480178362834</v>
      </c>
      <c r="AI110" s="203">
        <f>AH110</f>
        <v>0.020435480178362834</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33" t="inlineStr">
        <is>
          <t>DistMapping, IO tables (legacy rows 668-736)</t>
        </is>
      </c>
      <c r="K113" s="9" t="str">
        <f>LOWER(CtryCode)&amp;".distn."&amp;$A113&amp;IF($B113="","","."&amp;$B113)&amp;IF($C113="","",".dec."&amp;$C113)&amp;"."&amp;K$5</f>
        <v>egy.distn.dpr.app.1</v>
      </c>
      <c r="L113" s="208">
        <f>MMULT(INDEX(DLcat,MATCH($B113,DLcatKey,0),0),L$106:L$110)</f>
        <v>0.0</v>
      </c>
      <c r="M113" s="203">
        <f>L113</f>
        <v>0.0</v>
      </c>
      <c r="N113" s="203">
        <f>M113</f>
        <v>0.0</v>
      </c>
      <c r="O113" s="203">
        <f>N113</f>
        <v>0.0</v>
      </c>
      <c r="P113" s="203">
        <f>O113</f>
        <v>0.0</v>
      </c>
      <c r="Q113" s="203">
        <f>P113</f>
        <v>0.0</v>
      </c>
      <c r="R113" s="203">
        <f>Q113</f>
        <v>0.0</v>
      </c>
      <c r="S113" s="203">
        <f>R113</f>
        <v>0.0</v>
      </c>
      <c r="T113" s="203">
        <f>S113</f>
        <v>0.0</v>
      </c>
      <c r="U113" s="203">
        <f>T113</f>
        <v>0.0</v>
      </c>
      <c r="V113" s="203">
        <f>U113</f>
        <v>0.0</v>
      </c>
      <c r="W113" s="207" t="str">
        <f>IF(X$5=K$5,SUM(Y113:AI113)-SUM(L113:V113),"")</f>
        <v/>
      </c>
      <c r="X113" s="9" t="str">
        <f>LOWER(CtryCode)&amp;".distn."&amp;$A113&amp;IF($B113="","","."&amp;$B113)&amp;IF($C113="","",".dec."&amp;$C113)&amp;"."&amp;X$5</f>
        <v>egy.distn.dpr.app.2</v>
      </c>
      <c r="Y113" s="208">
        <f>MMULT(INDEX(DLcat,MATCH($B113,DLcatKey,0),0),Y$106:Y$110)</f>
        <v>0.002864479191297453</v>
      </c>
      <c r="Z113" s="203">
        <f>Y113</f>
        <v>0.002864479191297453</v>
      </c>
      <c r="AA113" s="203">
        <f>Z113</f>
        <v>0.002864479191297453</v>
      </c>
      <c r="AB113" s="203">
        <f>AA113</f>
        <v>0.002864479191297453</v>
      </c>
      <c r="AC113" s="203">
        <f>AB113</f>
        <v>0.002864479191297453</v>
      </c>
      <c r="AD113" s="203">
        <f>AC113</f>
        <v>0.002864479191297453</v>
      </c>
      <c r="AE113" s="203">
        <f>AD113</f>
        <v>0.002864479191297453</v>
      </c>
      <c r="AF113" s="203">
        <f>AE113</f>
        <v>0.002864479191297453</v>
      </c>
      <c r="AG113" s="203">
        <f>AF113</f>
        <v>0.002864479191297453</v>
      </c>
      <c r="AH113" s="203">
        <f>AG113</f>
        <v>0.002864479191297453</v>
      </c>
      <c r="AI113" s="203">
        <f>AH113</f>
        <v>0.002864479191297453</v>
      </c>
    </row>
    <row r="114" hidden="1" outlineLevel="1">
      <c r="A114" s="62" t="inlineStr">
        <is>
          <t>dpr</t>
        </is>
      </c>
      <c r="B114" s="3" t="inlineStr">
        <is>
          <t>che</t>
        </is>
      </c>
      <c r="C114" s="3" t="inlineStr"/>
      <c r="D114" s="3" t="n"/>
      <c r="E114" s="3" t="n"/>
      <c r="H114" s="3" t="inlineStr">
        <is>
          <t>Chemicals: price change</t>
        </is>
      </c>
      <c r="I114" s="3" t="inlineStr">
        <is>
          <t>fraction</t>
        </is>
      </c>
      <c r="J114" s="133" t="inlineStr">
        <is>
          <t>DistMapping, IO tables (legacy rows 668-736)</t>
        </is>
      </c>
      <c r="K114" s="9" t="str">
        <f>LOWER(CtryCode)&amp;".distn."&amp;$A114&amp;IF($B114="","","."&amp;$B114)&amp;IF($C114="","",".dec."&amp;$C114)&amp;"."&amp;K$5</f>
        <v>egy.distn.dpr.che.1</v>
      </c>
      <c r="L114" s="208">
        <f>MMULT(INDEX(DLcat,MATCH($B114,DLcatKey,0),0),L$106:L$110)</f>
        <v>0.0</v>
      </c>
      <c r="M114" s="203">
        <f>L114</f>
        <v>0.0</v>
      </c>
      <c r="N114" s="203">
        <f>M114</f>
        <v>0.0</v>
      </c>
      <c r="O114" s="203">
        <f>N114</f>
        <v>0.0</v>
      </c>
      <c r="P114" s="203">
        <f>O114</f>
        <v>0.0</v>
      </c>
      <c r="Q114" s="203">
        <f>P114</f>
        <v>0.0</v>
      </c>
      <c r="R114" s="203">
        <f>Q114</f>
        <v>0.0</v>
      </c>
      <c r="S114" s="203">
        <f>R114</f>
        <v>0.0</v>
      </c>
      <c r="T114" s="203">
        <f>S114</f>
        <v>0.0</v>
      </c>
      <c r="U114" s="203">
        <f>T114</f>
        <v>0.0</v>
      </c>
      <c r="V114" s="203">
        <f>U114</f>
        <v>0.0</v>
      </c>
      <c r="W114" s="207" t="str">
        <f>IF(X$5=K$5,SUM(Y114:AI114)-SUM(L114:V114),"")</f>
        <v/>
      </c>
      <c r="X114" s="9" t="str">
        <f>LOWER(CtryCode)&amp;".distn."&amp;$A114&amp;IF($B114="","","."&amp;$B114)&amp;IF($C114="","",".dec."&amp;$C114)&amp;"."&amp;X$5</f>
        <v>egy.distn.dpr.che.2</v>
      </c>
      <c r="Y114" s="208">
        <f>MMULT(INDEX(DLcat,MATCH($B114,DLcatKey,0),0),Y$106:Y$110)</f>
        <v>0.0062735029589013405</v>
      </c>
      <c r="Z114" s="203">
        <f>Y114</f>
        <v>0.0062735029589013405</v>
      </c>
      <c r="AA114" s="203">
        <f>Z114</f>
        <v>0.0062735029589013405</v>
      </c>
      <c r="AB114" s="203">
        <f>AA114</f>
        <v>0.0062735029589013405</v>
      </c>
      <c r="AC114" s="203">
        <f>AB114</f>
        <v>0.0062735029589013405</v>
      </c>
      <c r="AD114" s="203">
        <f>AC114</f>
        <v>0.0062735029589013405</v>
      </c>
      <c r="AE114" s="203">
        <f>AD114</f>
        <v>0.0062735029589013405</v>
      </c>
      <c r="AF114" s="203">
        <f>AE114</f>
        <v>0.0062735029589013405</v>
      </c>
      <c r="AG114" s="203">
        <f>AF114</f>
        <v>0.0062735029589013405</v>
      </c>
      <c r="AH114" s="203">
        <f>AG114</f>
        <v>0.0062735029589013405</v>
      </c>
      <c r="AI114" s="203">
        <f>AH114</f>
        <v>0.0062735029589013405</v>
      </c>
    </row>
    <row r="115" hidden="1" outlineLevel="1">
      <c r="A115" s="62" t="inlineStr">
        <is>
          <t>dpr</t>
        </is>
      </c>
      <c r="B115" s="3" t="inlineStr">
        <is>
          <t>clo</t>
        </is>
      </c>
      <c r="C115" s="3" t="inlineStr"/>
      <c r="D115" s="3" t="n"/>
      <c r="E115" s="3" t="n"/>
      <c r="H115" s="3" t="inlineStr">
        <is>
          <t>Clothing: price change</t>
        </is>
      </c>
      <c r="I115" s="3" t="inlineStr">
        <is>
          <t>fraction</t>
        </is>
      </c>
      <c r="J115" s="133" t="inlineStr">
        <is>
          <t>DistMapping, IO tables (legacy rows 668-736)</t>
        </is>
      </c>
      <c r="K115" s="9" t="str">
        <f>LOWER(CtryCode)&amp;".distn."&amp;$A115&amp;IF($B115="","","."&amp;$B115)&amp;IF($C115="","",".dec."&amp;$C115)&amp;"."&amp;K$5</f>
        <v>egy.distn.dpr.clo.1</v>
      </c>
      <c r="L115" s="208">
        <f>MMULT(INDEX(DLcat,MATCH($B115,DLcatKey,0),0),L$106:L$110)</f>
        <v>0.0</v>
      </c>
      <c r="M115" s="203">
        <f>L115</f>
        <v>0.0</v>
      </c>
      <c r="N115" s="203">
        <f>M115</f>
        <v>0.0</v>
      </c>
      <c r="O115" s="203">
        <f>N115</f>
        <v>0.0</v>
      </c>
      <c r="P115" s="203">
        <f>O115</f>
        <v>0.0</v>
      </c>
      <c r="Q115" s="203">
        <f>P115</f>
        <v>0.0</v>
      </c>
      <c r="R115" s="203">
        <f>Q115</f>
        <v>0.0</v>
      </c>
      <c r="S115" s="203">
        <f>R115</f>
        <v>0.0</v>
      </c>
      <c r="T115" s="203">
        <f>S115</f>
        <v>0.0</v>
      </c>
      <c r="U115" s="203">
        <f>T115</f>
        <v>0.0</v>
      </c>
      <c r="V115" s="203">
        <f>U115</f>
        <v>0.0</v>
      </c>
      <c r="W115" s="207" t="str">
        <f>IF(X$5=K$5,SUM(Y115:AI115)-SUM(L115:V115),"")</f>
        <v/>
      </c>
      <c r="X115" s="9" t="str">
        <f>LOWER(CtryCode)&amp;".distn."&amp;$A115&amp;IF($B115="","","."&amp;$B115)&amp;IF($C115="","",".dec."&amp;$C115)&amp;"."&amp;X$5</f>
        <v>egy.distn.dpr.clo.2</v>
      </c>
      <c r="Y115" s="208">
        <f>MMULT(INDEX(DLcat,MATCH($B115,DLcatKey,0),0),Y$106:Y$110)</f>
        <v>0.00117206627164576</v>
      </c>
      <c r="Z115" s="203">
        <f>Y115</f>
        <v>0.00117206627164576</v>
      </c>
      <c r="AA115" s="203">
        <f>Z115</f>
        <v>0.00117206627164576</v>
      </c>
      <c r="AB115" s="203">
        <f>AA115</f>
        <v>0.00117206627164576</v>
      </c>
      <c r="AC115" s="203">
        <f>AB115</f>
        <v>0.00117206627164576</v>
      </c>
      <c r="AD115" s="203">
        <f>AC115</f>
        <v>0.00117206627164576</v>
      </c>
      <c r="AE115" s="203">
        <f>AD115</f>
        <v>0.00117206627164576</v>
      </c>
      <c r="AF115" s="203">
        <f>AE115</f>
        <v>0.00117206627164576</v>
      </c>
      <c r="AG115" s="203">
        <f>AF115</f>
        <v>0.00117206627164576</v>
      </c>
      <c r="AH115" s="203">
        <f>AG115</f>
        <v>0.00117206627164576</v>
      </c>
      <c r="AI115" s="203">
        <f>AH115</f>
        <v>0.00117206627164576</v>
      </c>
    </row>
    <row r="116" hidden="1" outlineLevel="1">
      <c r="A116" s="62" t="inlineStr">
        <is>
          <t>dpr</t>
        </is>
      </c>
      <c r="B116" s="3" t="inlineStr">
        <is>
          <t>com</t>
        </is>
      </c>
      <c r="C116" s="3" t="inlineStr"/>
      <c r="D116" s="3" t="n"/>
      <c r="E116" s="3" t="n"/>
      <c r="H116" s="3" t="inlineStr">
        <is>
          <t>Communications: price change</t>
        </is>
      </c>
      <c r="I116" s="3" t="inlineStr">
        <is>
          <t>fraction</t>
        </is>
      </c>
      <c r="J116" s="133" t="inlineStr">
        <is>
          <t>DistMapping, IO tables (legacy rows 668-736)</t>
        </is>
      </c>
      <c r="K116" s="9" t="str">
        <f>LOWER(CtryCode)&amp;".distn."&amp;$A116&amp;IF($B116="","","."&amp;$B116)&amp;IF($C116="","",".dec."&amp;$C116)&amp;"."&amp;K$5</f>
        <v>egy.distn.dpr.com.1</v>
      </c>
      <c r="L116" s="208">
        <f>MMULT(INDEX(DLcat,MATCH($B116,DLcatKey,0),0),L$106:L$110)</f>
        <v>0.0</v>
      </c>
      <c r="M116" s="203">
        <f>L116</f>
        <v>0.0</v>
      </c>
      <c r="N116" s="203">
        <f>M116</f>
        <v>0.0</v>
      </c>
      <c r="O116" s="203">
        <f>N116</f>
        <v>0.0</v>
      </c>
      <c r="P116" s="203">
        <f>O116</f>
        <v>0.0</v>
      </c>
      <c r="Q116" s="203">
        <f>P116</f>
        <v>0.0</v>
      </c>
      <c r="R116" s="203">
        <f>Q116</f>
        <v>0.0</v>
      </c>
      <c r="S116" s="203">
        <f>R116</f>
        <v>0.0</v>
      </c>
      <c r="T116" s="203">
        <f>S116</f>
        <v>0.0</v>
      </c>
      <c r="U116" s="203">
        <f>T116</f>
        <v>0.0</v>
      </c>
      <c r="V116" s="203">
        <f>U116</f>
        <v>0.0</v>
      </c>
      <c r="W116" s="207" t="str">
        <f>IF(X$5=K$5,SUM(Y116:AI116)-SUM(L116:V116),"")</f>
        <v/>
      </c>
      <c r="X116" s="9" t="str">
        <f>LOWER(CtryCode)&amp;".distn."&amp;$A116&amp;IF($B116="","","."&amp;$B116)&amp;IF($C116="","",".dec."&amp;$C116)&amp;"."&amp;X$5</f>
        <v>egy.distn.dpr.com.2</v>
      </c>
      <c r="Y116" s="208">
        <f>MMULT(INDEX(DLcat,MATCH($B116,DLcatKey,0),0),Y$106:Y$110)</f>
        <v>0.00044157641414113263</v>
      </c>
      <c r="Z116" s="203">
        <f>Y116</f>
        <v>0.00044157641414113263</v>
      </c>
      <c r="AA116" s="203">
        <f>Z116</f>
        <v>0.00044157641414113263</v>
      </c>
      <c r="AB116" s="203">
        <f>AA116</f>
        <v>0.00044157641414113263</v>
      </c>
      <c r="AC116" s="203">
        <f>AB116</f>
        <v>0.00044157641414113263</v>
      </c>
      <c r="AD116" s="203">
        <f>AC116</f>
        <v>0.00044157641414113263</v>
      </c>
      <c r="AE116" s="203">
        <f>AD116</f>
        <v>0.00044157641414113263</v>
      </c>
      <c r="AF116" s="203">
        <f>AE116</f>
        <v>0.00044157641414113263</v>
      </c>
      <c r="AG116" s="203">
        <f>AF116</f>
        <v>0.00044157641414113263</v>
      </c>
      <c r="AH116" s="203">
        <f>AG116</f>
        <v>0.00044157641414113263</v>
      </c>
      <c r="AI116" s="203">
        <f>AH116</f>
        <v>0.00044157641414113263</v>
      </c>
    </row>
    <row r="117" hidden="1" outlineLevel="1">
      <c r="A117" s="62" t="inlineStr">
        <is>
          <t>dpr</t>
        </is>
      </c>
      <c r="B117" s="3" t="inlineStr">
        <is>
          <t>edu</t>
        </is>
      </c>
      <c r="C117" s="3" t="inlineStr"/>
      <c r="D117" s="3" t="n"/>
      <c r="E117" s="3" t="n"/>
      <c r="H117" s="3" t="inlineStr">
        <is>
          <t>Education: price change</t>
        </is>
      </c>
      <c r="I117" s="3" t="inlineStr">
        <is>
          <t>fraction</t>
        </is>
      </c>
      <c r="J117" s="133" t="inlineStr">
        <is>
          <t>DistMapping, IO tables (legacy rows 668-736)</t>
        </is>
      </c>
      <c r="K117" s="9" t="str">
        <f>LOWER(CtryCode)&amp;".distn."&amp;$A117&amp;IF($B117="","","."&amp;$B117)&amp;IF($C117="","",".dec."&amp;$C117)&amp;"."&amp;K$5</f>
        <v>egy.distn.dpr.edu.1</v>
      </c>
      <c r="L117" s="208">
        <f>MMULT(INDEX(DLcat,MATCH($B117,DLcatKey,0),0),L$106:L$110)</f>
        <v>0.0</v>
      </c>
      <c r="M117" s="203">
        <f>L117</f>
        <v>0.0</v>
      </c>
      <c r="N117" s="203">
        <f>M117</f>
        <v>0.0</v>
      </c>
      <c r="O117" s="203">
        <f>N117</f>
        <v>0.0</v>
      </c>
      <c r="P117" s="203">
        <f>O117</f>
        <v>0.0</v>
      </c>
      <c r="Q117" s="203">
        <f>P117</f>
        <v>0.0</v>
      </c>
      <c r="R117" s="203">
        <f>Q117</f>
        <v>0.0</v>
      </c>
      <c r="S117" s="203">
        <f>R117</f>
        <v>0.0</v>
      </c>
      <c r="T117" s="203">
        <f>S117</f>
        <v>0.0</v>
      </c>
      <c r="U117" s="203">
        <f>T117</f>
        <v>0.0</v>
      </c>
      <c r="V117" s="203">
        <f>U117</f>
        <v>0.0</v>
      </c>
      <c r="W117" s="207" t="str">
        <f>IF(X$5=K$5,SUM(Y117:AI117)-SUM(L117:V117),"")</f>
        <v/>
      </c>
      <c r="X117" s="9" t="str">
        <f>LOWER(CtryCode)&amp;".distn."&amp;$A117&amp;IF($B117="","","."&amp;$B117)&amp;IF($C117="","",".dec."&amp;$C117)&amp;"."&amp;X$5</f>
        <v>egy.distn.dpr.edu.2</v>
      </c>
      <c r="Y117" s="208">
        <f>MMULT(INDEX(DLcat,MATCH($B117,DLcatKey,0),0),Y$106:Y$110)</f>
        <v>0.001071043192213508</v>
      </c>
      <c r="Z117" s="203">
        <f>Y117</f>
        <v>0.001071043192213508</v>
      </c>
      <c r="AA117" s="203">
        <f>Z117</f>
        <v>0.001071043192213508</v>
      </c>
      <c r="AB117" s="203">
        <f>AA117</f>
        <v>0.001071043192213508</v>
      </c>
      <c r="AC117" s="203">
        <f>AB117</f>
        <v>0.001071043192213508</v>
      </c>
      <c r="AD117" s="203">
        <f>AC117</f>
        <v>0.001071043192213508</v>
      </c>
      <c r="AE117" s="203">
        <f>AD117</f>
        <v>0.001071043192213508</v>
      </c>
      <c r="AF117" s="203">
        <f>AE117</f>
        <v>0.001071043192213508</v>
      </c>
      <c r="AG117" s="203">
        <f>AF117</f>
        <v>0.001071043192213508</v>
      </c>
      <c r="AH117" s="203">
        <f>AG117</f>
        <v>0.001071043192213508</v>
      </c>
      <c r="AI117" s="203">
        <f>AH117</f>
        <v>0.001071043192213508</v>
      </c>
    </row>
    <row r="118" hidden="1" outlineLevel="1">
      <c r="A118" s="62" t="inlineStr">
        <is>
          <t>dpr</t>
        </is>
      </c>
      <c r="B118" s="3" t="inlineStr">
        <is>
          <t>food</t>
        </is>
      </c>
      <c r="C118" s="3" t="inlineStr"/>
      <c r="D118" s="3" t="n"/>
      <c r="E118" s="3" t="n"/>
      <c r="H118" s="3" t="inlineStr">
        <is>
          <t>Food: price change</t>
        </is>
      </c>
      <c r="I118" s="3" t="inlineStr">
        <is>
          <t>fraction</t>
        </is>
      </c>
      <c r="J118" s="133" t="inlineStr">
        <is>
          <t>DistMapping, IO tables (legacy rows 668-736)</t>
        </is>
      </c>
      <c r="K118" s="9" t="str">
        <f>LOWER(CtryCode)&amp;".distn."&amp;$A118&amp;IF($B118="","","."&amp;$B118)&amp;IF($C118="","",".dec."&amp;$C118)&amp;"."&amp;K$5</f>
        <v>egy.distn.dpr.food.1</v>
      </c>
      <c r="L118" s="208">
        <f>MMULT(INDEX(DLcat,MATCH($B118,DLcatKey,0),0),L$106:L$110)</f>
        <v>0.0</v>
      </c>
      <c r="M118" s="203">
        <f>L118</f>
        <v>0.0</v>
      </c>
      <c r="N118" s="203">
        <f>M118</f>
        <v>0.0</v>
      </c>
      <c r="O118" s="203">
        <f>N118</f>
        <v>0.0</v>
      </c>
      <c r="P118" s="203">
        <f>O118</f>
        <v>0.0</v>
      </c>
      <c r="Q118" s="203">
        <f>P118</f>
        <v>0.0</v>
      </c>
      <c r="R118" s="203">
        <f>Q118</f>
        <v>0.0</v>
      </c>
      <c r="S118" s="203">
        <f>R118</f>
        <v>0.0</v>
      </c>
      <c r="T118" s="203">
        <f>S118</f>
        <v>0.0</v>
      </c>
      <c r="U118" s="203">
        <f>T118</f>
        <v>0.0</v>
      </c>
      <c r="V118" s="203">
        <f>U118</f>
        <v>0.0</v>
      </c>
      <c r="W118" s="207" t="str">
        <f>IF(X$5=K$5,SUM(Y118:AI118)-SUM(L118:V118),"")</f>
        <v/>
      </c>
      <c r="X118" s="9" t="str">
        <f>LOWER(CtryCode)&amp;".distn."&amp;$A118&amp;IF($B118="","","."&amp;$B118)&amp;IF($C118="","",".dec."&amp;$C118)&amp;"."&amp;X$5</f>
        <v>egy.distn.dpr.food.2</v>
      </c>
      <c r="Y118" s="208">
        <f>MMULT(INDEX(DLcat,MATCH($B118,DLcatKey,0),0),Y$106:Y$110)</f>
        <v>0.0011975188554648431</v>
      </c>
      <c r="Z118" s="203">
        <f>Y118</f>
        <v>0.0011975188554648431</v>
      </c>
      <c r="AA118" s="203">
        <f>Z118</f>
        <v>0.0011975188554648431</v>
      </c>
      <c r="AB118" s="203">
        <f>AA118</f>
        <v>0.0011975188554648431</v>
      </c>
      <c r="AC118" s="203">
        <f>AB118</f>
        <v>0.0011975188554648431</v>
      </c>
      <c r="AD118" s="203">
        <f>AC118</f>
        <v>0.0011975188554648431</v>
      </c>
      <c r="AE118" s="203">
        <f>AD118</f>
        <v>0.0011975188554648431</v>
      </c>
      <c r="AF118" s="203">
        <f>AE118</f>
        <v>0.0011975188554648431</v>
      </c>
      <c r="AG118" s="203">
        <f>AF118</f>
        <v>0.0011975188554648431</v>
      </c>
      <c r="AH118" s="203">
        <f>AG118</f>
        <v>0.0011975188554648431</v>
      </c>
      <c r="AI118" s="203">
        <f>AH118</f>
        <v>0.0011975188554648431</v>
      </c>
    </row>
    <row r="119" hidden="1" outlineLevel="1">
      <c r="A119" s="62" t="inlineStr">
        <is>
          <t>dpr</t>
        </is>
      </c>
      <c r="B119" s="3" t="inlineStr">
        <is>
          <t>hea</t>
        </is>
      </c>
      <c r="C119" s="3" t="inlineStr"/>
      <c r="D119" s="3" t="n"/>
      <c r="E119" s="3" t="n"/>
      <c r="H119" s="3" t="inlineStr">
        <is>
          <t>Health services: price change</t>
        </is>
      </c>
      <c r="I119" s="3" t="inlineStr">
        <is>
          <t>fraction</t>
        </is>
      </c>
      <c r="J119" s="133" t="inlineStr">
        <is>
          <t>DistMapping, IO tables (legacy rows 668-736)</t>
        </is>
      </c>
      <c r="K119" s="9" t="str">
        <f>LOWER(CtryCode)&amp;".distn."&amp;$A119&amp;IF($B119="","","."&amp;$B119)&amp;IF($C119="","",".dec."&amp;$C119)&amp;"."&amp;K$5</f>
        <v>egy.distn.dpr.hea.1</v>
      </c>
      <c r="L119" s="208">
        <f>MMULT(INDEX(DLcat,MATCH($B119,DLcatKey,0),0),L$106:L$110)</f>
        <v>0.0</v>
      </c>
      <c r="M119" s="203">
        <f>L119</f>
        <v>0.0</v>
      </c>
      <c r="N119" s="203">
        <f>M119</f>
        <v>0.0</v>
      </c>
      <c r="O119" s="203">
        <f>N119</f>
        <v>0.0</v>
      </c>
      <c r="P119" s="203">
        <f>O119</f>
        <v>0.0</v>
      </c>
      <c r="Q119" s="203">
        <f>P119</f>
        <v>0.0</v>
      </c>
      <c r="R119" s="203">
        <f>Q119</f>
        <v>0.0</v>
      </c>
      <c r="S119" s="203">
        <f>R119</f>
        <v>0.0</v>
      </c>
      <c r="T119" s="203">
        <f>S119</f>
        <v>0.0</v>
      </c>
      <c r="U119" s="203">
        <f>T119</f>
        <v>0.0</v>
      </c>
      <c r="V119" s="203">
        <f>U119</f>
        <v>0.0</v>
      </c>
      <c r="W119" s="207" t="str">
        <f>IF(X$5=K$5,SUM(Y119:AI119)-SUM(L119:V119),"")</f>
        <v/>
      </c>
      <c r="X119" s="9" t="str">
        <f>LOWER(CtryCode)&amp;".distn."&amp;$A119&amp;IF($B119="","","."&amp;$B119)&amp;IF($C119="","",".dec."&amp;$C119)&amp;"."&amp;X$5</f>
        <v>egy.distn.dpr.hea.2</v>
      </c>
      <c r="Y119" s="208">
        <f>MMULT(INDEX(DLcat,MATCH($B119,DLcatKey,0),0),Y$106:Y$110)</f>
        <v>0.0012726288082896956</v>
      </c>
      <c r="Z119" s="203">
        <f>Y119</f>
        <v>0.0012726288082896956</v>
      </c>
      <c r="AA119" s="203">
        <f>Z119</f>
        <v>0.0012726288082896956</v>
      </c>
      <c r="AB119" s="203">
        <f>AA119</f>
        <v>0.0012726288082896956</v>
      </c>
      <c r="AC119" s="203">
        <f>AB119</f>
        <v>0.0012726288082896956</v>
      </c>
      <c r="AD119" s="203">
        <f>AC119</f>
        <v>0.0012726288082896956</v>
      </c>
      <c r="AE119" s="203">
        <f>AD119</f>
        <v>0.0012726288082896956</v>
      </c>
      <c r="AF119" s="203">
        <f>AE119</f>
        <v>0.0012726288082896956</v>
      </c>
      <c r="AG119" s="203">
        <f>AF119</f>
        <v>0.0012726288082896956</v>
      </c>
      <c r="AH119" s="203">
        <f>AG119</f>
        <v>0.0012726288082896956</v>
      </c>
      <c r="AI119" s="203">
        <f>AH119</f>
        <v>0.0012726288082896956</v>
      </c>
    </row>
    <row r="120" hidden="1" outlineLevel="1">
      <c r="A120" s="62" t="inlineStr">
        <is>
          <t>dpr</t>
        </is>
      </c>
      <c r="B120" s="3" t="inlineStr">
        <is>
          <t>hou</t>
        </is>
      </c>
      <c r="C120" s="3" t="inlineStr"/>
      <c r="D120" s="3" t="n"/>
      <c r="E120" s="3" t="n"/>
      <c r="H120" s="3" t="inlineStr">
        <is>
          <t>Housing: price change</t>
        </is>
      </c>
      <c r="I120" s="3" t="inlineStr">
        <is>
          <t>fraction</t>
        </is>
      </c>
      <c r="J120" s="133" t="inlineStr">
        <is>
          <t>DistMapping, IO tables (legacy rows 668-736)</t>
        </is>
      </c>
      <c r="K120" s="9" t="str">
        <f>LOWER(CtryCode)&amp;".distn."&amp;$A120&amp;IF($B120="","","."&amp;$B120)&amp;IF($C120="","",".dec."&amp;$C120)&amp;"."&amp;K$5</f>
        <v>egy.distn.dpr.hou.1</v>
      </c>
      <c r="L120" s="208">
        <f>MMULT(INDEX(DLcat,MATCH($B120,DLcatKey,0),0),L$106:L$110)</f>
        <v>0.0</v>
      </c>
      <c r="M120" s="203">
        <f>L120</f>
        <v>0.0</v>
      </c>
      <c r="N120" s="203">
        <f>M120</f>
        <v>0.0</v>
      </c>
      <c r="O120" s="203">
        <f>N120</f>
        <v>0.0</v>
      </c>
      <c r="P120" s="203">
        <f>O120</f>
        <v>0.0</v>
      </c>
      <c r="Q120" s="203">
        <f>P120</f>
        <v>0.0</v>
      </c>
      <c r="R120" s="203">
        <f>Q120</f>
        <v>0.0</v>
      </c>
      <c r="S120" s="203">
        <f>R120</f>
        <v>0.0</v>
      </c>
      <c r="T120" s="203">
        <f>S120</f>
        <v>0.0</v>
      </c>
      <c r="U120" s="203">
        <f>T120</f>
        <v>0.0</v>
      </c>
      <c r="V120" s="203">
        <f>U120</f>
        <v>0.0</v>
      </c>
      <c r="W120" s="207" t="str">
        <f>IF(X$5=K$5,SUM(Y120:AI120)-SUM(L120:V120),"")</f>
        <v/>
      </c>
      <c r="X120" s="9" t="str">
        <f>LOWER(CtryCode)&amp;".distn."&amp;$A120&amp;IF($B120="","","."&amp;$B120)&amp;IF($C120="","",".dec."&amp;$C120)&amp;"."&amp;X$5</f>
        <v>egy.distn.dpr.hou.2</v>
      </c>
      <c r="Y120" s="208">
        <f>MMULT(INDEX(DLcat,MATCH($B120,DLcatKey,0),0),Y$106:Y$110)</f>
        <v>0.0009904568828320293</v>
      </c>
      <c r="Z120" s="203">
        <f>Y120</f>
        <v>0.0009904568828320293</v>
      </c>
      <c r="AA120" s="203">
        <f>Z120</f>
        <v>0.0009904568828320293</v>
      </c>
      <c r="AB120" s="203">
        <f>AA120</f>
        <v>0.0009904568828320293</v>
      </c>
      <c r="AC120" s="203">
        <f>AB120</f>
        <v>0.0009904568828320293</v>
      </c>
      <c r="AD120" s="203">
        <f>AC120</f>
        <v>0.0009904568828320293</v>
      </c>
      <c r="AE120" s="203">
        <f>AD120</f>
        <v>0.0009904568828320293</v>
      </c>
      <c r="AF120" s="203">
        <f>AE120</f>
        <v>0.0009904568828320293</v>
      </c>
      <c r="AG120" s="203">
        <f>AF120</f>
        <v>0.0009904568828320293</v>
      </c>
      <c r="AH120" s="203">
        <f>AG120</f>
        <v>0.0009904568828320293</v>
      </c>
      <c r="AI120" s="203">
        <f>AH120</f>
        <v>0.0009904568828320293</v>
      </c>
    </row>
    <row r="121" hidden="1" outlineLevel="1">
      <c r="A121" s="62" t="inlineStr">
        <is>
          <t>dpr</t>
        </is>
      </c>
      <c r="B121" s="3" t="inlineStr">
        <is>
          <t>oth</t>
        </is>
      </c>
      <c r="C121" s="3" t="inlineStr"/>
      <c r="D121" s="3" t="n"/>
      <c r="E121" s="3" t="n"/>
      <c r="H121" s="3" t="inlineStr">
        <is>
          <t>Other: price change</t>
        </is>
      </c>
      <c r="I121" s="3" t="inlineStr">
        <is>
          <t>fraction</t>
        </is>
      </c>
      <c r="J121" s="133" t="inlineStr">
        <is>
          <t>DistMapping, IO tables (legacy rows 668-736)</t>
        </is>
      </c>
      <c r="K121" s="9" t="str">
        <f>LOWER(CtryCode)&amp;".distn."&amp;$A121&amp;IF($B121="","","."&amp;$B121)&amp;IF($C121="","",".dec."&amp;$C121)&amp;"."&amp;K$5</f>
        <v>egy.distn.dpr.oth.1</v>
      </c>
      <c r="L121" s="208">
        <f>MMULT(INDEX(DLcat,MATCH($B121,DLcatKey,0),0),L$106:L$110)</f>
        <v>0.0</v>
      </c>
      <c r="M121" s="203">
        <f>L121</f>
        <v>0.0</v>
      </c>
      <c r="N121" s="203">
        <f>M121</f>
        <v>0.0</v>
      </c>
      <c r="O121" s="203">
        <f>N121</f>
        <v>0.0</v>
      </c>
      <c r="P121" s="203">
        <f>O121</f>
        <v>0.0</v>
      </c>
      <c r="Q121" s="203">
        <f>P121</f>
        <v>0.0</v>
      </c>
      <c r="R121" s="203">
        <f>Q121</f>
        <v>0.0</v>
      </c>
      <c r="S121" s="203">
        <f>R121</f>
        <v>0.0</v>
      </c>
      <c r="T121" s="203">
        <f>S121</f>
        <v>0.0</v>
      </c>
      <c r="U121" s="203">
        <f>T121</f>
        <v>0.0</v>
      </c>
      <c r="V121" s="203">
        <f>U121</f>
        <v>0.0</v>
      </c>
      <c r="W121" s="207" t="str">
        <f>IF(X$5=K$5,SUM(Y121:AI121)-SUM(L121:V121),"")</f>
        <v/>
      </c>
      <c r="X121" s="9" t="str">
        <f>LOWER(CtryCode)&amp;".distn."&amp;$A121&amp;IF($B121="","","."&amp;$B121)&amp;IF($C121="","",".dec."&amp;$C121)&amp;"."&amp;X$5</f>
        <v>egy.distn.dpr.oth.2</v>
      </c>
      <c r="Y121" s="208">
        <f>MMULT(INDEX(DLcat,MATCH($B121,DLcatKey,0),0),Y$106:Y$110)</f>
        <v>0.0005173134835300145</v>
      </c>
      <c r="Z121" s="203">
        <f>Y121</f>
        <v>0.0005173134835300145</v>
      </c>
      <c r="AA121" s="203">
        <f>Z121</f>
        <v>0.0005173134835300145</v>
      </c>
      <c r="AB121" s="203">
        <f>AA121</f>
        <v>0.0005173134835300145</v>
      </c>
      <c r="AC121" s="203">
        <f>AB121</f>
        <v>0.0005173134835300145</v>
      </c>
      <c r="AD121" s="203">
        <f>AC121</f>
        <v>0.0005173134835300145</v>
      </c>
      <c r="AE121" s="203">
        <f>AD121</f>
        <v>0.0005173134835300145</v>
      </c>
      <c r="AF121" s="203">
        <f>AE121</f>
        <v>0.0005173134835300145</v>
      </c>
      <c r="AG121" s="203">
        <f>AF121</f>
        <v>0.0005173134835300145</v>
      </c>
      <c r="AH121" s="203">
        <f>AG121</f>
        <v>0.0005173134835300145</v>
      </c>
      <c r="AI121" s="203">
        <f>AH121</f>
        <v>0.0005173134835300145</v>
      </c>
    </row>
    <row r="122" hidden="1" outlineLevel="1">
      <c r="A122" s="62" t="inlineStr">
        <is>
          <t>dpr</t>
        </is>
      </c>
      <c r="B122" s="3" t="inlineStr">
        <is>
          <t>pap</t>
        </is>
      </c>
      <c r="C122" s="3" t="inlineStr"/>
      <c r="D122" s="3" t="n"/>
      <c r="E122" s="3" t="n"/>
      <c r="H122" s="3" t="inlineStr">
        <is>
          <t>Paper: price change</t>
        </is>
      </c>
      <c r="I122" s="3" t="inlineStr">
        <is>
          <t>fraction</t>
        </is>
      </c>
      <c r="J122" s="133" t="inlineStr">
        <is>
          <t>DistMapping, IO tables (legacy rows 668-736)</t>
        </is>
      </c>
      <c r="K122" s="9" t="str">
        <f>LOWER(CtryCode)&amp;".distn."&amp;$A122&amp;IF($B122="","","."&amp;$B122)&amp;IF($C122="","",".dec."&amp;$C122)&amp;"."&amp;K$5</f>
        <v>egy.distn.dpr.pap.1</v>
      </c>
      <c r="L122" s="208">
        <f>MMULT(INDEX(DLcat,MATCH($B122,DLcatKey,0),0),L$106:L$110)</f>
        <v>0.0</v>
      </c>
      <c r="M122" s="203">
        <f>L122</f>
        <v>0.0</v>
      </c>
      <c r="N122" s="203">
        <f>M122</f>
        <v>0.0</v>
      </c>
      <c r="O122" s="203">
        <f>N122</f>
        <v>0.0</v>
      </c>
      <c r="P122" s="203">
        <f>O122</f>
        <v>0.0</v>
      </c>
      <c r="Q122" s="203">
        <f>P122</f>
        <v>0.0</v>
      </c>
      <c r="R122" s="203">
        <f>Q122</f>
        <v>0.0</v>
      </c>
      <c r="S122" s="203">
        <f>R122</f>
        <v>0.0</v>
      </c>
      <c r="T122" s="203">
        <f>S122</f>
        <v>0.0</v>
      </c>
      <c r="U122" s="203">
        <f>T122</f>
        <v>0.0</v>
      </c>
      <c r="V122" s="203">
        <f>U122</f>
        <v>0.0</v>
      </c>
      <c r="W122" s="207" t="str">
        <f>IF(X$5=K$5,SUM(Y122:AI122)-SUM(L122:V122),"")</f>
        <v/>
      </c>
      <c r="X122" s="9" t="str">
        <f>LOWER(CtryCode)&amp;".distn."&amp;$A122&amp;IF($B122="","","."&amp;$B122)&amp;IF($C122="","",".dec."&amp;$C122)&amp;"."&amp;X$5</f>
        <v>egy.distn.dpr.pap.2</v>
      </c>
      <c r="Y122" s="208">
        <f>MMULT(INDEX(DLcat,MATCH($B122,DLcatKey,0),0),Y$106:Y$110)</f>
        <v>0.002117572622141479</v>
      </c>
      <c r="Z122" s="203">
        <f>Y122</f>
        <v>0.002117572622141479</v>
      </c>
      <c r="AA122" s="203">
        <f>Z122</f>
        <v>0.002117572622141479</v>
      </c>
      <c r="AB122" s="203">
        <f>AA122</f>
        <v>0.002117572622141479</v>
      </c>
      <c r="AC122" s="203">
        <f>AB122</f>
        <v>0.002117572622141479</v>
      </c>
      <c r="AD122" s="203">
        <f>AC122</f>
        <v>0.002117572622141479</v>
      </c>
      <c r="AE122" s="203">
        <f>AD122</f>
        <v>0.002117572622141479</v>
      </c>
      <c r="AF122" s="203">
        <f>AE122</f>
        <v>0.002117572622141479</v>
      </c>
      <c r="AG122" s="203">
        <f>AF122</f>
        <v>0.002117572622141479</v>
      </c>
      <c r="AH122" s="203">
        <f>AG122</f>
        <v>0.002117572622141479</v>
      </c>
      <c r="AI122" s="203">
        <f>AH122</f>
        <v>0.002117572622141479</v>
      </c>
    </row>
    <row r="123" hidden="1" outlineLevel="1">
      <c r="A123" s="62" t="inlineStr">
        <is>
          <t>dpr</t>
        </is>
      </c>
      <c r="B123" s="3" t="inlineStr">
        <is>
          <t>pha</t>
        </is>
      </c>
      <c r="C123" s="3" t="inlineStr"/>
      <c r="D123" s="3" t="n"/>
      <c r="E123" s="3" t="n"/>
      <c r="H123" s="3" t="inlineStr">
        <is>
          <t>Pharmaceuticals: price change</t>
        </is>
      </c>
      <c r="I123" s="3" t="inlineStr">
        <is>
          <t>fraction</t>
        </is>
      </c>
      <c r="J123" s="133" t="inlineStr">
        <is>
          <t>DistMapping, IO tables (legacy rows 668-736)</t>
        </is>
      </c>
      <c r="K123" s="9" t="str">
        <f>LOWER(CtryCode)&amp;".distn."&amp;$A123&amp;IF($B123="","","."&amp;$B123)&amp;IF($C123="","",".dec."&amp;$C123)&amp;"."&amp;K$5</f>
        <v>egy.distn.dpr.pha.1</v>
      </c>
      <c r="L123" s="208">
        <f>MMULT(INDEX(DLcat,MATCH($B123,DLcatKey,0),0),L$106:L$110)</f>
        <v>0.0</v>
      </c>
      <c r="M123" s="203">
        <f>L123</f>
        <v>0.0</v>
      </c>
      <c r="N123" s="203">
        <f>M123</f>
        <v>0.0</v>
      </c>
      <c r="O123" s="203">
        <f>N123</f>
        <v>0.0</v>
      </c>
      <c r="P123" s="203">
        <f>O123</f>
        <v>0.0</v>
      </c>
      <c r="Q123" s="203">
        <f>P123</f>
        <v>0.0</v>
      </c>
      <c r="R123" s="203">
        <f>Q123</f>
        <v>0.0</v>
      </c>
      <c r="S123" s="203">
        <f>R123</f>
        <v>0.0</v>
      </c>
      <c r="T123" s="203">
        <f>S123</f>
        <v>0.0</v>
      </c>
      <c r="U123" s="203">
        <f>T123</f>
        <v>0.0</v>
      </c>
      <c r="V123" s="203">
        <f>U123</f>
        <v>0.0</v>
      </c>
      <c r="W123" s="207" t="str">
        <f>IF(X$5=K$5,SUM(Y123:AI123)-SUM(L123:V123),"")</f>
        <v/>
      </c>
      <c r="X123" s="9" t="str">
        <f>LOWER(CtryCode)&amp;".distn."&amp;$A123&amp;IF($B123="","","."&amp;$B123)&amp;IF($C123="","",".dec."&amp;$C123)&amp;"."&amp;X$5</f>
        <v>egy.distn.dpr.pha.2</v>
      </c>
      <c r="Y123" s="208">
        <f>MMULT(INDEX(DLcat,MATCH($B123,DLcatKey,0),0),Y$106:Y$110)</f>
        <v>0.002298771116464237</v>
      </c>
      <c r="Z123" s="203">
        <f>Y123</f>
        <v>0.002298771116464237</v>
      </c>
      <c r="AA123" s="203">
        <f>Z123</f>
        <v>0.002298771116464237</v>
      </c>
      <c r="AB123" s="203">
        <f>AA123</f>
        <v>0.002298771116464237</v>
      </c>
      <c r="AC123" s="203">
        <f>AB123</f>
        <v>0.002298771116464237</v>
      </c>
      <c r="AD123" s="203">
        <f>AC123</f>
        <v>0.002298771116464237</v>
      </c>
      <c r="AE123" s="203">
        <f>AD123</f>
        <v>0.002298771116464237</v>
      </c>
      <c r="AF123" s="203">
        <f>AE123</f>
        <v>0.002298771116464237</v>
      </c>
      <c r="AG123" s="203">
        <f>AF123</f>
        <v>0.002298771116464237</v>
      </c>
      <c r="AH123" s="203">
        <f>AG123</f>
        <v>0.002298771116464237</v>
      </c>
      <c r="AI123" s="203">
        <f>AH123</f>
        <v>0.002298771116464237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33" t="inlineStr">
        <is>
          <t>DistMapping, IO tables (legacy rows 668-736)</t>
        </is>
      </c>
      <c r="K124" s="9" t="str">
        <f>LOWER(CtryCode)&amp;".distn."&amp;$A124&amp;IF($B124="","","."&amp;$B124)&amp;IF($C124="","",".dec."&amp;$C124)&amp;"."&amp;K$5</f>
        <v>egy.distn.dpr.ret.1</v>
      </c>
      <c r="L124" s="208">
        <f>MMULT(INDEX(DLcat,MATCH($B124,DLcatKey,0),0),L$106:L$110)</f>
        <v>0.0</v>
      </c>
      <c r="M124" s="203">
        <f>L124</f>
        <v>0.0</v>
      </c>
      <c r="N124" s="203">
        <f>M124</f>
        <v>0.0</v>
      </c>
      <c r="O124" s="203">
        <f>N124</f>
        <v>0.0</v>
      </c>
      <c r="P124" s="203">
        <f>O124</f>
        <v>0.0</v>
      </c>
      <c r="Q124" s="203">
        <f>P124</f>
        <v>0.0</v>
      </c>
      <c r="R124" s="203">
        <f>Q124</f>
        <v>0.0</v>
      </c>
      <c r="S124" s="203">
        <f>R124</f>
        <v>0.0</v>
      </c>
      <c r="T124" s="203">
        <f>S124</f>
        <v>0.0</v>
      </c>
      <c r="U124" s="203">
        <f>T124</f>
        <v>0.0</v>
      </c>
      <c r="V124" s="203">
        <f>U124</f>
        <v>0.0</v>
      </c>
      <c r="W124" s="207" t="str">
        <f>IF(X$5=K$5,SUM(Y124:AI124)-SUM(L124:V124),"")</f>
        <v/>
      </c>
      <c r="X124" s="9" t="str">
        <f>LOWER(CtryCode)&amp;".distn."&amp;$A124&amp;IF($B124="","","."&amp;$B124)&amp;IF($C124="","",".dec."&amp;$C124)&amp;"."&amp;X$5</f>
        <v>egy.distn.dpr.ret.2</v>
      </c>
      <c r="Y124" s="208">
        <f>MMULT(INDEX(DLcat,MATCH($B124,DLcatKey,0),0),Y$106:Y$110)</f>
        <v>0.0009522278647474347</v>
      </c>
      <c r="Z124" s="203">
        <f>Y124</f>
        <v>0.0009522278647474347</v>
      </c>
      <c r="AA124" s="203">
        <f>Z124</f>
        <v>0.0009522278647474347</v>
      </c>
      <c r="AB124" s="203">
        <f>AA124</f>
        <v>0.0009522278647474347</v>
      </c>
      <c r="AC124" s="203">
        <f>AB124</f>
        <v>0.0009522278647474347</v>
      </c>
      <c r="AD124" s="203">
        <f>AC124</f>
        <v>0.0009522278647474347</v>
      </c>
      <c r="AE124" s="203">
        <f>AD124</f>
        <v>0.0009522278647474347</v>
      </c>
      <c r="AF124" s="203">
        <f>AE124</f>
        <v>0.0009522278647474347</v>
      </c>
      <c r="AG124" s="203">
        <f>AF124</f>
        <v>0.0009522278647474347</v>
      </c>
      <c r="AH124" s="203">
        <f>AG124</f>
        <v>0.0009522278647474347</v>
      </c>
      <c r="AI124" s="203">
        <f>AH124</f>
        <v>0.0009522278647474347</v>
      </c>
    </row>
    <row r="125" hidden="1" outlineLevel="1">
      <c r="A125" s="62" t="inlineStr">
        <is>
          <t>dpr</t>
        </is>
      </c>
      <c r="B125" s="3" t="inlineStr">
        <is>
          <t>teq</t>
        </is>
      </c>
      <c r="C125" s="3" t="inlineStr"/>
      <c r="D125" s="3" t="n"/>
      <c r="E125" s="3" t="n"/>
      <c r="H125" s="3" t="inlineStr">
        <is>
          <t>Transport equipment: price change</t>
        </is>
      </c>
      <c r="I125" s="3" t="inlineStr">
        <is>
          <t>fraction</t>
        </is>
      </c>
      <c r="J125" s="133" t="inlineStr">
        <is>
          <t>DistMapping, IO tables (legacy rows 668-736)</t>
        </is>
      </c>
      <c r="K125" s="9" t="str">
        <f>LOWER(CtryCode)&amp;".distn."&amp;$A125&amp;IF($B125="","","."&amp;$B125)&amp;IF($C125="","",".dec."&amp;$C125)&amp;"."&amp;K$5</f>
        <v>egy.distn.dpr.teq.1</v>
      </c>
      <c r="L125" s="208">
        <f>MMULT(INDEX(DLcat,MATCH($B125,DLcatKey,0),0),L$106:L$110)</f>
        <v>0.0</v>
      </c>
      <c r="M125" s="203">
        <f>L125</f>
        <v>0.0</v>
      </c>
      <c r="N125" s="203">
        <f>M125</f>
        <v>0.0</v>
      </c>
      <c r="O125" s="203">
        <f>N125</f>
        <v>0.0</v>
      </c>
      <c r="P125" s="203">
        <f>O125</f>
        <v>0.0</v>
      </c>
      <c r="Q125" s="203">
        <f>P125</f>
        <v>0.0</v>
      </c>
      <c r="R125" s="203">
        <f>Q125</f>
        <v>0.0</v>
      </c>
      <c r="S125" s="203">
        <f>R125</f>
        <v>0.0</v>
      </c>
      <c r="T125" s="203">
        <f>S125</f>
        <v>0.0</v>
      </c>
      <c r="U125" s="203">
        <f>T125</f>
        <v>0.0</v>
      </c>
      <c r="V125" s="203">
        <f>U125</f>
        <v>0.0</v>
      </c>
      <c r="W125" s="207" t="str">
        <f>IF(X$5=K$5,SUM(Y125:AI125)-SUM(L125:V125),"")</f>
        <v/>
      </c>
      <c r="X125" s="9" t="str">
        <f>LOWER(CtryCode)&amp;".distn."&amp;$A125&amp;IF($B125="","","."&amp;$B125)&amp;IF($C125="","",".dec."&amp;$C125)&amp;"."&amp;X$5</f>
        <v>egy.distn.dpr.teq.2</v>
      </c>
      <c r="Y125" s="208">
        <f>MMULT(INDEX(DLcat,MATCH($B125,DLcatKey,0),0),Y$106:Y$110)</f>
        <v>0.0011332786903168184</v>
      </c>
      <c r="Z125" s="203">
        <f>Y125</f>
        <v>0.0011332786903168184</v>
      </c>
      <c r="AA125" s="203">
        <f>Z125</f>
        <v>0.0011332786903168184</v>
      </c>
      <c r="AB125" s="203">
        <f>AA125</f>
        <v>0.0011332786903168184</v>
      </c>
      <c r="AC125" s="203">
        <f>AB125</f>
        <v>0.0011332786903168184</v>
      </c>
      <c r="AD125" s="203">
        <f>AC125</f>
        <v>0.0011332786903168184</v>
      </c>
      <c r="AE125" s="203">
        <f>AD125</f>
        <v>0.0011332786903168184</v>
      </c>
      <c r="AF125" s="203">
        <f>AE125</f>
        <v>0.0011332786903168184</v>
      </c>
      <c r="AG125" s="203">
        <f>AF125</f>
        <v>0.0011332786903168184</v>
      </c>
      <c r="AH125" s="203">
        <f>AG125</f>
        <v>0.0011332786903168184</v>
      </c>
      <c r="AI125" s="203">
        <f>AH125</f>
        <v>0.0011332786903168184</v>
      </c>
    </row>
    <row r="126" hidden="1" outlineLevel="1">
      <c r="A126" s="62" t="inlineStr">
        <is>
          <t>dpr</t>
        </is>
      </c>
      <c r="B126" s="3" t="inlineStr">
        <is>
          <t>tpu</t>
        </is>
      </c>
      <c r="C126" s="3" t="inlineStr"/>
      <c r="D126" s="3" t="n"/>
      <c r="E126" s="3" t="n"/>
      <c r="H126" s="3" t="inlineStr">
        <is>
          <t>Public transport: price change</t>
        </is>
      </c>
      <c r="I126" s="3" t="inlineStr">
        <is>
          <t>fraction</t>
        </is>
      </c>
      <c r="J126" s="133" t="inlineStr">
        <is>
          <t>DistMapping, IO tables (legacy rows 668-736)</t>
        </is>
      </c>
      <c r="K126" s="9" t="str">
        <f>LOWER(CtryCode)&amp;".distn."&amp;$A126&amp;IF($B126="","","."&amp;$B126)&amp;IF($C126="","",".dec."&amp;$C126)&amp;"."&amp;K$5</f>
        <v>egy.distn.dpr.tpu.1</v>
      </c>
      <c r="L126" s="208">
        <f>MMULT(INDEX(DLcat,MATCH($B126,DLcatKey,0),0),L$106:L$110)</f>
        <v>0.0</v>
      </c>
      <c r="M126" s="203">
        <f>L126</f>
        <v>0.0</v>
      </c>
      <c r="N126" s="203">
        <f>M126</f>
        <v>0.0</v>
      </c>
      <c r="O126" s="203">
        <f>N126</f>
        <v>0.0</v>
      </c>
      <c r="P126" s="203">
        <f>O126</f>
        <v>0.0</v>
      </c>
      <c r="Q126" s="203">
        <f>P126</f>
        <v>0.0</v>
      </c>
      <c r="R126" s="203">
        <f>Q126</f>
        <v>0.0</v>
      </c>
      <c r="S126" s="203">
        <f>R126</f>
        <v>0.0</v>
      </c>
      <c r="T126" s="203">
        <f>S126</f>
        <v>0.0</v>
      </c>
      <c r="U126" s="203">
        <f>T126</f>
        <v>0.0</v>
      </c>
      <c r="V126" s="203">
        <f>U126</f>
        <v>0.0</v>
      </c>
      <c r="W126" s="207" t="str">
        <f>IF(X$5=K$5,SUM(Y126:AI126)-SUM(L126:V126),"")</f>
        <v/>
      </c>
      <c r="X126" s="9" t="str">
        <f>LOWER(CtryCode)&amp;".distn."&amp;$A126&amp;IF($B126="","","."&amp;$B126)&amp;IF($C126="","",".dec."&amp;$C126)&amp;"."&amp;X$5</f>
        <v>egy.distn.dpr.tpu.2</v>
      </c>
      <c r="Y126" s="208">
        <f>MMULT(INDEX(DLcat,MATCH($B126,DLcatKey,0),0),Y$106:Y$110)</f>
        <v>0.005426192287244684</v>
      </c>
      <c r="Z126" s="203">
        <f>Y126</f>
        <v>0.005426192287244684</v>
      </c>
      <c r="AA126" s="203">
        <f>Z126</f>
        <v>0.005426192287244684</v>
      </c>
      <c r="AB126" s="203">
        <f>AA126</f>
        <v>0.005426192287244684</v>
      </c>
      <c r="AC126" s="203">
        <f>AB126</f>
        <v>0.005426192287244684</v>
      </c>
      <c r="AD126" s="203">
        <f>AC126</f>
        <v>0.005426192287244684</v>
      </c>
      <c r="AE126" s="203">
        <f>AD126</f>
        <v>0.005426192287244684</v>
      </c>
      <c r="AF126" s="203">
        <f>AE126</f>
        <v>0.005426192287244684</v>
      </c>
      <c r="AG126" s="203">
        <f>AF126</f>
        <v>0.005426192287244684</v>
      </c>
      <c r="AH126" s="203">
        <f>AG126</f>
        <v>0.005426192287244684</v>
      </c>
      <c r="AI126" s="203">
        <f>AH126</f>
        <v>0.005426192287244684</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33" t="inlineStr">
        <is>
          <t>Budget shares: section 5</t>
        </is>
      </c>
      <c r="K128" s="9" t="str">
        <f>LOWER(CtryCode)&amp;".distn."&amp;$A128&amp;IF($B128="","","."&amp;$B128)&amp;IF($C128="","",".dec."&amp;$C128)&amp;"."&amp;K$5</f>
        <v>egy.distn.dprw.cat.dec.ove.1</v>
      </c>
      <c r="L128" s="215">
        <f>IFERROR(SUMPRODUCT(L113:L126,L193:L206)/SUM(L193:L206),0)</f>
        <v>0.0</v>
      </c>
      <c r="M128" s="216">
        <f>IFERROR(SUMPRODUCT(M113:M126,M193:M206)/SUM(M193:M206),0)</f>
        <v>0.0</v>
      </c>
      <c r="N128" s="216">
        <f>IFERROR(SUMPRODUCT(N113:N126,N193:N206)/SUM(N193:N206),0)</f>
        <v>0.0</v>
      </c>
      <c r="O128" s="216">
        <f>IFERROR(SUMPRODUCT(O113:O126,O193:O206)/SUM(O193:O206),0)</f>
        <v>0.0</v>
      </c>
      <c r="P128" s="216">
        <f>IFERROR(SUMPRODUCT(P113:P126,P193:P206)/SUM(P193:P206),0)</f>
        <v>0.0</v>
      </c>
      <c r="Q128" s="216">
        <f>IFERROR(SUMPRODUCT(Q113:Q126,Q193:Q206)/SUM(Q193:Q206),0)</f>
        <v>0.0</v>
      </c>
      <c r="R128" s="216">
        <f>IFERROR(SUMPRODUCT(R113:R126,R193:R206)/SUM(R193:R206),0)</f>
        <v>0.0</v>
      </c>
      <c r="S128" s="216">
        <f>IFERROR(SUMPRODUCT(S113:S126,S193:S206)/SUM(S193:S206),0)</f>
        <v>0.0</v>
      </c>
      <c r="T128" s="216">
        <f>IFERROR(SUMPRODUCT(T113:T126,T193:T206)/SUM(T193:T206),0)</f>
        <v>0.0</v>
      </c>
      <c r="U128" s="216">
        <f>IFERROR(SUMPRODUCT(U113:U126,U193:U206)/SUM(U193:U206),0)</f>
        <v>0.0</v>
      </c>
      <c r="V128" s="216">
        <f>IFERROR(SUMPRODUCT(V113:V126,V193:V206)/SUM(V193:V206),0)</f>
        <v>0.0</v>
      </c>
      <c r="W128" s="207" t="str">
        <f>IF(X$5=K$5,SUM(Y128:AI128)-SUM(L128:V128),"")</f>
        <v/>
      </c>
      <c r="X128" s="9" t="str">
        <f>LOWER(CtryCode)&amp;".distn."&amp;$A128&amp;IF($B128="","","."&amp;$B128)&amp;IF($C128="","",".dec."&amp;$C128)&amp;"."&amp;X$5</f>
        <v>egy.distn.dprw.cat.dec.ove.2</v>
      </c>
      <c r="Y128" s="215">
        <f>IFERROR(SUMPRODUCT(Y113:Y126,Y193:Y206)/SUM(Y193:Y206),0)</f>
        <v>0.0016451052171939599</v>
      </c>
      <c r="Z128" s="216">
        <f>IFERROR(SUMPRODUCT(Z113:Z126,Z193:Z206)/SUM(Z193:Z206),0)</f>
        <v>0.0016821837688289678</v>
      </c>
      <c r="AA128" s="216">
        <f>IFERROR(SUMPRODUCT(AA113:AA126,AA193:AA206)/SUM(AA193:AA206),0)</f>
        <v>0.001623968911617911</v>
      </c>
      <c r="AB128" s="216">
        <f>IFERROR(SUMPRODUCT(AB113:AB126,AB193:AB206)/SUM(AB193:AB206),0)</f>
        <v>0.0016072587427743631</v>
      </c>
      <c r="AC128" s="216">
        <f>IFERROR(SUMPRODUCT(AC113:AC126,AC193:AC206)/SUM(AC193:AC206),0)</f>
        <v>0.0016211051823487785</v>
      </c>
      <c r="AD128" s="216">
        <f>IFERROR(SUMPRODUCT(AD113:AD126,AD193:AD206)/SUM(AD193:AD206),0)</f>
        <v>0.001635967241542342</v>
      </c>
      <c r="AE128" s="216">
        <f>IFERROR(SUMPRODUCT(AE113:AE126,AE193:AE206)/SUM(AE193:AE206),0)</f>
        <v>0.001616616468372252</v>
      </c>
      <c r="AF128" s="216">
        <f>IFERROR(SUMPRODUCT(AF113:AF126,AF193:AF206)/SUM(AF193:AF206),0)</f>
        <v>0.0016537927076747396</v>
      </c>
      <c r="AG128" s="216">
        <f>IFERROR(SUMPRODUCT(AG113:AG126,AG193:AG206)/SUM(AG193:AG206),0)</f>
        <v>0.001654604129005003</v>
      </c>
      <c r="AH128" s="216">
        <f>IFERROR(SUMPRODUCT(AH113:AH126,AH193:AH206)/SUM(AH193:AH206),0)</f>
        <v>0.0016331049079557768</v>
      </c>
      <c r="AI128" s="216">
        <f>IFERROR(SUMPRODUCT(AI113:AI126,AI193:AI206)/SUM(AI193:AI206),0)</f>
        <v>0.0016472492892409855</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33" t="inlineStr">
        <is>
          <t>HH_Elast</t>
        </is>
      </c>
      <c r="K133" s="9" t="str">
        <f>LOWER(CtryCode)&amp;".distn."&amp;$A133&amp;IF($B133="","","."&amp;$B133)&amp;IF($C133="","",".dec."&amp;$C133)&amp;"."&amp;K$5</f>
        <v>egy.distn.eps.coa.1</v>
      </c>
      <c r="L133" s="208">
        <f>INDEX(DElVal,MATCH(CtryCode&amp;".distn."&amp;L$10&amp;"ove.mean"&amp;L$11,DElKey,0),MATCH($D133,DElVar,0))</f>
        <v>-0.7859903573989868</v>
      </c>
      <c r="M133" s="203">
        <f>INDEX(DElVal,MATCH(CtryCode&amp;".distn."&amp;M$10&amp;"ove.mean"&amp;M$11,DElKey,0),MATCH($D133,DElVar,0))</f>
        <v>-0.790256917476654</v>
      </c>
      <c r="N133" s="203">
        <f>INDEX(DElVal,MATCH(CtryCode&amp;".distn."&amp;N$10&amp;"ove.mean"&amp;N$11,DElKey,0),MATCH($D133,DElVar,0))</f>
        <v>-0.790256917476654</v>
      </c>
      <c r="O133" s="203">
        <f>INDEX(DElVal,MATCH(CtryCode&amp;".distn."&amp;O$10&amp;"ove.mean"&amp;O$11,DElKey,0),MATCH($D133,DElVar,0))</f>
        <v>-0.790256917476654</v>
      </c>
      <c r="P133" s="203">
        <f>INDEX(DElVal,MATCH(CtryCode&amp;".distn."&amp;P$10&amp;"ove.mean"&amp;P$11,DElKey,0),MATCH($D133,DElVar,0))</f>
        <v>-0.7839999794960022</v>
      </c>
      <c r="Q133" s="203">
        <f>INDEX(DElVal,MATCH(CtryCode&amp;".distn."&amp;Q$10&amp;"ove.mean"&amp;Q$11,DElKey,0),MATCH($D133,DElVar,0))</f>
        <v>-0.7839999794960022</v>
      </c>
      <c r="R133" s="203">
        <f>INDEX(DElVal,MATCH(CtryCode&amp;".distn."&amp;R$10&amp;"ove.mean"&amp;R$11,DElKey,0),MATCH($D133,DElVar,0))</f>
        <v>-0.7839999794960022</v>
      </c>
      <c r="S133" s="203">
        <f>INDEX(DElVal,MATCH(CtryCode&amp;".distn."&amp;S$10&amp;"ove.mean"&amp;S$11,DElKey,0),MATCH($D133,DElVar,0))</f>
        <v>-0.7839999794960022</v>
      </c>
      <c r="T133" s="203">
        <f>INDEX(DElVal,MATCH(CtryCode&amp;".distn."&amp;T$10&amp;"ove.mean"&amp;T$11,DElKey,0),MATCH($D133,DElVar,0))</f>
        <v>-0.7843776941299438</v>
      </c>
      <c r="U133" s="203">
        <f>INDEX(DElVal,MATCH(CtryCode&amp;".distn."&amp;U$10&amp;"ove.mean"&amp;U$11,DElKey,0),MATCH($D133,DElVar,0))</f>
        <v>-0.7843776941299438</v>
      </c>
      <c r="V133" s="203">
        <f>INDEX(DElVal,MATCH(CtryCode&amp;".distn."&amp;V$10&amp;"ove.mean"&amp;V$11,DElKey,0),MATCH($D133,DElVar,0))</f>
        <v>-0.7843776941299438</v>
      </c>
      <c r="W133" s="207" t="str">
        <f>IF(X$5=K$5,SUM(Y133:AI133)-SUM(L133:V133),"")</f>
        <v/>
      </c>
      <c r="X133" s="9" t="str">
        <f>LOWER(CtryCode)&amp;".distn."&amp;$A133&amp;IF($B133="","","."&amp;$B133)&amp;IF($C133="","",".dec."&amp;$C133)&amp;"."&amp;X$5</f>
        <v>egy.distn.eps.coa.2</v>
      </c>
      <c r="Y133" s="208">
        <f>INDEX(DElVal,MATCH(CtryCode&amp;".distn."&amp;Y$10&amp;"ove.mean"&amp;Y$11,DElKey,0),MATCH($D133,DElVar,0))</f>
        <v>-0.7859903573989868</v>
      </c>
      <c r="Z133" s="203">
        <f>INDEX(DElVal,MATCH(CtryCode&amp;".distn."&amp;Z$10&amp;"ove.mean"&amp;Z$11,DElKey,0),MATCH($D133,DElVar,0))</f>
        <v>-0.790256917476654</v>
      </c>
      <c r="AA133" s="203">
        <f>INDEX(DElVal,MATCH(CtryCode&amp;".distn."&amp;AA$10&amp;"ove.mean"&amp;AA$11,DElKey,0),MATCH($D133,DElVar,0))</f>
        <v>-0.790256917476654</v>
      </c>
      <c r="AB133" s="203">
        <f>INDEX(DElVal,MATCH(CtryCode&amp;".distn."&amp;AB$10&amp;"ove.mean"&amp;AB$11,DElKey,0),MATCH($D133,DElVar,0))</f>
        <v>-0.790256917476654</v>
      </c>
      <c r="AC133" s="203">
        <f>INDEX(DElVal,MATCH(CtryCode&amp;".distn."&amp;AC$10&amp;"ove.mean"&amp;AC$11,DElKey,0),MATCH($D133,DElVar,0))</f>
        <v>-0.7839999794960022</v>
      </c>
      <c r="AD133" s="203">
        <f>INDEX(DElVal,MATCH(CtryCode&amp;".distn."&amp;AD$10&amp;"ove.mean"&amp;AD$11,DElKey,0),MATCH($D133,DElVar,0))</f>
        <v>-0.7839999794960022</v>
      </c>
      <c r="AE133" s="203">
        <f>INDEX(DElVal,MATCH(CtryCode&amp;".distn."&amp;AE$10&amp;"ove.mean"&amp;AE$11,DElKey,0),MATCH($D133,DElVar,0))</f>
        <v>-0.7839999794960022</v>
      </c>
      <c r="AF133" s="203">
        <f>INDEX(DElVal,MATCH(CtryCode&amp;".distn."&amp;AF$10&amp;"ove.mean"&amp;AF$11,DElKey,0),MATCH($D133,DElVar,0))</f>
        <v>-0.7839999794960022</v>
      </c>
      <c r="AG133" s="203">
        <f>INDEX(DElVal,MATCH(CtryCode&amp;".distn."&amp;AG$10&amp;"ove.mean"&amp;AG$11,DElKey,0),MATCH($D133,DElVar,0))</f>
        <v>-0.7843776941299438</v>
      </c>
      <c r="AH133" s="203">
        <f>INDEX(DElVal,MATCH(CtryCode&amp;".distn."&amp;AH$10&amp;"ove.mean"&amp;AH$11,DElKey,0),MATCH($D133,DElVar,0))</f>
        <v>-0.7843776941299438</v>
      </c>
      <c r="AI133" s="203">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33" t="inlineStr">
        <is>
          <t>HH_Elast</t>
        </is>
      </c>
      <c r="K134" s="9" t="str">
        <f>LOWER(CtryCode)&amp;".distn."&amp;$A134&amp;IF($B134="","","."&amp;$B134)&amp;IF($C134="","",".dec."&amp;$C134)&amp;"."&amp;K$5</f>
        <v>egy.distn.eps.ely.1</v>
      </c>
      <c r="L134" s="208">
        <f>INDEX(DElVal,MATCH(CtryCode&amp;".distn."&amp;L$10&amp;"ove.mean"&amp;L$11,DElKey,0),MATCH($D134,DElVar,0))</f>
        <v>-0.7859903573989868</v>
      </c>
      <c r="M134" s="203">
        <f>INDEX(DElVal,MATCH(CtryCode&amp;".distn."&amp;M$10&amp;"ove.mean"&amp;M$11,DElKey,0),MATCH($D134,DElVar,0))</f>
        <v>-0.790256917476654</v>
      </c>
      <c r="N134" s="203">
        <f>INDEX(DElVal,MATCH(CtryCode&amp;".distn."&amp;N$10&amp;"ove.mean"&amp;N$11,DElKey,0),MATCH($D134,DElVar,0))</f>
        <v>-0.790256917476654</v>
      </c>
      <c r="O134" s="203">
        <f>INDEX(DElVal,MATCH(CtryCode&amp;".distn."&amp;O$10&amp;"ove.mean"&amp;O$11,DElKey,0),MATCH($D134,DElVar,0))</f>
        <v>-0.790256917476654</v>
      </c>
      <c r="P134" s="203">
        <f>INDEX(DElVal,MATCH(CtryCode&amp;".distn."&amp;P$10&amp;"ove.mean"&amp;P$11,DElKey,0),MATCH($D134,DElVar,0))</f>
        <v>-0.7839999794960022</v>
      </c>
      <c r="Q134" s="203">
        <f>INDEX(DElVal,MATCH(CtryCode&amp;".distn."&amp;Q$10&amp;"ove.mean"&amp;Q$11,DElKey,0),MATCH($D134,DElVar,0))</f>
        <v>-0.7839999794960022</v>
      </c>
      <c r="R134" s="203">
        <f>INDEX(DElVal,MATCH(CtryCode&amp;".distn."&amp;R$10&amp;"ove.mean"&amp;R$11,DElKey,0),MATCH($D134,DElVar,0))</f>
        <v>-0.7839999794960022</v>
      </c>
      <c r="S134" s="203">
        <f>INDEX(DElVal,MATCH(CtryCode&amp;".distn."&amp;S$10&amp;"ove.mean"&amp;S$11,DElKey,0),MATCH($D134,DElVar,0))</f>
        <v>-0.7839999794960022</v>
      </c>
      <c r="T134" s="203">
        <f>INDEX(DElVal,MATCH(CtryCode&amp;".distn."&amp;T$10&amp;"ove.mean"&amp;T$11,DElKey,0),MATCH($D134,DElVar,0))</f>
        <v>-0.7843776941299438</v>
      </c>
      <c r="U134" s="203">
        <f>INDEX(DElVal,MATCH(CtryCode&amp;".distn."&amp;U$10&amp;"ove.mean"&amp;U$11,DElKey,0),MATCH($D134,DElVar,0))</f>
        <v>-0.7843776941299438</v>
      </c>
      <c r="V134" s="203">
        <f>INDEX(DElVal,MATCH(CtryCode&amp;".distn."&amp;V$10&amp;"ove.mean"&amp;V$11,DElKey,0),MATCH($D134,DElVar,0))</f>
        <v>-0.7843776941299438</v>
      </c>
      <c r="W134" s="207" t="str">
        <f>IF(X$5=K$5,SUM(Y134:AI134)-SUM(L134:V134),"")</f>
        <v/>
      </c>
      <c r="X134" s="9" t="str">
        <f>LOWER(CtryCode)&amp;".distn."&amp;$A134&amp;IF($B134="","","."&amp;$B134)&amp;IF($C134="","",".dec."&amp;$C134)&amp;"."&amp;X$5</f>
        <v>egy.distn.eps.ely.2</v>
      </c>
      <c r="Y134" s="208">
        <f>INDEX(DElVal,MATCH(CtryCode&amp;".distn."&amp;Y$10&amp;"ove.mean"&amp;Y$11,DElKey,0),MATCH($D134,DElVar,0))</f>
        <v>-0.7859903573989868</v>
      </c>
      <c r="Z134" s="203">
        <f>INDEX(DElVal,MATCH(CtryCode&amp;".distn."&amp;Z$10&amp;"ove.mean"&amp;Z$11,DElKey,0),MATCH($D134,DElVar,0))</f>
        <v>-0.790256917476654</v>
      </c>
      <c r="AA134" s="203">
        <f>INDEX(DElVal,MATCH(CtryCode&amp;".distn."&amp;AA$10&amp;"ove.mean"&amp;AA$11,DElKey,0),MATCH($D134,DElVar,0))</f>
        <v>-0.790256917476654</v>
      </c>
      <c r="AB134" s="203">
        <f>INDEX(DElVal,MATCH(CtryCode&amp;".distn."&amp;AB$10&amp;"ove.mean"&amp;AB$11,DElKey,0),MATCH($D134,DElVar,0))</f>
        <v>-0.790256917476654</v>
      </c>
      <c r="AC134" s="203">
        <f>INDEX(DElVal,MATCH(CtryCode&amp;".distn."&amp;AC$10&amp;"ove.mean"&amp;AC$11,DElKey,0),MATCH($D134,DElVar,0))</f>
        <v>-0.7839999794960022</v>
      </c>
      <c r="AD134" s="203">
        <f>INDEX(DElVal,MATCH(CtryCode&amp;".distn."&amp;AD$10&amp;"ove.mean"&amp;AD$11,DElKey,0),MATCH($D134,DElVar,0))</f>
        <v>-0.7839999794960022</v>
      </c>
      <c r="AE134" s="203">
        <f>INDEX(DElVal,MATCH(CtryCode&amp;".distn."&amp;AE$10&amp;"ove.mean"&amp;AE$11,DElKey,0),MATCH($D134,DElVar,0))</f>
        <v>-0.7839999794960022</v>
      </c>
      <c r="AF134" s="203">
        <f>INDEX(DElVal,MATCH(CtryCode&amp;".distn."&amp;AF$10&amp;"ove.mean"&amp;AF$11,DElKey,0),MATCH($D134,DElVar,0))</f>
        <v>-0.7839999794960022</v>
      </c>
      <c r="AG134" s="203">
        <f>INDEX(DElVal,MATCH(CtryCode&amp;".distn."&amp;AG$10&amp;"ove.mean"&amp;AG$11,DElKey,0),MATCH($D134,DElVar,0))</f>
        <v>-0.7843776941299438</v>
      </c>
      <c r="AH134" s="203">
        <f>INDEX(DElVal,MATCH(CtryCode&amp;".distn."&amp;AH$10&amp;"ove.mean"&amp;AH$11,DElKey,0),MATCH($D134,DElVar,0))</f>
        <v>-0.7843776941299438</v>
      </c>
      <c r="AI134" s="203">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33" t="inlineStr">
        <is>
          <t>HH_Elast</t>
        </is>
      </c>
      <c r="K135" s="9" t="str">
        <f>LOWER(CtryCode)&amp;".distn."&amp;$A135&amp;IF($B135="","","."&amp;$B135)&amp;IF($C135="","",".dec."&amp;$C135)&amp;"."&amp;K$5</f>
        <v>egy.distn.eps.nga.1</v>
      </c>
      <c r="L135" s="208">
        <f>INDEX(DElVal,MATCH(CtryCode&amp;".distn."&amp;L$10&amp;"ove.mean"&amp;L$11,DElKey,0),MATCH($D135,DElVar,0))</f>
        <v>-0.7859903573989868</v>
      </c>
      <c r="M135" s="203">
        <f>INDEX(DElVal,MATCH(CtryCode&amp;".distn."&amp;M$10&amp;"ove.mean"&amp;M$11,DElKey,0),MATCH($D135,DElVar,0))</f>
        <v>-0.790256917476654</v>
      </c>
      <c r="N135" s="203">
        <f>INDEX(DElVal,MATCH(CtryCode&amp;".distn."&amp;N$10&amp;"ove.mean"&amp;N$11,DElKey,0),MATCH($D135,DElVar,0))</f>
        <v>-0.790256917476654</v>
      </c>
      <c r="O135" s="203">
        <f>INDEX(DElVal,MATCH(CtryCode&amp;".distn."&amp;O$10&amp;"ove.mean"&amp;O$11,DElKey,0),MATCH($D135,DElVar,0))</f>
        <v>-0.790256917476654</v>
      </c>
      <c r="P135" s="203">
        <f>INDEX(DElVal,MATCH(CtryCode&amp;".distn."&amp;P$10&amp;"ove.mean"&amp;P$11,DElKey,0),MATCH($D135,DElVar,0))</f>
        <v>-0.7839999794960022</v>
      </c>
      <c r="Q135" s="203">
        <f>INDEX(DElVal,MATCH(CtryCode&amp;".distn."&amp;Q$10&amp;"ove.mean"&amp;Q$11,DElKey,0),MATCH($D135,DElVar,0))</f>
        <v>-0.7839999794960022</v>
      </c>
      <c r="R135" s="203">
        <f>INDEX(DElVal,MATCH(CtryCode&amp;".distn."&amp;R$10&amp;"ove.mean"&amp;R$11,DElKey,0),MATCH($D135,DElVar,0))</f>
        <v>-0.7839999794960022</v>
      </c>
      <c r="S135" s="203">
        <f>INDEX(DElVal,MATCH(CtryCode&amp;".distn."&amp;S$10&amp;"ove.mean"&amp;S$11,DElKey,0),MATCH($D135,DElVar,0))</f>
        <v>-0.7839999794960022</v>
      </c>
      <c r="T135" s="203">
        <f>INDEX(DElVal,MATCH(CtryCode&amp;".distn."&amp;T$10&amp;"ove.mean"&amp;T$11,DElKey,0),MATCH($D135,DElVar,0))</f>
        <v>-0.7843776941299438</v>
      </c>
      <c r="U135" s="203">
        <f>INDEX(DElVal,MATCH(CtryCode&amp;".distn."&amp;U$10&amp;"ove.mean"&amp;U$11,DElKey,0),MATCH($D135,DElVar,0))</f>
        <v>-0.7843776941299438</v>
      </c>
      <c r="V135" s="203">
        <f>INDEX(DElVal,MATCH(CtryCode&amp;".distn."&amp;V$10&amp;"ove.mean"&amp;V$11,DElKey,0),MATCH($D135,DElVar,0))</f>
        <v>-0.7843776941299438</v>
      </c>
      <c r="W135" s="207" t="str">
        <f>IF(X$5=K$5,SUM(Y135:AI135)-SUM(L135:V135),"")</f>
        <v/>
      </c>
      <c r="X135" s="9" t="str">
        <f>LOWER(CtryCode)&amp;".distn."&amp;$A135&amp;IF($B135="","","."&amp;$B135)&amp;IF($C135="","",".dec."&amp;$C135)&amp;"."&amp;X$5</f>
        <v>egy.distn.eps.nga.2</v>
      </c>
      <c r="Y135" s="208">
        <f>INDEX(DElVal,MATCH(CtryCode&amp;".distn."&amp;Y$10&amp;"ove.mean"&amp;Y$11,DElKey,0),MATCH($D135,DElVar,0))</f>
        <v>-0.7859903573989868</v>
      </c>
      <c r="Z135" s="203">
        <f>INDEX(DElVal,MATCH(CtryCode&amp;".distn."&amp;Z$10&amp;"ove.mean"&amp;Z$11,DElKey,0),MATCH($D135,DElVar,0))</f>
        <v>-0.790256917476654</v>
      </c>
      <c r="AA135" s="203">
        <f>INDEX(DElVal,MATCH(CtryCode&amp;".distn."&amp;AA$10&amp;"ove.mean"&amp;AA$11,DElKey,0),MATCH($D135,DElVar,0))</f>
        <v>-0.790256917476654</v>
      </c>
      <c r="AB135" s="203">
        <f>INDEX(DElVal,MATCH(CtryCode&amp;".distn."&amp;AB$10&amp;"ove.mean"&amp;AB$11,DElKey,0),MATCH($D135,DElVar,0))</f>
        <v>-0.790256917476654</v>
      </c>
      <c r="AC135" s="203">
        <f>INDEX(DElVal,MATCH(CtryCode&amp;".distn."&amp;AC$10&amp;"ove.mean"&amp;AC$11,DElKey,0),MATCH($D135,DElVar,0))</f>
        <v>-0.7839999794960022</v>
      </c>
      <c r="AD135" s="203">
        <f>INDEX(DElVal,MATCH(CtryCode&amp;".distn."&amp;AD$10&amp;"ove.mean"&amp;AD$11,DElKey,0),MATCH($D135,DElVar,0))</f>
        <v>-0.7839999794960022</v>
      </c>
      <c r="AE135" s="203">
        <f>INDEX(DElVal,MATCH(CtryCode&amp;".distn."&amp;AE$10&amp;"ove.mean"&amp;AE$11,DElKey,0),MATCH($D135,DElVar,0))</f>
        <v>-0.7839999794960022</v>
      </c>
      <c r="AF135" s="203">
        <f>INDEX(DElVal,MATCH(CtryCode&amp;".distn."&amp;AF$10&amp;"ove.mean"&amp;AF$11,DElKey,0),MATCH($D135,DElVar,0))</f>
        <v>-0.7839999794960022</v>
      </c>
      <c r="AG135" s="203">
        <f>INDEX(DElVal,MATCH(CtryCode&amp;".distn."&amp;AG$10&amp;"ove.mean"&amp;AG$11,DElKey,0),MATCH($D135,DElVar,0))</f>
        <v>-0.7843776941299438</v>
      </c>
      <c r="AH135" s="203">
        <f>INDEX(DElVal,MATCH(CtryCode&amp;".distn."&amp;AH$10&amp;"ove.mean"&amp;AH$11,DElKey,0),MATCH($D135,DElVar,0))</f>
        <v>-0.7843776941299438</v>
      </c>
      <c r="AI135" s="203">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33" t="inlineStr">
        <is>
          <t>HH_Elast</t>
        </is>
      </c>
      <c r="K136" s="9" t="str">
        <f>LOWER(CtryCode)&amp;".distn."&amp;$A136&amp;IF($B136="","","."&amp;$B136)&amp;IF($C136="","",".dec."&amp;$C136)&amp;"."&amp;K$5</f>
        <v>egy.distn.eps.oil.1</v>
      </c>
      <c r="L136" s="208">
        <f>INDEX(DElVal,MATCH(CtryCode&amp;".distn."&amp;L$10&amp;"ove.mean"&amp;L$11,DElKey,0),MATCH($D136,DElVar,0))</f>
        <v>-0.7859903573989868</v>
      </c>
      <c r="M136" s="203">
        <f>INDEX(DElVal,MATCH(CtryCode&amp;".distn."&amp;M$10&amp;"ove.mean"&amp;M$11,DElKey,0),MATCH($D136,DElVar,0))</f>
        <v>-0.790256917476654</v>
      </c>
      <c r="N136" s="203">
        <f>INDEX(DElVal,MATCH(CtryCode&amp;".distn."&amp;N$10&amp;"ove.mean"&amp;N$11,DElKey,0),MATCH($D136,DElVar,0))</f>
        <v>-0.790256917476654</v>
      </c>
      <c r="O136" s="203">
        <f>INDEX(DElVal,MATCH(CtryCode&amp;".distn."&amp;O$10&amp;"ove.mean"&amp;O$11,DElKey,0),MATCH($D136,DElVar,0))</f>
        <v>-0.790256917476654</v>
      </c>
      <c r="P136" s="203">
        <f>INDEX(DElVal,MATCH(CtryCode&amp;".distn."&amp;P$10&amp;"ove.mean"&amp;P$11,DElKey,0),MATCH($D136,DElVar,0))</f>
        <v>-0.7839999794960022</v>
      </c>
      <c r="Q136" s="203">
        <f>INDEX(DElVal,MATCH(CtryCode&amp;".distn."&amp;Q$10&amp;"ove.mean"&amp;Q$11,DElKey,0),MATCH($D136,DElVar,0))</f>
        <v>-0.7839999794960022</v>
      </c>
      <c r="R136" s="203">
        <f>INDEX(DElVal,MATCH(CtryCode&amp;".distn."&amp;R$10&amp;"ove.mean"&amp;R$11,DElKey,0),MATCH($D136,DElVar,0))</f>
        <v>-0.7839999794960022</v>
      </c>
      <c r="S136" s="203">
        <f>INDEX(DElVal,MATCH(CtryCode&amp;".distn."&amp;S$10&amp;"ove.mean"&amp;S$11,DElKey,0),MATCH($D136,DElVar,0))</f>
        <v>-0.7839999794960022</v>
      </c>
      <c r="T136" s="203">
        <f>INDEX(DElVal,MATCH(CtryCode&amp;".distn."&amp;T$10&amp;"ove.mean"&amp;T$11,DElKey,0),MATCH($D136,DElVar,0))</f>
        <v>-0.7843776941299438</v>
      </c>
      <c r="U136" s="203">
        <f>INDEX(DElVal,MATCH(CtryCode&amp;".distn."&amp;U$10&amp;"ove.mean"&amp;U$11,DElKey,0),MATCH($D136,DElVar,0))</f>
        <v>-0.7843776941299438</v>
      </c>
      <c r="V136" s="203">
        <f>INDEX(DElVal,MATCH(CtryCode&amp;".distn."&amp;V$10&amp;"ove.mean"&amp;V$11,DElKey,0),MATCH($D136,DElVar,0))</f>
        <v>-0.7843776941299438</v>
      </c>
      <c r="W136" s="207" t="str">
        <f>IF(X$5=K$5,SUM(Y136:AI136)-SUM(L136:V136),"")</f>
        <v/>
      </c>
      <c r="X136" s="9" t="str">
        <f>LOWER(CtryCode)&amp;".distn."&amp;$A136&amp;IF($B136="","","."&amp;$B136)&amp;IF($C136="","",".dec."&amp;$C136)&amp;"."&amp;X$5</f>
        <v>egy.distn.eps.oil.2</v>
      </c>
      <c r="Y136" s="208">
        <f>INDEX(DElVal,MATCH(CtryCode&amp;".distn."&amp;Y$10&amp;"ove.mean"&amp;Y$11,DElKey,0),MATCH($D136,DElVar,0))</f>
        <v>-0.7859903573989868</v>
      </c>
      <c r="Z136" s="203">
        <f>INDEX(DElVal,MATCH(CtryCode&amp;".distn."&amp;Z$10&amp;"ove.mean"&amp;Z$11,DElKey,0),MATCH($D136,DElVar,0))</f>
        <v>-0.790256917476654</v>
      </c>
      <c r="AA136" s="203">
        <f>INDEX(DElVal,MATCH(CtryCode&amp;".distn."&amp;AA$10&amp;"ove.mean"&amp;AA$11,DElKey,0),MATCH($D136,DElVar,0))</f>
        <v>-0.790256917476654</v>
      </c>
      <c r="AB136" s="203">
        <f>INDEX(DElVal,MATCH(CtryCode&amp;".distn."&amp;AB$10&amp;"ove.mean"&amp;AB$11,DElKey,0),MATCH($D136,DElVar,0))</f>
        <v>-0.790256917476654</v>
      </c>
      <c r="AC136" s="203">
        <f>INDEX(DElVal,MATCH(CtryCode&amp;".distn."&amp;AC$10&amp;"ove.mean"&amp;AC$11,DElKey,0),MATCH($D136,DElVar,0))</f>
        <v>-0.7839999794960022</v>
      </c>
      <c r="AD136" s="203">
        <f>INDEX(DElVal,MATCH(CtryCode&amp;".distn."&amp;AD$10&amp;"ove.mean"&amp;AD$11,DElKey,0),MATCH($D136,DElVar,0))</f>
        <v>-0.7839999794960022</v>
      </c>
      <c r="AE136" s="203">
        <f>INDEX(DElVal,MATCH(CtryCode&amp;".distn."&amp;AE$10&amp;"ove.mean"&amp;AE$11,DElKey,0),MATCH($D136,DElVar,0))</f>
        <v>-0.7839999794960022</v>
      </c>
      <c r="AF136" s="203">
        <f>INDEX(DElVal,MATCH(CtryCode&amp;".distn."&amp;AF$10&amp;"ove.mean"&amp;AF$11,DElKey,0),MATCH($D136,DElVar,0))</f>
        <v>-0.7839999794960022</v>
      </c>
      <c r="AG136" s="203">
        <f>INDEX(DElVal,MATCH(CtryCode&amp;".distn."&amp;AG$10&amp;"ove.mean"&amp;AG$11,DElKey,0),MATCH($D136,DElVar,0))</f>
        <v>-0.7843776941299438</v>
      </c>
      <c r="AH136" s="203">
        <f>INDEX(DElVal,MATCH(CtryCode&amp;".distn."&amp;AH$10&amp;"ove.mean"&amp;AH$11,DElKey,0),MATCH($D136,DElVar,0))</f>
        <v>-0.7843776941299438</v>
      </c>
      <c r="AI136" s="203">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33" t="inlineStr">
        <is>
          <t>HH_Elast</t>
        </is>
      </c>
      <c r="K137" s="9" t="str">
        <f>LOWER(CtryCode)&amp;".distn."&amp;$A137&amp;IF($B137="","","."&amp;$B137)&amp;IF($C137="","",".dec."&amp;$C137)&amp;"."&amp;K$5</f>
        <v>egy.distn.eps.gso.1</v>
      </c>
      <c r="L137" s="208">
        <f>INDEX(DElVal,MATCH(CtryCode&amp;".distn."&amp;L$10&amp;"ove.mean"&amp;L$11,DElKey,0),MATCH($D137,DElVar,0))</f>
        <v>-0.8737958073616028</v>
      </c>
      <c r="M137" s="203">
        <f>INDEX(DElVal,MATCH(CtryCode&amp;".distn."&amp;M$10&amp;"ove.mean"&amp;M$11,DElKey,0),MATCH($D137,DElVar,0))</f>
        <v>-0.9036660194396973</v>
      </c>
      <c r="N137" s="203">
        <f>INDEX(DElVal,MATCH(CtryCode&amp;".distn."&amp;N$10&amp;"ove.mean"&amp;N$11,DElKey,0),MATCH($D137,DElVar,0))</f>
        <v>-0.9036660194396973</v>
      </c>
      <c r="O137" s="203">
        <f>INDEX(DElVal,MATCH(CtryCode&amp;".distn."&amp;O$10&amp;"ove.mean"&amp;O$11,DElKey,0),MATCH($D137,DElVar,0))</f>
        <v>-0.9036660194396973</v>
      </c>
      <c r="P137" s="203">
        <f>INDEX(DElVal,MATCH(CtryCode&amp;".distn."&amp;P$10&amp;"ove.mean"&amp;P$11,DElKey,0),MATCH($D137,DElVar,0))</f>
        <v>-0.8600000143051147</v>
      </c>
      <c r="Q137" s="203">
        <f>INDEX(DElVal,MATCH(CtryCode&amp;".distn."&amp;Q$10&amp;"ove.mean"&amp;Q$11,DElKey,0),MATCH($D137,DElVar,0))</f>
        <v>-0.8600000143051147</v>
      </c>
      <c r="R137" s="203">
        <f>INDEX(DElVal,MATCH(CtryCode&amp;".distn."&amp;R$10&amp;"ove.mean"&amp;R$11,DElKey,0),MATCH($D137,DElVar,0))</f>
        <v>-0.8600000143051147</v>
      </c>
      <c r="S137" s="203">
        <f>INDEX(DElVal,MATCH(CtryCode&amp;".distn."&amp;S$10&amp;"ove.mean"&amp;S$11,DElKey,0),MATCH($D137,DElVar,0))</f>
        <v>-0.8600000143051147</v>
      </c>
      <c r="T137" s="203">
        <f>INDEX(DElVal,MATCH(CtryCode&amp;".distn."&amp;T$10&amp;"ove.mean"&amp;T$11,DElKey,0),MATCH($D137,DElVar,0))</f>
        <v>-0.8623199462890625</v>
      </c>
      <c r="U137" s="203">
        <f>INDEX(DElVal,MATCH(CtryCode&amp;".distn."&amp;U$10&amp;"ove.mean"&amp;U$11,DElKey,0),MATCH($D137,DElVar,0))</f>
        <v>-0.8623199462890625</v>
      </c>
      <c r="V137" s="203">
        <f>INDEX(DElVal,MATCH(CtryCode&amp;".distn."&amp;V$10&amp;"ove.mean"&amp;V$11,DElKey,0),MATCH($D137,DElVar,0))</f>
        <v>-0.8623199462890625</v>
      </c>
      <c r="W137" s="207" t="str">
        <f>IF(X$5=K$5,SUM(Y137:AI137)-SUM(L137:V137),"")</f>
        <v/>
      </c>
      <c r="X137" s="9" t="str">
        <f>LOWER(CtryCode)&amp;".distn."&amp;$A137&amp;IF($B137="","","."&amp;$B137)&amp;IF($C137="","",".dec."&amp;$C137)&amp;"."&amp;X$5</f>
        <v>egy.distn.eps.gso.2</v>
      </c>
      <c r="Y137" s="208">
        <f>INDEX(DElVal,MATCH(CtryCode&amp;".distn."&amp;Y$10&amp;"ove.mean"&amp;Y$11,DElKey,0),MATCH($D137,DElVar,0))</f>
        <v>-0.8737958073616028</v>
      </c>
      <c r="Z137" s="203">
        <f>INDEX(DElVal,MATCH(CtryCode&amp;".distn."&amp;Z$10&amp;"ove.mean"&amp;Z$11,DElKey,0),MATCH($D137,DElVar,0))</f>
        <v>-0.9036660194396973</v>
      </c>
      <c r="AA137" s="203">
        <f>INDEX(DElVal,MATCH(CtryCode&amp;".distn."&amp;AA$10&amp;"ove.mean"&amp;AA$11,DElKey,0),MATCH($D137,DElVar,0))</f>
        <v>-0.9036660194396973</v>
      </c>
      <c r="AB137" s="203">
        <f>INDEX(DElVal,MATCH(CtryCode&amp;".distn."&amp;AB$10&amp;"ove.mean"&amp;AB$11,DElKey,0),MATCH($D137,DElVar,0))</f>
        <v>-0.9036660194396973</v>
      </c>
      <c r="AC137" s="203">
        <f>INDEX(DElVal,MATCH(CtryCode&amp;".distn."&amp;AC$10&amp;"ove.mean"&amp;AC$11,DElKey,0),MATCH($D137,DElVar,0))</f>
        <v>-0.8600000143051147</v>
      </c>
      <c r="AD137" s="203">
        <f>INDEX(DElVal,MATCH(CtryCode&amp;".distn."&amp;AD$10&amp;"ove.mean"&amp;AD$11,DElKey,0),MATCH($D137,DElVar,0))</f>
        <v>-0.8600000143051147</v>
      </c>
      <c r="AE137" s="203">
        <f>INDEX(DElVal,MATCH(CtryCode&amp;".distn."&amp;AE$10&amp;"ove.mean"&amp;AE$11,DElKey,0),MATCH($D137,DElVar,0))</f>
        <v>-0.8600000143051147</v>
      </c>
      <c r="AF137" s="203">
        <f>INDEX(DElVal,MATCH(CtryCode&amp;".distn."&amp;AF$10&amp;"ove.mean"&amp;AF$11,DElKey,0),MATCH($D137,DElVar,0))</f>
        <v>-0.8600000143051147</v>
      </c>
      <c r="AG137" s="203">
        <f>INDEX(DElVal,MATCH(CtryCode&amp;".distn."&amp;AG$10&amp;"ove.mean"&amp;AG$11,DElKey,0),MATCH($D137,DElVar,0))</f>
        <v>-0.8623199462890625</v>
      </c>
      <c r="AH137" s="203">
        <f>INDEX(DElVal,MATCH(CtryCode&amp;".distn."&amp;AH$10&amp;"ove.mean"&amp;AH$11,DElKey,0),MATCH($D137,DElVar,0))</f>
        <v>-0.8623199462890625</v>
      </c>
      <c r="AI137" s="203">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33" t="inlineStr">
        <is>
          <t>HH_Elast</t>
        </is>
      </c>
      <c r="K138" s="9" t="str">
        <f>LOWER(CtryCode)&amp;".distn."&amp;$A138&amp;IF($B138="","","."&amp;$B138)&amp;IF($C138="","",".dec."&amp;$C138)&amp;"."&amp;K$5</f>
        <v>egy.distn.eps.die.1</v>
      </c>
      <c r="L138" s="208">
        <f>INDEX(DElVal,MATCH(CtryCode&amp;".distn."&amp;L$10&amp;"ove.mean"&amp;L$11,DElKey,0),MATCH($D138,DElVar,0))</f>
        <v>-0.8737958073616028</v>
      </c>
      <c r="M138" s="203">
        <f>INDEX(DElVal,MATCH(CtryCode&amp;".distn."&amp;M$10&amp;"ove.mean"&amp;M$11,DElKey,0),MATCH($D138,DElVar,0))</f>
        <v>-0.9036660194396973</v>
      </c>
      <c r="N138" s="203">
        <f>INDEX(DElVal,MATCH(CtryCode&amp;".distn."&amp;N$10&amp;"ove.mean"&amp;N$11,DElKey,0),MATCH($D138,DElVar,0))</f>
        <v>-0.9036660194396973</v>
      </c>
      <c r="O138" s="203">
        <f>INDEX(DElVal,MATCH(CtryCode&amp;".distn."&amp;O$10&amp;"ove.mean"&amp;O$11,DElKey,0),MATCH($D138,DElVar,0))</f>
        <v>-0.9036660194396973</v>
      </c>
      <c r="P138" s="203">
        <f>INDEX(DElVal,MATCH(CtryCode&amp;".distn."&amp;P$10&amp;"ove.mean"&amp;P$11,DElKey,0),MATCH($D138,DElVar,0))</f>
        <v>-0.8600000143051147</v>
      </c>
      <c r="Q138" s="203">
        <f>INDEX(DElVal,MATCH(CtryCode&amp;".distn."&amp;Q$10&amp;"ove.mean"&amp;Q$11,DElKey,0),MATCH($D138,DElVar,0))</f>
        <v>-0.8600000143051147</v>
      </c>
      <c r="R138" s="203">
        <f>INDEX(DElVal,MATCH(CtryCode&amp;".distn."&amp;R$10&amp;"ove.mean"&amp;R$11,DElKey,0),MATCH($D138,DElVar,0))</f>
        <v>-0.8600000143051147</v>
      </c>
      <c r="S138" s="203">
        <f>INDEX(DElVal,MATCH(CtryCode&amp;".distn."&amp;S$10&amp;"ove.mean"&amp;S$11,DElKey,0),MATCH($D138,DElVar,0))</f>
        <v>-0.8600000143051147</v>
      </c>
      <c r="T138" s="203">
        <f>INDEX(DElVal,MATCH(CtryCode&amp;".distn."&amp;T$10&amp;"ove.mean"&amp;T$11,DElKey,0),MATCH($D138,DElVar,0))</f>
        <v>-0.8623199462890625</v>
      </c>
      <c r="U138" s="203">
        <f>INDEX(DElVal,MATCH(CtryCode&amp;".distn."&amp;U$10&amp;"ove.mean"&amp;U$11,DElKey,0),MATCH($D138,DElVar,0))</f>
        <v>-0.8623199462890625</v>
      </c>
      <c r="V138" s="203">
        <f>INDEX(DElVal,MATCH(CtryCode&amp;".distn."&amp;V$10&amp;"ove.mean"&amp;V$11,DElKey,0),MATCH($D138,DElVar,0))</f>
        <v>-0.8623199462890625</v>
      </c>
      <c r="W138" s="207" t="str">
        <f>IF(X$5=K$5,SUM(Y138:AI138)-SUM(L138:V138),"")</f>
        <v/>
      </c>
      <c r="X138" s="9" t="str">
        <f>LOWER(CtryCode)&amp;".distn."&amp;$A138&amp;IF($B138="","","."&amp;$B138)&amp;IF($C138="","",".dec."&amp;$C138)&amp;"."&amp;X$5</f>
        <v>egy.distn.eps.die.2</v>
      </c>
      <c r="Y138" s="208">
        <f>INDEX(DElVal,MATCH(CtryCode&amp;".distn."&amp;Y$10&amp;"ove.mean"&amp;Y$11,DElKey,0),MATCH($D138,DElVar,0))</f>
        <v>-0.8737958073616028</v>
      </c>
      <c r="Z138" s="203">
        <f>INDEX(DElVal,MATCH(CtryCode&amp;".distn."&amp;Z$10&amp;"ove.mean"&amp;Z$11,DElKey,0),MATCH($D138,DElVar,0))</f>
        <v>-0.9036660194396973</v>
      </c>
      <c r="AA138" s="203">
        <f>INDEX(DElVal,MATCH(CtryCode&amp;".distn."&amp;AA$10&amp;"ove.mean"&amp;AA$11,DElKey,0),MATCH($D138,DElVar,0))</f>
        <v>-0.9036660194396973</v>
      </c>
      <c r="AB138" s="203">
        <f>INDEX(DElVal,MATCH(CtryCode&amp;".distn."&amp;AB$10&amp;"ove.mean"&amp;AB$11,DElKey,0),MATCH($D138,DElVar,0))</f>
        <v>-0.9036660194396973</v>
      </c>
      <c r="AC138" s="203">
        <f>INDEX(DElVal,MATCH(CtryCode&amp;".distn."&amp;AC$10&amp;"ove.mean"&amp;AC$11,DElKey,0),MATCH($D138,DElVar,0))</f>
        <v>-0.8600000143051147</v>
      </c>
      <c r="AD138" s="203">
        <f>INDEX(DElVal,MATCH(CtryCode&amp;".distn."&amp;AD$10&amp;"ove.mean"&amp;AD$11,DElKey,0),MATCH($D138,DElVar,0))</f>
        <v>-0.8600000143051147</v>
      </c>
      <c r="AE138" s="203">
        <f>INDEX(DElVal,MATCH(CtryCode&amp;".distn."&amp;AE$10&amp;"ove.mean"&amp;AE$11,DElKey,0),MATCH($D138,DElVar,0))</f>
        <v>-0.8600000143051147</v>
      </c>
      <c r="AF138" s="203">
        <f>INDEX(DElVal,MATCH(CtryCode&amp;".distn."&amp;AF$10&amp;"ove.mean"&amp;AF$11,DElKey,0),MATCH($D138,DElVar,0))</f>
        <v>-0.8600000143051147</v>
      </c>
      <c r="AG138" s="203">
        <f>INDEX(DElVal,MATCH(CtryCode&amp;".distn."&amp;AG$10&amp;"ove.mean"&amp;AG$11,DElKey,0),MATCH($D138,DElVar,0))</f>
        <v>-0.8623199462890625</v>
      </c>
      <c r="AH138" s="203">
        <f>INDEX(DElVal,MATCH(CtryCode&amp;".distn."&amp;AH$10&amp;"ove.mean"&amp;AH$11,DElKey,0),MATCH($D138,DElVar,0))</f>
        <v>-0.8623199462890625</v>
      </c>
      <c r="AI138" s="203">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33" t="inlineStr">
        <is>
          <t>HH_Elast</t>
        </is>
      </c>
      <c r="K139" s="9" t="str">
        <f>LOWER(CtryCode)&amp;".distn."&amp;$A139&amp;IF($B139="","","."&amp;$B139)&amp;IF($C139="","",".dec."&amp;$C139)&amp;"."&amp;K$5</f>
        <v>egy.distn.eps.ker.1</v>
      </c>
      <c r="L139" s="208">
        <f>INDEX(DElVal,MATCH(CtryCode&amp;".distn."&amp;L$10&amp;"ove.mean"&amp;L$11,DElKey,0),MATCH($D139,DElVar,0))</f>
        <v>-0.7859903573989868</v>
      </c>
      <c r="M139" s="203">
        <f>INDEX(DElVal,MATCH(CtryCode&amp;".distn."&amp;M$10&amp;"ove.mean"&amp;M$11,DElKey,0),MATCH($D139,DElVar,0))</f>
        <v>-0.790256917476654</v>
      </c>
      <c r="N139" s="203">
        <f>INDEX(DElVal,MATCH(CtryCode&amp;".distn."&amp;N$10&amp;"ove.mean"&amp;N$11,DElKey,0),MATCH($D139,DElVar,0))</f>
        <v>-0.790256917476654</v>
      </c>
      <c r="O139" s="203">
        <f>INDEX(DElVal,MATCH(CtryCode&amp;".distn."&amp;O$10&amp;"ove.mean"&amp;O$11,DElKey,0),MATCH($D139,DElVar,0))</f>
        <v>-0.790256917476654</v>
      </c>
      <c r="P139" s="203">
        <f>INDEX(DElVal,MATCH(CtryCode&amp;".distn."&amp;P$10&amp;"ove.mean"&amp;P$11,DElKey,0),MATCH($D139,DElVar,0))</f>
        <v>-0.7839999794960022</v>
      </c>
      <c r="Q139" s="203">
        <f>INDEX(DElVal,MATCH(CtryCode&amp;".distn."&amp;Q$10&amp;"ove.mean"&amp;Q$11,DElKey,0),MATCH($D139,DElVar,0))</f>
        <v>-0.7839999794960022</v>
      </c>
      <c r="R139" s="203">
        <f>INDEX(DElVal,MATCH(CtryCode&amp;".distn."&amp;R$10&amp;"ove.mean"&amp;R$11,DElKey,0),MATCH($D139,DElVar,0))</f>
        <v>-0.7839999794960022</v>
      </c>
      <c r="S139" s="203">
        <f>INDEX(DElVal,MATCH(CtryCode&amp;".distn."&amp;S$10&amp;"ove.mean"&amp;S$11,DElKey,0),MATCH($D139,DElVar,0))</f>
        <v>-0.7839999794960022</v>
      </c>
      <c r="T139" s="203">
        <f>INDEX(DElVal,MATCH(CtryCode&amp;".distn."&amp;T$10&amp;"ove.mean"&amp;T$11,DElKey,0),MATCH($D139,DElVar,0))</f>
        <v>-0.7843776941299438</v>
      </c>
      <c r="U139" s="203">
        <f>INDEX(DElVal,MATCH(CtryCode&amp;".distn."&amp;U$10&amp;"ove.mean"&amp;U$11,DElKey,0),MATCH($D139,DElVar,0))</f>
        <v>-0.7843776941299438</v>
      </c>
      <c r="V139" s="203">
        <f>INDEX(DElVal,MATCH(CtryCode&amp;".distn."&amp;V$10&amp;"ove.mean"&amp;V$11,DElKey,0),MATCH($D139,DElVar,0))</f>
        <v>-0.7843776941299438</v>
      </c>
      <c r="W139" s="207" t="str">
        <f>IF(X$5=K$5,SUM(Y139:AI139)-SUM(L139:V139),"")</f>
        <v/>
      </c>
      <c r="X139" s="9" t="str">
        <f>LOWER(CtryCode)&amp;".distn."&amp;$A139&amp;IF($B139="","","."&amp;$B139)&amp;IF($C139="","",".dec."&amp;$C139)&amp;"."&amp;X$5</f>
        <v>egy.distn.eps.ker.2</v>
      </c>
      <c r="Y139" s="208">
        <f>INDEX(DElVal,MATCH(CtryCode&amp;".distn."&amp;Y$10&amp;"ove.mean"&amp;Y$11,DElKey,0),MATCH($D139,DElVar,0))</f>
        <v>-0.7859903573989868</v>
      </c>
      <c r="Z139" s="203">
        <f>INDEX(DElVal,MATCH(CtryCode&amp;".distn."&amp;Z$10&amp;"ove.mean"&amp;Z$11,DElKey,0),MATCH($D139,DElVar,0))</f>
        <v>-0.790256917476654</v>
      </c>
      <c r="AA139" s="203">
        <f>INDEX(DElVal,MATCH(CtryCode&amp;".distn."&amp;AA$10&amp;"ove.mean"&amp;AA$11,DElKey,0),MATCH($D139,DElVar,0))</f>
        <v>-0.790256917476654</v>
      </c>
      <c r="AB139" s="203">
        <f>INDEX(DElVal,MATCH(CtryCode&amp;".distn."&amp;AB$10&amp;"ove.mean"&amp;AB$11,DElKey,0),MATCH($D139,DElVar,0))</f>
        <v>-0.790256917476654</v>
      </c>
      <c r="AC139" s="203">
        <f>INDEX(DElVal,MATCH(CtryCode&amp;".distn."&amp;AC$10&amp;"ove.mean"&amp;AC$11,DElKey,0),MATCH($D139,DElVar,0))</f>
        <v>-0.7839999794960022</v>
      </c>
      <c r="AD139" s="203">
        <f>INDEX(DElVal,MATCH(CtryCode&amp;".distn."&amp;AD$10&amp;"ove.mean"&amp;AD$11,DElKey,0),MATCH($D139,DElVar,0))</f>
        <v>-0.7839999794960022</v>
      </c>
      <c r="AE139" s="203">
        <f>INDEX(DElVal,MATCH(CtryCode&amp;".distn."&amp;AE$10&amp;"ove.mean"&amp;AE$11,DElKey,0),MATCH($D139,DElVar,0))</f>
        <v>-0.7839999794960022</v>
      </c>
      <c r="AF139" s="203">
        <f>INDEX(DElVal,MATCH(CtryCode&amp;".distn."&amp;AF$10&amp;"ove.mean"&amp;AF$11,DElKey,0),MATCH($D139,DElVar,0))</f>
        <v>-0.7839999794960022</v>
      </c>
      <c r="AG139" s="203">
        <f>INDEX(DElVal,MATCH(CtryCode&amp;".distn."&amp;AG$10&amp;"ove.mean"&amp;AG$11,DElKey,0),MATCH($D139,DElVar,0))</f>
        <v>-0.7843776941299438</v>
      </c>
      <c r="AH139" s="203">
        <f>INDEX(DElVal,MATCH(CtryCode&amp;".distn."&amp;AH$10&amp;"ove.mean"&amp;AH$11,DElKey,0),MATCH($D139,DElVar,0))</f>
        <v>-0.7843776941299438</v>
      </c>
      <c r="AI139" s="203">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33" t="inlineStr">
        <is>
          <t>HH_Elast</t>
        </is>
      </c>
      <c r="K140" s="9" t="str">
        <f>LOWER(CtryCode)&amp;".distn."&amp;$A140&amp;IF($B140="","","."&amp;$B140)&amp;IF($C140="","",".dec."&amp;$C140)&amp;"."&amp;K$5</f>
        <v>egy.distn.eps.lpg.1</v>
      </c>
      <c r="L140" s="208">
        <f>INDEX(DElVal,MATCH(CtryCode&amp;".distn."&amp;L$10&amp;"ove.mean"&amp;L$11,DElKey,0),MATCH($D140,DElVar,0))</f>
        <v>-0.7859903573989868</v>
      </c>
      <c r="M140" s="203">
        <f>INDEX(DElVal,MATCH(CtryCode&amp;".distn."&amp;M$10&amp;"ove.mean"&amp;M$11,DElKey,0),MATCH($D140,DElVar,0))</f>
        <v>-0.790256917476654</v>
      </c>
      <c r="N140" s="203">
        <f>INDEX(DElVal,MATCH(CtryCode&amp;".distn."&amp;N$10&amp;"ove.mean"&amp;N$11,DElKey,0),MATCH($D140,DElVar,0))</f>
        <v>-0.790256917476654</v>
      </c>
      <c r="O140" s="203">
        <f>INDEX(DElVal,MATCH(CtryCode&amp;".distn."&amp;O$10&amp;"ove.mean"&amp;O$11,DElKey,0),MATCH($D140,DElVar,0))</f>
        <v>-0.790256917476654</v>
      </c>
      <c r="P140" s="203">
        <f>INDEX(DElVal,MATCH(CtryCode&amp;".distn."&amp;P$10&amp;"ove.mean"&amp;P$11,DElKey,0),MATCH($D140,DElVar,0))</f>
        <v>-0.7839999794960022</v>
      </c>
      <c r="Q140" s="203">
        <f>INDEX(DElVal,MATCH(CtryCode&amp;".distn."&amp;Q$10&amp;"ove.mean"&amp;Q$11,DElKey,0),MATCH($D140,DElVar,0))</f>
        <v>-0.7839999794960022</v>
      </c>
      <c r="R140" s="203">
        <f>INDEX(DElVal,MATCH(CtryCode&amp;".distn."&amp;R$10&amp;"ove.mean"&amp;R$11,DElKey,0),MATCH($D140,DElVar,0))</f>
        <v>-0.7839999794960022</v>
      </c>
      <c r="S140" s="203">
        <f>INDEX(DElVal,MATCH(CtryCode&amp;".distn."&amp;S$10&amp;"ove.mean"&amp;S$11,DElKey,0),MATCH($D140,DElVar,0))</f>
        <v>-0.7839999794960022</v>
      </c>
      <c r="T140" s="203">
        <f>INDEX(DElVal,MATCH(CtryCode&amp;".distn."&amp;T$10&amp;"ove.mean"&amp;T$11,DElKey,0),MATCH($D140,DElVar,0))</f>
        <v>-0.7843776941299438</v>
      </c>
      <c r="U140" s="203">
        <f>INDEX(DElVal,MATCH(CtryCode&amp;".distn."&amp;U$10&amp;"ove.mean"&amp;U$11,DElKey,0),MATCH($D140,DElVar,0))</f>
        <v>-0.7843776941299438</v>
      </c>
      <c r="V140" s="203">
        <f>INDEX(DElVal,MATCH(CtryCode&amp;".distn."&amp;V$10&amp;"ove.mean"&amp;V$11,DElKey,0),MATCH($D140,DElVar,0))</f>
        <v>-0.7843776941299438</v>
      </c>
      <c r="W140" s="207" t="str">
        <f>IF(X$5=K$5,SUM(Y140:AI140)-SUM(L140:V140),"")</f>
        <v/>
      </c>
      <c r="X140" s="9" t="str">
        <f>LOWER(CtryCode)&amp;".distn."&amp;$A140&amp;IF($B140="","","."&amp;$B140)&amp;IF($C140="","",".dec."&amp;$C140)&amp;"."&amp;X$5</f>
        <v>egy.distn.eps.lpg.2</v>
      </c>
      <c r="Y140" s="208">
        <f>INDEX(DElVal,MATCH(CtryCode&amp;".distn."&amp;Y$10&amp;"ove.mean"&amp;Y$11,DElKey,0),MATCH($D140,DElVar,0))</f>
        <v>-0.7859903573989868</v>
      </c>
      <c r="Z140" s="203">
        <f>INDEX(DElVal,MATCH(CtryCode&amp;".distn."&amp;Z$10&amp;"ove.mean"&amp;Z$11,DElKey,0),MATCH($D140,DElVar,0))</f>
        <v>-0.790256917476654</v>
      </c>
      <c r="AA140" s="203">
        <f>INDEX(DElVal,MATCH(CtryCode&amp;".distn."&amp;AA$10&amp;"ove.mean"&amp;AA$11,DElKey,0),MATCH($D140,DElVar,0))</f>
        <v>-0.790256917476654</v>
      </c>
      <c r="AB140" s="203">
        <f>INDEX(DElVal,MATCH(CtryCode&amp;".distn."&amp;AB$10&amp;"ove.mean"&amp;AB$11,DElKey,0),MATCH($D140,DElVar,0))</f>
        <v>-0.790256917476654</v>
      </c>
      <c r="AC140" s="203">
        <f>INDEX(DElVal,MATCH(CtryCode&amp;".distn."&amp;AC$10&amp;"ove.mean"&amp;AC$11,DElKey,0),MATCH($D140,DElVar,0))</f>
        <v>-0.7839999794960022</v>
      </c>
      <c r="AD140" s="203">
        <f>INDEX(DElVal,MATCH(CtryCode&amp;".distn."&amp;AD$10&amp;"ove.mean"&amp;AD$11,DElKey,0),MATCH($D140,DElVar,0))</f>
        <v>-0.7839999794960022</v>
      </c>
      <c r="AE140" s="203">
        <f>INDEX(DElVal,MATCH(CtryCode&amp;".distn."&amp;AE$10&amp;"ove.mean"&amp;AE$11,DElKey,0),MATCH($D140,DElVar,0))</f>
        <v>-0.7839999794960022</v>
      </c>
      <c r="AF140" s="203">
        <f>INDEX(DElVal,MATCH(CtryCode&amp;".distn."&amp;AF$10&amp;"ove.mean"&amp;AF$11,DElKey,0),MATCH($D140,DElVar,0))</f>
        <v>-0.7839999794960022</v>
      </c>
      <c r="AG140" s="203">
        <f>INDEX(DElVal,MATCH(CtryCode&amp;".distn."&amp;AG$10&amp;"ove.mean"&amp;AG$11,DElKey,0),MATCH($D140,DElVar,0))</f>
        <v>-0.7843776941299438</v>
      </c>
      <c r="AH140" s="203">
        <f>INDEX(DElVal,MATCH(CtryCode&amp;".distn."&amp;AH$10&amp;"ove.mean"&amp;AH$11,DElKey,0),MATCH($D140,DElVar,0))</f>
        <v>-0.7843776941299438</v>
      </c>
      <c r="AI140" s="203">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33" t="inlineStr">
        <is>
          <t>HH_Elast</t>
        </is>
      </c>
      <c r="K141" s="9" t="str">
        <f>LOWER(CtryCode)&amp;".distn."&amp;$A141&amp;IF($B141="","","."&amp;$B141)&amp;IF($C141="","",".dec."&amp;$C141)&amp;"."&amp;K$5</f>
        <v>egy.distn.eps.app.1</v>
      </c>
      <c r="L141" s="208">
        <f>INDEX(DElVal,MATCH(CtryCode&amp;".distn."&amp;L$10&amp;"ove.mean"&amp;L$11,DElKey,0),MATCH($D141,DElVar,0))</f>
        <v>-0.7721186876296997</v>
      </c>
      <c r="M141" s="203">
        <f>INDEX(DElVal,MATCH(CtryCode&amp;".distn."&amp;M$10&amp;"ove.mean"&amp;M$11,DElKey,0),MATCH($D141,DElVar,0))</f>
        <v>-0.7744752764701843</v>
      </c>
      <c r="N141" s="203">
        <f>INDEX(DElVal,MATCH(CtryCode&amp;".distn."&amp;N$10&amp;"ove.mean"&amp;N$11,DElKey,0),MATCH($D141,DElVar,0))</f>
        <v>-0.7744752764701843</v>
      </c>
      <c r="O141" s="203">
        <f>INDEX(DElVal,MATCH(CtryCode&amp;".distn."&amp;O$10&amp;"ove.mean"&amp;O$11,DElKey,0),MATCH($D141,DElVar,0))</f>
        <v>-0.7744752764701843</v>
      </c>
      <c r="P141" s="203">
        <f>INDEX(DElVal,MATCH(CtryCode&amp;".distn."&amp;P$10&amp;"ove.mean"&amp;P$11,DElKey,0),MATCH($D141,DElVar,0))</f>
        <v>-0.7710000276565552</v>
      </c>
      <c r="Q141" s="203">
        <f>INDEX(DElVal,MATCH(CtryCode&amp;".distn."&amp;Q$10&amp;"ove.mean"&amp;Q$11,DElKey,0),MATCH($D141,DElVar,0))</f>
        <v>-0.7710000276565552</v>
      </c>
      <c r="R141" s="203">
        <f>INDEX(DElVal,MATCH(CtryCode&amp;".distn."&amp;R$10&amp;"ove.mean"&amp;R$11,DElKey,0),MATCH($D141,DElVar,0))</f>
        <v>-0.7710000276565552</v>
      </c>
      <c r="S141" s="203">
        <f>INDEX(DElVal,MATCH(CtryCode&amp;".distn."&amp;S$10&amp;"ove.mean"&amp;S$11,DElKey,0),MATCH($D141,DElVar,0))</f>
        <v>-0.7710000276565552</v>
      </c>
      <c r="T141" s="203">
        <f>INDEX(DElVal,MATCH(CtryCode&amp;".distn."&amp;T$10&amp;"ove.mean"&amp;T$11,DElKey,0),MATCH($D141,DElVar,0))</f>
        <v>-0.7712535858154297</v>
      </c>
      <c r="U141" s="203">
        <f>INDEX(DElVal,MATCH(CtryCode&amp;".distn."&amp;U$10&amp;"ove.mean"&amp;U$11,DElKey,0),MATCH($D141,DElVar,0))</f>
        <v>-0.7712535858154297</v>
      </c>
      <c r="V141" s="203">
        <f>INDEX(DElVal,MATCH(CtryCode&amp;".distn."&amp;V$10&amp;"ove.mean"&amp;V$11,DElKey,0),MATCH($D141,DElVar,0))</f>
        <v>-0.7712535858154297</v>
      </c>
      <c r="W141" s="207" t="str">
        <f>IF(X$5=K$5,SUM(Y141:AI141)-SUM(L141:V141),"")</f>
        <v/>
      </c>
      <c r="X141" s="9" t="str">
        <f>LOWER(CtryCode)&amp;".distn."&amp;$A141&amp;IF($B141="","","."&amp;$B141)&amp;IF($C141="","",".dec."&amp;$C141)&amp;"."&amp;X$5</f>
        <v>egy.distn.eps.app.2</v>
      </c>
      <c r="Y141" s="208">
        <f>INDEX(DElVal,MATCH(CtryCode&amp;".distn."&amp;Y$10&amp;"ove.mean"&amp;Y$11,DElKey,0),MATCH($D141,DElVar,0))</f>
        <v>-0.7721186876296997</v>
      </c>
      <c r="Z141" s="203">
        <f>INDEX(DElVal,MATCH(CtryCode&amp;".distn."&amp;Z$10&amp;"ove.mean"&amp;Z$11,DElKey,0),MATCH($D141,DElVar,0))</f>
        <v>-0.7744752764701843</v>
      </c>
      <c r="AA141" s="203">
        <f>INDEX(DElVal,MATCH(CtryCode&amp;".distn."&amp;AA$10&amp;"ove.mean"&amp;AA$11,DElKey,0),MATCH($D141,DElVar,0))</f>
        <v>-0.7744752764701843</v>
      </c>
      <c r="AB141" s="203">
        <f>INDEX(DElVal,MATCH(CtryCode&amp;".distn."&amp;AB$10&amp;"ove.mean"&amp;AB$11,DElKey,0),MATCH($D141,DElVar,0))</f>
        <v>-0.7744752764701843</v>
      </c>
      <c r="AC141" s="203">
        <f>INDEX(DElVal,MATCH(CtryCode&amp;".distn."&amp;AC$10&amp;"ove.mean"&amp;AC$11,DElKey,0),MATCH($D141,DElVar,0))</f>
        <v>-0.7710000276565552</v>
      </c>
      <c r="AD141" s="203">
        <f>INDEX(DElVal,MATCH(CtryCode&amp;".distn."&amp;AD$10&amp;"ove.mean"&amp;AD$11,DElKey,0),MATCH($D141,DElVar,0))</f>
        <v>-0.7710000276565552</v>
      </c>
      <c r="AE141" s="203">
        <f>INDEX(DElVal,MATCH(CtryCode&amp;".distn."&amp;AE$10&amp;"ove.mean"&amp;AE$11,DElKey,0),MATCH($D141,DElVar,0))</f>
        <v>-0.7710000276565552</v>
      </c>
      <c r="AF141" s="203">
        <f>INDEX(DElVal,MATCH(CtryCode&amp;".distn."&amp;AF$10&amp;"ove.mean"&amp;AF$11,DElKey,0),MATCH($D141,DElVar,0))</f>
        <v>-0.7710000276565552</v>
      </c>
      <c r="AG141" s="203">
        <f>INDEX(DElVal,MATCH(CtryCode&amp;".distn."&amp;AG$10&amp;"ove.mean"&amp;AG$11,DElKey,0),MATCH($D141,DElVar,0))</f>
        <v>-0.7712535858154297</v>
      </c>
      <c r="AH141" s="203">
        <f>INDEX(DElVal,MATCH(CtryCode&amp;".distn."&amp;AH$10&amp;"ove.mean"&amp;AH$11,DElKey,0),MATCH($D141,DElVar,0))</f>
        <v>-0.7712535858154297</v>
      </c>
      <c r="AI141" s="203">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33" t="inlineStr">
        <is>
          <t>HH_Elast</t>
        </is>
      </c>
      <c r="K142" s="9" t="str">
        <f>LOWER(CtryCode)&amp;".distn."&amp;$A142&amp;IF($B142="","","."&amp;$B142)&amp;IF($C142="","",".dec."&amp;$C142)&amp;"."&amp;K$5</f>
        <v>egy.distn.eps.che.1</v>
      </c>
      <c r="L142" s="208">
        <f>INDEX(DElVal,MATCH(CtryCode&amp;".distn."&amp;L$10&amp;"ove.mean"&amp;L$11,DElKey,0),MATCH($D142,DElVar,0))</f>
        <v>-1.174116015434265</v>
      </c>
      <c r="M142" s="203">
        <f>INDEX(DElVal,MATCH(CtryCode&amp;".distn."&amp;M$10&amp;"ove.mean"&amp;M$11,DElKey,0),MATCH($D142,DElVar,0))</f>
        <v>-1.507830381393433</v>
      </c>
      <c r="N142" s="203">
        <f>INDEX(DElVal,MATCH(CtryCode&amp;".distn."&amp;N$10&amp;"ove.mean"&amp;N$11,DElKey,0),MATCH($D142,DElVar,0))</f>
        <v>-1.507830381393433</v>
      </c>
      <c r="O142" s="203">
        <f>INDEX(DElVal,MATCH(CtryCode&amp;".distn."&amp;O$10&amp;"ove.mean"&amp;O$11,DElKey,0),MATCH($D142,DElVar,0))</f>
        <v>-1.507830381393433</v>
      </c>
      <c r="P142" s="203">
        <f>INDEX(DElVal,MATCH(CtryCode&amp;".distn."&amp;P$10&amp;"ove.mean"&amp;P$11,DElKey,0),MATCH($D142,DElVar,0))</f>
        <v>-1.026999950408936</v>
      </c>
      <c r="Q142" s="203">
        <f>INDEX(DElVal,MATCH(CtryCode&amp;".distn."&amp;Q$10&amp;"ove.mean"&amp;Q$11,DElKey,0),MATCH($D142,DElVar,0))</f>
        <v>-1.026999950408936</v>
      </c>
      <c r="R142" s="203">
        <f>INDEX(DElVal,MATCH(CtryCode&amp;".distn."&amp;R$10&amp;"ove.mean"&amp;R$11,DElKey,0),MATCH($D142,DElVar,0))</f>
        <v>-1.026999950408936</v>
      </c>
      <c r="S142" s="203">
        <f>INDEX(DElVal,MATCH(CtryCode&amp;".distn."&amp;S$10&amp;"ove.mean"&amp;S$11,DElKey,0),MATCH($D142,DElVar,0))</f>
        <v>-1.026999950408936</v>
      </c>
      <c r="T142" s="203">
        <f>INDEX(DElVal,MATCH(CtryCode&amp;".distn."&amp;T$10&amp;"ove.mean"&amp;T$11,DElKey,0),MATCH($D142,DElVar,0))</f>
        <v>-1.036556363105774</v>
      </c>
      <c r="U142" s="203">
        <f>INDEX(DElVal,MATCH(CtryCode&amp;".distn."&amp;U$10&amp;"ove.mean"&amp;U$11,DElKey,0),MATCH($D142,DElVar,0))</f>
        <v>-1.036556363105774</v>
      </c>
      <c r="V142" s="203">
        <f>INDEX(DElVal,MATCH(CtryCode&amp;".distn."&amp;V$10&amp;"ove.mean"&amp;V$11,DElKey,0),MATCH($D142,DElVar,0))</f>
        <v>-1.036556363105774</v>
      </c>
      <c r="W142" s="207" t="str">
        <f>IF(X$5=K$5,SUM(Y142:AI142)-SUM(L142:V142),"")</f>
        <v/>
      </c>
      <c r="X142" s="9" t="str">
        <f>LOWER(CtryCode)&amp;".distn."&amp;$A142&amp;IF($B142="","","."&amp;$B142)&amp;IF($C142="","",".dec."&amp;$C142)&amp;"."&amp;X$5</f>
        <v>egy.distn.eps.che.2</v>
      </c>
      <c r="Y142" s="208">
        <f>INDEX(DElVal,MATCH(CtryCode&amp;".distn."&amp;Y$10&amp;"ove.mean"&amp;Y$11,DElKey,0),MATCH($D142,DElVar,0))</f>
        <v>-1.174116015434265</v>
      </c>
      <c r="Z142" s="203">
        <f>INDEX(DElVal,MATCH(CtryCode&amp;".distn."&amp;Z$10&amp;"ove.mean"&amp;Z$11,DElKey,0),MATCH($D142,DElVar,0))</f>
        <v>-1.507830381393433</v>
      </c>
      <c r="AA142" s="203">
        <f>INDEX(DElVal,MATCH(CtryCode&amp;".distn."&amp;AA$10&amp;"ove.mean"&amp;AA$11,DElKey,0),MATCH($D142,DElVar,0))</f>
        <v>-1.507830381393433</v>
      </c>
      <c r="AB142" s="203">
        <f>INDEX(DElVal,MATCH(CtryCode&amp;".distn."&amp;AB$10&amp;"ove.mean"&amp;AB$11,DElKey,0),MATCH($D142,DElVar,0))</f>
        <v>-1.507830381393433</v>
      </c>
      <c r="AC142" s="203">
        <f>INDEX(DElVal,MATCH(CtryCode&amp;".distn."&amp;AC$10&amp;"ove.mean"&amp;AC$11,DElKey,0),MATCH($D142,DElVar,0))</f>
        <v>-1.026999950408936</v>
      </c>
      <c r="AD142" s="203">
        <f>INDEX(DElVal,MATCH(CtryCode&amp;".distn."&amp;AD$10&amp;"ove.mean"&amp;AD$11,DElKey,0),MATCH($D142,DElVar,0))</f>
        <v>-1.026999950408936</v>
      </c>
      <c r="AE142" s="203">
        <f>INDEX(DElVal,MATCH(CtryCode&amp;".distn."&amp;AE$10&amp;"ove.mean"&amp;AE$11,DElKey,0),MATCH($D142,DElVar,0))</f>
        <v>-1.026999950408936</v>
      </c>
      <c r="AF142" s="203">
        <f>INDEX(DElVal,MATCH(CtryCode&amp;".distn."&amp;AF$10&amp;"ove.mean"&amp;AF$11,DElKey,0),MATCH($D142,DElVar,0))</f>
        <v>-1.026999950408936</v>
      </c>
      <c r="AG142" s="203">
        <f>INDEX(DElVal,MATCH(CtryCode&amp;".distn."&amp;AG$10&amp;"ove.mean"&amp;AG$11,DElKey,0),MATCH($D142,DElVar,0))</f>
        <v>-1.036556363105774</v>
      </c>
      <c r="AH142" s="203">
        <f>INDEX(DElVal,MATCH(CtryCode&amp;".distn."&amp;AH$10&amp;"ove.mean"&amp;AH$11,DElKey,0),MATCH($D142,DElVar,0))</f>
        <v>-1.036556363105774</v>
      </c>
      <c r="AI142" s="203">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33" t="inlineStr">
        <is>
          <t>HH_Elast</t>
        </is>
      </c>
      <c r="K143" s="9" t="str">
        <f>LOWER(CtryCode)&amp;".distn."&amp;$A143&amp;IF($B143="","","."&amp;$B143)&amp;IF($C143="","",".dec."&amp;$C143)&amp;"."&amp;K$5</f>
        <v>egy.distn.eps.clo.1</v>
      </c>
      <c r="L143" s="208">
        <f>INDEX(DElVal,MATCH(CtryCode&amp;".distn."&amp;L$10&amp;"ove.mean"&amp;L$11,DElKey,0),MATCH($D143,DElVar,0))</f>
        <v>-0.7094486355781555</v>
      </c>
      <c r="M143" s="203">
        <f>INDEX(DElVal,MATCH(CtryCode&amp;".distn."&amp;M$10&amp;"ove.mean"&amp;M$11,DElKey,0),MATCH($D143,DElVar,0))</f>
        <v>-0.7104546427726746</v>
      </c>
      <c r="N143" s="203">
        <f>INDEX(DElVal,MATCH(CtryCode&amp;".distn."&amp;N$10&amp;"ove.mean"&amp;N$11,DElKey,0),MATCH($D143,DElVar,0))</f>
        <v>-0.7104546427726746</v>
      </c>
      <c r="O143" s="203">
        <f>INDEX(DElVal,MATCH(CtryCode&amp;".distn."&amp;O$10&amp;"ove.mean"&amp;O$11,DElKey,0),MATCH($D143,DElVar,0))</f>
        <v>-0.7104546427726746</v>
      </c>
      <c r="P143" s="203">
        <f>INDEX(DElVal,MATCH(CtryCode&amp;".distn."&amp;P$10&amp;"ove.mean"&amp;P$11,DElKey,0),MATCH($D143,DElVar,0))</f>
        <v>-0.7089999914169312</v>
      </c>
      <c r="Q143" s="203">
        <f>INDEX(DElVal,MATCH(CtryCode&amp;".distn."&amp;Q$10&amp;"ove.mean"&amp;Q$11,DElKey,0),MATCH($D143,DElVar,0))</f>
        <v>-0.7089999914169312</v>
      </c>
      <c r="R143" s="203">
        <f>INDEX(DElVal,MATCH(CtryCode&amp;".distn."&amp;R$10&amp;"ove.mean"&amp;R$11,DElKey,0),MATCH($D143,DElVar,0))</f>
        <v>-0.7089999914169312</v>
      </c>
      <c r="S143" s="203">
        <f>INDEX(DElVal,MATCH(CtryCode&amp;".distn."&amp;S$10&amp;"ove.mean"&amp;S$11,DElKey,0),MATCH($D143,DElVar,0))</f>
        <v>-0.7089999914169312</v>
      </c>
      <c r="T143" s="203">
        <f>INDEX(DElVal,MATCH(CtryCode&amp;".distn."&amp;T$10&amp;"ove.mean"&amp;T$11,DElKey,0),MATCH($D143,DElVar,0))</f>
        <v>-0.7090408802032471</v>
      </c>
      <c r="U143" s="203">
        <f>INDEX(DElVal,MATCH(CtryCode&amp;".distn."&amp;U$10&amp;"ove.mean"&amp;U$11,DElKey,0),MATCH($D143,DElVar,0))</f>
        <v>-0.7090408802032471</v>
      </c>
      <c r="V143" s="203">
        <f>INDEX(DElVal,MATCH(CtryCode&amp;".distn."&amp;V$10&amp;"ove.mean"&amp;V$11,DElKey,0),MATCH($D143,DElVar,0))</f>
        <v>-0.7090408802032471</v>
      </c>
      <c r="W143" s="207" t="str">
        <f>IF(X$5=K$5,SUM(Y143:AI143)-SUM(L143:V143),"")</f>
        <v/>
      </c>
      <c r="X143" s="9" t="str">
        <f>LOWER(CtryCode)&amp;".distn."&amp;$A143&amp;IF($B143="","","."&amp;$B143)&amp;IF($C143="","",".dec."&amp;$C143)&amp;"."&amp;X$5</f>
        <v>egy.distn.eps.clo.2</v>
      </c>
      <c r="Y143" s="208">
        <f>INDEX(DElVal,MATCH(CtryCode&amp;".distn."&amp;Y$10&amp;"ove.mean"&amp;Y$11,DElKey,0),MATCH($D143,DElVar,0))</f>
        <v>-0.7094486355781555</v>
      </c>
      <c r="Z143" s="203">
        <f>INDEX(DElVal,MATCH(CtryCode&amp;".distn."&amp;Z$10&amp;"ove.mean"&amp;Z$11,DElKey,0),MATCH($D143,DElVar,0))</f>
        <v>-0.7104546427726746</v>
      </c>
      <c r="AA143" s="203">
        <f>INDEX(DElVal,MATCH(CtryCode&amp;".distn."&amp;AA$10&amp;"ove.mean"&amp;AA$11,DElKey,0),MATCH($D143,DElVar,0))</f>
        <v>-0.7104546427726746</v>
      </c>
      <c r="AB143" s="203">
        <f>INDEX(DElVal,MATCH(CtryCode&amp;".distn."&amp;AB$10&amp;"ove.mean"&amp;AB$11,DElKey,0),MATCH($D143,DElVar,0))</f>
        <v>-0.7104546427726746</v>
      </c>
      <c r="AC143" s="203">
        <f>INDEX(DElVal,MATCH(CtryCode&amp;".distn."&amp;AC$10&amp;"ove.mean"&amp;AC$11,DElKey,0),MATCH($D143,DElVar,0))</f>
        <v>-0.7089999914169312</v>
      </c>
      <c r="AD143" s="203">
        <f>INDEX(DElVal,MATCH(CtryCode&amp;".distn."&amp;AD$10&amp;"ove.mean"&amp;AD$11,DElKey,0),MATCH($D143,DElVar,0))</f>
        <v>-0.7089999914169312</v>
      </c>
      <c r="AE143" s="203">
        <f>INDEX(DElVal,MATCH(CtryCode&amp;".distn."&amp;AE$10&amp;"ove.mean"&amp;AE$11,DElKey,0),MATCH($D143,DElVar,0))</f>
        <v>-0.7089999914169312</v>
      </c>
      <c r="AF143" s="203">
        <f>INDEX(DElVal,MATCH(CtryCode&amp;".distn."&amp;AF$10&amp;"ove.mean"&amp;AF$11,DElKey,0),MATCH($D143,DElVar,0))</f>
        <v>-0.7089999914169312</v>
      </c>
      <c r="AG143" s="203">
        <f>INDEX(DElVal,MATCH(CtryCode&amp;".distn."&amp;AG$10&amp;"ove.mean"&amp;AG$11,DElKey,0),MATCH($D143,DElVar,0))</f>
        <v>-0.7090408802032471</v>
      </c>
      <c r="AH143" s="203">
        <f>INDEX(DElVal,MATCH(CtryCode&amp;".distn."&amp;AH$10&amp;"ove.mean"&amp;AH$11,DElKey,0),MATCH($D143,DElVar,0))</f>
        <v>-0.7090408802032471</v>
      </c>
      <c r="AI143" s="203">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33" t="inlineStr">
        <is>
          <t>HH_Elast</t>
        </is>
      </c>
      <c r="K144" s="9" t="str">
        <f>LOWER(CtryCode)&amp;".distn."&amp;$A144&amp;IF($B144="","","."&amp;$B144)&amp;IF($C144="","",".dec."&amp;$C144)&amp;"."&amp;K$5</f>
        <v>egy.distn.eps.com.1</v>
      </c>
      <c r="L144" s="208">
        <f>INDEX(DElVal,MATCH(CtryCode&amp;".distn."&amp;L$10&amp;"ove.mean"&amp;L$11,DElKey,0),MATCH($D144,DElVar,0))</f>
        <v>-0.8737958073616028</v>
      </c>
      <c r="M144" s="203">
        <f>INDEX(DElVal,MATCH(CtryCode&amp;".distn."&amp;M$10&amp;"ove.mean"&amp;M$11,DElKey,0),MATCH($D144,DElVar,0))</f>
        <v>-0.9036660194396973</v>
      </c>
      <c r="N144" s="203">
        <f>INDEX(DElVal,MATCH(CtryCode&amp;".distn."&amp;N$10&amp;"ove.mean"&amp;N$11,DElKey,0),MATCH($D144,DElVar,0))</f>
        <v>-0.9036660194396973</v>
      </c>
      <c r="O144" s="203">
        <f>INDEX(DElVal,MATCH(CtryCode&amp;".distn."&amp;O$10&amp;"ove.mean"&amp;O$11,DElKey,0),MATCH($D144,DElVar,0))</f>
        <v>-0.9036660194396973</v>
      </c>
      <c r="P144" s="203">
        <f>INDEX(DElVal,MATCH(CtryCode&amp;".distn."&amp;P$10&amp;"ove.mean"&amp;P$11,DElKey,0),MATCH($D144,DElVar,0))</f>
        <v>-0.8600000143051147</v>
      </c>
      <c r="Q144" s="203">
        <f>INDEX(DElVal,MATCH(CtryCode&amp;".distn."&amp;Q$10&amp;"ove.mean"&amp;Q$11,DElKey,0),MATCH($D144,DElVar,0))</f>
        <v>-0.8600000143051147</v>
      </c>
      <c r="R144" s="203">
        <f>INDEX(DElVal,MATCH(CtryCode&amp;".distn."&amp;R$10&amp;"ove.mean"&amp;R$11,DElKey,0),MATCH($D144,DElVar,0))</f>
        <v>-0.8600000143051147</v>
      </c>
      <c r="S144" s="203">
        <f>INDEX(DElVal,MATCH(CtryCode&amp;".distn."&amp;S$10&amp;"ove.mean"&amp;S$11,DElKey,0),MATCH($D144,DElVar,0))</f>
        <v>-0.8600000143051147</v>
      </c>
      <c r="T144" s="203">
        <f>INDEX(DElVal,MATCH(CtryCode&amp;".distn."&amp;T$10&amp;"ove.mean"&amp;T$11,DElKey,0),MATCH($D144,DElVar,0))</f>
        <v>-0.8623199462890625</v>
      </c>
      <c r="U144" s="203">
        <f>INDEX(DElVal,MATCH(CtryCode&amp;".distn."&amp;U$10&amp;"ove.mean"&amp;U$11,DElKey,0),MATCH($D144,DElVar,0))</f>
        <v>-0.8623199462890625</v>
      </c>
      <c r="V144" s="203">
        <f>INDEX(DElVal,MATCH(CtryCode&amp;".distn."&amp;V$10&amp;"ove.mean"&amp;V$11,DElKey,0),MATCH($D144,DElVar,0))</f>
        <v>-0.8623199462890625</v>
      </c>
      <c r="W144" s="207" t="str">
        <f>IF(X$5=K$5,SUM(Y144:AI144)-SUM(L144:V144),"")</f>
        <v/>
      </c>
      <c r="X144" s="9" t="str">
        <f>LOWER(CtryCode)&amp;".distn."&amp;$A144&amp;IF($B144="","","."&amp;$B144)&amp;IF($C144="","",".dec."&amp;$C144)&amp;"."&amp;X$5</f>
        <v>egy.distn.eps.com.2</v>
      </c>
      <c r="Y144" s="208">
        <f>INDEX(DElVal,MATCH(CtryCode&amp;".distn."&amp;Y$10&amp;"ove.mean"&amp;Y$11,DElKey,0),MATCH($D144,DElVar,0))</f>
        <v>-0.8737958073616028</v>
      </c>
      <c r="Z144" s="203">
        <f>INDEX(DElVal,MATCH(CtryCode&amp;".distn."&amp;Z$10&amp;"ove.mean"&amp;Z$11,DElKey,0),MATCH($D144,DElVar,0))</f>
        <v>-0.9036660194396973</v>
      </c>
      <c r="AA144" s="203">
        <f>INDEX(DElVal,MATCH(CtryCode&amp;".distn."&amp;AA$10&amp;"ove.mean"&amp;AA$11,DElKey,0),MATCH($D144,DElVar,0))</f>
        <v>-0.9036660194396973</v>
      </c>
      <c r="AB144" s="203">
        <f>INDEX(DElVal,MATCH(CtryCode&amp;".distn."&amp;AB$10&amp;"ove.mean"&amp;AB$11,DElKey,0),MATCH($D144,DElVar,0))</f>
        <v>-0.9036660194396973</v>
      </c>
      <c r="AC144" s="203">
        <f>INDEX(DElVal,MATCH(CtryCode&amp;".distn."&amp;AC$10&amp;"ove.mean"&amp;AC$11,DElKey,0),MATCH($D144,DElVar,0))</f>
        <v>-0.8600000143051147</v>
      </c>
      <c r="AD144" s="203">
        <f>INDEX(DElVal,MATCH(CtryCode&amp;".distn."&amp;AD$10&amp;"ove.mean"&amp;AD$11,DElKey,0),MATCH($D144,DElVar,0))</f>
        <v>-0.8600000143051147</v>
      </c>
      <c r="AE144" s="203">
        <f>INDEX(DElVal,MATCH(CtryCode&amp;".distn."&amp;AE$10&amp;"ove.mean"&amp;AE$11,DElKey,0),MATCH($D144,DElVar,0))</f>
        <v>-0.8600000143051147</v>
      </c>
      <c r="AF144" s="203">
        <f>INDEX(DElVal,MATCH(CtryCode&amp;".distn."&amp;AF$10&amp;"ove.mean"&amp;AF$11,DElKey,0),MATCH($D144,DElVar,0))</f>
        <v>-0.8600000143051147</v>
      </c>
      <c r="AG144" s="203">
        <f>INDEX(DElVal,MATCH(CtryCode&amp;".distn."&amp;AG$10&amp;"ove.mean"&amp;AG$11,DElKey,0),MATCH($D144,DElVar,0))</f>
        <v>-0.8623199462890625</v>
      </c>
      <c r="AH144" s="203">
        <f>INDEX(DElVal,MATCH(CtryCode&amp;".distn."&amp;AH$10&amp;"ove.mean"&amp;AH$11,DElKey,0),MATCH($D144,DElVar,0))</f>
        <v>-0.8623199462890625</v>
      </c>
      <c r="AI144" s="203">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33" t="inlineStr">
        <is>
          <t>HH_Elast</t>
        </is>
      </c>
      <c r="K145" s="9" t="str">
        <f>LOWER(CtryCode)&amp;".distn."&amp;$A145&amp;IF($B145="","","."&amp;$B145)&amp;IF($C145="","",".dec."&amp;$C145)&amp;"."&amp;K$5</f>
        <v>egy.distn.eps.edu.1</v>
      </c>
      <c r="L145" s="208">
        <f>INDEX(DElVal,MATCH(CtryCode&amp;".distn."&amp;L$10&amp;"ove.mean"&amp;L$11,DElKey,0),MATCH($D145,DElVar,0))</f>
        <v>-0.6802998185157776</v>
      </c>
      <c r="M145" s="203">
        <f>INDEX(DElVal,MATCH(CtryCode&amp;".distn."&amp;M$10&amp;"ove.mean"&amp;M$11,DElKey,0),MATCH($D145,DElVar,0))</f>
        <v>-0.6849652528762817</v>
      </c>
      <c r="N145" s="203">
        <f>INDEX(DElVal,MATCH(CtryCode&amp;".distn."&amp;N$10&amp;"ove.mean"&amp;N$11,DElKey,0),MATCH($D145,DElVar,0))</f>
        <v>-0.6849652528762817</v>
      </c>
      <c r="O145" s="203">
        <f>INDEX(DElVal,MATCH(CtryCode&amp;".distn."&amp;O$10&amp;"ove.mean"&amp;O$11,DElKey,0),MATCH($D145,DElVar,0))</f>
        <v>-0.6849652528762817</v>
      </c>
      <c r="P145" s="203">
        <f>INDEX(DElVal,MATCH(CtryCode&amp;".distn."&amp;P$10&amp;"ove.mean"&amp;P$11,DElKey,0),MATCH($D145,DElVar,0))</f>
        <v>-0.6779999732971191</v>
      </c>
      <c r="Q145" s="203">
        <f>INDEX(DElVal,MATCH(CtryCode&amp;".distn."&amp;Q$10&amp;"ove.mean"&amp;Q$11,DElKey,0),MATCH($D145,DElVar,0))</f>
        <v>-0.6779999732971191</v>
      </c>
      <c r="R145" s="203">
        <f>INDEX(DElVal,MATCH(CtryCode&amp;".distn."&amp;R$10&amp;"ove.mean"&amp;R$11,DElKey,0),MATCH($D145,DElVar,0))</f>
        <v>-0.6779999732971191</v>
      </c>
      <c r="S145" s="203">
        <f>INDEX(DElVal,MATCH(CtryCode&amp;".distn."&amp;S$10&amp;"ove.mean"&amp;S$11,DElKey,0),MATCH($D145,DElVar,0))</f>
        <v>-0.6779999732971191</v>
      </c>
      <c r="T145" s="203">
        <f>INDEX(DElVal,MATCH(CtryCode&amp;".distn."&amp;T$10&amp;"ove.mean"&amp;T$11,DElKey,0),MATCH($D145,DElVar,0))</f>
        <v>-0.6787009239196777</v>
      </c>
      <c r="U145" s="203">
        <f>INDEX(DElVal,MATCH(CtryCode&amp;".distn."&amp;U$10&amp;"ove.mean"&amp;U$11,DElKey,0),MATCH($D145,DElVar,0))</f>
        <v>-0.6787009239196777</v>
      </c>
      <c r="V145" s="203">
        <f>INDEX(DElVal,MATCH(CtryCode&amp;".distn."&amp;V$10&amp;"ove.mean"&amp;V$11,DElKey,0),MATCH($D145,DElVar,0))</f>
        <v>-0.6787009239196777</v>
      </c>
      <c r="W145" s="207" t="str">
        <f>IF(X$5=K$5,SUM(Y145:AI145)-SUM(L145:V145),"")</f>
        <v/>
      </c>
      <c r="X145" s="9" t="str">
        <f>LOWER(CtryCode)&amp;".distn."&amp;$A145&amp;IF($B145="","","."&amp;$B145)&amp;IF($C145="","",".dec."&amp;$C145)&amp;"."&amp;X$5</f>
        <v>egy.distn.eps.edu.2</v>
      </c>
      <c r="Y145" s="208">
        <f>INDEX(DElVal,MATCH(CtryCode&amp;".distn."&amp;Y$10&amp;"ove.mean"&amp;Y$11,DElKey,0),MATCH($D145,DElVar,0))</f>
        <v>-0.6802998185157776</v>
      </c>
      <c r="Z145" s="203">
        <f>INDEX(DElVal,MATCH(CtryCode&amp;".distn."&amp;Z$10&amp;"ove.mean"&amp;Z$11,DElKey,0),MATCH($D145,DElVar,0))</f>
        <v>-0.6849652528762817</v>
      </c>
      <c r="AA145" s="203">
        <f>INDEX(DElVal,MATCH(CtryCode&amp;".distn."&amp;AA$10&amp;"ove.mean"&amp;AA$11,DElKey,0),MATCH($D145,DElVar,0))</f>
        <v>-0.6849652528762817</v>
      </c>
      <c r="AB145" s="203">
        <f>INDEX(DElVal,MATCH(CtryCode&amp;".distn."&amp;AB$10&amp;"ove.mean"&amp;AB$11,DElKey,0),MATCH($D145,DElVar,0))</f>
        <v>-0.6849652528762817</v>
      </c>
      <c r="AC145" s="203">
        <f>INDEX(DElVal,MATCH(CtryCode&amp;".distn."&amp;AC$10&amp;"ove.mean"&amp;AC$11,DElKey,0),MATCH($D145,DElVar,0))</f>
        <v>-0.6779999732971191</v>
      </c>
      <c r="AD145" s="203">
        <f>INDEX(DElVal,MATCH(CtryCode&amp;".distn."&amp;AD$10&amp;"ove.mean"&amp;AD$11,DElKey,0),MATCH($D145,DElVar,0))</f>
        <v>-0.6779999732971191</v>
      </c>
      <c r="AE145" s="203">
        <f>INDEX(DElVal,MATCH(CtryCode&amp;".distn."&amp;AE$10&amp;"ove.mean"&amp;AE$11,DElKey,0),MATCH($D145,DElVar,0))</f>
        <v>-0.6779999732971191</v>
      </c>
      <c r="AF145" s="203">
        <f>INDEX(DElVal,MATCH(CtryCode&amp;".distn."&amp;AF$10&amp;"ove.mean"&amp;AF$11,DElKey,0),MATCH($D145,DElVar,0))</f>
        <v>-0.6779999732971191</v>
      </c>
      <c r="AG145" s="203">
        <f>INDEX(DElVal,MATCH(CtryCode&amp;".distn."&amp;AG$10&amp;"ove.mean"&amp;AG$11,DElKey,0),MATCH($D145,DElVar,0))</f>
        <v>-0.6787009239196777</v>
      </c>
      <c r="AH145" s="203">
        <f>INDEX(DElVal,MATCH(CtryCode&amp;".distn."&amp;AH$10&amp;"ove.mean"&amp;AH$11,DElKey,0),MATCH($D145,DElVar,0))</f>
        <v>-0.6787009239196777</v>
      </c>
      <c r="AI145" s="203">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33" t="inlineStr">
        <is>
          <t>HH_Elast</t>
        </is>
      </c>
      <c r="K146" s="9" t="str">
        <f>LOWER(CtryCode)&amp;".distn."&amp;$A146&amp;IF($B146="","","."&amp;$B146)&amp;IF($C146="","",".dec."&amp;$C146)&amp;"."&amp;K$5</f>
        <v>egy.distn.eps.food.1</v>
      </c>
      <c r="L146" s="208">
        <f>INDEX(DElVal,MATCH(CtryCode&amp;".distn."&amp;L$10&amp;"ove.mean"&amp;L$11,DElKey,0),MATCH($D146,DElVar,0))</f>
        <v>-0.5695047974586487</v>
      </c>
      <c r="M146" s="203">
        <f>INDEX(DElVal,MATCH(CtryCode&amp;".distn."&amp;M$10&amp;"ove.mean"&amp;M$11,DElKey,0),MATCH($D146,DElVar,0))</f>
        <v>-0.6356893181800842</v>
      </c>
      <c r="N146" s="203">
        <f>INDEX(DElVal,MATCH(CtryCode&amp;".distn."&amp;N$10&amp;"ove.mean"&amp;N$11,DElKey,0),MATCH($D146,DElVar,0))</f>
        <v>-0.6356893181800842</v>
      </c>
      <c r="O146" s="203">
        <f>INDEX(DElVal,MATCH(CtryCode&amp;".distn."&amp;O$10&amp;"ove.mean"&amp;O$11,DElKey,0),MATCH($D146,DElVar,0))</f>
        <v>-0.6356893181800842</v>
      </c>
      <c r="P146" s="203">
        <f>INDEX(DElVal,MATCH(CtryCode&amp;".distn."&amp;P$10&amp;"ove.mean"&amp;P$11,DElKey,0),MATCH($D146,DElVar,0))</f>
        <v>-0.5350000262260437</v>
      </c>
      <c r="Q146" s="203">
        <f>INDEX(DElVal,MATCH(CtryCode&amp;".distn."&amp;Q$10&amp;"ove.mean"&amp;Q$11,DElKey,0),MATCH($D146,DElVar,0))</f>
        <v>-0.5350000262260437</v>
      </c>
      <c r="R146" s="203">
        <f>INDEX(DElVal,MATCH(CtryCode&amp;".distn."&amp;R$10&amp;"ove.mean"&amp;R$11,DElKey,0),MATCH($D146,DElVar,0))</f>
        <v>-0.5350000262260437</v>
      </c>
      <c r="S146" s="203">
        <f>INDEX(DElVal,MATCH(CtryCode&amp;".distn."&amp;S$10&amp;"ove.mean"&amp;S$11,DElKey,0),MATCH($D146,DElVar,0))</f>
        <v>-0.5350000262260437</v>
      </c>
      <c r="T146" s="203">
        <f>INDEX(DElVal,MATCH(CtryCode&amp;".distn."&amp;T$10&amp;"ove.mean"&amp;T$11,DElKey,0),MATCH($D146,DElVar,0))</f>
        <v>-0.5493266582489014</v>
      </c>
      <c r="U146" s="203">
        <f>INDEX(DElVal,MATCH(CtryCode&amp;".distn."&amp;U$10&amp;"ove.mean"&amp;U$11,DElKey,0),MATCH($D146,DElVar,0))</f>
        <v>-0.5493266582489014</v>
      </c>
      <c r="V146" s="203">
        <f>INDEX(DElVal,MATCH(CtryCode&amp;".distn."&amp;V$10&amp;"ove.mean"&amp;V$11,DElKey,0),MATCH($D146,DElVar,0))</f>
        <v>-0.5493266582489014</v>
      </c>
      <c r="W146" s="207" t="str">
        <f>IF(X$5=K$5,SUM(Y146:AI146)-SUM(L146:V146),"")</f>
        <v/>
      </c>
      <c r="X146" s="9" t="str">
        <f>LOWER(CtryCode)&amp;".distn."&amp;$A146&amp;IF($B146="","","."&amp;$B146)&amp;IF($C146="","",".dec."&amp;$C146)&amp;"."&amp;X$5</f>
        <v>egy.distn.eps.food.2</v>
      </c>
      <c r="Y146" s="208">
        <f>INDEX(DElVal,MATCH(CtryCode&amp;".distn."&amp;Y$10&amp;"ove.mean"&amp;Y$11,DElKey,0),MATCH($D146,DElVar,0))</f>
        <v>-0.5695047974586487</v>
      </c>
      <c r="Z146" s="203">
        <f>INDEX(DElVal,MATCH(CtryCode&amp;".distn."&amp;Z$10&amp;"ove.mean"&amp;Z$11,DElKey,0),MATCH($D146,DElVar,0))</f>
        <v>-0.6356893181800842</v>
      </c>
      <c r="AA146" s="203">
        <f>INDEX(DElVal,MATCH(CtryCode&amp;".distn."&amp;AA$10&amp;"ove.mean"&amp;AA$11,DElKey,0),MATCH($D146,DElVar,0))</f>
        <v>-0.6356893181800842</v>
      </c>
      <c r="AB146" s="203">
        <f>INDEX(DElVal,MATCH(CtryCode&amp;".distn."&amp;AB$10&amp;"ove.mean"&amp;AB$11,DElKey,0),MATCH($D146,DElVar,0))</f>
        <v>-0.6356893181800842</v>
      </c>
      <c r="AC146" s="203">
        <f>INDEX(DElVal,MATCH(CtryCode&amp;".distn."&amp;AC$10&amp;"ove.mean"&amp;AC$11,DElKey,0),MATCH($D146,DElVar,0))</f>
        <v>-0.5350000262260437</v>
      </c>
      <c r="AD146" s="203">
        <f>INDEX(DElVal,MATCH(CtryCode&amp;".distn."&amp;AD$10&amp;"ove.mean"&amp;AD$11,DElKey,0),MATCH($D146,DElVar,0))</f>
        <v>-0.5350000262260437</v>
      </c>
      <c r="AE146" s="203">
        <f>INDEX(DElVal,MATCH(CtryCode&amp;".distn."&amp;AE$10&amp;"ove.mean"&amp;AE$11,DElKey,0),MATCH($D146,DElVar,0))</f>
        <v>-0.5350000262260437</v>
      </c>
      <c r="AF146" s="203">
        <f>INDEX(DElVal,MATCH(CtryCode&amp;".distn."&amp;AF$10&amp;"ove.mean"&amp;AF$11,DElKey,0),MATCH($D146,DElVar,0))</f>
        <v>-0.5350000262260437</v>
      </c>
      <c r="AG146" s="203">
        <f>INDEX(DElVal,MATCH(CtryCode&amp;".distn."&amp;AG$10&amp;"ove.mean"&amp;AG$11,DElKey,0),MATCH($D146,DElVar,0))</f>
        <v>-0.5493266582489014</v>
      </c>
      <c r="AH146" s="203">
        <f>INDEX(DElVal,MATCH(CtryCode&amp;".distn."&amp;AH$10&amp;"ove.mean"&amp;AH$11,DElKey,0),MATCH($D146,DElVar,0))</f>
        <v>-0.5493266582489014</v>
      </c>
      <c r="AI146" s="203">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33" t="inlineStr">
        <is>
          <t>HH_Elast</t>
        </is>
      </c>
      <c r="K147" s="9" t="str">
        <f>LOWER(CtryCode)&amp;".distn."&amp;$A147&amp;IF($B147="","","."&amp;$B147)&amp;IF($C147="","",".dec."&amp;$C147)&amp;"."&amp;K$5</f>
        <v>egy.distn.eps.hea.1</v>
      </c>
      <c r="L147" s="208">
        <f>INDEX(DElVal,MATCH(CtryCode&amp;".distn."&amp;L$10&amp;"ove.mean"&amp;L$11,DElKey,0),MATCH($D147,DElVar,0))</f>
        <v>-1.153762221336365</v>
      </c>
      <c r="M147" s="203">
        <f>INDEX(DElVal,MATCH(CtryCode&amp;".distn."&amp;M$10&amp;"ove.mean"&amp;M$11,DElKey,0),MATCH($D147,DElVar,0))</f>
        <v>-1.449552416801453</v>
      </c>
      <c r="N147" s="203">
        <f>INDEX(DElVal,MATCH(CtryCode&amp;".distn."&amp;N$10&amp;"ove.mean"&amp;N$11,DElKey,0),MATCH($D147,DElVar,0))</f>
        <v>-1.449552416801453</v>
      </c>
      <c r="O147" s="203">
        <f>INDEX(DElVal,MATCH(CtryCode&amp;".distn."&amp;O$10&amp;"ove.mean"&amp;O$11,DElKey,0),MATCH($D147,DElVar,0))</f>
        <v>-1.449552416801453</v>
      </c>
      <c r="P147" s="203">
        <f>INDEX(DElVal,MATCH(CtryCode&amp;".distn."&amp;P$10&amp;"ove.mean"&amp;P$11,DElKey,0),MATCH($D147,DElVar,0))</f>
        <v>-1.023000001907349</v>
      </c>
      <c r="Q147" s="203">
        <f>INDEX(DElVal,MATCH(CtryCode&amp;".distn."&amp;Q$10&amp;"ove.mean"&amp;Q$11,DElKey,0),MATCH($D147,DElVar,0))</f>
        <v>-1.023000001907349</v>
      </c>
      <c r="R147" s="203">
        <f>INDEX(DElVal,MATCH(CtryCode&amp;".distn."&amp;R$10&amp;"ove.mean"&amp;R$11,DElKey,0),MATCH($D147,DElVar,0))</f>
        <v>-1.023000001907349</v>
      </c>
      <c r="S147" s="203">
        <f>INDEX(DElVal,MATCH(CtryCode&amp;".distn."&amp;S$10&amp;"ove.mean"&amp;S$11,DElKey,0),MATCH($D147,DElVar,0))</f>
        <v>-1.023000001907349</v>
      </c>
      <c r="T147" s="203">
        <f>INDEX(DElVal,MATCH(CtryCode&amp;".distn."&amp;T$10&amp;"ove.mean"&amp;T$11,DElKey,0),MATCH($D147,DElVar,0))</f>
        <v>-1.032321572303772</v>
      </c>
      <c r="U147" s="203">
        <f>INDEX(DElVal,MATCH(CtryCode&amp;".distn."&amp;U$10&amp;"ove.mean"&amp;U$11,DElKey,0),MATCH($D147,DElVar,0))</f>
        <v>-1.032321572303772</v>
      </c>
      <c r="V147" s="203">
        <f>INDEX(DElVal,MATCH(CtryCode&amp;".distn."&amp;V$10&amp;"ove.mean"&amp;V$11,DElKey,0),MATCH($D147,DElVar,0))</f>
        <v>-1.032321572303772</v>
      </c>
      <c r="W147" s="207" t="str">
        <f>IF(X$5=K$5,SUM(Y147:AI147)-SUM(L147:V147),"")</f>
        <v/>
      </c>
      <c r="X147" s="9" t="str">
        <f>LOWER(CtryCode)&amp;".distn."&amp;$A147&amp;IF($B147="","","."&amp;$B147)&amp;IF($C147="","",".dec."&amp;$C147)&amp;"."&amp;X$5</f>
        <v>egy.distn.eps.hea.2</v>
      </c>
      <c r="Y147" s="208">
        <f>INDEX(DElVal,MATCH(CtryCode&amp;".distn."&amp;Y$10&amp;"ove.mean"&amp;Y$11,DElKey,0),MATCH($D147,DElVar,0))</f>
        <v>-1.153762221336365</v>
      </c>
      <c r="Z147" s="203">
        <f>INDEX(DElVal,MATCH(CtryCode&amp;".distn."&amp;Z$10&amp;"ove.mean"&amp;Z$11,DElKey,0),MATCH($D147,DElVar,0))</f>
        <v>-1.449552416801453</v>
      </c>
      <c r="AA147" s="203">
        <f>INDEX(DElVal,MATCH(CtryCode&amp;".distn."&amp;AA$10&amp;"ove.mean"&amp;AA$11,DElKey,0),MATCH($D147,DElVar,0))</f>
        <v>-1.449552416801453</v>
      </c>
      <c r="AB147" s="203">
        <f>INDEX(DElVal,MATCH(CtryCode&amp;".distn."&amp;AB$10&amp;"ove.mean"&amp;AB$11,DElKey,0),MATCH($D147,DElVar,0))</f>
        <v>-1.449552416801453</v>
      </c>
      <c r="AC147" s="203">
        <f>INDEX(DElVal,MATCH(CtryCode&amp;".distn."&amp;AC$10&amp;"ove.mean"&amp;AC$11,DElKey,0),MATCH($D147,DElVar,0))</f>
        <v>-1.023000001907349</v>
      </c>
      <c r="AD147" s="203">
        <f>INDEX(DElVal,MATCH(CtryCode&amp;".distn."&amp;AD$10&amp;"ove.mean"&amp;AD$11,DElKey,0),MATCH($D147,DElVar,0))</f>
        <v>-1.023000001907349</v>
      </c>
      <c r="AE147" s="203">
        <f>INDEX(DElVal,MATCH(CtryCode&amp;".distn."&amp;AE$10&amp;"ove.mean"&amp;AE$11,DElKey,0),MATCH($D147,DElVar,0))</f>
        <v>-1.023000001907349</v>
      </c>
      <c r="AF147" s="203">
        <f>INDEX(DElVal,MATCH(CtryCode&amp;".distn."&amp;AF$10&amp;"ove.mean"&amp;AF$11,DElKey,0),MATCH($D147,DElVar,0))</f>
        <v>-1.023000001907349</v>
      </c>
      <c r="AG147" s="203">
        <f>INDEX(DElVal,MATCH(CtryCode&amp;".distn."&amp;AG$10&amp;"ove.mean"&amp;AG$11,DElKey,0),MATCH($D147,DElVar,0))</f>
        <v>-1.032321572303772</v>
      </c>
      <c r="AH147" s="203">
        <f>INDEX(DElVal,MATCH(CtryCode&amp;".distn."&amp;AH$10&amp;"ove.mean"&amp;AH$11,DElKey,0),MATCH($D147,DElVar,0))</f>
        <v>-1.032321572303772</v>
      </c>
      <c r="AI147" s="203">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33" t="inlineStr">
        <is>
          <t>HH_Elast</t>
        </is>
      </c>
      <c r="K148" s="9" t="str">
        <f>LOWER(CtryCode)&amp;".distn."&amp;$A148&amp;IF($B148="","","."&amp;$B148)&amp;IF($C148="","",".dec."&amp;$C148)&amp;"."&amp;K$5</f>
        <v>egy.distn.eps.hou.1</v>
      </c>
      <c r="L148" s="208">
        <f>INDEX(DElVal,MATCH(CtryCode&amp;".distn."&amp;L$10&amp;"ove.mean"&amp;L$11,DElKey,0),MATCH($D148,DElVar,0))</f>
        <v>-0.7859903573989868</v>
      </c>
      <c r="M148" s="203">
        <f>INDEX(DElVal,MATCH(CtryCode&amp;".distn."&amp;M$10&amp;"ove.mean"&amp;M$11,DElKey,0),MATCH($D148,DElVar,0))</f>
        <v>-0.790256917476654</v>
      </c>
      <c r="N148" s="203">
        <f>INDEX(DElVal,MATCH(CtryCode&amp;".distn."&amp;N$10&amp;"ove.mean"&amp;N$11,DElKey,0),MATCH($D148,DElVar,0))</f>
        <v>-0.790256917476654</v>
      </c>
      <c r="O148" s="203">
        <f>INDEX(DElVal,MATCH(CtryCode&amp;".distn."&amp;O$10&amp;"ove.mean"&amp;O$11,DElKey,0),MATCH($D148,DElVar,0))</f>
        <v>-0.790256917476654</v>
      </c>
      <c r="P148" s="203">
        <f>INDEX(DElVal,MATCH(CtryCode&amp;".distn."&amp;P$10&amp;"ove.mean"&amp;P$11,DElKey,0),MATCH($D148,DElVar,0))</f>
        <v>-0.7839999794960022</v>
      </c>
      <c r="Q148" s="203">
        <f>INDEX(DElVal,MATCH(CtryCode&amp;".distn."&amp;Q$10&amp;"ove.mean"&amp;Q$11,DElKey,0),MATCH($D148,DElVar,0))</f>
        <v>-0.7839999794960022</v>
      </c>
      <c r="R148" s="203">
        <f>INDEX(DElVal,MATCH(CtryCode&amp;".distn."&amp;R$10&amp;"ove.mean"&amp;R$11,DElKey,0),MATCH($D148,DElVar,0))</f>
        <v>-0.7839999794960022</v>
      </c>
      <c r="S148" s="203">
        <f>INDEX(DElVal,MATCH(CtryCode&amp;".distn."&amp;S$10&amp;"ove.mean"&amp;S$11,DElKey,0),MATCH($D148,DElVar,0))</f>
        <v>-0.7839999794960022</v>
      </c>
      <c r="T148" s="203">
        <f>INDEX(DElVal,MATCH(CtryCode&amp;".distn."&amp;T$10&amp;"ove.mean"&amp;T$11,DElKey,0),MATCH($D148,DElVar,0))</f>
        <v>-0.7843776941299438</v>
      </c>
      <c r="U148" s="203">
        <f>INDEX(DElVal,MATCH(CtryCode&amp;".distn."&amp;U$10&amp;"ove.mean"&amp;U$11,DElKey,0),MATCH($D148,DElVar,0))</f>
        <v>-0.7843776941299438</v>
      </c>
      <c r="V148" s="203">
        <f>INDEX(DElVal,MATCH(CtryCode&amp;".distn."&amp;V$10&amp;"ove.mean"&amp;V$11,DElKey,0),MATCH($D148,DElVar,0))</f>
        <v>-0.7843776941299438</v>
      </c>
      <c r="W148" s="207" t="str">
        <f>IF(X$5=K$5,SUM(Y148:AI148)-SUM(L148:V148),"")</f>
        <v/>
      </c>
      <c r="X148" s="9" t="str">
        <f>LOWER(CtryCode)&amp;".distn."&amp;$A148&amp;IF($B148="","","."&amp;$B148)&amp;IF($C148="","",".dec."&amp;$C148)&amp;"."&amp;X$5</f>
        <v>egy.distn.eps.hou.2</v>
      </c>
      <c r="Y148" s="208">
        <f>INDEX(DElVal,MATCH(CtryCode&amp;".distn."&amp;Y$10&amp;"ove.mean"&amp;Y$11,DElKey,0),MATCH($D148,DElVar,0))</f>
        <v>-0.7859903573989868</v>
      </c>
      <c r="Z148" s="203">
        <f>INDEX(DElVal,MATCH(CtryCode&amp;".distn."&amp;Z$10&amp;"ove.mean"&amp;Z$11,DElKey,0),MATCH($D148,DElVar,0))</f>
        <v>-0.790256917476654</v>
      </c>
      <c r="AA148" s="203">
        <f>INDEX(DElVal,MATCH(CtryCode&amp;".distn."&amp;AA$10&amp;"ove.mean"&amp;AA$11,DElKey,0),MATCH($D148,DElVar,0))</f>
        <v>-0.790256917476654</v>
      </c>
      <c r="AB148" s="203">
        <f>INDEX(DElVal,MATCH(CtryCode&amp;".distn."&amp;AB$10&amp;"ove.mean"&amp;AB$11,DElKey,0),MATCH($D148,DElVar,0))</f>
        <v>-0.790256917476654</v>
      </c>
      <c r="AC148" s="203">
        <f>INDEX(DElVal,MATCH(CtryCode&amp;".distn."&amp;AC$10&amp;"ove.mean"&amp;AC$11,DElKey,0),MATCH($D148,DElVar,0))</f>
        <v>-0.7839999794960022</v>
      </c>
      <c r="AD148" s="203">
        <f>INDEX(DElVal,MATCH(CtryCode&amp;".distn."&amp;AD$10&amp;"ove.mean"&amp;AD$11,DElKey,0),MATCH($D148,DElVar,0))</f>
        <v>-0.7839999794960022</v>
      </c>
      <c r="AE148" s="203">
        <f>INDEX(DElVal,MATCH(CtryCode&amp;".distn."&amp;AE$10&amp;"ove.mean"&amp;AE$11,DElKey,0),MATCH($D148,DElVar,0))</f>
        <v>-0.7839999794960022</v>
      </c>
      <c r="AF148" s="203">
        <f>INDEX(DElVal,MATCH(CtryCode&amp;".distn."&amp;AF$10&amp;"ove.mean"&amp;AF$11,DElKey,0),MATCH($D148,DElVar,0))</f>
        <v>-0.7839999794960022</v>
      </c>
      <c r="AG148" s="203">
        <f>INDEX(DElVal,MATCH(CtryCode&amp;".distn."&amp;AG$10&amp;"ove.mean"&amp;AG$11,DElKey,0),MATCH($D148,DElVar,0))</f>
        <v>-0.7843776941299438</v>
      </c>
      <c r="AH148" s="203">
        <f>INDEX(DElVal,MATCH(CtryCode&amp;".distn."&amp;AH$10&amp;"ove.mean"&amp;AH$11,DElKey,0),MATCH($D148,DElVar,0))</f>
        <v>-0.7843776941299438</v>
      </c>
      <c r="AI148" s="203">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33" t="inlineStr">
        <is>
          <t>HH_Elast</t>
        </is>
      </c>
      <c r="K149" s="9" t="str">
        <f>LOWER(CtryCode)&amp;".distn."&amp;$A149&amp;IF($B149="","","."&amp;$B149)&amp;IF($C149="","",".dec."&amp;$C149)&amp;"."&amp;K$5</f>
        <v>egy.distn.eps.oth.1</v>
      </c>
      <c r="L149" s="208">
        <f>INDEX(DElVal,MATCH(CtryCode&amp;".distn."&amp;L$10&amp;"ove.mean"&amp;L$11,DElKey,0),MATCH($D149,DElVar,0))</f>
        <v>-1.174116015434265</v>
      </c>
      <c r="M149" s="203">
        <f>INDEX(DElVal,MATCH(CtryCode&amp;".distn."&amp;M$10&amp;"ove.mean"&amp;M$11,DElKey,0),MATCH($D149,DElVar,0))</f>
        <v>-1.507830381393433</v>
      </c>
      <c r="N149" s="203">
        <f>INDEX(DElVal,MATCH(CtryCode&amp;".distn."&amp;N$10&amp;"ove.mean"&amp;N$11,DElKey,0),MATCH($D149,DElVar,0))</f>
        <v>-1.507830381393433</v>
      </c>
      <c r="O149" s="203">
        <f>INDEX(DElVal,MATCH(CtryCode&amp;".distn."&amp;O$10&amp;"ove.mean"&amp;O$11,DElKey,0),MATCH($D149,DElVar,0))</f>
        <v>-1.507830381393433</v>
      </c>
      <c r="P149" s="203">
        <f>INDEX(DElVal,MATCH(CtryCode&amp;".distn."&amp;P$10&amp;"ove.mean"&amp;P$11,DElKey,0),MATCH($D149,DElVar,0))</f>
        <v>-1.026999950408936</v>
      </c>
      <c r="Q149" s="203">
        <f>INDEX(DElVal,MATCH(CtryCode&amp;".distn."&amp;Q$10&amp;"ove.mean"&amp;Q$11,DElKey,0),MATCH($D149,DElVar,0))</f>
        <v>-1.026999950408936</v>
      </c>
      <c r="R149" s="203">
        <f>INDEX(DElVal,MATCH(CtryCode&amp;".distn."&amp;R$10&amp;"ove.mean"&amp;R$11,DElKey,0),MATCH($D149,DElVar,0))</f>
        <v>-1.026999950408936</v>
      </c>
      <c r="S149" s="203">
        <f>INDEX(DElVal,MATCH(CtryCode&amp;".distn."&amp;S$10&amp;"ove.mean"&amp;S$11,DElKey,0),MATCH($D149,DElVar,0))</f>
        <v>-1.026999950408936</v>
      </c>
      <c r="T149" s="203">
        <f>INDEX(DElVal,MATCH(CtryCode&amp;".distn."&amp;T$10&amp;"ove.mean"&amp;T$11,DElKey,0),MATCH($D149,DElVar,0))</f>
        <v>-1.036556363105774</v>
      </c>
      <c r="U149" s="203">
        <f>INDEX(DElVal,MATCH(CtryCode&amp;".distn."&amp;U$10&amp;"ove.mean"&amp;U$11,DElKey,0),MATCH($D149,DElVar,0))</f>
        <v>-1.036556363105774</v>
      </c>
      <c r="V149" s="203">
        <f>INDEX(DElVal,MATCH(CtryCode&amp;".distn."&amp;V$10&amp;"ove.mean"&amp;V$11,DElKey,0),MATCH($D149,DElVar,0))</f>
        <v>-1.036556363105774</v>
      </c>
      <c r="W149" s="207" t="str">
        <f>IF(X$5=K$5,SUM(Y149:AI149)-SUM(L149:V149),"")</f>
        <v/>
      </c>
      <c r="X149" s="9" t="str">
        <f>LOWER(CtryCode)&amp;".distn."&amp;$A149&amp;IF($B149="","","."&amp;$B149)&amp;IF($C149="","",".dec."&amp;$C149)&amp;"."&amp;X$5</f>
        <v>egy.distn.eps.oth.2</v>
      </c>
      <c r="Y149" s="208">
        <f>INDEX(DElVal,MATCH(CtryCode&amp;".distn."&amp;Y$10&amp;"ove.mean"&amp;Y$11,DElKey,0),MATCH($D149,DElVar,0))</f>
        <v>-1.174116015434265</v>
      </c>
      <c r="Z149" s="203">
        <f>INDEX(DElVal,MATCH(CtryCode&amp;".distn."&amp;Z$10&amp;"ove.mean"&amp;Z$11,DElKey,0),MATCH($D149,DElVar,0))</f>
        <v>-1.507830381393433</v>
      </c>
      <c r="AA149" s="203">
        <f>INDEX(DElVal,MATCH(CtryCode&amp;".distn."&amp;AA$10&amp;"ove.mean"&amp;AA$11,DElKey,0),MATCH($D149,DElVar,0))</f>
        <v>-1.507830381393433</v>
      </c>
      <c r="AB149" s="203">
        <f>INDEX(DElVal,MATCH(CtryCode&amp;".distn."&amp;AB$10&amp;"ove.mean"&amp;AB$11,DElKey,0),MATCH($D149,DElVar,0))</f>
        <v>-1.507830381393433</v>
      </c>
      <c r="AC149" s="203">
        <f>INDEX(DElVal,MATCH(CtryCode&amp;".distn."&amp;AC$10&amp;"ove.mean"&amp;AC$11,DElKey,0),MATCH($D149,DElVar,0))</f>
        <v>-1.026999950408936</v>
      </c>
      <c r="AD149" s="203">
        <f>INDEX(DElVal,MATCH(CtryCode&amp;".distn."&amp;AD$10&amp;"ove.mean"&amp;AD$11,DElKey,0),MATCH($D149,DElVar,0))</f>
        <v>-1.026999950408936</v>
      </c>
      <c r="AE149" s="203">
        <f>INDEX(DElVal,MATCH(CtryCode&amp;".distn."&amp;AE$10&amp;"ove.mean"&amp;AE$11,DElKey,0),MATCH($D149,DElVar,0))</f>
        <v>-1.026999950408936</v>
      </c>
      <c r="AF149" s="203">
        <f>INDEX(DElVal,MATCH(CtryCode&amp;".distn."&amp;AF$10&amp;"ove.mean"&amp;AF$11,DElKey,0),MATCH($D149,DElVar,0))</f>
        <v>-1.026999950408936</v>
      </c>
      <c r="AG149" s="203">
        <f>INDEX(DElVal,MATCH(CtryCode&amp;".distn."&amp;AG$10&amp;"ove.mean"&amp;AG$11,DElKey,0),MATCH($D149,DElVar,0))</f>
        <v>-1.036556363105774</v>
      </c>
      <c r="AH149" s="203">
        <f>INDEX(DElVal,MATCH(CtryCode&amp;".distn."&amp;AH$10&amp;"ove.mean"&amp;AH$11,DElKey,0),MATCH($D149,DElVar,0))</f>
        <v>-1.036556363105774</v>
      </c>
      <c r="AI149" s="203">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33" t="inlineStr">
        <is>
          <t>HH_Elast</t>
        </is>
      </c>
      <c r="K150" s="9" t="str">
        <f>LOWER(CtryCode)&amp;".distn."&amp;$A150&amp;IF($B150="","","."&amp;$B150)&amp;IF($C150="","",".dec."&amp;$C150)&amp;"."&amp;K$5</f>
        <v>egy.distn.eps.pap.1</v>
      </c>
      <c r="L150" s="208">
        <f>INDEX(DElVal,MATCH(CtryCode&amp;".distn."&amp;L$10&amp;"ove.mean"&amp;L$11,DElKey,0),MATCH($D150,DElVar,0))</f>
        <v>-1.174116015434265</v>
      </c>
      <c r="M150" s="203">
        <f>INDEX(DElVal,MATCH(CtryCode&amp;".distn."&amp;M$10&amp;"ove.mean"&amp;M$11,DElKey,0),MATCH($D150,DElVar,0))</f>
        <v>-1.507830381393433</v>
      </c>
      <c r="N150" s="203">
        <f>INDEX(DElVal,MATCH(CtryCode&amp;".distn."&amp;N$10&amp;"ove.mean"&amp;N$11,DElKey,0),MATCH($D150,DElVar,0))</f>
        <v>-1.507830381393433</v>
      </c>
      <c r="O150" s="203">
        <f>INDEX(DElVal,MATCH(CtryCode&amp;".distn."&amp;O$10&amp;"ove.mean"&amp;O$11,DElKey,0),MATCH($D150,DElVar,0))</f>
        <v>-1.507830381393433</v>
      </c>
      <c r="P150" s="203">
        <f>INDEX(DElVal,MATCH(CtryCode&amp;".distn."&amp;P$10&amp;"ove.mean"&amp;P$11,DElKey,0),MATCH($D150,DElVar,0))</f>
        <v>-1.026999950408936</v>
      </c>
      <c r="Q150" s="203">
        <f>INDEX(DElVal,MATCH(CtryCode&amp;".distn."&amp;Q$10&amp;"ove.mean"&amp;Q$11,DElKey,0),MATCH($D150,DElVar,0))</f>
        <v>-1.026999950408936</v>
      </c>
      <c r="R150" s="203">
        <f>INDEX(DElVal,MATCH(CtryCode&amp;".distn."&amp;R$10&amp;"ove.mean"&amp;R$11,DElKey,0),MATCH($D150,DElVar,0))</f>
        <v>-1.026999950408936</v>
      </c>
      <c r="S150" s="203">
        <f>INDEX(DElVal,MATCH(CtryCode&amp;".distn."&amp;S$10&amp;"ove.mean"&amp;S$11,DElKey,0),MATCH($D150,DElVar,0))</f>
        <v>-1.026999950408936</v>
      </c>
      <c r="T150" s="203">
        <f>INDEX(DElVal,MATCH(CtryCode&amp;".distn."&amp;T$10&amp;"ove.mean"&amp;T$11,DElKey,0),MATCH($D150,DElVar,0))</f>
        <v>-1.036556363105774</v>
      </c>
      <c r="U150" s="203">
        <f>INDEX(DElVal,MATCH(CtryCode&amp;".distn."&amp;U$10&amp;"ove.mean"&amp;U$11,DElKey,0),MATCH($D150,DElVar,0))</f>
        <v>-1.036556363105774</v>
      </c>
      <c r="V150" s="203">
        <f>INDEX(DElVal,MATCH(CtryCode&amp;".distn."&amp;V$10&amp;"ove.mean"&amp;V$11,DElKey,0),MATCH($D150,DElVar,0))</f>
        <v>-1.036556363105774</v>
      </c>
      <c r="W150" s="207" t="str">
        <f>IF(X$5=K$5,SUM(Y150:AI150)-SUM(L150:V150),"")</f>
        <v/>
      </c>
      <c r="X150" s="9" t="str">
        <f>LOWER(CtryCode)&amp;".distn."&amp;$A150&amp;IF($B150="","","."&amp;$B150)&amp;IF($C150="","",".dec."&amp;$C150)&amp;"."&amp;X$5</f>
        <v>egy.distn.eps.pap.2</v>
      </c>
      <c r="Y150" s="208">
        <f>INDEX(DElVal,MATCH(CtryCode&amp;".distn."&amp;Y$10&amp;"ove.mean"&amp;Y$11,DElKey,0),MATCH($D150,DElVar,0))</f>
        <v>-1.174116015434265</v>
      </c>
      <c r="Z150" s="203">
        <f>INDEX(DElVal,MATCH(CtryCode&amp;".distn."&amp;Z$10&amp;"ove.mean"&amp;Z$11,DElKey,0),MATCH($D150,DElVar,0))</f>
        <v>-1.507830381393433</v>
      </c>
      <c r="AA150" s="203">
        <f>INDEX(DElVal,MATCH(CtryCode&amp;".distn."&amp;AA$10&amp;"ove.mean"&amp;AA$11,DElKey,0),MATCH($D150,DElVar,0))</f>
        <v>-1.507830381393433</v>
      </c>
      <c r="AB150" s="203">
        <f>INDEX(DElVal,MATCH(CtryCode&amp;".distn."&amp;AB$10&amp;"ove.mean"&amp;AB$11,DElKey,0),MATCH($D150,DElVar,0))</f>
        <v>-1.507830381393433</v>
      </c>
      <c r="AC150" s="203">
        <f>INDEX(DElVal,MATCH(CtryCode&amp;".distn."&amp;AC$10&amp;"ove.mean"&amp;AC$11,DElKey,0),MATCH($D150,DElVar,0))</f>
        <v>-1.026999950408936</v>
      </c>
      <c r="AD150" s="203">
        <f>INDEX(DElVal,MATCH(CtryCode&amp;".distn."&amp;AD$10&amp;"ove.mean"&amp;AD$11,DElKey,0),MATCH($D150,DElVar,0))</f>
        <v>-1.026999950408936</v>
      </c>
      <c r="AE150" s="203">
        <f>INDEX(DElVal,MATCH(CtryCode&amp;".distn."&amp;AE$10&amp;"ove.mean"&amp;AE$11,DElKey,0),MATCH($D150,DElVar,0))</f>
        <v>-1.026999950408936</v>
      </c>
      <c r="AF150" s="203">
        <f>INDEX(DElVal,MATCH(CtryCode&amp;".distn."&amp;AF$10&amp;"ove.mean"&amp;AF$11,DElKey,0),MATCH($D150,DElVar,0))</f>
        <v>-1.026999950408936</v>
      </c>
      <c r="AG150" s="203">
        <f>INDEX(DElVal,MATCH(CtryCode&amp;".distn."&amp;AG$10&amp;"ove.mean"&amp;AG$11,DElKey,0),MATCH($D150,DElVar,0))</f>
        <v>-1.036556363105774</v>
      </c>
      <c r="AH150" s="203">
        <f>INDEX(DElVal,MATCH(CtryCode&amp;".distn."&amp;AH$10&amp;"ove.mean"&amp;AH$11,DElKey,0),MATCH($D150,DElVar,0))</f>
        <v>-1.036556363105774</v>
      </c>
      <c r="AI150" s="203">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33" t="inlineStr">
        <is>
          <t>HH_Elast</t>
        </is>
      </c>
      <c r="K151" s="9" t="str">
        <f>LOWER(CtryCode)&amp;".distn."&amp;$A151&amp;IF($B151="","","."&amp;$B151)&amp;IF($C151="","",".dec."&amp;$C151)&amp;"."&amp;K$5</f>
        <v>egy.distn.eps.pha.1</v>
      </c>
      <c r="L151" s="208">
        <f>INDEX(DElVal,MATCH(CtryCode&amp;".distn."&amp;L$10&amp;"ove.mean"&amp;L$11,DElKey,0),MATCH($D151,DElVar,0))</f>
        <v>-1.153762221336365</v>
      </c>
      <c r="M151" s="203">
        <f>INDEX(DElVal,MATCH(CtryCode&amp;".distn."&amp;M$10&amp;"ove.mean"&amp;M$11,DElKey,0),MATCH($D151,DElVar,0))</f>
        <v>-1.449552416801453</v>
      </c>
      <c r="N151" s="203">
        <f>INDEX(DElVal,MATCH(CtryCode&amp;".distn."&amp;N$10&amp;"ove.mean"&amp;N$11,DElKey,0),MATCH($D151,DElVar,0))</f>
        <v>-1.449552416801453</v>
      </c>
      <c r="O151" s="203">
        <f>INDEX(DElVal,MATCH(CtryCode&amp;".distn."&amp;O$10&amp;"ove.mean"&amp;O$11,DElKey,0),MATCH($D151,DElVar,0))</f>
        <v>-1.449552416801453</v>
      </c>
      <c r="P151" s="203">
        <f>INDEX(DElVal,MATCH(CtryCode&amp;".distn."&amp;P$10&amp;"ove.mean"&amp;P$11,DElKey,0),MATCH($D151,DElVar,0))</f>
        <v>-1.023000001907349</v>
      </c>
      <c r="Q151" s="203">
        <f>INDEX(DElVal,MATCH(CtryCode&amp;".distn."&amp;Q$10&amp;"ove.mean"&amp;Q$11,DElKey,0),MATCH($D151,DElVar,0))</f>
        <v>-1.023000001907349</v>
      </c>
      <c r="R151" s="203">
        <f>INDEX(DElVal,MATCH(CtryCode&amp;".distn."&amp;R$10&amp;"ove.mean"&amp;R$11,DElKey,0),MATCH($D151,DElVar,0))</f>
        <v>-1.023000001907349</v>
      </c>
      <c r="S151" s="203">
        <f>INDEX(DElVal,MATCH(CtryCode&amp;".distn."&amp;S$10&amp;"ove.mean"&amp;S$11,DElKey,0),MATCH($D151,DElVar,0))</f>
        <v>-1.023000001907349</v>
      </c>
      <c r="T151" s="203">
        <f>INDEX(DElVal,MATCH(CtryCode&amp;".distn."&amp;T$10&amp;"ove.mean"&amp;T$11,DElKey,0),MATCH($D151,DElVar,0))</f>
        <v>-1.032321572303772</v>
      </c>
      <c r="U151" s="203">
        <f>INDEX(DElVal,MATCH(CtryCode&amp;".distn."&amp;U$10&amp;"ove.mean"&amp;U$11,DElKey,0),MATCH($D151,DElVar,0))</f>
        <v>-1.032321572303772</v>
      </c>
      <c r="V151" s="203">
        <f>INDEX(DElVal,MATCH(CtryCode&amp;".distn."&amp;V$10&amp;"ove.mean"&amp;V$11,DElKey,0),MATCH($D151,DElVar,0))</f>
        <v>-1.032321572303772</v>
      </c>
      <c r="W151" s="207" t="str">
        <f>IF(X$5=K$5,SUM(Y151:AI151)-SUM(L151:V151),"")</f>
        <v/>
      </c>
      <c r="X151" s="9" t="str">
        <f>LOWER(CtryCode)&amp;".distn."&amp;$A151&amp;IF($B151="","","."&amp;$B151)&amp;IF($C151="","",".dec."&amp;$C151)&amp;"."&amp;X$5</f>
        <v>egy.distn.eps.pha.2</v>
      </c>
      <c r="Y151" s="208">
        <f>INDEX(DElVal,MATCH(CtryCode&amp;".distn."&amp;Y$10&amp;"ove.mean"&amp;Y$11,DElKey,0),MATCH($D151,DElVar,0))</f>
        <v>-1.153762221336365</v>
      </c>
      <c r="Z151" s="203">
        <f>INDEX(DElVal,MATCH(CtryCode&amp;".distn."&amp;Z$10&amp;"ove.mean"&amp;Z$11,DElKey,0),MATCH($D151,DElVar,0))</f>
        <v>-1.449552416801453</v>
      </c>
      <c r="AA151" s="203">
        <f>INDEX(DElVal,MATCH(CtryCode&amp;".distn."&amp;AA$10&amp;"ove.mean"&amp;AA$11,DElKey,0),MATCH($D151,DElVar,0))</f>
        <v>-1.449552416801453</v>
      </c>
      <c r="AB151" s="203">
        <f>INDEX(DElVal,MATCH(CtryCode&amp;".distn."&amp;AB$10&amp;"ove.mean"&amp;AB$11,DElKey,0),MATCH($D151,DElVar,0))</f>
        <v>-1.449552416801453</v>
      </c>
      <c r="AC151" s="203">
        <f>INDEX(DElVal,MATCH(CtryCode&amp;".distn."&amp;AC$10&amp;"ove.mean"&amp;AC$11,DElKey,0),MATCH($D151,DElVar,0))</f>
        <v>-1.023000001907349</v>
      </c>
      <c r="AD151" s="203">
        <f>INDEX(DElVal,MATCH(CtryCode&amp;".distn."&amp;AD$10&amp;"ove.mean"&amp;AD$11,DElKey,0),MATCH($D151,DElVar,0))</f>
        <v>-1.023000001907349</v>
      </c>
      <c r="AE151" s="203">
        <f>INDEX(DElVal,MATCH(CtryCode&amp;".distn."&amp;AE$10&amp;"ove.mean"&amp;AE$11,DElKey,0),MATCH($D151,DElVar,0))</f>
        <v>-1.023000001907349</v>
      </c>
      <c r="AF151" s="203">
        <f>INDEX(DElVal,MATCH(CtryCode&amp;".distn."&amp;AF$10&amp;"ove.mean"&amp;AF$11,DElKey,0),MATCH($D151,DElVar,0))</f>
        <v>-1.023000001907349</v>
      </c>
      <c r="AG151" s="203">
        <f>INDEX(DElVal,MATCH(CtryCode&amp;".distn."&amp;AG$10&amp;"ove.mean"&amp;AG$11,DElKey,0),MATCH($D151,DElVar,0))</f>
        <v>-1.032321572303772</v>
      </c>
      <c r="AH151" s="203">
        <f>INDEX(DElVal,MATCH(CtryCode&amp;".distn."&amp;AH$10&amp;"ove.mean"&amp;AH$11,DElKey,0),MATCH($D151,DElVar,0))</f>
        <v>-1.032321572303772</v>
      </c>
      <c r="AI151" s="203">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33" t="inlineStr">
        <is>
          <t>HH_Elast</t>
        </is>
      </c>
      <c r="K152" s="9" t="str">
        <f>LOWER(CtryCode)&amp;".distn."&amp;$A152&amp;IF($B152="","","."&amp;$B152)&amp;IF($C152="","",".dec."&amp;$C152)&amp;"."&amp;K$5</f>
        <v>egy.distn.eps.ret.1</v>
      </c>
      <c r="L152" s="208">
        <f>INDEX(DElVal,MATCH(CtryCode&amp;".distn."&amp;L$10&amp;"ove.mean"&amp;L$11,DElKey,0),MATCH($D152,DElVar,0))</f>
        <v>-1.520343899726868</v>
      </c>
      <c r="M152" s="203">
        <f>INDEX(DElVal,MATCH(CtryCode&amp;".distn."&amp;M$10&amp;"ove.mean"&amp;M$11,DElKey,0),MATCH($D152,DElVar,0))</f>
        <v>-2.375121831893921</v>
      </c>
      <c r="N152" s="203">
        <f>INDEX(DElVal,MATCH(CtryCode&amp;".distn."&amp;N$10&amp;"ove.mean"&amp;N$11,DElKey,0),MATCH($D152,DElVar,0))</f>
        <v>-2.375121831893921</v>
      </c>
      <c r="O152" s="203">
        <f>INDEX(DElVal,MATCH(CtryCode&amp;".distn."&amp;O$10&amp;"ove.mean"&amp;O$11,DElKey,0),MATCH($D152,DElVar,0))</f>
        <v>-2.375121831893921</v>
      </c>
      <c r="P152" s="203">
        <f>INDEX(DElVal,MATCH(CtryCode&amp;".distn."&amp;P$10&amp;"ove.mean"&amp;P$11,DElKey,0),MATCH($D152,DElVar,0))</f>
        <v>-1.146999955177307</v>
      </c>
      <c r="Q152" s="203">
        <f>INDEX(DElVal,MATCH(CtryCode&amp;".distn."&amp;Q$10&amp;"ove.mean"&amp;Q$11,DElKey,0),MATCH($D152,DElVar,0))</f>
        <v>-1.146999955177307</v>
      </c>
      <c r="R152" s="203">
        <f>INDEX(DElVal,MATCH(CtryCode&amp;".distn."&amp;R$10&amp;"ove.mean"&amp;R$11,DElKey,0),MATCH($D152,DElVar,0))</f>
        <v>-1.146999955177307</v>
      </c>
      <c r="S152" s="203">
        <f>INDEX(DElVal,MATCH(CtryCode&amp;".distn."&amp;S$10&amp;"ove.mean"&amp;S$11,DElKey,0),MATCH($D152,DElVar,0))</f>
        <v>-1.146999955177307</v>
      </c>
      <c r="T152" s="203">
        <f>INDEX(DElVal,MATCH(CtryCode&amp;".distn."&amp;T$10&amp;"ove.mean"&amp;T$11,DElKey,0),MATCH($D152,DElVar,0))</f>
        <v>-1.163357734680176</v>
      </c>
      <c r="U152" s="203">
        <f>INDEX(DElVal,MATCH(CtryCode&amp;".distn."&amp;U$10&amp;"ove.mean"&amp;U$11,DElKey,0),MATCH($D152,DElVar,0))</f>
        <v>-1.163357734680176</v>
      </c>
      <c r="V152" s="203">
        <f>INDEX(DElVal,MATCH(CtryCode&amp;".distn."&amp;V$10&amp;"ove.mean"&amp;V$11,DElKey,0),MATCH($D152,DElVar,0))</f>
        <v>-1.163357734680176</v>
      </c>
      <c r="W152" s="207" t="str">
        <f>IF(X$5=K$5,SUM(Y152:AI152)-SUM(L152:V152),"")</f>
        <v/>
      </c>
      <c r="X152" s="9" t="str">
        <f>LOWER(CtryCode)&amp;".distn."&amp;$A152&amp;IF($B152="","","."&amp;$B152)&amp;IF($C152="","",".dec."&amp;$C152)&amp;"."&amp;X$5</f>
        <v>egy.distn.eps.ret.2</v>
      </c>
      <c r="Y152" s="208">
        <f>INDEX(DElVal,MATCH(CtryCode&amp;".distn."&amp;Y$10&amp;"ove.mean"&amp;Y$11,DElKey,0),MATCH($D152,DElVar,0))</f>
        <v>-1.520343899726868</v>
      </c>
      <c r="Z152" s="203">
        <f>INDEX(DElVal,MATCH(CtryCode&amp;".distn."&amp;Z$10&amp;"ove.mean"&amp;Z$11,DElKey,0),MATCH($D152,DElVar,0))</f>
        <v>-2.375121831893921</v>
      </c>
      <c r="AA152" s="203">
        <f>INDEX(DElVal,MATCH(CtryCode&amp;".distn."&amp;AA$10&amp;"ove.mean"&amp;AA$11,DElKey,0),MATCH($D152,DElVar,0))</f>
        <v>-2.375121831893921</v>
      </c>
      <c r="AB152" s="203">
        <f>INDEX(DElVal,MATCH(CtryCode&amp;".distn."&amp;AB$10&amp;"ove.mean"&amp;AB$11,DElKey,0),MATCH($D152,DElVar,0))</f>
        <v>-2.375121831893921</v>
      </c>
      <c r="AC152" s="203">
        <f>INDEX(DElVal,MATCH(CtryCode&amp;".distn."&amp;AC$10&amp;"ove.mean"&amp;AC$11,DElKey,0),MATCH($D152,DElVar,0))</f>
        <v>-1.146999955177307</v>
      </c>
      <c r="AD152" s="203">
        <f>INDEX(DElVal,MATCH(CtryCode&amp;".distn."&amp;AD$10&amp;"ove.mean"&amp;AD$11,DElKey,0),MATCH($D152,DElVar,0))</f>
        <v>-1.146999955177307</v>
      </c>
      <c r="AE152" s="203">
        <f>INDEX(DElVal,MATCH(CtryCode&amp;".distn."&amp;AE$10&amp;"ove.mean"&amp;AE$11,DElKey,0),MATCH($D152,DElVar,0))</f>
        <v>-1.146999955177307</v>
      </c>
      <c r="AF152" s="203">
        <f>INDEX(DElVal,MATCH(CtryCode&amp;".distn."&amp;AF$10&amp;"ove.mean"&amp;AF$11,DElKey,0),MATCH($D152,DElVar,0))</f>
        <v>-1.146999955177307</v>
      </c>
      <c r="AG152" s="203">
        <f>INDEX(DElVal,MATCH(CtryCode&amp;".distn."&amp;AG$10&amp;"ove.mean"&amp;AG$11,DElKey,0),MATCH($D152,DElVar,0))</f>
        <v>-1.163357734680176</v>
      </c>
      <c r="AH152" s="203">
        <f>INDEX(DElVal,MATCH(CtryCode&amp;".distn."&amp;AH$10&amp;"ove.mean"&amp;AH$11,DElKey,0),MATCH($D152,DElVar,0))</f>
        <v>-1.163357734680176</v>
      </c>
      <c r="AI152" s="203">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33" t="inlineStr">
        <is>
          <t>HH_Elast</t>
        </is>
      </c>
      <c r="K153" s="9" t="str">
        <f>LOWER(CtryCode)&amp;".distn."&amp;$A153&amp;IF($B153="","","."&amp;$B153)&amp;IF($C153="","",".dec."&amp;$C153)&amp;"."&amp;K$5</f>
        <v>egy.distn.eps.teq.1</v>
      </c>
      <c r="L153" s="208">
        <f>INDEX(DElVal,MATCH(CtryCode&amp;".distn."&amp;L$10&amp;"ove.mean"&amp;L$11,DElKey,0),MATCH($D153,DElVar,0))</f>
        <v>-0.8737958073616028</v>
      </c>
      <c r="M153" s="203">
        <f>INDEX(DElVal,MATCH(CtryCode&amp;".distn."&amp;M$10&amp;"ove.mean"&amp;M$11,DElKey,0),MATCH($D153,DElVar,0))</f>
        <v>-0.9036660194396973</v>
      </c>
      <c r="N153" s="203">
        <f>INDEX(DElVal,MATCH(CtryCode&amp;".distn."&amp;N$10&amp;"ove.mean"&amp;N$11,DElKey,0),MATCH($D153,DElVar,0))</f>
        <v>-0.9036660194396973</v>
      </c>
      <c r="O153" s="203">
        <f>INDEX(DElVal,MATCH(CtryCode&amp;".distn."&amp;O$10&amp;"ove.mean"&amp;O$11,DElKey,0),MATCH($D153,DElVar,0))</f>
        <v>-0.9036660194396973</v>
      </c>
      <c r="P153" s="203">
        <f>INDEX(DElVal,MATCH(CtryCode&amp;".distn."&amp;P$10&amp;"ove.mean"&amp;P$11,DElKey,0),MATCH($D153,DElVar,0))</f>
        <v>-0.8600000143051147</v>
      </c>
      <c r="Q153" s="203">
        <f>INDEX(DElVal,MATCH(CtryCode&amp;".distn."&amp;Q$10&amp;"ove.mean"&amp;Q$11,DElKey,0),MATCH($D153,DElVar,0))</f>
        <v>-0.8600000143051147</v>
      </c>
      <c r="R153" s="203">
        <f>INDEX(DElVal,MATCH(CtryCode&amp;".distn."&amp;R$10&amp;"ove.mean"&amp;R$11,DElKey,0),MATCH($D153,DElVar,0))</f>
        <v>-0.8600000143051147</v>
      </c>
      <c r="S153" s="203">
        <f>INDEX(DElVal,MATCH(CtryCode&amp;".distn."&amp;S$10&amp;"ove.mean"&amp;S$11,DElKey,0),MATCH($D153,DElVar,0))</f>
        <v>-0.8600000143051147</v>
      </c>
      <c r="T153" s="203">
        <f>INDEX(DElVal,MATCH(CtryCode&amp;".distn."&amp;T$10&amp;"ove.mean"&amp;T$11,DElKey,0),MATCH($D153,DElVar,0))</f>
        <v>-0.8623199462890625</v>
      </c>
      <c r="U153" s="203">
        <f>INDEX(DElVal,MATCH(CtryCode&amp;".distn."&amp;U$10&amp;"ove.mean"&amp;U$11,DElKey,0),MATCH($D153,DElVar,0))</f>
        <v>-0.8623199462890625</v>
      </c>
      <c r="V153" s="203">
        <f>INDEX(DElVal,MATCH(CtryCode&amp;".distn."&amp;V$10&amp;"ove.mean"&amp;V$11,DElKey,0),MATCH($D153,DElVar,0))</f>
        <v>-0.8623199462890625</v>
      </c>
      <c r="W153" s="207" t="str">
        <f>IF(X$5=K$5,SUM(Y153:AI153)-SUM(L153:V153),"")</f>
        <v/>
      </c>
      <c r="X153" s="9" t="str">
        <f>LOWER(CtryCode)&amp;".distn."&amp;$A153&amp;IF($B153="","","."&amp;$B153)&amp;IF($C153="","",".dec."&amp;$C153)&amp;"."&amp;X$5</f>
        <v>egy.distn.eps.teq.2</v>
      </c>
      <c r="Y153" s="208">
        <f>INDEX(DElVal,MATCH(CtryCode&amp;".distn."&amp;Y$10&amp;"ove.mean"&amp;Y$11,DElKey,0),MATCH($D153,DElVar,0))</f>
        <v>-0.8737958073616028</v>
      </c>
      <c r="Z153" s="203">
        <f>INDEX(DElVal,MATCH(CtryCode&amp;".distn."&amp;Z$10&amp;"ove.mean"&amp;Z$11,DElKey,0),MATCH($D153,DElVar,0))</f>
        <v>-0.9036660194396973</v>
      </c>
      <c r="AA153" s="203">
        <f>INDEX(DElVal,MATCH(CtryCode&amp;".distn."&amp;AA$10&amp;"ove.mean"&amp;AA$11,DElKey,0),MATCH($D153,DElVar,0))</f>
        <v>-0.9036660194396973</v>
      </c>
      <c r="AB153" s="203">
        <f>INDEX(DElVal,MATCH(CtryCode&amp;".distn."&amp;AB$10&amp;"ove.mean"&amp;AB$11,DElKey,0),MATCH($D153,DElVar,0))</f>
        <v>-0.9036660194396973</v>
      </c>
      <c r="AC153" s="203">
        <f>INDEX(DElVal,MATCH(CtryCode&amp;".distn."&amp;AC$10&amp;"ove.mean"&amp;AC$11,DElKey,0),MATCH($D153,DElVar,0))</f>
        <v>-0.8600000143051147</v>
      </c>
      <c r="AD153" s="203">
        <f>INDEX(DElVal,MATCH(CtryCode&amp;".distn."&amp;AD$10&amp;"ove.mean"&amp;AD$11,DElKey,0),MATCH($D153,DElVar,0))</f>
        <v>-0.8600000143051147</v>
      </c>
      <c r="AE153" s="203">
        <f>INDEX(DElVal,MATCH(CtryCode&amp;".distn."&amp;AE$10&amp;"ove.mean"&amp;AE$11,DElKey,0),MATCH($D153,DElVar,0))</f>
        <v>-0.8600000143051147</v>
      </c>
      <c r="AF153" s="203">
        <f>INDEX(DElVal,MATCH(CtryCode&amp;".distn."&amp;AF$10&amp;"ove.mean"&amp;AF$11,DElKey,0),MATCH($D153,DElVar,0))</f>
        <v>-0.8600000143051147</v>
      </c>
      <c r="AG153" s="203">
        <f>INDEX(DElVal,MATCH(CtryCode&amp;".distn."&amp;AG$10&amp;"ove.mean"&amp;AG$11,DElKey,0),MATCH($D153,DElVar,0))</f>
        <v>-0.8623199462890625</v>
      </c>
      <c r="AH153" s="203">
        <f>INDEX(DElVal,MATCH(CtryCode&amp;".distn."&amp;AH$10&amp;"ove.mean"&amp;AH$11,DElKey,0),MATCH($D153,DElVar,0))</f>
        <v>-0.8623199462890625</v>
      </c>
      <c r="AI153" s="203">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33" t="inlineStr">
        <is>
          <t>HH_Elast</t>
        </is>
      </c>
      <c r="K154" s="9" t="str">
        <f>LOWER(CtryCode)&amp;".distn."&amp;$A154&amp;IF($B154="","","."&amp;$B154)&amp;IF($C154="","",".dec."&amp;$C154)&amp;"."&amp;K$5</f>
        <v>egy.distn.eps.tpu.1</v>
      </c>
      <c r="L154" s="208">
        <f>INDEX(DElVal,MATCH(CtryCode&amp;".distn."&amp;L$10&amp;"ove.mean"&amp;L$11,DElKey,0),MATCH($D154,DElVar,0))</f>
        <v>-0.8737958073616028</v>
      </c>
      <c r="M154" s="203">
        <f>INDEX(DElVal,MATCH(CtryCode&amp;".distn."&amp;M$10&amp;"ove.mean"&amp;M$11,DElKey,0),MATCH($D154,DElVar,0))</f>
        <v>-0.9036660194396973</v>
      </c>
      <c r="N154" s="203">
        <f>INDEX(DElVal,MATCH(CtryCode&amp;".distn."&amp;N$10&amp;"ove.mean"&amp;N$11,DElKey,0),MATCH($D154,DElVar,0))</f>
        <v>-0.9036660194396973</v>
      </c>
      <c r="O154" s="203">
        <f>INDEX(DElVal,MATCH(CtryCode&amp;".distn."&amp;O$10&amp;"ove.mean"&amp;O$11,DElKey,0),MATCH($D154,DElVar,0))</f>
        <v>-0.9036660194396973</v>
      </c>
      <c r="P154" s="203">
        <f>INDEX(DElVal,MATCH(CtryCode&amp;".distn."&amp;P$10&amp;"ove.mean"&amp;P$11,DElKey,0),MATCH($D154,DElVar,0))</f>
        <v>-0.8600000143051147</v>
      </c>
      <c r="Q154" s="203">
        <f>INDEX(DElVal,MATCH(CtryCode&amp;".distn."&amp;Q$10&amp;"ove.mean"&amp;Q$11,DElKey,0),MATCH($D154,DElVar,0))</f>
        <v>-0.8600000143051147</v>
      </c>
      <c r="R154" s="203">
        <f>INDEX(DElVal,MATCH(CtryCode&amp;".distn."&amp;R$10&amp;"ove.mean"&amp;R$11,DElKey,0),MATCH($D154,DElVar,0))</f>
        <v>-0.8600000143051147</v>
      </c>
      <c r="S154" s="203">
        <f>INDEX(DElVal,MATCH(CtryCode&amp;".distn."&amp;S$10&amp;"ove.mean"&amp;S$11,DElKey,0),MATCH($D154,DElVar,0))</f>
        <v>-0.8600000143051147</v>
      </c>
      <c r="T154" s="203">
        <f>INDEX(DElVal,MATCH(CtryCode&amp;".distn."&amp;T$10&amp;"ove.mean"&amp;T$11,DElKey,0),MATCH($D154,DElVar,0))</f>
        <v>-0.8623199462890625</v>
      </c>
      <c r="U154" s="203">
        <f>INDEX(DElVal,MATCH(CtryCode&amp;".distn."&amp;U$10&amp;"ove.mean"&amp;U$11,DElKey,0),MATCH($D154,DElVar,0))</f>
        <v>-0.8623199462890625</v>
      </c>
      <c r="V154" s="203">
        <f>INDEX(DElVal,MATCH(CtryCode&amp;".distn."&amp;V$10&amp;"ove.mean"&amp;V$11,DElKey,0),MATCH($D154,DElVar,0))</f>
        <v>-0.8623199462890625</v>
      </c>
      <c r="W154" s="207" t="str">
        <f>IF(X$5=K$5,SUM(Y154:AI154)-SUM(L154:V154),"")</f>
        <v/>
      </c>
      <c r="X154" s="9" t="str">
        <f>LOWER(CtryCode)&amp;".distn."&amp;$A154&amp;IF($B154="","","."&amp;$B154)&amp;IF($C154="","",".dec."&amp;$C154)&amp;"."&amp;X$5</f>
        <v>egy.distn.eps.tpu.2</v>
      </c>
      <c r="Y154" s="208">
        <f>INDEX(DElVal,MATCH(CtryCode&amp;".distn."&amp;Y$10&amp;"ove.mean"&amp;Y$11,DElKey,0),MATCH($D154,DElVar,0))</f>
        <v>-0.8737958073616028</v>
      </c>
      <c r="Z154" s="203">
        <f>INDEX(DElVal,MATCH(CtryCode&amp;".distn."&amp;Z$10&amp;"ove.mean"&amp;Z$11,DElKey,0),MATCH($D154,DElVar,0))</f>
        <v>-0.9036660194396973</v>
      </c>
      <c r="AA154" s="203">
        <f>INDEX(DElVal,MATCH(CtryCode&amp;".distn."&amp;AA$10&amp;"ove.mean"&amp;AA$11,DElKey,0),MATCH($D154,DElVar,0))</f>
        <v>-0.9036660194396973</v>
      </c>
      <c r="AB154" s="203">
        <f>INDEX(DElVal,MATCH(CtryCode&amp;".distn."&amp;AB$10&amp;"ove.mean"&amp;AB$11,DElKey,0),MATCH($D154,DElVar,0))</f>
        <v>-0.9036660194396973</v>
      </c>
      <c r="AC154" s="203">
        <f>INDEX(DElVal,MATCH(CtryCode&amp;".distn."&amp;AC$10&amp;"ove.mean"&amp;AC$11,DElKey,0),MATCH($D154,DElVar,0))</f>
        <v>-0.8600000143051147</v>
      </c>
      <c r="AD154" s="203">
        <f>INDEX(DElVal,MATCH(CtryCode&amp;".distn."&amp;AD$10&amp;"ove.mean"&amp;AD$11,DElKey,0),MATCH($D154,DElVar,0))</f>
        <v>-0.8600000143051147</v>
      </c>
      <c r="AE154" s="203">
        <f>INDEX(DElVal,MATCH(CtryCode&amp;".distn."&amp;AE$10&amp;"ove.mean"&amp;AE$11,DElKey,0),MATCH($D154,DElVar,0))</f>
        <v>-0.8600000143051147</v>
      </c>
      <c r="AF154" s="203">
        <f>INDEX(DElVal,MATCH(CtryCode&amp;".distn."&amp;AF$10&amp;"ove.mean"&amp;AF$11,DElKey,0),MATCH($D154,DElVar,0))</f>
        <v>-0.8600000143051147</v>
      </c>
      <c r="AG154" s="203">
        <f>INDEX(DElVal,MATCH(CtryCode&amp;".distn."&amp;AG$10&amp;"ove.mean"&amp;AG$11,DElKey,0),MATCH($D154,DElVar,0))</f>
        <v>-0.8623199462890625</v>
      </c>
      <c r="AH154" s="203">
        <f>INDEX(DElVal,MATCH(CtryCode&amp;".distn."&amp;AH$10&amp;"ove.mean"&amp;AH$11,DElKey,0),MATCH($D154,DElVar,0))</f>
        <v>-0.8623199462890625</v>
      </c>
      <c r="AI154" s="203">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33" t="inlineStr">
        <is>
          <t>legacy rows 801-825</t>
        </is>
      </c>
      <c r="K157" s="9" t="str">
        <f>LOWER(CtryCode)&amp;".distn."&amp;$A157&amp;IF($B157="","","."&amp;$B157)&amp;IF($C157="","",".dec."&amp;$C157)&amp;"."&amp;K$5</f>
        <v>egy.distn.fac.coa.1</v>
      </c>
      <c r="L157" s="208">
        <f>IF(AND(L$44=1,L$43=$B157),0,L$55*IF(LEFT(L$18,3)="Yes",(1+L$55)^L133,1))</f>
        <v>0.0</v>
      </c>
      <c r="M157" s="203">
        <f>IF(AND(M$44=1,M$43=$B157),0,M$55*IF(LEFT(M$18,3)="Yes",(1+M$55)^M133,1))</f>
        <v>0.0</v>
      </c>
      <c r="N157" s="203">
        <f>IF(AND(N$44=1,N$43=$B157),0,N$55*IF(LEFT(N$18,3)="Yes",(1+N$55)^N133,1))</f>
        <v>0.0</v>
      </c>
      <c r="O157" s="203">
        <f>IF(AND(O$44=1,O$43=$B157),0,O$55*IF(LEFT(O$18,3)="Yes",(1+O$55)^O133,1))</f>
        <v>0.0</v>
      </c>
      <c r="P157" s="203">
        <f>IF(AND(P$44=1,P$43=$B157),0,P$55*IF(LEFT(P$18,3)="Yes",(1+P$55)^P133,1))</f>
        <v>0.0</v>
      </c>
      <c r="Q157" s="203">
        <f>IF(AND(Q$44=1,Q$43=$B157),0,Q$55*IF(LEFT(Q$18,3)="Yes",(1+Q$55)^Q133,1))</f>
        <v>0.0</v>
      </c>
      <c r="R157" s="203">
        <f>IF(AND(R$44=1,R$43=$B157),0,R$55*IF(LEFT(R$18,3)="Yes",(1+R$55)^R133,1))</f>
        <v>0.0</v>
      </c>
      <c r="S157" s="203">
        <f>IF(AND(S$44=1,S$43=$B157),0,S$55*IF(LEFT(S$18,3)="Yes",(1+S$55)^S133,1))</f>
        <v>0.0</v>
      </c>
      <c r="T157" s="203">
        <f>IF(AND(T$44=1,T$43=$B157),0,T$55*IF(LEFT(T$18,3)="Yes",(1+T$55)^T133,1))</f>
        <v>0.0</v>
      </c>
      <c r="U157" s="203">
        <f>IF(AND(U$44=1,U$43=$B157),0,U$55*IF(LEFT(U$18,3)="Yes",(1+U$55)^U133,1))</f>
        <v>0.0</v>
      </c>
      <c r="V157" s="203">
        <f>IF(AND(V$44=1,V$43=$B157),0,V$55*IF(LEFT(V$18,3)="Yes",(1+V$55)^V133,1))</f>
        <v>0.0</v>
      </c>
      <c r="W157" s="207" t="str">
        <f>IF(X$5=K$5,SUM(Y157:AI157)-SUM(L157:V157),"")</f>
        <v/>
      </c>
      <c r="X157" s="9" t="str">
        <f>LOWER(CtryCode)&amp;".distn."&amp;$A157&amp;IF($B157="","","."&amp;$B157)&amp;IF($C157="","",".dec."&amp;$C157)&amp;"."&amp;X$5</f>
        <v>egy.distn.fac.coa.2</v>
      </c>
      <c r="Y157" s="208">
        <f>IF(AND(Y$44=1,Y$43=$B157),0,Y$55*IF(LEFT(Y$18,3)="Yes",(1+Y$55)^Y133,1))</f>
        <v>0.1339167582590011</v>
      </c>
      <c r="Z157" s="203">
        <f>IF(AND(Z$44=1,Z$43=$B157),0,Z$55*IF(LEFT(Z$18,3)="Yes",(1+Z$55)^Z133,1))</f>
        <v>0.13383722245381932</v>
      </c>
      <c r="AA157" s="203">
        <f>IF(AND(AA$44=1,AA$43=$B157),0,AA$55*IF(LEFT(AA$18,3)="Yes",(1+AA$55)^AA133,1))</f>
        <v>0.13383722245381932</v>
      </c>
      <c r="AB157" s="203">
        <f>IF(AND(AB$44=1,AB$43=$B157),0,AB$55*IF(LEFT(AB$18,3)="Yes",(1+AB$55)^AB133,1))</f>
        <v>0.13383722245381932</v>
      </c>
      <c r="AC157" s="203">
        <f>IF(AND(AC$44=1,AC$43=$B157),0,AC$55*IF(LEFT(AC$18,3)="Yes",(1+AC$55)^AC133,1))</f>
        <v>0.1339538783935609</v>
      </c>
      <c r="AD157" s="203">
        <f>IF(AND(AD$44=1,AD$43=$B157),0,AD$55*IF(LEFT(AD$18,3)="Yes",(1+AD$55)^AD133,1))</f>
        <v>0.1339538783935609</v>
      </c>
      <c r="AE157" s="203">
        <f>IF(AND(AE$44=1,AE$43=$B157),0,AE$55*IF(LEFT(AE$18,3)="Yes",(1+AE$55)^AE133,1))</f>
        <v>0.1339538783935609</v>
      </c>
      <c r="AF157" s="203">
        <f>IF(AND(AF$44=1,AF$43=$B157),0,AF$55*IF(LEFT(AF$18,3)="Yes",(1+AF$55)^AF133,1))</f>
        <v>0.1339538783935609</v>
      </c>
      <c r="AG157" s="203">
        <f>IF(AND(AG$44=1,AG$43=$B157),0,AG$55*IF(LEFT(AG$18,3)="Yes",(1+AG$55)^AG133,1))</f>
        <v>0.1339468333031371</v>
      </c>
      <c r="AH157" s="203">
        <f>IF(AND(AH$44=1,AH$43=$B157),0,AH$55*IF(LEFT(AH$18,3)="Yes",(1+AH$55)^AH133,1))</f>
        <v>0.1339468333031371</v>
      </c>
      <c r="AI157" s="203">
        <f>IF(AND(AI$44=1,AI$43=$B157),0,AI$55*IF(LEFT(AI$18,3)="Yes",(1+AI$55)^AI133,1))</f>
        <v>0.1339468333031371</v>
      </c>
    </row>
    <row r="158" hidden="1" outlineLevel="1">
      <c r="A158" s="62" t="inlineStr">
        <is>
          <t>fac</t>
        </is>
      </c>
      <c r="B158" s="3" t="inlineStr">
        <is>
          <t>ely</t>
        </is>
      </c>
      <c r="C158" s="3" t="inlineStr"/>
      <c r="D158" s="3" t="n"/>
      <c r="E158" s="3" t="n"/>
      <c r="H158" s="3" t="inlineStr">
        <is>
          <t>Electricity: price factor</t>
        </is>
      </c>
      <c r="I158" s="3" t="inlineStr">
        <is>
          <t>fraction</t>
        </is>
      </c>
      <c r="J158" s="133" t="inlineStr">
        <is>
          <t>legacy rows 801-825</t>
        </is>
      </c>
      <c r="K158" s="9" t="str">
        <f>LOWER(CtryCode)&amp;".distn."&amp;$A158&amp;IF($B158="","","."&amp;$B158)&amp;IF($C158="","",".dec."&amp;$C158)&amp;"."&amp;K$5</f>
        <v>egy.distn.fac.ely.1</v>
      </c>
      <c r="L158" s="208">
        <f>IF(AND(L$44=1,L$43=$B158),0,L$56*IF(LEFT(L$18,3)="Yes",(1+L$56)^L134,1))</f>
        <v>0.0</v>
      </c>
      <c r="M158" s="203">
        <f>IF(AND(M$44=1,M$43=$B158),0,M$56*IF(LEFT(M$18,3)="Yes",(1+M$56)^M134,1))</f>
        <v>0.0</v>
      </c>
      <c r="N158" s="203">
        <f>IF(AND(N$44=1,N$43=$B158),0,N$56*IF(LEFT(N$18,3)="Yes",(1+N$56)^N134,1))</f>
        <v>0.0</v>
      </c>
      <c r="O158" s="203">
        <f>IF(AND(O$44=1,O$43=$B158),0,O$56*IF(LEFT(O$18,3)="Yes",(1+O$56)^O134,1))</f>
        <v>0.0</v>
      </c>
      <c r="P158" s="203">
        <f>IF(AND(P$44=1,P$43=$B158),0,P$56*IF(LEFT(P$18,3)="Yes",(1+P$56)^P134,1))</f>
        <v>0.0</v>
      </c>
      <c r="Q158" s="203">
        <f>IF(AND(Q$44=1,Q$43=$B158),0,Q$56*IF(LEFT(Q$18,3)="Yes",(1+Q$56)^Q134,1))</f>
        <v>0.0</v>
      </c>
      <c r="R158" s="203">
        <f>IF(AND(R$44=1,R$43=$B158),0,R$56*IF(LEFT(R$18,3)="Yes",(1+R$56)^R134,1))</f>
        <v>0.0</v>
      </c>
      <c r="S158" s="203">
        <f>IF(AND(S$44=1,S$43=$B158),0,S$56*IF(LEFT(S$18,3)="Yes",(1+S$56)^S134,1))</f>
        <v>0.0</v>
      </c>
      <c r="T158" s="203">
        <f>IF(AND(T$44=1,T$43=$B158),0,T$56*IF(LEFT(T$18,3)="Yes",(1+T$56)^T134,1))</f>
        <v>0.0</v>
      </c>
      <c r="U158" s="203">
        <f>IF(AND(U$44=1,U$43=$B158),0,U$56*IF(LEFT(U$18,3)="Yes",(1+U$56)^U134,1))</f>
        <v>0.0</v>
      </c>
      <c r="V158" s="203">
        <f>IF(AND(V$44=1,V$43=$B158),0,V$56*IF(LEFT(V$18,3)="Yes",(1+V$56)^V134,1))</f>
        <v>0.0</v>
      </c>
      <c r="W158" s="207" t="str">
        <f>IF(X$5=K$5,SUM(Y158:AI158)-SUM(L158:V158),"")</f>
        <v/>
      </c>
      <c r="X158" s="9" t="str">
        <f>LOWER(CtryCode)&amp;".distn."&amp;$A158&amp;IF($B158="","","."&amp;$B158)&amp;IF($C158="","",".dec."&amp;$C158)&amp;"."&amp;X$5</f>
        <v>egy.distn.fac.ely.2</v>
      </c>
      <c r="Y158" s="208">
        <f>IF(AND(Y$44=1,Y$43=$B158),0,Y$56*IF(LEFT(Y$18,3)="Yes",(1+Y$56)^Y134,1))</f>
        <v>0.16390871612226401</v>
      </c>
      <c r="Z158" s="203">
        <f>IF(AND(Z$44=1,Z$43=$B158),0,Z$56*IF(LEFT(Z$18,3)="Yes",(1+Z$56)^Z134,1))</f>
        <v>0.16378850470590128</v>
      </c>
      <c r="AA158" s="203">
        <f>IF(AND(AA$44=1,AA$43=$B158),0,AA$56*IF(LEFT(AA$18,3)="Yes",(1+AA$56)^AA134,1))</f>
        <v>0.16378850470590128</v>
      </c>
      <c r="AB158" s="203">
        <f>IF(AND(AB$44=1,AB$43=$B158),0,AB$56*IF(LEFT(AB$18,3)="Yes",(1+AB$56)^AB134,1))</f>
        <v>0.16378850470590128</v>
      </c>
      <c r="AC158" s="203">
        <f>IF(AND(AC$44=1,AC$43=$B158),0,AC$56*IF(LEFT(AC$18,3)="Yes",(1+AC$56)^AC134,1))</f>
        <v>0.1639648257024807</v>
      </c>
      <c r="AD158" s="203">
        <f>IF(AND(AD$44=1,AD$43=$B158),0,AD$56*IF(LEFT(AD$18,3)="Yes",(1+AD$56)^AD134,1))</f>
        <v>0.1639648257024807</v>
      </c>
      <c r="AE158" s="203">
        <f>IF(AND(AE$44=1,AE$43=$B158),0,AE$56*IF(LEFT(AE$18,3)="Yes",(1+AE$56)^AE134,1))</f>
        <v>0.1639648257024807</v>
      </c>
      <c r="AF158" s="203">
        <f>IF(AND(AF$44=1,AF$43=$B158),0,AF$56*IF(LEFT(AF$18,3)="Yes",(1+AF$56)^AF134,1))</f>
        <v>0.1639648257024807</v>
      </c>
      <c r="AG158" s="203">
        <f>IF(AND(AG$44=1,AG$43=$B158),0,AG$56*IF(LEFT(AG$18,3)="Yes",(1+AG$56)^AG134,1))</f>
        <v>0.16395417629353243</v>
      </c>
      <c r="AH158" s="203">
        <f>IF(AND(AH$44=1,AH$43=$B158),0,AH$56*IF(LEFT(AH$18,3)="Yes",(1+AH$56)^AH134,1))</f>
        <v>0.16395417629353243</v>
      </c>
      <c r="AI158" s="203">
        <f>IF(AND(AI$44=1,AI$43=$B158),0,AI$56*IF(LEFT(AI$18,3)="Yes",(1+AI$56)^AI134,1))</f>
        <v>0.16395417629353243</v>
      </c>
    </row>
    <row r="159" hidden="1" outlineLevel="1">
      <c r="A159" s="62" t="inlineStr">
        <is>
          <t>fac</t>
        </is>
      </c>
      <c r="B159" s="3" t="inlineStr">
        <is>
          <t>nga</t>
        </is>
      </c>
      <c r="C159" s="3" t="inlineStr"/>
      <c r="D159" s="3" t="n"/>
      <c r="E159" s="3" t="n"/>
      <c r="H159" s="3" t="inlineStr">
        <is>
          <t>Natural gas: price factor</t>
        </is>
      </c>
      <c r="I159" s="3" t="inlineStr">
        <is>
          <t>fraction</t>
        </is>
      </c>
      <c r="J159" s="133" t="inlineStr">
        <is>
          <t>legacy rows 801-825</t>
        </is>
      </c>
      <c r="K159" s="9" t="str">
        <f>LOWER(CtryCode)&amp;".distn."&amp;$A159&amp;IF($B159="","","."&amp;$B159)&amp;IF($C159="","",".dec."&amp;$C159)&amp;"."&amp;K$5</f>
        <v>egy.distn.fac.nga.1</v>
      </c>
      <c r="L159" s="208">
        <f>IF(AND(L$44=1,L$43=$B159),0,L$57*IF(LEFT(L$18,3)="Yes",(1+L$57)^L135,1))</f>
        <v>0.0</v>
      </c>
      <c r="M159" s="203">
        <f>IF(AND(M$44=1,M$43=$B159),0,M$57*IF(LEFT(M$18,3)="Yes",(1+M$57)^M135,1))</f>
        <v>0.0</v>
      </c>
      <c r="N159" s="203">
        <f>IF(AND(N$44=1,N$43=$B159),0,N$57*IF(LEFT(N$18,3)="Yes",(1+N$57)^N135,1))</f>
        <v>0.0</v>
      </c>
      <c r="O159" s="203">
        <f>IF(AND(O$44=1,O$43=$B159),0,O$57*IF(LEFT(O$18,3)="Yes",(1+O$57)^O135,1))</f>
        <v>0.0</v>
      </c>
      <c r="P159" s="203">
        <f>IF(AND(P$44=1,P$43=$B159),0,P$57*IF(LEFT(P$18,3)="Yes",(1+P$57)^P135,1))</f>
        <v>0.0</v>
      </c>
      <c r="Q159" s="203">
        <f>IF(AND(Q$44=1,Q$43=$B159),0,Q$57*IF(LEFT(Q$18,3)="Yes",(1+Q$57)^Q135,1))</f>
        <v>0.0</v>
      </c>
      <c r="R159" s="203">
        <f>IF(AND(R$44=1,R$43=$B159),0,R$57*IF(LEFT(R$18,3)="Yes",(1+R$57)^R135,1))</f>
        <v>0.0</v>
      </c>
      <c r="S159" s="203">
        <f>IF(AND(S$44=1,S$43=$B159),0,S$57*IF(LEFT(S$18,3)="Yes",(1+S$57)^S135,1))</f>
        <v>0.0</v>
      </c>
      <c r="T159" s="203">
        <f>IF(AND(T$44=1,T$43=$B159),0,T$57*IF(LEFT(T$18,3)="Yes",(1+T$57)^T135,1))</f>
        <v>0.0</v>
      </c>
      <c r="U159" s="203">
        <f>IF(AND(U$44=1,U$43=$B159),0,U$57*IF(LEFT(U$18,3)="Yes",(1+U$57)^U135,1))</f>
        <v>0.0</v>
      </c>
      <c r="V159" s="203">
        <f>IF(AND(V$44=1,V$43=$B159),0,V$57*IF(LEFT(V$18,3)="Yes",(1+V$57)^V135,1))</f>
        <v>0.0</v>
      </c>
      <c r="W159" s="207" t="str">
        <f>IF(X$5=K$5,SUM(Y159:AI159)-SUM(L159:V159),"")</f>
        <v/>
      </c>
      <c r="X159" s="9" t="str">
        <f>LOWER(CtryCode)&amp;".distn."&amp;$A159&amp;IF($B159="","","."&amp;$B159)&amp;IF($C159="","",".dec."&amp;$C159)&amp;"."&amp;X$5</f>
        <v>egy.distn.fac.nga.2</v>
      </c>
      <c r="Y159" s="208">
        <f>IF(AND(Y$44=1,Y$43=$B159),0,Y$57*IF(LEFT(Y$18,3)="Yes",(1+Y$57)^Y135,1))</f>
        <v>0.3469642738510103</v>
      </c>
      <c r="Z159" s="203">
        <f>IF(AND(Z$44=1,Z$43=$B159),0,Z$57*IF(LEFT(Z$18,3)="Yes",(1+Z$57)^Z135,1))</f>
        <v>0.34639486203767145</v>
      </c>
      <c r="AA159" s="203">
        <f>IF(AND(AA$44=1,AA$43=$B159),0,AA$57*IF(LEFT(AA$18,3)="Yes",(1+AA$57)^AA135,1))</f>
        <v>0.34639486203767145</v>
      </c>
      <c r="AB159" s="203">
        <f>IF(AND(AB$44=1,AB$43=$B159),0,AB$57*IF(LEFT(AB$18,3)="Yes",(1+AB$57)^AB135,1))</f>
        <v>0.34639486203767145</v>
      </c>
      <c r="AC159" s="203">
        <f>IF(AND(AC$44=1,AC$43=$B159),0,AC$57*IF(LEFT(AC$18,3)="Yes",(1+AC$57)^AC135,1))</f>
        <v>0.34723022823468147</v>
      </c>
      <c r="AD159" s="203">
        <f>IF(AND(AD$44=1,AD$43=$B159),0,AD$57*IF(LEFT(AD$18,3)="Yes",(1+AD$57)^AD135,1))</f>
        <v>0.34723022823468147</v>
      </c>
      <c r="AE159" s="203">
        <f>IF(AND(AE$44=1,AE$43=$B159),0,AE$57*IF(LEFT(AE$18,3)="Yes",(1+AE$57)^AE135,1))</f>
        <v>0.34723022823468147</v>
      </c>
      <c r="AF159" s="203">
        <f>IF(AND(AF$44=1,AF$43=$B159),0,AF$57*IF(LEFT(AF$18,3)="Yes",(1+AF$57)^AF135,1))</f>
        <v>0.34723022823468147</v>
      </c>
      <c r="AG159" s="203">
        <f>IF(AND(AG$44=1,AG$43=$B159),0,AG$57*IF(LEFT(AG$18,3)="Yes",(1+AG$57)^AG135,1))</f>
        <v>0.34717974232088783</v>
      </c>
      <c r="AH159" s="203">
        <f>IF(AND(AH$44=1,AH$43=$B159),0,AH$57*IF(LEFT(AH$18,3)="Yes",(1+AH$57)^AH135,1))</f>
        <v>0.34717974232088783</v>
      </c>
      <c r="AI159" s="203">
        <f>IF(AND(AI$44=1,AI$43=$B159),0,AI$57*IF(LEFT(AI$18,3)="Yes",(1+AI$57)^AI135,1))</f>
        <v>0.34717974232088783</v>
      </c>
    </row>
    <row r="160" hidden="1" outlineLevel="1">
      <c r="A160" s="62" t="inlineStr">
        <is>
          <t>fac</t>
        </is>
      </c>
      <c r="B160" s="3" t="inlineStr">
        <is>
          <t>oil</t>
        </is>
      </c>
      <c r="C160" s="3" t="inlineStr"/>
      <c r="D160" s="3" t="n"/>
      <c r="E160" s="3" t="n"/>
      <c r="H160" s="3" t="inlineStr">
        <is>
          <t>Other oil products: price factor</t>
        </is>
      </c>
      <c r="I160" s="3" t="inlineStr">
        <is>
          <t>fraction</t>
        </is>
      </c>
      <c r="J160" s="133" t="inlineStr">
        <is>
          <t>legacy rows 801-825</t>
        </is>
      </c>
      <c r="K160" s="9" t="str">
        <f>LOWER(CtryCode)&amp;".distn."&amp;$A160&amp;IF($B160="","","."&amp;$B160)&amp;IF($C160="","",".dec."&amp;$C160)&amp;"."&amp;K$5</f>
        <v>egy.distn.fac.oil.1</v>
      </c>
      <c r="L160" s="208">
        <f>IF(AND(L$44=1,L$43=$B160),0,L$58*IF(LEFT(L$18,3)="Yes",(1+L$58)^L136,1))</f>
        <v>0.0</v>
      </c>
      <c r="M160" s="203">
        <f>IF(AND(M$44=1,M$43=$B160),0,M$58*IF(LEFT(M$18,3)="Yes",(1+M$58)^M136,1))</f>
        <v>0.0</v>
      </c>
      <c r="N160" s="203">
        <f>IF(AND(N$44=1,N$43=$B160),0,N$58*IF(LEFT(N$18,3)="Yes",(1+N$58)^N136,1))</f>
        <v>0.0</v>
      </c>
      <c r="O160" s="203">
        <f>IF(AND(O$44=1,O$43=$B160),0,O$58*IF(LEFT(O$18,3)="Yes",(1+O$58)^O136,1))</f>
        <v>0.0</v>
      </c>
      <c r="P160" s="203">
        <f>IF(AND(P$44=1,P$43=$B160),0,P$58*IF(LEFT(P$18,3)="Yes",(1+P$58)^P136,1))</f>
        <v>0.0</v>
      </c>
      <c r="Q160" s="203">
        <f>IF(AND(Q$44=1,Q$43=$B160),0,Q$58*IF(LEFT(Q$18,3)="Yes",(1+Q$58)^Q136,1))</f>
        <v>0.0</v>
      </c>
      <c r="R160" s="203">
        <f>IF(AND(R$44=1,R$43=$B160),0,R$58*IF(LEFT(R$18,3)="Yes",(1+R$58)^R136,1))</f>
        <v>0.0</v>
      </c>
      <c r="S160" s="203">
        <f>IF(AND(S$44=1,S$43=$B160),0,S$58*IF(LEFT(S$18,3)="Yes",(1+S$58)^S136,1))</f>
        <v>0.0</v>
      </c>
      <c r="T160" s="203">
        <f>IF(AND(T$44=1,T$43=$B160),0,T$58*IF(LEFT(T$18,3)="Yes",(1+T$58)^T136,1))</f>
        <v>0.0</v>
      </c>
      <c r="U160" s="203">
        <f>IF(AND(U$44=1,U$43=$B160),0,U$58*IF(LEFT(U$18,3)="Yes",(1+U$58)^U136,1))</f>
        <v>0.0</v>
      </c>
      <c r="V160" s="203">
        <f>IF(AND(V$44=1,V$43=$B160),0,V$58*IF(LEFT(V$18,3)="Yes",(1+V$58)^V136,1))</f>
        <v>0.0</v>
      </c>
      <c r="W160" s="207" t="str">
        <f>IF(X$5=K$5,SUM(Y160:AI160)-SUM(L160:V160),"")</f>
        <v/>
      </c>
      <c r="X160" s="9" t="str">
        <f>LOWER(CtryCode)&amp;".distn."&amp;$A160&amp;IF($B160="","","."&amp;$B160)&amp;IF($C160="","",".dec."&amp;$C160)&amp;"."&amp;X$5</f>
        <v>egy.distn.fac.oil.2</v>
      </c>
      <c r="Y160" s="208">
        <f>IF(AND(Y$44=1,Y$43=$B160),0,Y$58*IF(LEFT(Y$18,3)="Yes",(1+Y$58)^Y136,1))</f>
        <v>0.3054176397337858</v>
      </c>
      <c r="Z160" s="203">
        <f>IF(AND(Z$44=1,Z$43=$B160),0,Z$58*IF(LEFT(Z$18,3)="Yes",(1+Z$58)^Z136,1))</f>
        <v>0.30498204597387024</v>
      </c>
      <c r="AA160" s="203">
        <f>IF(AND(AA$44=1,AA$43=$B160),0,AA$58*IF(LEFT(AA$18,3)="Yes",(1+AA$58)^AA136,1))</f>
        <v>0.30498204597387024</v>
      </c>
      <c r="AB160" s="203">
        <f>IF(AND(AB$44=1,AB$43=$B160),0,AB$58*IF(LEFT(AB$18,3)="Yes",(1+AB$58)^AB136,1))</f>
        <v>0.30498204597387024</v>
      </c>
      <c r="AC160" s="203">
        <f>IF(AND(AC$44=1,AC$43=$B160),0,AC$58*IF(LEFT(AC$18,3)="Yes",(1+AC$58)^AC136,1))</f>
        <v>0.3056210598035556</v>
      </c>
      <c r="AD160" s="203">
        <f>IF(AND(AD$44=1,AD$43=$B160),0,AD$58*IF(LEFT(AD$18,3)="Yes",(1+AD$58)^AD136,1))</f>
        <v>0.3056210598035556</v>
      </c>
      <c r="AE160" s="203">
        <f>IF(AND(AE$44=1,AE$43=$B160),0,AE$58*IF(LEFT(AE$18,3)="Yes",(1+AE$58)^AE136,1))</f>
        <v>0.3056210598035556</v>
      </c>
      <c r="AF160" s="203">
        <f>IF(AND(AF$44=1,AF$43=$B160),0,AF$58*IF(LEFT(AF$18,3)="Yes",(1+AF$58)^AF136,1))</f>
        <v>0.3056210598035556</v>
      </c>
      <c r="AG160" s="203">
        <f>IF(AND(AG$44=1,AG$43=$B160),0,AG$58*IF(LEFT(AG$18,3)="Yes",(1+AG$58)^AG136,1))</f>
        <v>0.30558244630039844</v>
      </c>
      <c r="AH160" s="203">
        <f>IF(AND(AH$44=1,AH$43=$B160),0,AH$58*IF(LEFT(AH$18,3)="Yes",(1+AH$58)^AH136,1))</f>
        <v>0.30558244630039844</v>
      </c>
      <c r="AI160" s="203">
        <f>IF(AND(AI$44=1,AI$43=$B160),0,AI$58*IF(LEFT(AI$18,3)="Yes",(1+AI$58)^AI136,1))</f>
        <v>0.30558244630039844</v>
      </c>
    </row>
    <row r="161" hidden="1" outlineLevel="1">
      <c r="A161" s="62" t="inlineStr">
        <is>
          <t>fac</t>
        </is>
      </c>
      <c r="B161" s="3" t="inlineStr">
        <is>
          <t>gso</t>
        </is>
      </c>
      <c r="C161" s="3" t="inlineStr"/>
      <c r="D161" s="3" t="n"/>
      <c r="E161" s="3" t="n"/>
      <c r="H161" s="3" t="inlineStr">
        <is>
          <t>Gasoline: price factor</t>
        </is>
      </c>
      <c r="I161" s="3" t="inlineStr">
        <is>
          <t>fraction</t>
        </is>
      </c>
      <c r="J161" s="133" t="inlineStr">
        <is>
          <t>legacy rows 801-825</t>
        </is>
      </c>
      <c r="K161" s="9" t="str">
        <f>LOWER(CtryCode)&amp;".distn."&amp;$A161&amp;IF($B161="","","."&amp;$B161)&amp;IF($C161="","",".dec."&amp;$C161)&amp;"."&amp;K$5</f>
        <v>egy.distn.fac.gso.1</v>
      </c>
      <c r="L161" s="208">
        <f>IF(AND(L$44=1,L$43=$B161),0,L$59*IF(LEFT(L$18,3)="Yes",(1+L$59)^L137,1))</f>
        <v>0.0</v>
      </c>
      <c r="M161" s="203">
        <f>IF(AND(M$44=1,M$43=$B161),0,M$59*IF(LEFT(M$18,3)="Yes",(1+M$59)^M137,1))</f>
        <v>0.0</v>
      </c>
      <c r="N161" s="203">
        <f>IF(AND(N$44=1,N$43=$B161),0,N$59*IF(LEFT(N$18,3)="Yes",(1+N$59)^N137,1))</f>
        <v>0.0</v>
      </c>
      <c r="O161" s="203">
        <f>IF(AND(O$44=1,O$43=$B161),0,O$59*IF(LEFT(O$18,3)="Yes",(1+O$59)^O137,1))</f>
        <v>0.0</v>
      </c>
      <c r="P161" s="203">
        <f>IF(AND(P$44=1,P$43=$B161),0,P$59*IF(LEFT(P$18,3)="Yes",(1+P$59)^P137,1))</f>
        <v>0.0</v>
      </c>
      <c r="Q161" s="203">
        <f>IF(AND(Q$44=1,Q$43=$B161),0,Q$59*IF(LEFT(Q$18,3)="Yes",(1+Q$59)^Q137,1))</f>
        <v>0.0</v>
      </c>
      <c r="R161" s="203">
        <f>IF(AND(R$44=1,R$43=$B161),0,R$59*IF(LEFT(R$18,3)="Yes",(1+R$59)^R137,1))</f>
        <v>0.0</v>
      </c>
      <c r="S161" s="203">
        <f>IF(AND(S$44=1,S$43=$B161),0,S$59*IF(LEFT(S$18,3)="Yes",(1+S$59)^S137,1))</f>
        <v>0.0</v>
      </c>
      <c r="T161" s="203">
        <f>IF(AND(T$44=1,T$43=$B161),0,T$59*IF(LEFT(T$18,3)="Yes",(1+T$59)^T137,1))</f>
        <v>0.0</v>
      </c>
      <c r="U161" s="203">
        <f>IF(AND(U$44=1,U$43=$B161),0,U$59*IF(LEFT(U$18,3)="Yes",(1+U$59)^U137,1))</f>
        <v>0.0</v>
      </c>
      <c r="V161" s="203">
        <f>IF(AND(V$44=1,V$43=$B161),0,V$59*IF(LEFT(V$18,3)="Yes",(1+V$59)^V137,1))</f>
        <v>0.0</v>
      </c>
      <c r="W161" s="207" t="str">
        <f>IF(X$5=K$5,SUM(Y161:AI161)-SUM(L161:V161),"")</f>
        <v/>
      </c>
      <c r="X161" s="9" t="str">
        <f>LOWER(CtryCode)&amp;".distn."&amp;$A161&amp;IF($B161="","","."&amp;$B161)&amp;IF($C161="","",".dec."&amp;$C161)&amp;"."&amp;X$5</f>
        <v>egy.distn.fac.gso.2</v>
      </c>
      <c r="Y161" s="208">
        <f>IF(AND(Y$44=1,Y$43=$B161),0,Y$59*IF(LEFT(Y$18,3)="Yes",(1+Y$59)^Y137,1))</f>
        <v>0.12511224843181343</v>
      </c>
      <c r="Z161" s="203">
        <f>IF(AND(Z$44=1,Z$43=$B161),0,Z$59*IF(LEFT(Z$18,3)="Yes",(1+Z$59)^Z137,1))</f>
        <v>0.12462247929129107</v>
      </c>
      <c r="AA161" s="203">
        <f>IF(AND(AA$44=1,AA$43=$B161),0,AA$59*IF(LEFT(AA$18,3)="Yes",(1+AA$59)^AA137,1))</f>
        <v>0.12462247929129107</v>
      </c>
      <c r="AB161" s="203">
        <f>IF(AND(AB$44=1,AB$43=$B161),0,AB$59*IF(LEFT(AB$18,3)="Yes",(1+AB$59)^AB137,1))</f>
        <v>0.12462247929129107</v>
      </c>
      <c r="AC161" s="203">
        <f>IF(AND(AC$44=1,AC$43=$B161),0,AC$59*IF(LEFT(AC$18,3)="Yes",(1+AC$59)^AC137,1))</f>
        <v>0.12533910150057842</v>
      </c>
      <c r="AD161" s="203">
        <f>IF(AND(AD$44=1,AD$43=$B161),0,AD$59*IF(LEFT(AD$18,3)="Yes",(1+AD$59)^AD137,1))</f>
        <v>0.12533910150057842</v>
      </c>
      <c r="AE161" s="203">
        <f>IF(AND(AE$44=1,AE$43=$B161),0,AE$59*IF(LEFT(AE$18,3)="Yes",(1+AE$59)^AE137,1))</f>
        <v>0.12533910150057842</v>
      </c>
      <c r="AF161" s="203">
        <f>IF(AND(AF$44=1,AF$43=$B161),0,AF$59*IF(LEFT(AF$18,3)="Yes",(1+AF$59)^AF137,1))</f>
        <v>0.12533910150057842</v>
      </c>
      <c r="AG161" s="203">
        <f>IF(AND(AG$44=1,AG$43=$B161),0,AG$59*IF(LEFT(AG$18,3)="Yes",(1+AG$59)^AG137,1))</f>
        <v>0.12530092462298204</v>
      </c>
      <c r="AH161" s="203">
        <f>IF(AND(AH$44=1,AH$43=$B161),0,AH$59*IF(LEFT(AH$18,3)="Yes",(1+AH$59)^AH137,1))</f>
        <v>0.12530092462298204</v>
      </c>
      <c r="AI161" s="203">
        <f>IF(AND(AI$44=1,AI$43=$B161),0,AI$59*IF(LEFT(AI$18,3)="Yes",(1+AI$59)^AI137,1))</f>
        <v>0.12530092462298204</v>
      </c>
    </row>
    <row r="162" hidden="1" outlineLevel="1">
      <c r="A162" s="62" t="inlineStr">
        <is>
          <t>fac</t>
        </is>
      </c>
      <c r="B162" s="3" t="inlineStr">
        <is>
          <t>die</t>
        </is>
      </c>
      <c r="C162" s="3" t="inlineStr"/>
      <c r="D162" s="3" t="n"/>
      <c r="E162" s="3" t="n"/>
      <c r="H162" s="3" t="inlineStr">
        <is>
          <t>Diesel: price factor</t>
        </is>
      </c>
      <c r="I162" s="3" t="inlineStr">
        <is>
          <t>fraction</t>
        </is>
      </c>
      <c r="J162" s="133" t="inlineStr">
        <is>
          <t>legacy rows 801-825</t>
        </is>
      </c>
      <c r="K162" s="9" t="str">
        <f>LOWER(CtryCode)&amp;".distn."&amp;$A162&amp;IF($B162="","","."&amp;$B162)&amp;IF($C162="","",".dec."&amp;$C162)&amp;"."&amp;K$5</f>
        <v>egy.distn.fac.die.1</v>
      </c>
      <c r="L162" s="208">
        <f>IF(AND(L$44=1,L$43=$B162),0,L$60*IF(LEFT(L$18,3)="Yes",(1+L$60)^L138,1))</f>
        <v>0.0</v>
      </c>
      <c r="M162" s="203">
        <f>IF(AND(M$44=1,M$43=$B162),0,M$60*IF(LEFT(M$18,3)="Yes",(1+M$60)^M138,1))</f>
        <v>0.0</v>
      </c>
      <c r="N162" s="203">
        <f>IF(AND(N$44=1,N$43=$B162),0,N$60*IF(LEFT(N$18,3)="Yes",(1+N$60)^N138,1))</f>
        <v>0.0</v>
      </c>
      <c r="O162" s="203">
        <f>IF(AND(O$44=1,O$43=$B162),0,O$60*IF(LEFT(O$18,3)="Yes",(1+O$60)^O138,1))</f>
        <v>0.0</v>
      </c>
      <c r="P162" s="203">
        <f>IF(AND(P$44=1,P$43=$B162),0,P$60*IF(LEFT(P$18,3)="Yes",(1+P$60)^P138,1))</f>
        <v>0.0</v>
      </c>
      <c r="Q162" s="203">
        <f>IF(AND(Q$44=1,Q$43=$B162),0,Q$60*IF(LEFT(Q$18,3)="Yes",(1+Q$60)^Q138,1))</f>
        <v>0.0</v>
      </c>
      <c r="R162" s="203">
        <f>IF(AND(R$44=1,R$43=$B162),0,R$60*IF(LEFT(R$18,3)="Yes",(1+R$60)^R138,1))</f>
        <v>0.0</v>
      </c>
      <c r="S162" s="203">
        <f>IF(AND(S$44=1,S$43=$B162),0,S$60*IF(LEFT(S$18,3)="Yes",(1+S$60)^S138,1))</f>
        <v>0.0</v>
      </c>
      <c r="T162" s="203">
        <f>IF(AND(T$44=1,T$43=$B162),0,T$60*IF(LEFT(T$18,3)="Yes",(1+T$60)^T138,1))</f>
        <v>0.0</v>
      </c>
      <c r="U162" s="203">
        <f>IF(AND(U$44=1,U$43=$B162),0,U$60*IF(LEFT(U$18,3)="Yes",(1+U$60)^U138,1))</f>
        <v>0.0</v>
      </c>
      <c r="V162" s="203">
        <f>IF(AND(V$44=1,V$43=$B162),0,V$60*IF(LEFT(V$18,3)="Yes",(1+V$60)^V138,1))</f>
        <v>0.0</v>
      </c>
      <c r="W162" s="207" t="str">
        <f>IF(X$5=K$5,SUM(Y162:AI162)-SUM(L162:V162),"")</f>
        <v/>
      </c>
      <c r="X162" s="9" t="str">
        <f>LOWER(CtryCode)&amp;".distn."&amp;$A162&amp;IF($B162="","","."&amp;$B162)&amp;IF($C162="","",".dec."&amp;$C162)&amp;"."&amp;X$5</f>
        <v>egy.distn.fac.die.2</v>
      </c>
      <c r="Y162" s="208">
        <f>IF(AND(Y$44=1,Y$43=$B162),0,Y$60*IF(LEFT(Y$18,3)="Yes",(1+Y$60)^Y138,1))</f>
        <v>0.18168588053734092</v>
      </c>
      <c r="Z162" s="203">
        <f>IF(AND(Z$44=1,Z$43=$B162),0,Z$60*IF(LEFT(Z$18,3)="Yes",(1+Z$60)^Z138,1))</f>
        <v>0.18063002942505502</v>
      </c>
      <c r="AA162" s="203">
        <f>IF(AND(AA$44=1,AA$43=$B162),0,AA$60*IF(LEFT(AA$18,3)="Yes",(1+AA$60)^AA138,1))</f>
        <v>0.18063002942505502</v>
      </c>
      <c r="AB162" s="203">
        <f>IF(AND(AB$44=1,AB$43=$B162),0,AB$60*IF(LEFT(AB$18,3)="Yes",(1+AB$60)^AB138,1))</f>
        <v>0.18063002942505502</v>
      </c>
      <c r="AC162" s="203">
        <f>IF(AND(AC$44=1,AC$43=$B162),0,AC$60*IF(LEFT(AC$18,3)="Yes",(1+AC$60)^AC138,1))</f>
        <v>0.18217561504809304</v>
      </c>
      <c r="AD162" s="203">
        <f>IF(AND(AD$44=1,AD$43=$B162),0,AD$60*IF(LEFT(AD$18,3)="Yes",(1+AD$60)^AD138,1))</f>
        <v>0.18217561504809304</v>
      </c>
      <c r="AE162" s="203">
        <f>IF(AND(AE$44=1,AE$43=$B162),0,AE$60*IF(LEFT(AE$18,3)="Yes",(1+AE$60)^AE138,1))</f>
        <v>0.18217561504809304</v>
      </c>
      <c r="AF162" s="203">
        <f>IF(AND(AF$44=1,AF$43=$B162),0,AF$60*IF(LEFT(AF$18,3)="Yes",(1+AF$60)^AF138,1))</f>
        <v>0.18217561504809304</v>
      </c>
      <c r="AG162" s="203">
        <f>IF(AND(AG$44=1,AG$43=$B162),0,AG$60*IF(LEFT(AG$18,3)="Yes",(1+AG$60)^AG138,1))</f>
        <v>0.18209316794517935</v>
      </c>
      <c r="AH162" s="203">
        <f>IF(AND(AH$44=1,AH$43=$B162),0,AH$60*IF(LEFT(AH$18,3)="Yes",(1+AH$60)^AH138,1))</f>
        <v>0.18209316794517935</v>
      </c>
      <c r="AI162" s="203">
        <f>IF(AND(AI$44=1,AI$43=$B162),0,AI$60*IF(LEFT(AI$18,3)="Yes",(1+AI$60)^AI138,1))</f>
        <v>0.18209316794517935</v>
      </c>
    </row>
    <row r="163" hidden="1" outlineLevel="1">
      <c r="A163" s="62" t="inlineStr">
        <is>
          <t>fac</t>
        </is>
      </c>
      <c r="B163" s="3" t="inlineStr">
        <is>
          <t>ker</t>
        </is>
      </c>
      <c r="C163" s="3" t="inlineStr"/>
      <c r="D163" s="3" t="n"/>
      <c r="E163" s="3" t="n"/>
      <c r="H163" s="3" t="inlineStr">
        <is>
          <t>Kerosene: price factor</t>
        </is>
      </c>
      <c r="I163" s="3" t="inlineStr">
        <is>
          <t>fraction</t>
        </is>
      </c>
      <c r="J163" s="133" t="inlineStr">
        <is>
          <t>legacy rows 801-825</t>
        </is>
      </c>
      <c r="K163" s="9" t="str">
        <f>LOWER(CtryCode)&amp;".distn."&amp;$A163&amp;IF($B163="","","."&amp;$B163)&amp;IF($C163="","",".dec."&amp;$C163)&amp;"."&amp;K$5</f>
        <v>egy.distn.fac.ker.1</v>
      </c>
      <c r="L163" s="208">
        <f>IF(AND(L$44=1,L$43=$B163),0,L$61*IF(LEFT(L$18,3)="Yes",(1+L$61)^L139,1))</f>
        <v>0.0</v>
      </c>
      <c r="M163" s="203">
        <f>IF(AND(M$44=1,M$43=$B163),0,M$61*IF(LEFT(M$18,3)="Yes",(1+M$61)^M139,1))</f>
        <v>0.0</v>
      </c>
      <c r="N163" s="203">
        <f>IF(AND(N$44=1,N$43=$B163),0,N$61*IF(LEFT(N$18,3)="Yes",(1+N$61)^N139,1))</f>
        <v>0.0</v>
      </c>
      <c r="O163" s="203">
        <f>IF(AND(O$44=1,O$43=$B163),0,O$61*IF(LEFT(O$18,3)="Yes",(1+O$61)^O139,1))</f>
        <v>0.0</v>
      </c>
      <c r="P163" s="203">
        <f>IF(AND(P$44=1,P$43=$B163),0,P$61*IF(LEFT(P$18,3)="Yes",(1+P$61)^P139,1))</f>
        <v>0.0</v>
      </c>
      <c r="Q163" s="203">
        <f>IF(AND(Q$44=1,Q$43=$B163),0,Q$61*IF(LEFT(Q$18,3)="Yes",(1+Q$61)^Q139,1))</f>
        <v>0.0</v>
      </c>
      <c r="R163" s="203">
        <f>IF(AND(R$44=1,R$43=$B163),0,R$61*IF(LEFT(R$18,3)="Yes",(1+R$61)^R139,1))</f>
        <v>0.0</v>
      </c>
      <c r="S163" s="203">
        <f>IF(AND(S$44=1,S$43=$B163),0,S$61*IF(LEFT(S$18,3)="Yes",(1+S$61)^S139,1))</f>
        <v>0.0</v>
      </c>
      <c r="T163" s="203">
        <f>IF(AND(T$44=1,T$43=$B163),0,T$61*IF(LEFT(T$18,3)="Yes",(1+T$61)^T139,1))</f>
        <v>0.0</v>
      </c>
      <c r="U163" s="203">
        <f>IF(AND(U$44=1,U$43=$B163),0,U$61*IF(LEFT(U$18,3)="Yes",(1+U$61)^U139,1))</f>
        <v>0.0</v>
      </c>
      <c r="V163" s="203">
        <f>IF(AND(V$44=1,V$43=$B163),0,V$61*IF(LEFT(V$18,3)="Yes",(1+V$61)^V139,1))</f>
        <v>0.0</v>
      </c>
      <c r="W163" s="207" t="str">
        <f>IF(X$5=K$5,SUM(Y163:AI163)-SUM(L163:V163),"")</f>
        <v/>
      </c>
      <c r="X163" s="9" t="str">
        <f>LOWER(CtryCode)&amp;".distn."&amp;$A163&amp;IF($B163="","","."&amp;$B163)&amp;IF($C163="","",".dec."&amp;$C163)&amp;"."&amp;X$5</f>
        <v>egy.distn.fac.ker.2</v>
      </c>
      <c r="Y163" s="208">
        <f>IF(AND(Y$44=1,Y$43=$B163),0,Y$61*IF(LEFT(Y$18,3)="Yes",(1+Y$61)^Y139,1))</f>
        <v>0.1793763118185859</v>
      </c>
      <c r="Z163" s="203">
        <f>IF(AND(Z$44=1,Z$43=$B163),0,Z$61*IF(LEFT(Z$18,3)="Yes",(1+Z$61)^Z139,1))</f>
        <v>0.1792316785012656</v>
      </c>
      <c r="AA163" s="203">
        <f>IF(AND(AA$44=1,AA$43=$B163),0,AA$61*IF(LEFT(AA$18,3)="Yes",(1+AA$61)^AA139,1))</f>
        <v>0.1792316785012656</v>
      </c>
      <c r="AB163" s="203">
        <f>IF(AND(AB$44=1,AB$43=$B163),0,AB$61*IF(LEFT(AB$18,3)="Yes",(1+AB$61)^AB139,1))</f>
        <v>0.1792316785012656</v>
      </c>
      <c r="AC163" s="203">
        <f>IF(AND(AC$44=1,AC$43=$B163),0,AC$61*IF(LEFT(AC$18,3)="Yes",(1+AC$61)^AC139,1))</f>
        <v>0.17944382411587326</v>
      </c>
      <c r="AD163" s="203">
        <f>IF(AND(AD$44=1,AD$43=$B163),0,AD$61*IF(LEFT(AD$18,3)="Yes",(1+AD$61)^AD139,1))</f>
        <v>0.17944382411587326</v>
      </c>
      <c r="AE163" s="203">
        <f>IF(AND(AE$44=1,AE$43=$B163),0,AE$61*IF(LEFT(AE$18,3)="Yes",(1+AE$61)^AE139,1))</f>
        <v>0.17944382411587326</v>
      </c>
      <c r="AF163" s="203">
        <f>IF(AND(AF$44=1,AF$43=$B163),0,AF$61*IF(LEFT(AF$18,3)="Yes",(1+AF$61)^AF139,1))</f>
        <v>0.17944382411587326</v>
      </c>
      <c r="AG163" s="203">
        <f>IF(AND(AG$44=1,AG$43=$B163),0,AG$61*IF(LEFT(AG$18,3)="Yes",(1+AG$61)^AG139,1))</f>
        <v>0.17943101033303094</v>
      </c>
      <c r="AH163" s="203">
        <f>IF(AND(AH$44=1,AH$43=$B163),0,AH$61*IF(LEFT(AH$18,3)="Yes",(1+AH$61)^AH139,1))</f>
        <v>0.17943101033303094</v>
      </c>
      <c r="AI163" s="203">
        <f>IF(AND(AI$44=1,AI$43=$B163),0,AI$61*IF(LEFT(AI$18,3)="Yes",(1+AI$61)^AI139,1))</f>
        <v>0.17943101033303094</v>
      </c>
    </row>
    <row r="164" hidden="1" outlineLevel="1">
      <c r="A164" s="62" t="inlineStr">
        <is>
          <t>fac</t>
        </is>
      </c>
      <c r="B164" s="3" t="inlineStr">
        <is>
          <t>lpg</t>
        </is>
      </c>
      <c r="C164" s="3" t="inlineStr"/>
      <c r="D164" s="3" t="n"/>
      <c r="E164" s="3" t="n"/>
      <c r="H164" s="3" t="inlineStr">
        <is>
          <t>LPG: price factor</t>
        </is>
      </c>
      <c r="I164" s="3" t="inlineStr">
        <is>
          <t>fraction</t>
        </is>
      </c>
      <c r="J164" s="133" t="inlineStr">
        <is>
          <t>legacy rows 801-825</t>
        </is>
      </c>
      <c r="K164" s="9" t="str">
        <f>LOWER(CtryCode)&amp;".distn."&amp;$A164&amp;IF($B164="","","."&amp;$B164)&amp;IF($C164="","",".dec."&amp;$C164)&amp;"."&amp;K$5</f>
        <v>egy.distn.fac.lpg.1</v>
      </c>
      <c r="L164" s="208">
        <f>IF(AND(L$44=1,L$43=$B164),0,L$62*IF(LEFT(L$18,3)="Yes",(1+L$62)^L140,1))</f>
        <v>0.0</v>
      </c>
      <c r="M164" s="203">
        <f>IF(AND(M$44=1,M$43=$B164),0,M$62*IF(LEFT(M$18,3)="Yes",(1+M$62)^M140,1))</f>
        <v>0.0</v>
      </c>
      <c r="N164" s="203">
        <f>IF(AND(N$44=1,N$43=$B164),0,N$62*IF(LEFT(N$18,3)="Yes",(1+N$62)^N140,1))</f>
        <v>0.0</v>
      </c>
      <c r="O164" s="203">
        <f>IF(AND(O$44=1,O$43=$B164),0,O$62*IF(LEFT(O$18,3)="Yes",(1+O$62)^O140,1))</f>
        <v>0.0</v>
      </c>
      <c r="P164" s="203">
        <f>IF(AND(P$44=1,P$43=$B164),0,P$62*IF(LEFT(P$18,3)="Yes",(1+P$62)^P140,1))</f>
        <v>0.0</v>
      </c>
      <c r="Q164" s="203">
        <f>IF(AND(Q$44=1,Q$43=$B164),0,Q$62*IF(LEFT(Q$18,3)="Yes",(1+Q$62)^Q140,1))</f>
        <v>0.0</v>
      </c>
      <c r="R164" s="203">
        <f>IF(AND(R$44=1,R$43=$B164),0,R$62*IF(LEFT(R$18,3)="Yes",(1+R$62)^R140,1))</f>
        <v>0.0</v>
      </c>
      <c r="S164" s="203">
        <f>IF(AND(S$44=1,S$43=$B164),0,S$62*IF(LEFT(S$18,3)="Yes",(1+S$62)^S140,1))</f>
        <v>0.0</v>
      </c>
      <c r="T164" s="203">
        <f>IF(AND(T$44=1,T$43=$B164),0,T$62*IF(LEFT(T$18,3)="Yes",(1+T$62)^T140,1))</f>
        <v>0.0</v>
      </c>
      <c r="U164" s="203">
        <f>IF(AND(U$44=1,U$43=$B164),0,U$62*IF(LEFT(U$18,3)="Yes",(1+U$62)^U140,1))</f>
        <v>0.0</v>
      </c>
      <c r="V164" s="203">
        <f>IF(AND(V$44=1,V$43=$B164),0,V$62*IF(LEFT(V$18,3)="Yes",(1+V$62)^V140,1))</f>
        <v>0.0</v>
      </c>
      <c r="W164" s="207" t="str">
        <f>IF(X$5=K$5,SUM(Y164:AI164)-SUM(L164:V164),"")</f>
        <v/>
      </c>
      <c r="X164" s="9" t="str">
        <f>LOWER(CtryCode)&amp;".distn."&amp;$A164&amp;IF($B164="","","."&amp;$B164)&amp;IF($C164="","",".dec."&amp;$C164)&amp;"."&amp;X$5</f>
        <v>egy.distn.fac.lpg.2</v>
      </c>
      <c r="Y164" s="208">
        <f>IF(AND(Y$44=1,Y$43=$B164),0,Y$62*IF(LEFT(Y$18,3)="Yes",(1+Y$62)^Y140,1))</f>
        <v>0.3035257680340036</v>
      </c>
      <c r="Z164" s="203">
        <f>IF(AND(Z$44=1,Z$43=$B164),0,Z$62*IF(LEFT(Z$18,3)="Yes",(1+Z$62)^Z140,1))</f>
        <v>0.3030958037154059</v>
      </c>
      <c r="AA164" s="203">
        <f>IF(AND(AA$44=1,AA$43=$B164),0,AA$62*IF(LEFT(AA$18,3)="Yes",(1+AA$62)^AA140,1))</f>
        <v>0.3030958037154059</v>
      </c>
      <c r="AB164" s="203">
        <f>IF(AND(AB$44=1,AB$43=$B164),0,AB$62*IF(LEFT(AB$18,3)="Yes",(1+AB$62)^AB140,1))</f>
        <v>0.3030958037154059</v>
      </c>
      <c r="AC164" s="203">
        <f>IF(AND(AC$44=1,AC$43=$B164),0,AC$62*IF(LEFT(AC$18,3)="Yes",(1+AC$62)^AC140,1))</f>
        <v>0.3037265577596421</v>
      </c>
      <c r="AD164" s="203">
        <f>IF(AND(AD$44=1,AD$43=$B164),0,AD$62*IF(LEFT(AD$18,3)="Yes",(1+AD$62)^AD140,1))</f>
        <v>0.3037265577596421</v>
      </c>
      <c r="AE164" s="203">
        <f>IF(AND(AE$44=1,AE$43=$B164),0,AE$62*IF(LEFT(AE$18,3)="Yes",(1+AE$62)^AE140,1))</f>
        <v>0.3037265577596421</v>
      </c>
      <c r="AF164" s="203">
        <f>IF(AND(AF$44=1,AF$43=$B164),0,AF$62*IF(LEFT(AF$18,3)="Yes",(1+AF$62)^AF140,1))</f>
        <v>0.3037265577596421</v>
      </c>
      <c r="AG164" s="203">
        <f>IF(AND(AG$44=1,AG$43=$B164),0,AG$62*IF(LEFT(AG$18,3)="Yes",(1+AG$62)^AG140,1))</f>
        <v>0.30368844362201053</v>
      </c>
      <c r="AH164" s="203">
        <f>IF(AND(AH$44=1,AH$43=$B164),0,AH$62*IF(LEFT(AH$18,3)="Yes",(1+AH$62)^AH140,1))</f>
        <v>0.30368844362201053</v>
      </c>
      <c r="AI164" s="203">
        <f>IF(AND(AI$44=1,AI$43=$B164),0,AI$62*IF(LEFT(AI$18,3)="Yes",(1+AI$62)^AI140,1))</f>
        <v>0.30368844362201053</v>
      </c>
    </row>
    <row r="165" hidden="1" outlineLevel="1">
      <c r="A165" s="62" t="inlineStr">
        <is>
          <t>fac</t>
        </is>
      </c>
      <c r="B165" s="3" t="inlineStr">
        <is>
          <t>app</t>
        </is>
      </c>
      <c r="C165" s="3" t="inlineStr"/>
      <c r="D165" s="3" t="n"/>
      <c r="E165" s="3" t="n"/>
      <c r="H165" s="3" t="inlineStr">
        <is>
          <t>Appliances: price factor</t>
        </is>
      </c>
      <c r="I165" s="3" t="inlineStr">
        <is>
          <t>fraction</t>
        </is>
      </c>
      <c r="J165" s="133" t="inlineStr">
        <is>
          <t>legacy rows 801-825</t>
        </is>
      </c>
      <c r="K165" s="9" t="str">
        <f>LOWER(CtryCode)&amp;".distn."&amp;$A165&amp;IF($B165="","","."&amp;$B165)&amp;IF($C165="","",".dec."&amp;$C165)&amp;"."&amp;K$5</f>
        <v>egy.distn.fac.app.1</v>
      </c>
      <c r="L165" s="208">
        <f>L$113*IF(LEFT(L$18,3)="Yes",(1+L$113)^L141,1)</f>
        <v>0.0</v>
      </c>
      <c r="M165" s="203">
        <f>M$113*IF(LEFT(M$18,3)="Yes",(1+M$113)^M141,1)</f>
        <v>0.0</v>
      </c>
      <c r="N165" s="203">
        <f>N$113*IF(LEFT(N$18,3)="Yes",(1+N$113)^N141,1)</f>
        <v>0.0</v>
      </c>
      <c r="O165" s="203">
        <f>O$113*IF(LEFT(O$18,3)="Yes",(1+O$113)^O141,1)</f>
        <v>0.0</v>
      </c>
      <c r="P165" s="203">
        <f>P$113*IF(LEFT(P$18,3)="Yes",(1+P$113)^P141,1)</f>
        <v>0.0</v>
      </c>
      <c r="Q165" s="203">
        <f>Q$113*IF(LEFT(Q$18,3)="Yes",(1+Q$113)^Q141,1)</f>
        <v>0.0</v>
      </c>
      <c r="R165" s="203">
        <f>R$113*IF(LEFT(R$18,3)="Yes",(1+R$113)^R141,1)</f>
        <v>0.0</v>
      </c>
      <c r="S165" s="203">
        <f>S$113*IF(LEFT(S$18,3)="Yes",(1+S$113)^S141,1)</f>
        <v>0.0</v>
      </c>
      <c r="T165" s="203">
        <f>T$113*IF(LEFT(T$18,3)="Yes",(1+T$113)^T141,1)</f>
        <v>0.0</v>
      </c>
      <c r="U165" s="203">
        <f>U$113*IF(LEFT(U$18,3)="Yes",(1+U$113)^U141,1)</f>
        <v>0.0</v>
      </c>
      <c r="V165" s="203">
        <f>V$113*IF(LEFT(V$18,3)="Yes",(1+V$113)^V141,1)</f>
        <v>0.0</v>
      </c>
      <c r="W165" s="207" t="str">
        <f>IF(X$5=K$5,SUM(Y165:AI165)-SUM(L165:V165),"")</f>
        <v/>
      </c>
      <c r="X165" s="9" t="str">
        <f>LOWER(CtryCode)&amp;".distn."&amp;$A165&amp;IF($B165="","","."&amp;$B165)&amp;IF($C165="","",".dec."&amp;$C165)&amp;"."&amp;X$5</f>
        <v>egy.distn.fac.app.2</v>
      </c>
      <c r="Y165" s="209">
        <f>DFAC(Y$18,Y$113,Y141)</f>
        <v>0.002858159808829017</v>
      </c>
      <c r="Z165" s="209">
        <f>DFAC(Z$18,Z$113,Z141)</f>
        <v>0.002858140542753421</v>
      </c>
      <c r="AA165" s="209">
        <f>DFAC(AA$18,AA$113,AA141)</f>
        <v>0.002858140542753421</v>
      </c>
      <c r="AB165" s="209">
        <f>DFAC(AB$18,AB$113,AB141)</f>
        <v>0.002858140542753421</v>
      </c>
      <c r="AC165" s="209">
        <f>DFAC(AC$18,AC$113,AC141)</f>
        <v>0.0028581689543763266</v>
      </c>
      <c r="AD165" s="209">
        <f>DFAC(AD$18,AD$113,AD141)</f>
        <v>0.0028581689543763266</v>
      </c>
      <c r="AE165" s="209">
        <f>DFAC(AE$18,AE$113,AE141)</f>
        <v>0.0028581689543763266</v>
      </c>
      <c r="AF165" s="209">
        <f>DFAC(AF$18,AF$113,AF141)</f>
        <v>0.0028581689543763266</v>
      </c>
      <c r="AG165" s="209">
        <f>DFAC(AG$18,AG$113,AG141)</f>
        <v>0.002858166881422022</v>
      </c>
      <c r="AH165" s="209">
        <f>DFAC(AH$18,AH$113,AH141)</f>
        <v>0.002858166881422022</v>
      </c>
      <c r="AI165" s="209">
        <f>DFAC(AI$18,AI$113,AI141)</f>
        <v>0.002858166881422022</v>
      </c>
    </row>
    <row r="166" hidden="1" outlineLevel="1">
      <c r="A166" s="62" t="inlineStr">
        <is>
          <t>fac</t>
        </is>
      </c>
      <c r="B166" s="3" t="inlineStr">
        <is>
          <t>che</t>
        </is>
      </c>
      <c r="C166" s="3" t="inlineStr"/>
      <c r="D166" s="3" t="n"/>
      <c r="E166" s="3" t="n"/>
      <c r="H166" s="3" t="inlineStr">
        <is>
          <t>Chemicals: price factor</t>
        </is>
      </c>
      <c r="I166" s="3" t="inlineStr">
        <is>
          <t>fraction</t>
        </is>
      </c>
      <c r="J166" s="133" t="inlineStr">
        <is>
          <t>legacy rows 801-825</t>
        </is>
      </c>
      <c r="K166" s="9" t="str">
        <f>LOWER(CtryCode)&amp;".distn."&amp;$A166&amp;IF($B166="","","."&amp;$B166)&amp;IF($C166="","",".dec."&amp;$C166)&amp;"."&amp;K$5</f>
        <v>egy.distn.fac.che.1</v>
      </c>
      <c r="L166" s="208">
        <f>L$114*IF(LEFT(L$18,3)="Yes",(1+L$114)^L142,1)</f>
        <v>0.0</v>
      </c>
      <c r="M166" s="203">
        <f>M$114*IF(LEFT(M$18,3)="Yes",(1+M$114)^M142,1)</f>
        <v>0.0</v>
      </c>
      <c r="N166" s="203">
        <f>N$114*IF(LEFT(N$18,3)="Yes",(1+N$114)^N142,1)</f>
        <v>0.0</v>
      </c>
      <c r="O166" s="203">
        <f>O$114*IF(LEFT(O$18,3)="Yes",(1+O$114)^O142,1)</f>
        <v>0.0</v>
      </c>
      <c r="P166" s="203">
        <f>P$114*IF(LEFT(P$18,3)="Yes",(1+P$114)^P142,1)</f>
        <v>0.0</v>
      </c>
      <c r="Q166" s="203">
        <f>Q$114*IF(LEFT(Q$18,3)="Yes",(1+Q$114)^Q142,1)</f>
        <v>0.0</v>
      </c>
      <c r="R166" s="203">
        <f>R$114*IF(LEFT(R$18,3)="Yes",(1+R$114)^R142,1)</f>
        <v>0.0</v>
      </c>
      <c r="S166" s="203">
        <f>S$114*IF(LEFT(S$18,3)="Yes",(1+S$114)^S142,1)</f>
        <v>0.0</v>
      </c>
      <c r="T166" s="203">
        <f>T$114*IF(LEFT(T$18,3)="Yes",(1+T$114)^T142,1)</f>
        <v>0.0</v>
      </c>
      <c r="U166" s="203">
        <f>U$114*IF(LEFT(U$18,3)="Yes",(1+U$114)^U142,1)</f>
        <v>0.0</v>
      </c>
      <c r="V166" s="203">
        <f>V$114*IF(LEFT(V$18,3)="Yes",(1+V$114)^V142,1)</f>
        <v>0.0</v>
      </c>
      <c r="W166" s="207" t="str">
        <f>IF(X$5=K$5,SUM(Y166:AI166)-SUM(L166:V166),"")</f>
        <v/>
      </c>
      <c r="X166" s="9" t="str">
        <f>LOWER(CtryCode)&amp;".distn."&amp;$A166&amp;IF($B166="","","."&amp;$B166)&amp;IF($C166="","",".dec."&amp;$C166)&amp;"."&amp;X$5</f>
        <v>egy.distn.fac.che.2</v>
      </c>
      <c r="Y166" s="209">
        <f>DFAC(Y$18,Y$114,Y142)</f>
        <v>0.006227606518471674</v>
      </c>
      <c r="Z166" s="209">
        <f>DFAC(Z$18,Z$114,Z142)</f>
        <v>0.006214622942101899</v>
      </c>
      <c r="AA166" s="209">
        <f>DFAC(AA$18,AA$114,AA142)</f>
        <v>0.006214622942101899</v>
      </c>
      <c r="AB166" s="209">
        <f>DFAC(AB$18,AB$114,AB142)</f>
        <v>0.006214622942101899</v>
      </c>
      <c r="AC166" s="209">
        <f>DFAC(AC$18,AC$114,AC142)</f>
        <v>0.0062333388651452356</v>
      </c>
      <c r="AD166" s="209">
        <f>DFAC(AD$18,AD$114,AD142)</f>
        <v>0.0062333388651452356</v>
      </c>
      <c r="AE166" s="209">
        <f>DFAC(AE$18,AE$114,AE142)</f>
        <v>0.0062333388651452356</v>
      </c>
      <c r="AF166" s="209">
        <f>DFAC(AF$18,AF$114,AF142)</f>
        <v>0.0062333388651452356</v>
      </c>
      <c r="AG166" s="209">
        <f>DFAC(AG$18,AG$114,AG142)</f>
        <v>0.0062329663413344056</v>
      </c>
      <c r="AH166" s="209">
        <f>DFAC(AH$18,AH$114,AH142)</f>
        <v>0.0062329663413344056</v>
      </c>
      <c r="AI166" s="209">
        <f>DFAC(AI$18,AI$114,AI142)</f>
        <v>0.0062329663413344056</v>
      </c>
    </row>
    <row r="167" hidden="1" outlineLevel="1">
      <c r="A167" s="62" t="inlineStr">
        <is>
          <t>fac</t>
        </is>
      </c>
      <c r="B167" s="3" t="inlineStr">
        <is>
          <t>clo</t>
        </is>
      </c>
      <c r="C167" s="3" t="inlineStr"/>
      <c r="D167" s="3" t="n"/>
      <c r="E167" s="3" t="n"/>
      <c r="H167" s="3" t="inlineStr">
        <is>
          <t>Clothing: price factor</t>
        </is>
      </c>
      <c r="I167" s="3" t="inlineStr">
        <is>
          <t>fraction</t>
        </is>
      </c>
      <c r="J167" s="133" t="inlineStr">
        <is>
          <t>legacy rows 801-825</t>
        </is>
      </c>
      <c r="K167" s="9" t="str">
        <f>LOWER(CtryCode)&amp;".distn."&amp;$A167&amp;IF($B167="","","."&amp;$B167)&amp;IF($C167="","",".dec."&amp;$C167)&amp;"."&amp;K$5</f>
        <v>egy.distn.fac.clo.1</v>
      </c>
      <c r="L167" s="208">
        <f>L$115*IF(LEFT(L$18,3)="Yes",(1+L$115)^L143,1)</f>
        <v>0.0</v>
      </c>
      <c r="M167" s="203">
        <f>M$115*IF(LEFT(M$18,3)="Yes",(1+M$115)^M143,1)</f>
        <v>0.0</v>
      </c>
      <c r="N167" s="203">
        <f>N$115*IF(LEFT(N$18,3)="Yes",(1+N$115)^N143,1)</f>
        <v>0.0</v>
      </c>
      <c r="O167" s="203">
        <f>O$115*IF(LEFT(O$18,3)="Yes",(1+O$115)^O143,1)</f>
        <v>0.0</v>
      </c>
      <c r="P167" s="203">
        <f>P$115*IF(LEFT(P$18,3)="Yes",(1+P$115)^P143,1)</f>
        <v>0.0</v>
      </c>
      <c r="Q167" s="203">
        <f>Q$115*IF(LEFT(Q$18,3)="Yes",(1+Q$115)^Q143,1)</f>
        <v>0.0</v>
      </c>
      <c r="R167" s="203">
        <f>R$115*IF(LEFT(R$18,3)="Yes",(1+R$115)^R143,1)</f>
        <v>0.0</v>
      </c>
      <c r="S167" s="203">
        <f>S$115*IF(LEFT(S$18,3)="Yes",(1+S$115)^S143,1)</f>
        <v>0.0</v>
      </c>
      <c r="T167" s="203">
        <f>T$115*IF(LEFT(T$18,3)="Yes",(1+T$115)^T143,1)</f>
        <v>0.0</v>
      </c>
      <c r="U167" s="203">
        <f>U$115*IF(LEFT(U$18,3)="Yes",(1+U$115)^U143,1)</f>
        <v>0.0</v>
      </c>
      <c r="V167" s="203">
        <f>V$115*IF(LEFT(V$18,3)="Yes",(1+V$115)^V143,1)</f>
        <v>0.0</v>
      </c>
      <c r="W167" s="207" t="str">
        <f>IF(X$5=K$5,SUM(Y167:AI167)-SUM(L167:V167),"")</f>
        <v/>
      </c>
      <c r="X167" s="9" t="str">
        <f>LOWER(CtryCode)&amp;".distn."&amp;$A167&amp;IF($B167="","","."&amp;$B167)&amp;IF($C167="","",".dec."&amp;$C167)&amp;"."&amp;X$5</f>
        <v>egy.distn.fac.clo.2</v>
      </c>
      <c r="Y167" s="209">
        <f>DFAC(Y$18,Y$115,Y143)</f>
        <v>0.0011710926494548164</v>
      </c>
      <c r="Z167" s="209">
        <f>DFAC(Z$18,Z$115,Z143)</f>
        <v>0.001171091269420558</v>
      </c>
      <c r="AA167" s="209">
        <f>DFAC(AA$18,AA$115,AA143)</f>
        <v>0.001171091269420558</v>
      </c>
      <c r="AB167" s="209">
        <f>DFAC(AB$18,AB$115,AB143)</f>
        <v>0.001171091269420558</v>
      </c>
      <c r="AC167" s="209">
        <f>DFAC(AC$18,AC$115,AC143)</f>
        <v>0.0011710932649025417</v>
      </c>
      <c r="AD167" s="209">
        <f>DFAC(AD$18,AD$115,AD143)</f>
        <v>0.0011710932649025417</v>
      </c>
      <c r="AE167" s="209">
        <f>DFAC(AE$18,AE$115,AE143)</f>
        <v>0.0011710932649025417</v>
      </c>
      <c r="AF167" s="209">
        <f>DFAC(AF$18,AF$115,AF143)</f>
        <v>0.0011710932649025417</v>
      </c>
      <c r="AG167" s="209">
        <f>DFAC(AG$18,AG$115,AG143)</f>
        <v>0.0011710932088115041</v>
      </c>
      <c r="AH167" s="209">
        <f>DFAC(AH$18,AH$115,AH143)</f>
        <v>0.0011710932088115041</v>
      </c>
      <c r="AI167" s="209">
        <f>DFAC(AI$18,AI$115,AI143)</f>
        <v>0.0011710932088115041</v>
      </c>
    </row>
    <row r="168" hidden="1" outlineLevel="1">
      <c r="A168" s="62" t="inlineStr">
        <is>
          <t>fac</t>
        </is>
      </c>
      <c r="B168" s="3" t="inlineStr">
        <is>
          <t>com</t>
        </is>
      </c>
      <c r="C168" s="3" t="inlineStr"/>
      <c r="D168" s="3" t="n"/>
      <c r="E168" s="3" t="n"/>
      <c r="H168" s="3" t="inlineStr">
        <is>
          <t>Communications: price factor</t>
        </is>
      </c>
      <c r="I168" s="3" t="inlineStr">
        <is>
          <t>fraction</t>
        </is>
      </c>
      <c r="J168" s="133" t="inlineStr">
        <is>
          <t>legacy rows 801-825</t>
        </is>
      </c>
      <c r="K168" s="9" t="str">
        <f>LOWER(CtryCode)&amp;".distn."&amp;$A168&amp;IF($B168="","","."&amp;$B168)&amp;IF($C168="","",".dec."&amp;$C168)&amp;"."&amp;K$5</f>
        <v>egy.distn.fac.com.1</v>
      </c>
      <c r="L168" s="208">
        <f>L$116*IF(LEFT(L$18,3)="Yes",(1+L$116)^L144,1)</f>
        <v>0.0</v>
      </c>
      <c r="M168" s="203">
        <f>M$116*IF(LEFT(M$18,3)="Yes",(1+M$116)^M144,1)</f>
        <v>0.0</v>
      </c>
      <c r="N168" s="203">
        <f>N$116*IF(LEFT(N$18,3)="Yes",(1+N$116)^N144,1)</f>
        <v>0.0</v>
      </c>
      <c r="O168" s="203">
        <f>O$116*IF(LEFT(O$18,3)="Yes",(1+O$116)^O144,1)</f>
        <v>0.0</v>
      </c>
      <c r="P168" s="203">
        <f>P$116*IF(LEFT(P$18,3)="Yes",(1+P$116)^P144,1)</f>
        <v>0.0</v>
      </c>
      <c r="Q168" s="203">
        <f>Q$116*IF(LEFT(Q$18,3)="Yes",(1+Q$116)^Q144,1)</f>
        <v>0.0</v>
      </c>
      <c r="R168" s="203">
        <f>R$116*IF(LEFT(R$18,3)="Yes",(1+R$116)^R144,1)</f>
        <v>0.0</v>
      </c>
      <c r="S168" s="203">
        <f>S$116*IF(LEFT(S$18,3)="Yes",(1+S$116)^S144,1)</f>
        <v>0.0</v>
      </c>
      <c r="T168" s="203">
        <f>T$116*IF(LEFT(T$18,3)="Yes",(1+T$116)^T144,1)</f>
        <v>0.0</v>
      </c>
      <c r="U168" s="203">
        <f>U$116*IF(LEFT(U$18,3)="Yes",(1+U$116)^U144,1)</f>
        <v>0.0</v>
      </c>
      <c r="V168" s="203">
        <f>V$116*IF(LEFT(V$18,3)="Yes",(1+V$116)^V144,1)</f>
        <v>0.0</v>
      </c>
      <c r="W168" s="207" t="str">
        <f>IF(X$5=K$5,SUM(Y168:AI168)-SUM(L168:V168),"")</f>
        <v/>
      </c>
      <c r="X168" s="9" t="str">
        <f>LOWER(CtryCode)&amp;".distn."&amp;$A168&amp;IF($B168="","","."&amp;$B168)&amp;IF($C168="","",".dec."&amp;$C168)&amp;"."&amp;X$5</f>
        <v>egy.distn.fac.com.2</v>
      </c>
      <c r="Y168" s="209">
        <f>DFAC(Y$18,Y$116,Y144)</f>
        <v>0.00044140610339194364</v>
      </c>
      <c r="Z168" s="209">
        <f>DFAC(Z$18,Z$116,Z144)</f>
        <v>0.0004414002825772262</v>
      </c>
      <c r="AA168" s="209">
        <f>DFAC(AA$18,AA$116,AA144)</f>
        <v>0.0004414002825772262</v>
      </c>
      <c r="AB168" s="209">
        <f>DFAC(AB$18,AB$116,AB144)</f>
        <v>0.0004414002825772262</v>
      </c>
      <c r="AC168" s="209">
        <f>DFAC(AC$18,AC$116,AC144)</f>
        <v>0.0004414087918070469</v>
      </c>
      <c r="AD168" s="209">
        <f>DFAC(AD$18,AD$116,AD144)</f>
        <v>0.0004414087918070469</v>
      </c>
      <c r="AE168" s="209">
        <f>DFAC(AE$18,AE$116,AE144)</f>
        <v>0.0004414087918070469</v>
      </c>
      <c r="AF168" s="209">
        <f>DFAC(AF$18,AF$116,AF144)</f>
        <v>0.0004414087918070469</v>
      </c>
      <c r="AG168" s="209">
        <f>DFAC(AG$18,AG$116,AG144)</f>
        <v>0.0004414083397158943</v>
      </c>
      <c r="AH168" s="209">
        <f>DFAC(AH$18,AH$116,AH144)</f>
        <v>0.0004414083397158943</v>
      </c>
      <c r="AI168" s="209">
        <f>DFAC(AI$18,AI$116,AI144)</f>
        <v>0.0004414083397158943</v>
      </c>
    </row>
    <row r="169" hidden="1" outlineLevel="1">
      <c r="A169" s="62" t="inlineStr">
        <is>
          <t>fac</t>
        </is>
      </c>
      <c r="B169" s="3" t="inlineStr">
        <is>
          <t>edu</t>
        </is>
      </c>
      <c r="C169" s="3" t="inlineStr"/>
      <c r="D169" s="3" t="n"/>
      <c r="E169" s="3" t="n"/>
      <c r="H169" s="3" t="inlineStr">
        <is>
          <t>Education: price factor</t>
        </is>
      </c>
      <c r="I169" s="3" t="inlineStr">
        <is>
          <t>fraction</t>
        </is>
      </c>
      <c r="J169" s="133" t="inlineStr">
        <is>
          <t>legacy rows 801-825</t>
        </is>
      </c>
      <c r="K169" s="9" t="str">
        <f>LOWER(CtryCode)&amp;".distn."&amp;$A169&amp;IF($B169="","","."&amp;$B169)&amp;IF($C169="","",".dec."&amp;$C169)&amp;"."&amp;K$5</f>
        <v>egy.distn.fac.edu.1</v>
      </c>
      <c r="L169" s="208">
        <f>L$117*IF(LEFT(L$18,3)="Yes",(1+L$117)^L145,1)</f>
        <v>0.0</v>
      </c>
      <c r="M169" s="203">
        <f>M$117*IF(LEFT(M$18,3)="Yes",(1+M$117)^M145,1)</f>
        <v>0.0</v>
      </c>
      <c r="N169" s="203">
        <f>N$117*IF(LEFT(N$18,3)="Yes",(1+N$117)^N145,1)</f>
        <v>0.0</v>
      </c>
      <c r="O169" s="203">
        <f>O$117*IF(LEFT(O$18,3)="Yes",(1+O$117)^O145,1)</f>
        <v>0.0</v>
      </c>
      <c r="P169" s="203">
        <f>P$117*IF(LEFT(P$18,3)="Yes",(1+P$117)^P145,1)</f>
        <v>0.0</v>
      </c>
      <c r="Q169" s="203">
        <f>Q$117*IF(LEFT(Q$18,3)="Yes",(1+Q$117)^Q145,1)</f>
        <v>0.0</v>
      </c>
      <c r="R169" s="203">
        <f>R$117*IF(LEFT(R$18,3)="Yes",(1+R$117)^R145,1)</f>
        <v>0.0</v>
      </c>
      <c r="S169" s="203">
        <f>S$117*IF(LEFT(S$18,3)="Yes",(1+S$117)^S145,1)</f>
        <v>0.0</v>
      </c>
      <c r="T169" s="203">
        <f>T$117*IF(LEFT(T$18,3)="Yes",(1+T$117)^T145,1)</f>
        <v>0.0</v>
      </c>
      <c r="U169" s="203">
        <f>U$117*IF(LEFT(U$18,3)="Yes",(1+U$117)^U145,1)</f>
        <v>0.0</v>
      </c>
      <c r="V169" s="203">
        <f>V$117*IF(LEFT(V$18,3)="Yes",(1+V$117)^V145,1)</f>
        <v>0.0</v>
      </c>
      <c r="W169" s="207" t="str">
        <f>IF(X$5=K$5,SUM(Y169:AI169)-SUM(L169:V169),"")</f>
        <v/>
      </c>
      <c r="X169" s="9" t="str">
        <f>LOWER(CtryCode)&amp;".distn."&amp;$A169&amp;IF($B169="","","."&amp;$B169)&amp;IF($C169="","",".dec."&amp;$C169)&amp;"."&amp;X$5</f>
        <v>egy.distn.fac.edu.2</v>
      </c>
      <c r="Y169" s="209">
        <f>DFAC(Y$18,Y$117,Y145)</f>
        <v>0.0010702634990449394</v>
      </c>
      <c r="Z169" s="209">
        <f>DFAC(Z$18,Z$117,Z145)</f>
        <v>0.0010702581539400984</v>
      </c>
      <c r="AA169" s="209">
        <f>DFAC(AA$18,AA$117,AA145)</f>
        <v>0.0010702581539400984</v>
      </c>
      <c r="AB169" s="209">
        <f>DFAC(AB$18,AB$117,AB145)</f>
        <v>0.0010702581539400984</v>
      </c>
      <c r="AC169" s="209">
        <f>DFAC(AC$18,AC$117,AC145)</f>
        <v>0.0010702661339463636</v>
      </c>
      <c r="AD169" s="209">
        <f>DFAC(AD$18,AD$117,AD145)</f>
        <v>0.0010702661339463636</v>
      </c>
      <c r="AE169" s="209">
        <f>DFAC(AE$18,AE$117,AE145)</f>
        <v>0.0010702661339463636</v>
      </c>
      <c r="AF169" s="209">
        <f>DFAC(AF$18,AF$117,AF145)</f>
        <v>0.0010702661339463636</v>
      </c>
      <c r="AG169" s="209">
        <f>DFAC(AG$18,AG$117,AG145)</f>
        <v>0.0010702653308760704</v>
      </c>
      <c r="AH169" s="209">
        <f>DFAC(AH$18,AH$117,AH145)</f>
        <v>0.0010702653308760704</v>
      </c>
      <c r="AI169" s="209">
        <f>DFAC(AI$18,AI$117,AI145)</f>
        <v>0.0010702653308760704</v>
      </c>
    </row>
    <row r="170" hidden="1" outlineLevel="1">
      <c r="A170" s="62" t="inlineStr">
        <is>
          <t>fac</t>
        </is>
      </c>
      <c r="B170" s="3" t="inlineStr">
        <is>
          <t>food</t>
        </is>
      </c>
      <c r="C170" s="3" t="inlineStr"/>
      <c r="D170" s="3" t="n"/>
      <c r="E170" s="3" t="n"/>
      <c r="H170" s="3" t="inlineStr">
        <is>
          <t>Food: price factor</t>
        </is>
      </c>
      <c r="I170" s="3" t="inlineStr">
        <is>
          <t>fraction</t>
        </is>
      </c>
      <c r="J170" s="133" t="inlineStr">
        <is>
          <t>legacy rows 801-825</t>
        </is>
      </c>
      <c r="K170" s="9" t="str">
        <f>LOWER(CtryCode)&amp;".distn."&amp;$A170&amp;IF($B170="","","."&amp;$B170)&amp;IF($C170="","",".dec."&amp;$C170)&amp;"."&amp;K$5</f>
        <v>egy.distn.fac.food.1</v>
      </c>
      <c r="L170" s="208">
        <f>L$118*IF(LEFT(L$18,3)="Yes",(1+L$118)^L146,1)</f>
        <v>0.0</v>
      </c>
      <c r="M170" s="203">
        <f>M$118*IF(LEFT(M$18,3)="Yes",(1+M$118)^M146,1)</f>
        <v>0.0</v>
      </c>
      <c r="N170" s="203">
        <f>N$118*IF(LEFT(N$18,3)="Yes",(1+N$118)^N146,1)</f>
        <v>0.0</v>
      </c>
      <c r="O170" s="203">
        <f>O$118*IF(LEFT(O$18,3)="Yes",(1+O$118)^O146,1)</f>
        <v>0.0</v>
      </c>
      <c r="P170" s="203">
        <f>P$118*IF(LEFT(P$18,3)="Yes",(1+P$118)^P146,1)</f>
        <v>0.0</v>
      </c>
      <c r="Q170" s="203">
        <f>Q$118*IF(LEFT(Q$18,3)="Yes",(1+Q$118)^Q146,1)</f>
        <v>0.0</v>
      </c>
      <c r="R170" s="203">
        <f>R$118*IF(LEFT(R$18,3)="Yes",(1+R$118)^R146,1)</f>
        <v>0.0</v>
      </c>
      <c r="S170" s="203">
        <f>S$118*IF(LEFT(S$18,3)="Yes",(1+S$118)^S146,1)</f>
        <v>0.0</v>
      </c>
      <c r="T170" s="203">
        <f>T$118*IF(LEFT(T$18,3)="Yes",(1+T$118)^T146,1)</f>
        <v>0.0</v>
      </c>
      <c r="U170" s="203">
        <f>U$118*IF(LEFT(U$18,3)="Yes",(1+U$118)^U146,1)</f>
        <v>0.0</v>
      </c>
      <c r="V170" s="203">
        <f>V$118*IF(LEFT(V$18,3)="Yes",(1+V$118)^V146,1)</f>
        <v>0.0</v>
      </c>
      <c r="W170" s="207" t="str">
        <f>IF(X$5=K$5,SUM(Y170:AI170)-SUM(L170:V170),"")</f>
        <v/>
      </c>
      <c r="X170" s="9" t="str">
        <f>LOWER(CtryCode)&amp;".distn."&amp;$A170&amp;IF($B170="","","."&amp;$B170)&amp;IF($C170="","",".dec."&amp;$C170)&amp;"."&amp;X$5</f>
        <v>egy.distn.fac.food.2</v>
      </c>
      <c r="Y170" s="209">
        <f>DFAC(Y$18,Y$118,Y146)</f>
        <v>0.0011967029230189059</v>
      </c>
      <c r="Z170" s="209">
        <f>DFAC(Z$18,Z$118,Z146)</f>
        <v>0.0011966081361817404</v>
      </c>
      <c r="AA170" s="209">
        <f>DFAC(AA$18,AA$118,AA146)</f>
        <v>0.0011966081361817404</v>
      </c>
      <c r="AB170" s="209">
        <f>DFAC(AB$18,AB$118,AB146)</f>
        <v>0.0011966081361817404</v>
      </c>
      <c r="AC170" s="209">
        <f>DFAC(AC$18,AC$118,AC146)</f>
        <v>0.001196752342356901</v>
      </c>
      <c r="AD170" s="209">
        <f>DFAC(AD$18,AD$118,AD146)</f>
        <v>0.001196752342356901</v>
      </c>
      <c r="AE170" s="209">
        <f>DFAC(AE$18,AE$118,AE146)</f>
        <v>0.001196752342356901</v>
      </c>
      <c r="AF170" s="209">
        <f>DFAC(AF$18,AF$118,AF146)</f>
        <v>0.001196752342356901</v>
      </c>
      <c r="AG170" s="209">
        <f>DFAC(AG$18,AG$118,AG146)</f>
        <v>0.0011967318228404988</v>
      </c>
      <c r="AH170" s="209">
        <f>DFAC(AH$18,AH$118,AH146)</f>
        <v>0.0011967318228404988</v>
      </c>
      <c r="AI170" s="209">
        <f>DFAC(AI$18,AI$118,AI146)</f>
        <v>0.0011967318228404988</v>
      </c>
    </row>
    <row r="171" hidden="1" outlineLevel="1">
      <c r="A171" s="62" t="inlineStr">
        <is>
          <t>fac</t>
        </is>
      </c>
      <c r="B171" s="3" t="inlineStr">
        <is>
          <t>hea</t>
        </is>
      </c>
      <c r="C171" s="3" t="inlineStr"/>
      <c r="D171" s="3" t="n"/>
      <c r="E171" s="3" t="n"/>
      <c r="H171" s="3" t="inlineStr">
        <is>
          <t>Health services: price factor</t>
        </is>
      </c>
      <c r="I171" s="3" t="inlineStr">
        <is>
          <t>fraction</t>
        </is>
      </c>
      <c r="J171" s="133" t="inlineStr">
        <is>
          <t>legacy rows 801-825</t>
        </is>
      </c>
      <c r="K171" s="9" t="str">
        <f>LOWER(CtryCode)&amp;".distn."&amp;$A171&amp;IF($B171="","","."&amp;$B171)&amp;IF($C171="","",".dec."&amp;$C171)&amp;"."&amp;K$5</f>
        <v>egy.distn.fac.hea.1</v>
      </c>
      <c r="L171" s="208">
        <f>L$119*IF(LEFT(L$18,3)="Yes",(1+L$119)^L147,1)</f>
        <v>0.0</v>
      </c>
      <c r="M171" s="203">
        <f>M$119*IF(LEFT(M$18,3)="Yes",(1+M$119)^M147,1)</f>
        <v>0.0</v>
      </c>
      <c r="N171" s="203">
        <f>N$119*IF(LEFT(N$18,3)="Yes",(1+N$119)^N147,1)</f>
        <v>0.0</v>
      </c>
      <c r="O171" s="203">
        <f>O$119*IF(LEFT(O$18,3)="Yes",(1+O$119)^O147,1)</f>
        <v>0.0</v>
      </c>
      <c r="P171" s="203">
        <f>P$119*IF(LEFT(P$18,3)="Yes",(1+P$119)^P147,1)</f>
        <v>0.0</v>
      </c>
      <c r="Q171" s="203">
        <f>Q$119*IF(LEFT(Q$18,3)="Yes",(1+Q$119)^Q147,1)</f>
        <v>0.0</v>
      </c>
      <c r="R171" s="203">
        <f>R$119*IF(LEFT(R$18,3)="Yes",(1+R$119)^R147,1)</f>
        <v>0.0</v>
      </c>
      <c r="S171" s="203">
        <f>S$119*IF(LEFT(S$18,3)="Yes",(1+S$119)^S147,1)</f>
        <v>0.0</v>
      </c>
      <c r="T171" s="203">
        <f>T$119*IF(LEFT(T$18,3)="Yes",(1+T$119)^T147,1)</f>
        <v>0.0</v>
      </c>
      <c r="U171" s="203">
        <f>U$119*IF(LEFT(U$18,3)="Yes",(1+U$119)^U147,1)</f>
        <v>0.0</v>
      </c>
      <c r="V171" s="203">
        <f>V$119*IF(LEFT(V$18,3)="Yes",(1+V$119)^V147,1)</f>
        <v>0.0</v>
      </c>
      <c r="W171" s="207" t="str">
        <f>IF(X$5=K$5,SUM(Y171:AI171)-SUM(L171:V171),"")</f>
        <v/>
      </c>
      <c r="X171" s="9" t="str">
        <f>LOWER(CtryCode)&amp;".distn."&amp;$A171&amp;IF($B171="","","."&amp;$B171)&amp;IF($C171="","",".dec."&amp;$C171)&amp;"."&amp;X$5</f>
        <v>egy.distn.fac.hea.2</v>
      </c>
      <c r="Y171" s="209">
        <f>DFAC(Y$18,Y$119,Y147)</f>
        <v>0.001270762750818652</v>
      </c>
      <c r="Z171" s="209">
        <f>DFAC(Z$18,Z$119,Z147)</f>
        <v>0.0012702847902021008</v>
      </c>
      <c r="AA171" s="209">
        <f>DFAC(AA$18,AA$119,AA147)</f>
        <v>0.0012702847902021008</v>
      </c>
      <c r="AB171" s="209">
        <f>DFAC(AB$18,AB$119,AB147)</f>
        <v>0.0012702847902021008</v>
      </c>
      <c r="AC171" s="209">
        <f>DFAC(AC$18,AC$119,AC147)</f>
        <v>0.0012709741038209384</v>
      </c>
      <c r="AD171" s="209">
        <f>DFAC(AD$18,AD$119,AD147)</f>
        <v>0.0012709741038209384</v>
      </c>
      <c r="AE171" s="209">
        <f>DFAC(AE$18,AE$119,AE147)</f>
        <v>0.0012709741038209384</v>
      </c>
      <c r="AF171" s="209">
        <f>DFAC(AF$18,AF$119,AF147)</f>
        <v>0.0012709741038209384</v>
      </c>
      <c r="AG171" s="209">
        <f>DFAC(AG$18,AG$119,AG147)</f>
        <v>0.001270959036058657</v>
      </c>
      <c r="AH171" s="209">
        <f>DFAC(AH$18,AH$119,AH147)</f>
        <v>0.001270959036058657</v>
      </c>
      <c r="AI171" s="209">
        <f>DFAC(AI$18,AI$119,AI147)</f>
        <v>0.001270959036058657</v>
      </c>
    </row>
    <row r="172" hidden="1" outlineLevel="1">
      <c r="A172" s="62" t="inlineStr">
        <is>
          <t>fac</t>
        </is>
      </c>
      <c r="B172" s="3" t="inlineStr">
        <is>
          <t>hou</t>
        </is>
      </c>
      <c r="C172" s="3" t="inlineStr"/>
      <c r="D172" s="3" t="n"/>
      <c r="E172" s="3" t="n"/>
      <c r="H172" s="3" t="inlineStr">
        <is>
          <t>Housing: price factor</t>
        </is>
      </c>
      <c r="I172" s="3" t="inlineStr">
        <is>
          <t>fraction</t>
        </is>
      </c>
      <c r="J172" s="133" t="inlineStr">
        <is>
          <t>legacy rows 801-825</t>
        </is>
      </c>
      <c r="K172" s="9" t="str">
        <f>LOWER(CtryCode)&amp;".distn."&amp;$A172&amp;IF($B172="","","."&amp;$B172)&amp;IF($C172="","",".dec."&amp;$C172)&amp;"."&amp;K$5</f>
        <v>egy.distn.fac.hou.1</v>
      </c>
      <c r="L172" s="208">
        <f>L$120*IF(LEFT(L$18,3)="Yes",(1+L$120)^L148,1)</f>
        <v>0.0</v>
      </c>
      <c r="M172" s="203">
        <f>M$120*IF(LEFT(M$18,3)="Yes",(1+M$120)^M148,1)</f>
        <v>0.0</v>
      </c>
      <c r="N172" s="203">
        <f>N$120*IF(LEFT(N$18,3)="Yes",(1+N$120)^N148,1)</f>
        <v>0.0</v>
      </c>
      <c r="O172" s="203">
        <f>O$120*IF(LEFT(O$18,3)="Yes",(1+O$120)^O148,1)</f>
        <v>0.0</v>
      </c>
      <c r="P172" s="203">
        <f>P$120*IF(LEFT(P$18,3)="Yes",(1+P$120)^P148,1)</f>
        <v>0.0</v>
      </c>
      <c r="Q172" s="203">
        <f>Q$120*IF(LEFT(Q$18,3)="Yes",(1+Q$120)^Q148,1)</f>
        <v>0.0</v>
      </c>
      <c r="R172" s="203">
        <f>R$120*IF(LEFT(R$18,3)="Yes",(1+R$120)^R148,1)</f>
        <v>0.0</v>
      </c>
      <c r="S172" s="203">
        <f>S$120*IF(LEFT(S$18,3)="Yes",(1+S$120)^S148,1)</f>
        <v>0.0</v>
      </c>
      <c r="T172" s="203">
        <f>T$120*IF(LEFT(T$18,3)="Yes",(1+T$120)^T148,1)</f>
        <v>0.0</v>
      </c>
      <c r="U172" s="203">
        <f>U$120*IF(LEFT(U$18,3)="Yes",(1+U$120)^U148,1)</f>
        <v>0.0</v>
      </c>
      <c r="V172" s="203">
        <f>V$120*IF(LEFT(V$18,3)="Yes",(1+V$120)^V148,1)</f>
        <v>0.0</v>
      </c>
      <c r="W172" s="207" t="str">
        <f>IF(X$5=K$5,SUM(Y172:AI172)-SUM(L172:V172),"")</f>
        <v/>
      </c>
      <c r="X172" s="9" t="str">
        <f>LOWER(CtryCode)&amp;".distn."&amp;$A172&amp;IF($B172="","","."&amp;$B172)&amp;IF($C172="","",".dec."&amp;$C172)&amp;"."&amp;X$5</f>
        <v>egy.distn.fac.hou.2</v>
      </c>
      <c r="Y172" s="209">
        <f>DFAC(Y$18,Y$120,Y148)</f>
        <v>0.0009896865038453064</v>
      </c>
      <c r="Z172" s="209">
        <f>DFAC(Z$18,Z$120,Z148)</f>
        <v>0.0009896823236633713</v>
      </c>
      <c r="AA172" s="209">
        <f>DFAC(AA$18,AA$120,AA148)</f>
        <v>0.0009896823236633713</v>
      </c>
      <c r="AB172" s="209">
        <f>DFAC(AB$18,AB$120,AB148)</f>
        <v>0.0009896823236633713</v>
      </c>
      <c r="AC172" s="209">
        <f>DFAC(AC$18,AC$120,AC148)</f>
        <v>0.0009896884539332864</v>
      </c>
      <c r="AD172" s="209">
        <f>DFAC(AD$18,AD$120,AD148)</f>
        <v>0.0009896884539332864</v>
      </c>
      <c r="AE172" s="209">
        <f>DFAC(AE$18,AE$120,AE148)</f>
        <v>0.0009896884539332864</v>
      </c>
      <c r="AF172" s="209">
        <f>DFAC(AF$18,AF$120,AF148)</f>
        <v>0.0009896884539332864</v>
      </c>
      <c r="AG172" s="209">
        <f>DFAC(AG$18,AG$120,AG148)</f>
        <v>0.0009896880838641882</v>
      </c>
      <c r="AH172" s="209">
        <f>DFAC(AH$18,AH$120,AH148)</f>
        <v>0.0009896880838641882</v>
      </c>
      <c r="AI172" s="209">
        <f>DFAC(AI$18,AI$120,AI148)</f>
        <v>0.0009896880838641882</v>
      </c>
    </row>
    <row r="173" hidden="1" outlineLevel="1">
      <c r="A173" s="62" t="inlineStr">
        <is>
          <t>fac</t>
        </is>
      </c>
      <c r="B173" s="3" t="inlineStr">
        <is>
          <t>oth</t>
        </is>
      </c>
      <c r="C173" s="3" t="inlineStr"/>
      <c r="D173" s="3" t="n"/>
      <c r="E173" s="3" t="n"/>
      <c r="H173" s="3" t="inlineStr">
        <is>
          <t>Other: price factor</t>
        </is>
      </c>
      <c r="I173" s="3" t="inlineStr">
        <is>
          <t>fraction</t>
        </is>
      </c>
      <c r="J173" s="133" t="inlineStr">
        <is>
          <t>legacy rows 801-825</t>
        </is>
      </c>
      <c r="K173" s="9" t="str">
        <f>LOWER(CtryCode)&amp;".distn."&amp;$A173&amp;IF($B173="","","."&amp;$B173)&amp;IF($C173="","",".dec."&amp;$C173)&amp;"."&amp;K$5</f>
        <v>egy.distn.fac.oth.1</v>
      </c>
      <c r="L173" s="208">
        <f>L$121*IF(LEFT(L$18,3)="Yes",(1+L$121)^L149,1)</f>
        <v>0.0</v>
      </c>
      <c r="M173" s="203">
        <f>M$121*IF(LEFT(M$18,3)="Yes",(1+M$121)^M149,1)</f>
        <v>0.0</v>
      </c>
      <c r="N173" s="203">
        <f>N$121*IF(LEFT(N$18,3)="Yes",(1+N$121)^N149,1)</f>
        <v>0.0</v>
      </c>
      <c r="O173" s="203">
        <f>O$121*IF(LEFT(O$18,3)="Yes",(1+O$121)^O149,1)</f>
        <v>0.0</v>
      </c>
      <c r="P173" s="203">
        <f>P$121*IF(LEFT(P$18,3)="Yes",(1+P$121)^P149,1)</f>
        <v>0.0</v>
      </c>
      <c r="Q173" s="203">
        <f>Q$121*IF(LEFT(Q$18,3)="Yes",(1+Q$121)^Q149,1)</f>
        <v>0.0</v>
      </c>
      <c r="R173" s="203">
        <f>R$121*IF(LEFT(R$18,3)="Yes",(1+R$121)^R149,1)</f>
        <v>0.0</v>
      </c>
      <c r="S173" s="203">
        <f>S$121*IF(LEFT(S$18,3)="Yes",(1+S$121)^S149,1)</f>
        <v>0.0</v>
      </c>
      <c r="T173" s="203">
        <f>T$121*IF(LEFT(T$18,3)="Yes",(1+T$121)^T149,1)</f>
        <v>0.0</v>
      </c>
      <c r="U173" s="203">
        <f>U$121*IF(LEFT(U$18,3)="Yes",(1+U$121)^U149,1)</f>
        <v>0.0</v>
      </c>
      <c r="V173" s="203">
        <f>V$121*IF(LEFT(V$18,3)="Yes",(1+V$121)^V149,1)</f>
        <v>0.0</v>
      </c>
      <c r="W173" s="207" t="str">
        <f>IF(X$5=K$5,SUM(Y173:AI173)-SUM(L173:V173),"")</f>
        <v/>
      </c>
      <c r="X173" s="9" t="str">
        <f>LOWER(CtryCode)&amp;".distn."&amp;$A173&amp;IF($B173="","","."&amp;$B173)&amp;IF($C173="","",".dec."&amp;$C173)&amp;"."&amp;X$5</f>
        <v>egy.distn.fac.oth.2</v>
      </c>
      <c r="Y173" s="209">
        <f>DFAC(Y$18,Y$121,Y149)</f>
        <v>0.0005169994511373965</v>
      </c>
      <c r="Z173" s="209">
        <f>DFAC(Z$18,Z$121,Z149)</f>
        <v>0.0005169102297448824</v>
      </c>
      <c r="AA173" s="209">
        <f>DFAC(AA$18,AA$121,AA149)</f>
        <v>0.0005169102297448824</v>
      </c>
      <c r="AB173" s="209">
        <f>DFAC(AB$18,AB$121,AB149)</f>
        <v>0.0005169102297448824</v>
      </c>
      <c r="AC173" s="209">
        <f>DFAC(AC$18,AC$121,AC149)</f>
        <v>0.0005170387887675879</v>
      </c>
      <c r="AD173" s="209">
        <f>DFAC(AD$18,AD$121,AD149)</f>
        <v>0.0005170387887675879</v>
      </c>
      <c r="AE173" s="209">
        <f>DFAC(AE$18,AE$121,AE149)</f>
        <v>0.0005170387887675879</v>
      </c>
      <c r="AF173" s="209">
        <f>DFAC(AF$18,AF$121,AF149)</f>
        <v>0.0005170387887675879</v>
      </c>
      <c r="AG173" s="209">
        <f>DFAC(AG$18,AG$121,AG149)</f>
        <v>0.000517036233370249</v>
      </c>
      <c r="AH173" s="209">
        <f>DFAC(AH$18,AH$121,AH149)</f>
        <v>0.000517036233370249</v>
      </c>
      <c r="AI173" s="209">
        <f>DFAC(AI$18,AI$121,AI149)</f>
        <v>0.000517036233370249</v>
      </c>
    </row>
    <row r="174" hidden="1" outlineLevel="1">
      <c r="A174" s="62" t="inlineStr">
        <is>
          <t>fac</t>
        </is>
      </c>
      <c r="B174" s="3" t="inlineStr">
        <is>
          <t>pap</t>
        </is>
      </c>
      <c r="C174" s="3" t="inlineStr"/>
      <c r="D174" s="3" t="n"/>
      <c r="E174" s="3" t="n"/>
      <c r="H174" s="3" t="inlineStr">
        <is>
          <t>Paper: price factor</t>
        </is>
      </c>
      <c r="I174" s="3" t="inlineStr">
        <is>
          <t>fraction</t>
        </is>
      </c>
      <c r="J174" s="133" t="inlineStr">
        <is>
          <t>legacy rows 801-825</t>
        </is>
      </c>
      <c r="K174" s="9" t="str">
        <f>LOWER(CtryCode)&amp;".distn."&amp;$A174&amp;IF($B174="","","."&amp;$B174)&amp;IF($C174="","",".dec."&amp;$C174)&amp;"."&amp;K$5</f>
        <v>egy.distn.fac.pap.1</v>
      </c>
      <c r="L174" s="208">
        <f>L$122*IF(LEFT(L$18,3)="Yes",(1+L$122)^L150,1)</f>
        <v>0.0</v>
      </c>
      <c r="M174" s="203">
        <f>M$122*IF(LEFT(M$18,3)="Yes",(1+M$122)^M150,1)</f>
        <v>0.0</v>
      </c>
      <c r="N174" s="203">
        <f>N$122*IF(LEFT(N$18,3)="Yes",(1+N$122)^N150,1)</f>
        <v>0.0</v>
      </c>
      <c r="O174" s="203">
        <f>O$122*IF(LEFT(O$18,3)="Yes",(1+O$122)^O150,1)</f>
        <v>0.0</v>
      </c>
      <c r="P174" s="203">
        <f>P$122*IF(LEFT(P$18,3)="Yes",(1+P$122)^P150,1)</f>
        <v>0.0</v>
      </c>
      <c r="Q174" s="203">
        <f>Q$122*IF(LEFT(Q$18,3)="Yes",(1+Q$122)^Q150,1)</f>
        <v>0.0</v>
      </c>
      <c r="R174" s="203">
        <f>R$122*IF(LEFT(R$18,3)="Yes",(1+R$122)^R150,1)</f>
        <v>0.0</v>
      </c>
      <c r="S174" s="203">
        <f>S$122*IF(LEFT(S$18,3)="Yes",(1+S$122)^S150,1)</f>
        <v>0.0</v>
      </c>
      <c r="T174" s="203">
        <f>T$122*IF(LEFT(T$18,3)="Yes",(1+T$122)^T150,1)</f>
        <v>0.0</v>
      </c>
      <c r="U174" s="203">
        <f>U$122*IF(LEFT(U$18,3)="Yes",(1+U$122)^U150,1)</f>
        <v>0.0</v>
      </c>
      <c r="V174" s="203">
        <f>V$122*IF(LEFT(V$18,3)="Yes",(1+V$122)^V150,1)</f>
        <v>0.0</v>
      </c>
      <c r="W174" s="207" t="str">
        <f>IF(X$5=K$5,SUM(Y174:AI174)-SUM(L174:V174),"")</f>
        <v/>
      </c>
      <c r="X174" s="9" t="str">
        <f>LOWER(CtryCode)&amp;".distn."&amp;$A174&amp;IF($B174="","","."&amp;$B174)&amp;IF($C174="","",".dec."&amp;$C174)&amp;"."&amp;X$5</f>
        <v>egy.distn.fac.pap.2</v>
      </c>
      <c r="Y174" s="209">
        <f>DFAC(Y$18,Y$122,Y150)</f>
        <v>0.002112319844540596</v>
      </c>
      <c r="Z174" s="209">
        <f>DFAC(Z$18,Z$122,Z150)</f>
        <v>0.0021108292476994953</v>
      </c>
      <c r="AA174" s="209">
        <f>DFAC(AA$18,AA$122,AA150)</f>
        <v>0.0021108292476994953</v>
      </c>
      <c r="AB174" s="209">
        <f>DFAC(AB$18,AB$122,AB150)</f>
        <v>0.0021108292476994953</v>
      </c>
      <c r="AC174" s="209">
        <f>DFAC(AC$18,AC$122,AC150)</f>
        <v>0.0021129772998707413</v>
      </c>
      <c r="AD174" s="209">
        <f>DFAC(AD$18,AD$122,AD150)</f>
        <v>0.0021129772998707413</v>
      </c>
      <c r="AE174" s="209">
        <f>DFAC(AE$18,AE$122,AE150)</f>
        <v>0.0021129772998707413</v>
      </c>
      <c r="AF174" s="209">
        <f>DFAC(AF$18,AF$122,AF150)</f>
        <v>0.0021129772998707413</v>
      </c>
      <c r="AG174" s="209">
        <f>DFAC(AG$18,AG$122,AG150)</f>
        <v>0.0021129345864619752</v>
      </c>
      <c r="AH174" s="209">
        <f>DFAC(AH$18,AH$122,AH150)</f>
        <v>0.0021129345864619752</v>
      </c>
      <c r="AI174" s="209">
        <f>DFAC(AI$18,AI$122,AI150)</f>
        <v>0.0021129345864619752</v>
      </c>
    </row>
    <row r="175" hidden="1" outlineLevel="1">
      <c r="A175" s="62" t="inlineStr">
        <is>
          <t>fac</t>
        </is>
      </c>
      <c r="B175" s="3" t="inlineStr">
        <is>
          <t>pha</t>
        </is>
      </c>
      <c r="C175" s="3" t="inlineStr"/>
      <c r="D175" s="3" t="n"/>
      <c r="E175" s="3" t="n"/>
      <c r="H175" s="3" t="inlineStr">
        <is>
          <t>Pharmaceuticals: price factor</t>
        </is>
      </c>
      <c r="I175" s="3" t="inlineStr">
        <is>
          <t>fraction</t>
        </is>
      </c>
      <c r="J175" s="133" t="inlineStr">
        <is>
          <t>legacy rows 801-825</t>
        </is>
      </c>
      <c r="K175" s="9" t="str">
        <f>LOWER(CtryCode)&amp;".distn."&amp;$A175&amp;IF($B175="","","."&amp;$B175)&amp;IF($C175="","",".dec."&amp;$C175)&amp;"."&amp;K$5</f>
        <v>egy.distn.fac.pha.1</v>
      </c>
      <c r="L175" s="208">
        <f>L$123*IF(LEFT(L$18,3)="Yes",(1+L$123)^L151,1)</f>
        <v>0.0</v>
      </c>
      <c r="M175" s="203">
        <f>M$123*IF(LEFT(M$18,3)="Yes",(1+M$123)^M151,1)</f>
        <v>0.0</v>
      </c>
      <c r="N175" s="203">
        <f>N$123*IF(LEFT(N$18,3)="Yes",(1+N$123)^N151,1)</f>
        <v>0.0</v>
      </c>
      <c r="O175" s="203">
        <f>O$123*IF(LEFT(O$18,3)="Yes",(1+O$123)^O151,1)</f>
        <v>0.0</v>
      </c>
      <c r="P175" s="203">
        <f>P$123*IF(LEFT(P$18,3)="Yes",(1+P$123)^P151,1)</f>
        <v>0.0</v>
      </c>
      <c r="Q175" s="203">
        <f>Q$123*IF(LEFT(Q$18,3)="Yes",(1+Q$123)^Q151,1)</f>
        <v>0.0</v>
      </c>
      <c r="R175" s="203">
        <f>R$123*IF(LEFT(R$18,3)="Yes",(1+R$123)^R151,1)</f>
        <v>0.0</v>
      </c>
      <c r="S175" s="203">
        <f>S$123*IF(LEFT(S$18,3)="Yes",(1+S$123)^S151,1)</f>
        <v>0.0</v>
      </c>
      <c r="T175" s="203">
        <f>T$123*IF(LEFT(T$18,3)="Yes",(1+T$123)^T151,1)</f>
        <v>0.0</v>
      </c>
      <c r="U175" s="203">
        <f>U$123*IF(LEFT(U$18,3)="Yes",(1+U$123)^U151,1)</f>
        <v>0.0</v>
      </c>
      <c r="V175" s="203">
        <f>V$123*IF(LEFT(V$18,3)="Yes",(1+V$123)^V151,1)</f>
        <v>0.0</v>
      </c>
      <c r="W175" s="207" t="str">
        <f>IF(X$5=K$5,SUM(Y175:AI175)-SUM(L175:V175),"")</f>
        <v/>
      </c>
      <c r="X175" s="9" t="str">
        <f>LOWER(CtryCode)&amp;".distn."&amp;$A175&amp;IF($B175="","","."&amp;$B175)&amp;IF($C175="","",".dec."&amp;$C175)&amp;"."&amp;X$5</f>
        <v>egy.distn.fac.pha.2</v>
      </c>
      <c r="Y175" s="209">
        <f>DFAC(Y$18,Y$123,Y151)</f>
        <v>0.0022926892910962735</v>
      </c>
      <c r="Z175" s="209">
        <f>DFAC(Z$18,Z$123,Z151)</f>
        <v>0.0022911326856636673</v>
      </c>
      <c r="AA175" s="209">
        <f>DFAC(AA$18,AA$123,AA151)</f>
        <v>0.0022911326856636673</v>
      </c>
      <c r="AB175" s="209">
        <f>DFAC(AB$18,AB$123,AB151)</f>
        <v>0.0022911326856636673</v>
      </c>
      <c r="AC175" s="209">
        <f>DFAC(AC$18,AC$123,AC151)</f>
        <v>0.002293377768550044</v>
      </c>
      <c r="AD175" s="209">
        <f>DFAC(AD$18,AD$123,AD151)</f>
        <v>0.002293377768550044</v>
      </c>
      <c r="AE175" s="209">
        <f>DFAC(AE$18,AE$123,AE151)</f>
        <v>0.002293377768550044</v>
      </c>
      <c r="AF175" s="209">
        <f>DFAC(AF$18,AF$123,AF151)</f>
        <v>0.002293377768550044</v>
      </c>
      <c r="AG175" s="209">
        <f>DFAC(AG$18,AG$123,AG151)</f>
        <v>0.0022933286826146335</v>
      </c>
      <c r="AH175" s="209">
        <f>DFAC(AH$18,AH$123,AH151)</f>
        <v>0.0022933286826146335</v>
      </c>
      <c r="AI175" s="209">
        <f>DFAC(AI$18,AI$123,AI151)</f>
        <v>0.0022933286826146335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33" t="inlineStr">
        <is>
          <t>legacy rows 801-825</t>
        </is>
      </c>
      <c r="K176" s="9" t="str">
        <f>LOWER(CtryCode)&amp;".distn."&amp;$A176&amp;IF($B176="","","."&amp;$B176)&amp;IF($C176="","",".dec."&amp;$C176)&amp;"."&amp;K$5</f>
        <v>egy.distn.fac.ret.1</v>
      </c>
      <c r="L176" s="208">
        <f>L$124*IF(LEFT(L$18,3)="Yes",(1+L$124)^L152,1)</f>
        <v>0.0</v>
      </c>
      <c r="M176" s="203">
        <f>M$124*IF(LEFT(M$18,3)="Yes",(1+M$124)^M152,1)</f>
        <v>0.0</v>
      </c>
      <c r="N176" s="203">
        <f>N$124*IF(LEFT(N$18,3)="Yes",(1+N$124)^N152,1)</f>
        <v>0.0</v>
      </c>
      <c r="O176" s="203">
        <f>O$124*IF(LEFT(O$18,3)="Yes",(1+O$124)^O152,1)</f>
        <v>0.0</v>
      </c>
      <c r="P176" s="203">
        <f>P$124*IF(LEFT(P$18,3)="Yes",(1+P$124)^P152,1)</f>
        <v>0.0</v>
      </c>
      <c r="Q176" s="203">
        <f>Q$124*IF(LEFT(Q$18,3)="Yes",(1+Q$124)^Q152,1)</f>
        <v>0.0</v>
      </c>
      <c r="R176" s="203">
        <f>R$124*IF(LEFT(R$18,3)="Yes",(1+R$124)^R152,1)</f>
        <v>0.0</v>
      </c>
      <c r="S176" s="203">
        <f>S$124*IF(LEFT(S$18,3)="Yes",(1+S$124)^S152,1)</f>
        <v>0.0</v>
      </c>
      <c r="T176" s="203">
        <f>T$124*IF(LEFT(T$18,3)="Yes",(1+T$124)^T152,1)</f>
        <v>0.0</v>
      </c>
      <c r="U176" s="203">
        <f>U$124*IF(LEFT(U$18,3)="Yes",(1+U$124)^U152,1)</f>
        <v>0.0</v>
      </c>
      <c r="V176" s="203">
        <f>V$124*IF(LEFT(V$18,3)="Yes",(1+V$124)^V152,1)</f>
        <v>0.0</v>
      </c>
      <c r="W176" s="207" t="str">
        <f>IF(X$5=K$5,SUM(Y176:AI176)-SUM(L176:V176),"")</f>
        <v/>
      </c>
      <c r="X176" s="9" t="str">
        <f>LOWER(CtryCode)&amp;".distn."&amp;$A176&amp;IF($B176="","","."&amp;$B176)&amp;IF($C176="","",".dec."&amp;$C176)&amp;"."&amp;X$5</f>
        <v>egy.distn.fac.ret.2</v>
      </c>
      <c r="Y176" s="209">
        <f>DFAC(Y$18,Y$124,Y152)</f>
        <v>0.0009508509636803022</v>
      </c>
      <c r="Z176" s="209">
        <f>DFAC(Z$18,Z$124,Z152)</f>
        <v>0.0009500777076826567</v>
      </c>
      <c r="AA176" s="209">
        <f>DFAC(AA$18,AA$124,AA152)</f>
        <v>0.0009500777076826567</v>
      </c>
      <c r="AB176" s="209">
        <f>DFAC(AB$18,AB$124,AB152)</f>
        <v>0.0009500777076826567</v>
      </c>
      <c r="AC176" s="209">
        <f>DFAC(AC$18,AC$124,AC152)</f>
        <v>0.0009511888984827539</v>
      </c>
      <c r="AD176" s="209">
        <f>DFAC(AD$18,AD$124,AD152)</f>
        <v>0.0009511888984827539</v>
      </c>
      <c r="AE176" s="209">
        <f>DFAC(AE$18,AE$124,AE152)</f>
        <v>0.0009511888984827539</v>
      </c>
      <c r="AF176" s="209">
        <f>DFAC(AF$18,AF$124,AF152)</f>
        <v>0.0009511888984827539</v>
      </c>
      <c r="AG176" s="209">
        <f>DFAC(AG$18,AG$124,AG152)</f>
        <v>0.0009511740896122244</v>
      </c>
      <c r="AH176" s="209">
        <f>DFAC(AH$18,AH$124,AH152)</f>
        <v>0.0009511740896122244</v>
      </c>
      <c r="AI176" s="209">
        <f>DFAC(AI$18,AI$124,AI152)</f>
        <v>0.0009511740896122244</v>
      </c>
    </row>
    <row r="177" hidden="1" outlineLevel="1">
      <c r="A177" s="62" t="inlineStr">
        <is>
          <t>fac</t>
        </is>
      </c>
      <c r="B177" s="3" t="inlineStr">
        <is>
          <t>teq</t>
        </is>
      </c>
      <c r="C177" s="3" t="inlineStr"/>
      <c r="D177" s="3" t="n"/>
      <c r="E177" s="3" t="n"/>
      <c r="H177" s="3" t="inlineStr">
        <is>
          <t>Transport equipment: price factor</t>
        </is>
      </c>
      <c r="I177" s="3" t="inlineStr">
        <is>
          <t>fraction</t>
        </is>
      </c>
      <c r="J177" s="133" t="inlineStr">
        <is>
          <t>legacy rows 801-825</t>
        </is>
      </c>
      <c r="K177" s="9" t="str">
        <f>LOWER(CtryCode)&amp;".distn."&amp;$A177&amp;IF($B177="","","."&amp;$B177)&amp;IF($C177="","",".dec."&amp;$C177)&amp;"."&amp;K$5</f>
        <v>egy.distn.fac.teq.1</v>
      </c>
      <c r="L177" s="208">
        <f>L$125*IF(LEFT(L$18,3)="Yes",(1+L$125)^L153,1)</f>
        <v>0.0</v>
      </c>
      <c r="M177" s="203">
        <f>M$125*IF(LEFT(M$18,3)="Yes",(1+M$125)^M153,1)</f>
        <v>0.0</v>
      </c>
      <c r="N177" s="203">
        <f>N$125*IF(LEFT(N$18,3)="Yes",(1+N$125)^N153,1)</f>
        <v>0.0</v>
      </c>
      <c r="O177" s="203">
        <f>O$125*IF(LEFT(O$18,3)="Yes",(1+O$125)^O153,1)</f>
        <v>0.0</v>
      </c>
      <c r="P177" s="203">
        <f>P$125*IF(LEFT(P$18,3)="Yes",(1+P$125)^P153,1)</f>
        <v>0.0</v>
      </c>
      <c r="Q177" s="203">
        <f>Q$125*IF(LEFT(Q$18,3)="Yes",(1+Q$125)^Q153,1)</f>
        <v>0.0</v>
      </c>
      <c r="R177" s="203">
        <f>R$125*IF(LEFT(R$18,3)="Yes",(1+R$125)^R153,1)</f>
        <v>0.0</v>
      </c>
      <c r="S177" s="203">
        <f>S$125*IF(LEFT(S$18,3)="Yes",(1+S$125)^S153,1)</f>
        <v>0.0</v>
      </c>
      <c r="T177" s="203">
        <f>T$125*IF(LEFT(T$18,3)="Yes",(1+T$125)^T153,1)</f>
        <v>0.0</v>
      </c>
      <c r="U177" s="203">
        <f>U$125*IF(LEFT(U$18,3)="Yes",(1+U$125)^U153,1)</f>
        <v>0.0</v>
      </c>
      <c r="V177" s="203">
        <f>V$125*IF(LEFT(V$18,3)="Yes",(1+V$125)^V153,1)</f>
        <v>0.0</v>
      </c>
      <c r="W177" s="207" t="str">
        <f>IF(X$5=K$5,SUM(Y177:AI177)-SUM(L177:V177),"")</f>
        <v/>
      </c>
      <c r="X177" s="9" t="str">
        <f>LOWER(CtryCode)&amp;".distn."&amp;$A177&amp;IF($B177="","","."&amp;$B177)&amp;IF($C177="","",".dec."&amp;$C177)&amp;"."&amp;X$5</f>
        <v>egy.distn.fac.teq.2</v>
      </c>
      <c r="Y177" s="209">
        <f>DFAC(Y$18,Y$125,Y153)</f>
        <v>0.0011321576466282296</v>
      </c>
      <c r="Z177" s="209">
        <f>DFAC(Z$18,Z$125,Z153)</f>
        <v>0.0011321193439965715</v>
      </c>
      <c r="AA177" s="209">
        <f>DFAC(AA$18,AA$125,AA153)</f>
        <v>0.0011321193439965715</v>
      </c>
      <c r="AB177" s="209">
        <f>DFAC(AB$18,AB$125,AB153)</f>
        <v>0.0011321193439965715</v>
      </c>
      <c r="AC177" s="209">
        <f>DFAC(AC$18,AC$125,AC153)</f>
        <v>0.0011321753374382495</v>
      </c>
      <c r="AD177" s="209">
        <f>DFAC(AD$18,AD$125,AD153)</f>
        <v>0.0011321753374382495</v>
      </c>
      <c r="AE177" s="209">
        <f>DFAC(AE$18,AE$125,AE153)</f>
        <v>0.0011321753374382495</v>
      </c>
      <c r="AF177" s="209">
        <f>DFAC(AF$18,AF$125,AF153)</f>
        <v>0.0011321753374382495</v>
      </c>
      <c r="AG177" s="209">
        <f>DFAC(AG$18,AG$125,AG153)</f>
        <v>0.001132172362492007</v>
      </c>
      <c r="AH177" s="209">
        <f>DFAC(AH$18,AH$125,AH153)</f>
        <v>0.001132172362492007</v>
      </c>
      <c r="AI177" s="209">
        <f>DFAC(AI$18,AI$125,AI153)</f>
        <v>0.001132172362492007</v>
      </c>
    </row>
    <row r="178" hidden="1" outlineLevel="1">
      <c r="A178" s="62" t="inlineStr">
        <is>
          <t>fac</t>
        </is>
      </c>
      <c r="B178" s="3" t="inlineStr">
        <is>
          <t>tpu</t>
        </is>
      </c>
      <c r="C178" s="3" t="inlineStr"/>
      <c r="D178" s="3" t="n"/>
      <c r="E178" s="3" t="n"/>
      <c r="H178" s="3" t="inlineStr">
        <is>
          <t>Public transport: price factor</t>
        </is>
      </c>
      <c r="I178" s="3" t="inlineStr">
        <is>
          <t>fraction</t>
        </is>
      </c>
      <c r="J178" s="133" t="inlineStr">
        <is>
          <t>legacy rows 801-825</t>
        </is>
      </c>
      <c r="K178" s="9" t="str">
        <f>LOWER(CtryCode)&amp;".distn."&amp;$A178&amp;IF($B178="","","."&amp;$B178)&amp;IF($C178="","",".dec."&amp;$C178)&amp;"."&amp;K$5</f>
        <v>egy.distn.fac.tpu.1</v>
      </c>
      <c r="L178" s="208">
        <f>L$126*IF(LEFT(L$18,3)="Yes",(1+L$126)^L154,1)</f>
        <v>0.0</v>
      </c>
      <c r="M178" s="203">
        <f>M$126*IF(LEFT(M$18,3)="Yes",(1+M$126)^M154,1)</f>
        <v>0.0</v>
      </c>
      <c r="N178" s="203">
        <f>N$126*IF(LEFT(N$18,3)="Yes",(1+N$126)^N154,1)</f>
        <v>0.0</v>
      </c>
      <c r="O178" s="203">
        <f>O$126*IF(LEFT(O$18,3)="Yes",(1+O$126)^O154,1)</f>
        <v>0.0</v>
      </c>
      <c r="P178" s="203">
        <f>P$126*IF(LEFT(P$18,3)="Yes",(1+P$126)^P154,1)</f>
        <v>0.0</v>
      </c>
      <c r="Q178" s="203">
        <f>Q$126*IF(LEFT(Q$18,3)="Yes",(1+Q$126)^Q154,1)</f>
        <v>0.0</v>
      </c>
      <c r="R178" s="203">
        <f>R$126*IF(LEFT(R$18,3)="Yes",(1+R$126)^R154,1)</f>
        <v>0.0</v>
      </c>
      <c r="S178" s="203">
        <f>S$126*IF(LEFT(S$18,3)="Yes",(1+S$126)^S154,1)</f>
        <v>0.0</v>
      </c>
      <c r="T178" s="203">
        <f>T$126*IF(LEFT(T$18,3)="Yes",(1+T$126)^T154,1)</f>
        <v>0.0</v>
      </c>
      <c r="U178" s="203">
        <f>U$126*IF(LEFT(U$18,3)="Yes",(1+U$126)^U154,1)</f>
        <v>0.0</v>
      </c>
      <c r="V178" s="203">
        <f>V$126*IF(LEFT(V$18,3)="Yes",(1+V$126)^V154,1)</f>
        <v>0.0</v>
      </c>
      <c r="W178" s="207" t="str">
        <f>IF(X$5=K$5,SUM(Y178:AI178)-SUM(L178:V178),"")</f>
        <v/>
      </c>
      <c r="X178" s="9" t="str">
        <f>LOWER(CtryCode)&amp;".distn."&amp;$A178&amp;IF($B178="","","."&amp;$B178)&amp;IF($C178="","",".dec."&amp;$C178)&amp;"."&amp;X$5</f>
        <v>egy.distn.fac.tpu.2</v>
      </c>
      <c r="Y178" s="209">
        <f>DFAC(Y$18,Y$126,Y154)</f>
        <v>0.0054005947432493985</v>
      </c>
      <c r="Z178" s="209">
        <f>DFAC(Z$18,Z$126,Z154)</f>
        <v>0.005399721843541978</v>
      </c>
      <c r="AA178" s="209">
        <f>DFAC(AA$18,AA$126,AA154)</f>
        <v>0.005399721843541978</v>
      </c>
      <c r="AB178" s="209">
        <f>DFAC(AB$18,AB$126,AB154)</f>
        <v>0.005399721843541978</v>
      </c>
      <c r="AC178" s="209">
        <f>DFAC(AC$18,AC$126,AC154)</f>
        <v>0.0054009979464996975</v>
      </c>
      <c r="AD178" s="209">
        <f>DFAC(AD$18,AD$126,AD154)</f>
        <v>0.0054009979464996975</v>
      </c>
      <c r="AE178" s="209">
        <f>DFAC(AE$18,AE$126,AE154)</f>
        <v>0.0054009979464996975</v>
      </c>
      <c r="AF178" s="209">
        <f>DFAC(AF$18,AF$126,AF154)</f>
        <v>0.0054009979464996975</v>
      </c>
      <c r="AG178" s="209">
        <f>DFAC(AG$18,AG$126,AG154)</f>
        <v>0.005400930140817342</v>
      </c>
      <c r="AH178" s="209">
        <f>DFAC(AH$18,AH$126,AH154)</f>
        <v>0.005400930140817342</v>
      </c>
      <c r="AI178" s="209">
        <f>DFAC(AI$18,AI$126,AI154)</f>
        <v>0.005400930140817342</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33" t="inlineStr">
        <is>
          <t>Budget shares: section 5</t>
        </is>
      </c>
      <c r="K180" s="9" t="str">
        <f>LOWER(CtryCode)&amp;".distn."&amp;$A180&amp;IF($B180="","","."&amp;$B180)&amp;IF($C180="","",".dec."&amp;$C180)&amp;"."&amp;K$5</f>
        <v>egy.distn.facw.ene.dec.ove.1</v>
      </c>
      <c r="L180" s="215">
        <f>IFERROR(SUMPRODUCT(L157:L164,L185:L192)/SUM(L185:L192),0)</f>
        <v>0.0</v>
      </c>
      <c r="M180" s="216">
        <f>IFERROR(SUMPRODUCT(M157:M164,M185:M192)/SUM(M185:M192),0)</f>
        <v>0.0</v>
      </c>
      <c r="N180" s="216">
        <f>IFERROR(SUMPRODUCT(N157:N164,N185:N192)/SUM(N185:N192),0)</f>
        <v>0.0</v>
      </c>
      <c r="O180" s="216">
        <f>IFERROR(SUMPRODUCT(O157:O164,O185:O192)/SUM(O185:O192),0)</f>
        <v>0.0</v>
      </c>
      <c r="P180" s="216">
        <f>IFERROR(SUMPRODUCT(P157:P164,P185:P192)/SUM(P185:P192),0)</f>
        <v>0.0</v>
      </c>
      <c r="Q180" s="216">
        <f>IFERROR(SUMPRODUCT(Q157:Q164,Q185:Q192)/SUM(Q185:Q192),0)</f>
        <v>0.0</v>
      </c>
      <c r="R180" s="216">
        <f>IFERROR(SUMPRODUCT(R157:R164,R185:R192)/SUM(R185:R192),0)</f>
        <v>0.0</v>
      </c>
      <c r="S180" s="216">
        <f>IFERROR(SUMPRODUCT(S157:S164,S185:S192)/SUM(S185:S192),0)</f>
        <v>0.0</v>
      </c>
      <c r="T180" s="216">
        <f>IFERROR(SUMPRODUCT(T157:T164,T185:T192)/SUM(T185:T192),0)</f>
        <v>0.0</v>
      </c>
      <c r="U180" s="216">
        <f>IFERROR(SUMPRODUCT(U157:U164,U185:U192)/SUM(U185:U192),0)</f>
        <v>0.0</v>
      </c>
      <c r="V180" s="216">
        <f>IFERROR(SUMPRODUCT(V157:V164,V185:V192)/SUM(V185:V192),0)</f>
        <v>0.0</v>
      </c>
      <c r="W180" s="207" t="str">
        <f>IF(X$5=K$5,SUM(Y180:AI180)-SUM(L180:V180),"")</f>
        <v/>
      </c>
      <c r="X180" s="9" t="str">
        <f>LOWER(CtryCode)&amp;".distn."&amp;$A180&amp;IF($B180="","","."&amp;$B180)&amp;IF($C180="","",".dec."&amp;$C180)&amp;"."&amp;X$5</f>
        <v>egy.distn.facw.ene.dec.ove.2</v>
      </c>
      <c r="Y180" s="215">
        <f>IFERROR(SUMPRODUCT(Y157:Y164,Y185:Y192)/SUM(Y185:Y192),0)</f>
        <v>0.2130417824591097</v>
      </c>
      <c r="Z180" s="216">
        <f>IFERROR(SUMPRODUCT(Z157:Z164,Z185:Z192)/SUM(Z185:Z192),0)</f>
        <v>0.22523395652179978</v>
      </c>
      <c r="AA180" s="216">
        <f>IFERROR(SUMPRODUCT(AA157:AA164,AA185:AA192)/SUM(AA185:AA192),0)</f>
        <v>0.22189319407939934</v>
      </c>
      <c r="AB180" s="216">
        <f>IFERROR(SUMPRODUCT(AB157:AB164,AB185:AB192)/SUM(AB185:AB192),0)</f>
        <v>0.21784793755867463</v>
      </c>
      <c r="AC180" s="216">
        <f>IFERROR(SUMPRODUCT(AC157:AC164,AC185:AC192)/SUM(AC185:AC192),0)</f>
        <v>0.21482324681206946</v>
      </c>
      <c r="AD180" s="216">
        <f>IFERROR(SUMPRODUCT(AD157:AD164,AD185:AD192)/SUM(AD185:AD192),0)</f>
        <v>0.21444204609700918</v>
      </c>
      <c r="AE180" s="216">
        <f>IFERROR(SUMPRODUCT(AE157:AE164,AE185:AE192)/SUM(AE185:AE192),0)</f>
        <v>0.21203388387495634</v>
      </c>
      <c r="AF180" s="216">
        <f>IFERROR(SUMPRODUCT(AF157:AF164,AF185:AF192)/SUM(AF185:AF192),0)</f>
        <v>0.21053224543359988</v>
      </c>
      <c r="AG180" s="216">
        <f>IFERROR(SUMPRODUCT(AG157:AG164,AG185:AG192)/SUM(AG185:AG192),0)</f>
        <v>0.20664069181884642</v>
      </c>
      <c r="AH180" s="216">
        <f>IFERROR(SUMPRODUCT(AH157:AH164,AH185:AH192)/SUM(AH185:AH192),0)</f>
        <v>0.20414519808276926</v>
      </c>
      <c r="AI180" s="216">
        <f>IFERROR(SUMPRODUCT(AI157:AI164,AI185:AI192)/SUM(AI185:AI192),0)</f>
        <v>0.2015589808579478</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33" t="inlineStr">
        <is>
          <t>HHSurvey</t>
        </is>
      </c>
      <c r="K185" s="9" t="str">
        <f>LOWER(CtryCode)&amp;".distn."&amp;$A185&amp;IF($B185="","","."&amp;$B185)&amp;IF($C185="","",".dec."&amp;$C185)&amp;"."&amp;K$5</f>
        <v>egy.distn.bsh.coa.dec.ove.1</v>
      </c>
      <c r="L185" s="208">
        <f>INDEX(DHHVal,MATCH(CtryCode&amp;".distn.bsh."&amp;L$10&amp;$E185&amp;L$9&amp;L$11,DHHKey,0),MATCH($D185,DHHVar,0))</f>
        <v>0.0</v>
      </c>
      <c r="M185" s="203">
        <f>INDEX(DHHVal,MATCH(CtryCode&amp;".distn.bsh."&amp;M$10&amp;$E185&amp;M$9&amp;M$11,DHHKey,0),MATCH($D185,DHHVar,0))</f>
        <v>0.0</v>
      </c>
      <c r="N185" s="203">
        <f>INDEX(DHHVal,MATCH(CtryCode&amp;".distn.bsh."&amp;N$10&amp;$E185&amp;N$9&amp;N$11,DHHKey,0),MATCH($D185,DHHVar,0))</f>
        <v>0.0</v>
      </c>
      <c r="O185" s="203">
        <f>INDEX(DHHVal,MATCH(CtryCode&amp;".distn.bsh."&amp;O$10&amp;$E185&amp;O$9&amp;O$11,DHHKey,0),MATCH($D185,DHHVar,0))</f>
        <v>0.0</v>
      </c>
      <c r="P185" s="203">
        <f>INDEX(DHHVal,MATCH(CtryCode&amp;".distn.bsh."&amp;P$10&amp;$E185&amp;P$9&amp;P$11,DHHKey,0),MATCH($D185,DHHVar,0))</f>
        <v>0.0</v>
      </c>
      <c r="Q185" s="203">
        <f>INDEX(DHHVal,MATCH(CtryCode&amp;".distn.bsh."&amp;Q$10&amp;$E185&amp;Q$9&amp;Q$11,DHHKey,0),MATCH($D185,DHHVar,0))</f>
        <v>0.0</v>
      </c>
      <c r="R185" s="203">
        <f>INDEX(DHHVal,MATCH(CtryCode&amp;".distn.bsh."&amp;R$10&amp;$E185&amp;R$9&amp;R$11,DHHKey,0),MATCH($D185,DHHVar,0))</f>
        <v>0.0</v>
      </c>
      <c r="S185" s="203">
        <f>INDEX(DHHVal,MATCH(CtryCode&amp;".distn.bsh."&amp;S$10&amp;$E185&amp;S$9&amp;S$11,DHHKey,0),MATCH($D185,DHHVar,0))</f>
        <v>0.0</v>
      </c>
      <c r="T185" s="203">
        <f>INDEX(DHHVal,MATCH(CtryCode&amp;".distn.bsh."&amp;T$10&amp;$E185&amp;T$9&amp;T$11,DHHKey,0),MATCH($D185,DHHVar,0))</f>
        <v>0.0</v>
      </c>
      <c r="U185" s="203">
        <f>INDEX(DHHVal,MATCH(CtryCode&amp;".distn.bsh."&amp;U$10&amp;$E185&amp;U$9&amp;U$11,DHHKey,0),MATCH($D185,DHHVar,0))</f>
        <v>0.0</v>
      </c>
      <c r="V185" s="203">
        <f>INDEX(DHHVal,MATCH(CtryCode&amp;".distn.bsh."&amp;V$10&amp;$E185&amp;V$9&amp;V$11,DHHKey,0),MATCH($D185,DHHVar,0))</f>
        <v>0.0</v>
      </c>
      <c r="W185" s="207" t="str">
        <f>IF(X$5=K$5,SUM(Y185:AI185)-SUM(L185:V185),"")</f>
        <v/>
      </c>
      <c r="X185" s="9" t="str">
        <f>LOWER(CtryCode)&amp;".distn."&amp;$A185&amp;IF($B185="","","."&amp;$B185)&amp;IF($C185="","",".dec."&amp;$C185)&amp;"."&amp;X$5</f>
        <v>egy.distn.bsh.coa.dec.ove.2</v>
      </c>
      <c r="Y185" s="208">
        <f>INDEX(DHHVal,MATCH(CtryCode&amp;".distn.bsh."&amp;Y$10&amp;$E185&amp;Y$9&amp;Y$11,DHHKey,0),MATCH($D185,DHHVar,0))</f>
        <v>0.0</v>
      </c>
      <c r="Z185" s="203">
        <f>INDEX(DHHVal,MATCH(CtryCode&amp;".distn.bsh."&amp;Z$10&amp;$E185&amp;Z$9&amp;Z$11,DHHKey,0),MATCH($D185,DHHVar,0))</f>
        <v>0.0</v>
      </c>
      <c r="AA185" s="203">
        <f>INDEX(DHHVal,MATCH(CtryCode&amp;".distn.bsh."&amp;AA$10&amp;$E185&amp;AA$9&amp;AA$11,DHHKey,0),MATCH($D185,DHHVar,0))</f>
        <v>0.0</v>
      </c>
      <c r="AB185" s="203">
        <f>INDEX(DHHVal,MATCH(CtryCode&amp;".distn.bsh."&amp;AB$10&amp;$E185&amp;AB$9&amp;AB$11,DHHKey,0),MATCH($D185,DHHVar,0))</f>
        <v>0.0</v>
      </c>
      <c r="AC185" s="203">
        <f>INDEX(DHHVal,MATCH(CtryCode&amp;".distn.bsh."&amp;AC$10&amp;$E185&amp;AC$9&amp;AC$11,DHHKey,0),MATCH($D185,DHHVar,0))</f>
        <v>0.0</v>
      </c>
      <c r="AD185" s="203">
        <f>INDEX(DHHVal,MATCH(CtryCode&amp;".distn.bsh."&amp;AD$10&amp;$E185&amp;AD$9&amp;AD$11,DHHKey,0),MATCH($D185,DHHVar,0))</f>
        <v>0.0</v>
      </c>
      <c r="AE185" s="203">
        <f>INDEX(DHHVal,MATCH(CtryCode&amp;".distn.bsh."&amp;AE$10&amp;$E185&amp;AE$9&amp;AE$11,DHHKey,0),MATCH($D185,DHHVar,0))</f>
        <v>0.0</v>
      </c>
      <c r="AF185" s="203">
        <f>INDEX(DHHVal,MATCH(CtryCode&amp;".distn.bsh."&amp;AF$10&amp;$E185&amp;AF$9&amp;AF$11,DHHKey,0),MATCH($D185,DHHVar,0))</f>
        <v>0.0</v>
      </c>
      <c r="AG185" s="203">
        <f>INDEX(DHHVal,MATCH(CtryCode&amp;".distn.bsh."&amp;AG$10&amp;$E185&amp;AG$9&amp;AG$11,DHHKey,0),MATCH($D185,DHHVar,0))</f>
        <v>0.0</v>
      </c>
      <c r="AH185" s="203">
        <f>INDEX(DHHVal,MATCH(CtryCode&amp;".distn.bsh."&amp;AH$10&amp;$E185&amp;AH$9&amp;AH$11,DHHKey,0),MATCH($D185,DHHVar,0))</f>
        <v>0.0</v>
      </c>
      <c r="AI185" s="203">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33" t="inlineStr">
        <is>
          <t>HHSurvey</t>
        </is>
      </c>
      <c r="K186" s="9" t="str">
        <f>LOWER(CtryCode)&amp;".distn."&amp;$A186&amp;IF($B186="","","."&amp;$B186)&amp;IF($C186="","",".dec."&amp;$C186)&amp;"."&amp;K$5</f>
        <v>egy.distn.bsh.ely.dec.ove.1</v>
      </c>
      <c r="L186" s="208">
        <f>INDEX(DHHVal,MATCH(CtryCode&amp;".distn.bsh."&amp;L$10&amp;$E186&amp;L$9&amp;L$11,DHHKey,0),MATCH($D186,DHHVar,0))</f>
        <v>3.504916062410245</v>
      </c>
      <c r="M186" s="203">
        <f>INDEX(DHHVal,MATCH(CtryCode&amp;".distn.bsh."&amp;M$10&amp;$E186&amp;M$9&amp;M$11,DHHKey,0),MATCH($D186,DHHVar,0))</f>
        <v>3.662860372212913</v>
      </c>
      <c r="N186" s="203">
        <f>INDEX(DHHVal,MATCH(CtryCode&amp;".distn.bsh."&amp;N$10&amp;$E186&amp;N$9&amp;N$11,DHHKey,0),MATCH($D186,DHHVar,0))</f>
        <v>3.408518407778748</v>
      </c>
      <c r="O186" s="203">
        <f>INDEX(DHHVal,MATCH(CtryCode&amp;".distn.bsh."&amp;O$10&amp;$E186&amp;O$9&amp;O$11,DHHKey,0),MATCH($D186,DHHVar,0))</f>
        <v>3.419369533696806</v>
      </c>
      <c r="P186" s="203">
        <f>INDEX(DHHVal,MATCH(CtryCode&amp;".distn.bsh."&amp;P$10&amp;$E186&amp;P$9&amp;P$11,DHHKey,0),MATCH($D186,DHHVar,0))</f>
        <v>3.296899460605775</v>
      </c>
      <c r="Q186" s="203">
        <f>INDEX(DHHVal,MATCH(CtryCode&amp;".distn.bsh."&amp;Q$10&amp;$E186&amp;Q$9&amp;Q$11,DHHKey,0),MATCH($D186,DHHVar,0))</f>
        <v>3.223797107722242</v>
      </c>
      <c r="R186" s="203">
        <f>INDEX(DHHVal,MATCH(CtryCode&amp;".distn.bsh."&amp;R$10&amp;$E186&amp;R$9&amp;R$11,DHHKey,0),MATCH($D186,DHHVar,0))</f>
        <v>3.268011611477392</v>
      </c>
      <c r="S186" s="203">
        <f>INDEX(DHHVal,MATCH(CtryCode&amp;".distn.bsh."&amp;S$10&amp;$E186&amp;S$9&amp;S$11,DHHKey,0),MATCH($D186,DHHVar,0))</f>
        <v>3.44586144281987</v>
      </c>
      <c r="T186" s="203">
        <f>INDEX(DHHVal,MATCH(CtryCode&amp;".distn.bsh."&amp;T$10&amp;$E186&amp;T$9&amp;T$11,DHHKey,0),MATCH($D186,DHHVar,0))</f>
        <v>3.64814725058366</v>
      </c>
      <c r="U186" s="203">
        <f>INDEX(DHHVal,MATCH(CtryCode&amp;".distn.bsh."&amp;U$10&amp;$E186&amp;U$9&amp;U$11,DHHKey,0),MATCH($D186,DHHVar,0))</f>
        <v>3.665421611313798</v>
      </c>
      <c r="V186" s="203">
        <f>INDEX(DHHVal,MATCH(CtryCode&amp;".distn.bsh."&amp;V$10&amp;$E186&amp;V$9&amp;V$11,DHHKey,0),MATCH($D186,DHHVar,0))</f>
        <v>3.863916620186428</v>
      </c>
      <c r="W186" s="207" t="str">
        <f>IF(X$5=K$5,SUM(Y186:AI186)-SUM(L186:V186),"")</f>
        <v/>
      </c>
      <c r="X186" s="9" t="str">
        <f>LOWER(CtryCode)&amp;".distn."&amp;$A186&amp;IF($B186="","","."&amp;$B186)&amp;IF($C186="","",".dec."&amp;$C186)&amp;"."&amp;X$5</f>
        <v>egy.distn.bsh.ely.dec.ove.2</v>
      </c>
      <c r="Y186" s="208">
        <f>INDEX(DHHVal,MATCH(CtryCode&amp;".distn.bsh."&amp;Y$10&amp;$E186&amp;Y$9&amp;Y$11,DHHKey,0),MATCH($D186,DHHVar,0))</f>
        <v>3.504916062410245</v>
      </c>
      <c r="Z186" s="203">
        <f>INDEX(DHHVal,MATCH(CtryCode&amp;".distn.bsh."&amp;Z$10&amp;$E186&amp;Z$9&amp;Z$11,DHHKey,0),MATCH($D186,DHHVar,0))</f>
        <v>3.662860372212913</v>
      </c>
      <c r="AA186" s="203">
        <f>INDEX(DHHVal,MATCH(CtryCode&amp;".distn.bsh."&amp;AA$10&amp;$E186&amp;AA$9&amp;AA$11,DHHKey,0),MATCH($D186,DHHVar,0))</f>
        <v>3.408518407778748</v>
      </c>
      <c r="AB186" s="203">
        <f>INDEX(DHHVal,MATCH(CtryCode&amp;".distn.bsh."&amp;AB$10&amp;$E186&amp;AB$9&amp;AB$11,DHHKey,0),MATCH($D186,DHHVar,0))</f>
        <v>3.419369533696806</v>
      </c>
      <c r="AC186" s="203">
        <f>INDEX(DHHVal,MATCH(CtryCode&amp;".distn.bsh."&amp;AC$10&amp;$E186&amp;AC$9&amp;AC$11,DHHKey,0),MATCH($D186,DHHVar,0))</f>
        <v>3.296899460605775</v>
      </c>
      <c r="AD186" s="203">
        <f>INDEX(DHHVal,MATCH(CtryCode&amp;".distn.bsh."&amp;AD$10&amp;$E186&amp;AD$9&amp;AD$11,DHHKey,0),MATCH($D186,DHHVar,0))</f>
        <v>3.223797107722242</v>
      </c>
      <c r="AE186" s="203">
        <f>INDEX(DHHVal,MATCH(CtryCode&amp;".distn.bsh."&amp;AE$10&amp;$E186&amp;AE$9&amp;AE$11,DHHKey,0),MATCH($D186,DHHVar,0))</f>
        <v>3.268011611477392</v>
      </c>
      <c r="AF186" s="203">
        <f>INDEX(DHHVal,MATCH(CtryCode&amp;".distn.bsh."&amp;AF$10&amp;$E186&amp;AF$9&amp;AF$11,DHHKey,0),MATCH($D186,DHHVar,0))</f>
        <v>3.44586144281987</v>
      </c>
      <c r="AG186" s="203">
        <f>INDEX(DHHVal,MATCH(CtryCode&amp;".distn.bsh."&amp;AG$10&amp;$E186&amp;AG$9&amp;AG$11,DHHKey,0),MATCH($D186,DHHVar,0))</f>
        <v>3.64814725058366</v>
      </c>
      <c r="AH186" s="203">
        <f>INDEX(DHHVal,MATCH(CtryCode&amp;".distn.bsh."&amp;AH$10&amp;$E186&amp;AH$9&amp;AH$11,DHHKey,0),MATCH($D186,DHHVar,0))</f>
        <v>3.665421611313798</v>
      </c>
      <c r="AI186" s="203">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33" t="inlineStr">
        <is>
          <t>HHSurvey</t>
        </is>
      </c>
      <c r="K187" s="9" t="str">
        <f>LOWER(CtryCode)&amp;".distn."&amp;$A187&amp;IF($B187="","","."&amp;$B187)&amp;IF($C187="","",".dec."&amp;$C187)&amp;"."&amp;K$5</f>
        <v>egy.distn.bsh.nga.dec.ove.1</v>
      </c>
      <c r="L187" s="208">
        <f>INDEX(DHHVal,MATCH(CtryCode&amp;".distn.bsh."&amp;L$10&amp;$E187&amp;L$9&amp;L$11,DHHKey,0),MATCH($D187,DHHVar,0))</f>
        <v>0.3500263293054099</v>
      </c>
      <c r="M187" s="203">
        <f>INDEX(DHHVal,MATCH(CtryCode&amp;".distn.bsh."&amp;M$10&amp;$E187&amp;M$9&amp;M$11,DHHKey,0),MATCH($D187,DHHVar,0))</f>
        <v>0.283275584083339</v>
      </c>
      <c r="N187" s="203">
        <f>INDEX(DHHVal,MATCH(CtryCode&amp;".distn.bsh."&amp;N$10&amp;$E187&amp;N$9&amp;N$11,DHHKey,0),MATCH($D187,DHHVar,0))</f>
        <v>0.2683738281177165</v>
      </c>
      <c r="O187" s="203">
        <f>INDEX(DHHVal,MATCH(CtryCode&amp;".distn.bsh."&amp;O$10&amp;$E187&amp;O$9&amp;O$11,DHHKey,0),MATCH($D187,DHHVar,0))</f>
        <v>0.2856063412918847</v>
      </c>
      <c r="P187" s="203">
        <f>INDEX(DHHVal,MATCH(CtryCode&amp;".distn.bsh."&amp;P$10&amp;$E187&amp;P$9&amp;P$11,DHHKey,0),MATCH($D187,DHHVar,0))</f>
        <v>0.2978854180586199</v>
      </c>
      <c r="Q187" s="203">
        <f>INDEX(DHHVal,MATCH(CtryCode&amp;".distn.bsh."&amp;Q$10&amp;$E187&amp;Q$9&amp;Q$11,DHHKey,0),MATCH($D187,DHHVar,0))</f>
        <v>0.3066752581174817</v>
      </c>
      <c r="R187" s="203">
        <f>INDEX(DHHVal,MATCH(CtryCode&amp;".distn.bsh."&amp;R$10&amp;$E187&amp;R$9&amp;R$11,DHHKey,0),MATCH($D187,DHHVar,0))</f>
        <v>0.3279730900762368</v>
      </c>
      <c r="S187" s="203">
        <f>INDEX(DHHVal,MATCH(CtryCode&amp;".distn.bsh."&amp;S$10&amp;$E187&amp;S$9&amp;S$11,DHHKey,0),MATCH($D187,DHHVar,0))</f>
        <v>0.3662128331967788</v>
      </c>
      <c r="T187" s="203">
        <f>INDEX(DHHVal,MATCH(CtryCode&amp;".distn.bsh."&amp;T$10&amp;$E187&amp;T$9&amp;T$11,DHHKey,0),MATCH($D187,DHHVar,0))</f>
        <v>0.4474678754544769</v>
      </c>
      <c r="U187" s="203">
        <f>INDEX(DHHVal,MATCH(CtryCode&amp;".distn.bsh."&amp;U$10&amp;$E187&amp;U$9&amp;U$11,DHHKey,0),MATCH($D187,DHHVar,0))</f>
        <v>0.4386110220715544</v>
      </c>
      <c r="V187" s="203">
        <f>INDEX(DHHVal,MATCH(CtryCode&amp;".distn.bsh."&amp;V$10&amp;$E187&amp;V$9&amp;V$11,DHHKey,0),MATCH($D187,DHHVar,0))</f>
        <v>0.5858446491660518</v>
      </c>
      <c r="W187" s="207" t="str">
        <f>IF(X$5=K$5,SUM(Y187:AI187)-SUM(L187:V187),"")</f>
        <v/>
      </c>
      <c r="X187" s="9" t="str">
        <f>LOWER(CtryCode)&amp;".distn."&amp;$A187&amp;IF($B187="","","."&amp;$B187)&amp;IF($C187="","",".dec."&amp;$C187)&amp;"."&amp;X$5</f>
        <v>egy.distn.bsh.nga.dec.ove.2</v>
      </c>
      <c r="Y187" s="208">
        <f>INDEX(DHHVal,MATCH(CtryCode&amp;".distn.bsh."&amp;Y$10&amp;$E187&amp;Y$9&amp;Y$11,DHHKey,0),MATCH($D187,DHHVar,0))</f>
        <v>0.3500263293054099</v>
      </c>
      <c r="Z187" s="203">
        <f>INDEX(DHHVal,MATCH(CtryCode&amp;".distn.bsh."&amp;Z$10&amp;$E187&amp;Z$9&amp;Z$11,DHHKey,0),MATCH($D187,DHHVar,0))</f>
        <v>0.283275584083339</v>
      </c>
      <c r="AA187" s="203">
        <f>INDEX(DHHVal,MATCH(CtryCode&amp;".distn.bsh."&amp;AA$10&amp;$E187&amp;AA$9&amp;AA$11,DHHKey,0),MATCH($D187,DHHVar,0))</f>
        <v>0.2683738281177165</v>
      </c>
      <c r="AB187" s="203">
        <f>INDEX(DHHVal,MATCH(CtryCode&amp;".distn.bsh."&amp;AB$10&amp;$E187&amp;AB$9&amp;AB$11,DHHKey,0),MATCH($D187,DHHVar,0))</f>
        <v>0.2856063412918847</v>
      </c>
      <c r="AC187" s="203">
        <f>INDEX(DHHVal,MATCH(CtryCode&amp;".distn.bsh."&amp;AC$10&amp;$E187&amp;AC$9&amp;AC$11,DHHKey,0),MATCH($D187,DHHVar,0))</f>
        <v>0.2978854180586199</v>
      </c>
      <c r="AD187" s="203">
        <f>INDEX(DHHVal,MATCH(CtryCode&amp;".distn.bsh."&amp;AD$10&amp;$E187&amp;AD$9&amp;AD$11,DHHKey,0),MATCH($D187,DHHVar,0))</f>
        <v>0.3066752581174817</v>
      </c>
      <c r="AE187" s="203">
        <f>INDEX(DHHVal,MATCH(CtryCode&amp;".distn.bsh."&amp;AE$10&amp;$E187&amp;AE$9&amp;AE$11,DHHKey,0),MATCH($D187,DHHVar,0))</f>
        <v>0.3279730900762368</v>
      </c>
      <c r="AF187" s="203">
        <f>INDEX(DHHVal,MATCH(CtryCode&amp;".distn.bsh."&amp;AF$10&amp;$E187&amp;AF$9&amp;AF$11,DHHKey,0),MATCH($D187,DHHVar,0))</f>
        <v>0.3662128331967788</v>
      </c>
      <c r="AG187" s="203">
        <f>INDEX(DHHVal,MATCH(CtryCode&amp;".distn.bsh."&amp;AG$10&amp;$E187&amp;AG$9&amp;AG$11,DHHKey,0),MATCH($D187,DHHVar,0))</f>
        <v>0.4474678754544769</v>
      </c>
      <c r="AH187" s="203">
        <f>INDEX(DHHVal,MATCH(CtryCode&amp;".distn.bsh."&amp;AH$10&amp;$E187&amp;AH$9&amp;AH$11,DHHKey,0),MATCH($D187,DHHVar,0))</f>
        <v>0.4386110220715544</v>
      </c>
      <c r="AI187" s="203">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33" t="inlineStr">
        <is>
          <t>HHSurvey</t>
        </is>
      </c>
      <c r="K188" s="9" t="str">
        <f>LOWER(CtryCode)&amp;".distn."&amp;$A188&amp;IF($B188="","","."&amp;$B188)&amp;IF($C188="","",".dec."&amp;$C188)&amp;"."&amp;K$5</f>
        <v>egy.distn.bsh.oil.dec.ove.1</v>
      </c>
      <c r="L188" s="208">
        <f>INDEX(DHHVal,MATCH(CtryCode&amp;".distn.bsh."&amp;L$10&amp;$E188&amp;L$9&amp;L$11,DHHKey,0),MATCH($D188,DHHVar,0))</f>
        <v>0.1321102983936765</v>
      </c>
      <c r="M188" s="203">
        <f>INDEX(DHHVal,MATCH(CtryCode&amp;".distn.bsh."&amp;M$10&amp;$E188&amp;M$9&amp;M$11,DHHKey,0),MATCH($D188,DHHVar,0))</f>
        <v>0.09981951152686198</v>
      </c>
      <c r="N188" s="203">
        <f>INDEX(DHHVal,MATCH(CtryCode&amp;".distn.bsh."&amp;N$10&amp;$E188&amp;N$9&amp;N$11,DHHKey,0),MATCH($D188,DHHVar,0))</f>
        <v>0.1033276688496843</v>
      </c>
      <c r="O188" s="203">
        <f>INDEX(DHHVal,MATCH(CtryCode&amp;".distn.bsh."&amp;O$10&amp;$E188&amp;O$9&amp;O$11,DHHKey,0),MATCH($D188,DHHVar,0))</f>
        <v>0.1351727638232263</v>
      </c>
      <c r="P188" s="203">
        <f>INDEX(DHHVal,MATCH(CtryCode&amp;".distn.bsh."&amp;P$10&amp;$E188&amp;P$9&amp;P$11,DHHKey,0),MATCH($D188,DHHVar,0))</f>
        <v>0.09994018589958671</v>
      </c>
      <c r="Q188" s="203">
        <f>INDEX(DHHVal,MATCH(CtryCode&amp;".distn.bsh."&amp;Q$10&amp;$E188&amp;Q$9&amp;Q$11,DHHKey,0),MATCH($D188,DHHVar,0))</f>
        <v>0.1398534838933621</v>
      </c>
      <c r="R188" s="203">
        <f>INDEX(DHHVal,MATCH(CtryCode&amp;".distn.bsh."&amp;R$10&amp;$E188&amp;R$9&amp;R$11,DHHKey,0),MATCH($D188,DHHVar,0))</f>
        <v>0.1372538586351458</v>
      </c>
      <c r="S188" s="203">
        <f>INDEX(DHHVal,MATCH(CtryCode&amp;".distn.bsh."&amp;S$10&amp;$E188&amp;S$9&amp;S$11,DHHKey,0),MATCH($D188,DHHVar,0))</f>
        <v>0.14024283954895</v>
      </c>
      <c r="T188" s="203">
        <f>INDEX(DHHVal,MATCH(CtryCode&amp;".distn.bsh."&amp;T$10&amp;$E188&amp;T$9&amp;T$11,DHHKey,0),MATCH($D188,DHHVar,0))</f>
        <v>0.1418461725745313</v>
      </c>
      <c r="U188" s="203">
        <f>INDEX(DHHVal,MATCH(CtryCode&amp;".distn.bsh."&amp;U$10&amp;$E188&amp;U$9&amp;U$11,DHHKey,0),MATCH($D188,DHHVar,0))</f>
        <v>0.1447419180596157</v>
      </c>
      <c r="V188" s="203">
        <f>INDEX(DHHVal,MATCH(CtryCode&amp;".distn.bsh."&amp;V$10&amp;$E188&amp;V$9&amp;V$11,DHHKey,0),MATCH($D188,DHHVar,0))</f>
        <v>0.1575164927712771</v>
      </c>
      <c r="W188" s="207" t="str">
        <f>IF(X$5=K$5,SUM(Y188:AI188)-SUM(L188:V188),"")</f>
        <v/>
      </c>
      <c r="X188" s="9" t="str">
        <f>LOWER(CtryCode)&amp;".distn."&amp;$A188&amp;IF($B188="","","."&amp;$B188)&amp;IF($C188="","",".dec."&amp;$C188)&amp;"."&amp;X$5</f>
        <v>egy.distn.bsh.oil.dec.ove.2</v>
      </c>
      <c r="Y188" s="208">
        <f>INDEX(DHHVal,MATCH(CtryCode&amp;".distn.bsh."&amp;Y$10&amp;$E188&amp;Y$9&amp;Y$11,DHHKey,0),MATCH($D188,DHHVar,0))</f>
        <v>0.1321102983936765</v>
      </c>
      <c r="Z188" s="203">
        <f>INDEX(DHHVal,MATCH(CtryCode&amp;".distn.bsh."&amp;Z$10&amp;$E188&amp;Z$9&amp;Z$11,DHHKey,0),MATCH($D188,DHHVar,0))</f>
        <v>0.09981951152686198</v>
      </c>
      <c r="AA188" s="203">
        <f>INDEX(DHHVal,MATCH(CtryCode&amp;".distn.bsh."&amp;AA$10&amp;$E188&amp;AA$9&amp;AA$11,DHHKey,0),MATCH($D188,DHHVar,0))</f>
        <v>0.1033276688496843</v>
      </c>
      <c r="AB188" s="203">
        <f>INDEX(DHHVal,MATCH(CtryCode&amp;".distn.bsh."&amp;AB$10&amp;$E188&amp;AB$9&amp;AB$11,DHHKey,0),MATCH($D188,DHHVar,0))</f>
        <v>0.1351727638232263</v>
      </c>
      <c r="AC188" s="203">
        <f>INDEX(DHHVal,MATCH(CtryCode&amp;".distn.bsh."&amp;AC$10&amp;$E188&amp;AC$9&amp;AC$11,DHHKey,0),MATCH($D188,DHHVar,0))</f>
        <v>0.09994018589958671</v>
      </c>
      <c r="AD188" s="203">
        <f>INDEX(DHHVal,MATCH(CtryCode&amp;".distn.bsh."&amp;AD$10&amp;$E188&amp;AD$9&amp;AD$11,DHHKey,0),MATCH($D188,DHHVar,0))</f>
        <v>0.1398534838933621</v>
      </c>
      <c r="AE188" s="203">
        <f>INDEX(DHHVal,MATCH(CtryCode&amp;".distn.bsh."&amp;AE$10&amp;$E188&amp;AE$9&amp;AE$11,DHHKey,0),MATCH($D188,DHHVar,0))</f>
        <v>0.1372538586351458</v>
      </c>
      <c r="AF188" s="203">
        <f>INDEX(DHHVal,MATCH(CtryCode&amp;".distn.bsh."&amp;AF$10&amp;$E188&amp;AF$9&amp;AF$11,DHHKey,0),MATCH($D188,DHHVar,0))</f>
        <v>0.14024283954895</v>
      </c>
      <c r="AG188" s="203">
        <f>INDEX(DHHVal,MATCH(CtryCode&amp;".distn.bsh."&amp;AG$10&amp;$E188&amp;AG$9&amp;AG$11,DHHKey,0),MATCH($D188,DHHVar,0))</f>
        <v>0.1418461725745313</v>
      </c>
      <c r="AH188" s="203">
        <f>INDEX(DHHVal,MATCH(CtryCode&amp;".distn.bsh."&amp;AH$10&amp;$E188&amp;AH$9&amp;AH$11,DHHKey,0),MATCH($D188,DHHVar,0))</f>
        <v>0.1447419180596157</v>
      </c>
      <c r="AI188" s="203">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33" t="inlineStr">
        <is>
          <t>HHSurvey</t>
        </is>
      </c>
      <c r="K189" s="9" t="str">
        <f>LOWER(CtryCode)&amp;".distn."&amp;$A189&amp;IF($B189="","","."&amp;$B189)&amp;IF($C189="","",".dec."&amp;$C189)&amp;"."&amp;K$5</f>
        <v>egy.distn.bsh.gso.dec.ove.1</v>
      </c>
      <c r="L189" s="208">
        <f>INDEX(DHHVal,MATCH(CtryCode&amp;".distn.bsh."&amp;L$10&amp;$E189&amp;L$9&amp;L$11,DHHKey,0),MATCH($D189,DHHVar,0))</f>
        <v>0.529305559831027</v>
      </c>
      <c r="M189" s="203">
        <f>INDEX(DHHVal,MATCH(CtryCode&amp;".distn.bsh."&amp;M$10&amp;$E189&amp;M$9&amp;M$11,DHHKey,0),MATCH($D189,DHHVar,0))</f>
        <v>0.2981991897979022</v>
      </c>
      <c r="N189" s="203">
        <f>INDEX(DHHVal,MATCH(CtryCode&amp;".distn.bsh."&amp;N$10&amp;$E189&amp;N$9&amp;N$11,DHHKey,0),MATCH($D189,DHHVar,0))</f>
        <v>0.355679200134815</v>
      </c>
      <c r="O189" s="203">
        <f>INDEX(DHHVal,MATCH(CtryCode&amp;".distn.bsh."&amp;O$10&amp;$E189&amp;O$9&amp;O$11,DHHKey,0),MATCH($D189,DHHVar,0))</f>
        <v>0.4266981110859476</v>
      </c>
      <c r="P189" s="203">
        <f>INDEX(DHHVal,MATCH(CtryCode&amp;".distn.bsh."&amp;P$10&amp;$E189&amp;P$9&amp;P$11,DHHKey,0),MATCH($D189,DHHVar,0))</f>
        <v>0.4282234972926754</v>
      </c>
      <c r="Q189" s="203">
        <f>INDEX(DHHVal,MATCH(CtryCode&amp;".distn.bsh."&amp;Q$10&amp;$E189&amp;Q$9&amp;Q$11,DHHKey,0),MATCH($D189,DHHVar,0))</f>
        <v>0.5073430002214641</v>
      </c>
      <c r="R189" s="203">
        <f>INDEX(DHHVal,MATCH(CtryCode&amp;".distn.bsh."&amp;R$10&amp;$E189&amp;R$9&amp;R$11,DHHKey,0),MATCH($D189,DHHVar,0))</f>
        <v>0.5405468400065624</v>
      </c>
      <c r="S189" s="203">
        <f>INDEX(DHHVal,MATCH(CtryCode&amp;".distn.bsh."&amp;S$10&amp;$E189&amp;S$9&amp;S$11,DHHKey,0),MATCH($D189,DHHVar,0))</f>
        <v>0.6089354612545156</v>
      </c>
      <c r="T189" s="203">
        <f>INDEX(DHHVal,MATCH(CtryCode&amp;".distn.bsh."&amp;T$10&amp;$E189&amp;T$9&amp;T$11,DHHKey,0),MATCH($D189,DHHVar,0))</f>
        <v>0.6630642815986387</v>
      </c>
      <c r="U189" s="203">
        <f>INDEX(DHHVal,MATCH(CtryCode&amp;".distn.bsh."&amp;U$10&amp;$E189&amp;U$9&amp;U$11,DHHKey,0),MATCH($D189,DHHVar,0))</f>
        <v>0.6042343412148473</v>
      </c>
      <c r="V189" s="203">
        <f>INDEX(DHHVal,MATCH(CtryCode&amp;".distn.bsh."&amp;V$10&amp;$E189&amp;V$9&amp;V$11,DHHKey,0),MATCH($D189,DHHVar,0))</f>
        <v>0.7783857550486857</v>
      </c>
      <c r="W189" s="207" t="str">
        <f>IF(X$5=K$5,SUM(Y189:AI189)-SUM(L189:V189),"")</f>
        <v/>
      </c>
      <c r="X189" s="9" t="str">
        <f>LOWER(CtryCode)&amp;".distn."&amp;$A189&amp;IF($B189="","","."&amp;$B189)&amp;IF($C189="","",".dec."&amp;$C189)&amp;"."&amp;X$5</f>
        <v>egy.distn.bsh.gso.dec.ove.2</v>
      </c>
      <c r="Y189" s="208">
        <f>INDEX(DHHVal,MATCH(CtryCode&amp;".distn.bsh."&amp;Y$10&amp;$E189&amp;Y$9&amp;Y$11,DHHKey,0),MATCH($D189,DHHVar,0))</f>
        <v>0.529305559831027</v>
      </c>
      <c r="Z189" s="203">
        <f>INDEX(DHHVal,MATCH(CtryCode&amp;".distn.bsh."&amp;Z$10&amp;$E189&amp;Z$9&amp;Z$11,DHHKey,0),MATCH($D189,DHHVar,0))</f>
        <v>0.2981991897979022</v>
      </c>
      <c r="AA189" s="203">
        <f>INDEX(DHHVal,MATCH(CtryCode&amp;".distn.bsh."&amp;AA$10&amp;$E189&amp;AA$9&amp;AA$11,DHHKey,0),MATCH($D189,DHHVar,0))</f>
        <v>0.355679200134815</v>
      </c>
      <c r="AB189" s="203">
        <f>INDEX(DHHVal,MATCH(CtryCode&amp;".distn.bsh."&amp;AB$10&amp;$E189&amp;AB$9&amp;AB$11,DHHKey,0),MATCH($D189,DHHVar,0))</f>
        <v>0.4266981110859476</v>
      </c>
      <c r="AC189" s="203">
        <f>INDEX(DHHVal,MATCH(CtryCode&amp;".distn.bsh."&amp;AC$10&amp;$E189&amp;AC$9&amp;AC$11,DHHKey,0),MATCH($D189,DHHVar,0))</f>
        <v>0.4282234972926754</v>
      </c>
      <c r="AD189" s="203">
        <f>INDEX(DHHVal,MATCH(CtryCode&amp;".distn.bsh."&amp;AD$10&amp;$E189&amp;AD$9&amp;AD$11,DHHKey,0),MATCH($D189,DHHVar,0))</f>
        <v>0.5073430002214641</v>
      </c>
      <c r="AE189" s="203">
        <f>INDEX(DHHVal,MATCH(CtryCode&amp;".distn.bsh."&amp;AE$10&amp;$E189&amp;AE$9&amp;AE$11,DHHKey,0),MATCH($D189,DHHVar,0))</f>
        <v>0.5405468400065624</v>
      </c>
      <c r="AF189" s="203">
        <f>INDEX(DHHVal,MATCH(CtryCode&amp;".distn.bsh."&amp;AF$10&amp;$E189&amp;AF$9&amp;AF$11,DHHKey,0),MATCH($D189,DHHVar,0))</f>
        <v>0.6089354612545156</v>
      </c>
      <c r="AG189" s="203">
        <f>INDEX(DHHVal,MATCH(CtryCode&amp;".distn.bsh."&amp;AG$10&amp;$E189&amp;AG$9&amp;AG$11,DHHKey,0),MATCH($D189,DHHVar,0))</f>
        <v>0.6630642815986387</v>
      </c>
      <c r="AH189" s="203">
        <f>INDEX(DHHVal,MATCH(CtryCode&amp;".distn.bsh."&amp;AH$10&amp;$E189&amp;AH$9&amp;AH$11,DHHKey,0),MATCH($D189,DHHVar,0))</f>
        <v>0.6042343412148473</v>
      </c>
      <c r="AI189" s="203">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33" t="inlineStr">
        <is>
          <t>HHSurvey</t>
        </is>
      </c>
      <c r="K190" s="9" t="str">
        <f>LOWER(CtryCode)&amp;".distn."&amp;$A190&amp;IF($B190="","","."&amp;$B190)&amp;IF($C190="","",".dec."&amp;$C190)&amp;"."&amp;K$5</f>
        <v>egy.distn.bsh.die.dec.ove.1</v>
      </c>
      <c r="L190" s="208">
        <f>INDEX(DHHVal,MATCH(CtryCode&amp;".distn.bsh."&amp;L$10&amp;$E190&amp;L$9&amp;L$11,DHHKey,0),MATCH($D190,DHHVar,0))</f>
        <v>0.0</v>
      </c>
      <c r="M190" s="203">
        <f>INDEX(DHHVal,MATCH(CtryCode&amp;".distn.bsh."&amp;M$10&amp;$E190&amp;M$9&amp;M$11,DHHKey,0),MATCH($D190,DHHVar,0))</f>
        <v>0.0</v>
      </c>
      <c r="N190" s="203">
        <f>INDEX(DHHVal,MATCH(CtryCode&amp;".distn.bsh."&amp;N$10&amp;$E190&amp;N$9&amp;N$11,DHHKey,0),MATCH($D190,DHHVar,0))</f>
        <v>0.0</v>
      </c>
      <c r="O190" s="203">
        <f>INDEX(DHHVal,MATCH(CtryCode&amp;".distn.bsh."&amp;O$10&amp;$E190&amp;O$9&amp;O$11,DHHKey,0),MATCH($D190,DHHVar,0))</f>
        <v>0.0</v>
      </c>
      <c r="P190" s="203">
        <f>INDEX(DHHVal,MATCH(CtryCode&amp;".distn.bsh."&amp;P$10&amp;$E190&amp;P$9&amp;P$11,DHHKey,0),MATCH($D190,DHHVar,0))</f>
        <v>0.0</v>
      </c>
      <c r="Q190" s="203">
        <f>INDEX(DHHVal,MATCH(CtryCode&amp;".distn.bsh."&amp;Q$10&amp;$E190&amp;Q$9&amp;Q$11,DHHKey,0),MATCH($D190,DHHVar,0))</f>
        <v>0.0</v>
      </c>
      <c r="R190" s="203">
        <f>INDEX(DHHVal,MATCH(CtryCode&amp;".distn.bsh."&amp;R$10&amp;$E190&amp;R$9&amp;R$11,DHHKey,0),MATCH($D190,DHHVar,0))</f>
        <v>0.0</v>
      </c>
      <c r="S190" s="203">
        <f>INDEX(DHHVal,MATCH(CtryCode&amp;".distn.bsh."&amp;S$10&amp;$E190&amp;S$9&amp;S$11,DHHKey,0),MATCH($D190,DHHVar,0))</f>
        <v>0.0</v>
      </c>
      <c r="T190" s="203">
        <f>INDEX(DHHVal,MATCH(CtryCode&amp;".distn.bsh."&amp;T$10&amp;$E190&amp;T$9&amp;T$11,DHHKey,0),MATCH($D190,DHHVar,0))</f>
        <v>0.0</v>
      </c>
      <c r="U190" s="203">
        <f>INDEX(DHHVal,MATCH(CtryCode&amp;".distn.bsh."&amp;U$10&amp;$E190&amp;U$9&amp;U$11,DHHKey,0),MATCH($D190,DHHVar,0))</f>
        <v>0.0</v>
      </c>
      <c r="V190" s="203">
        <f>INDEX(DHHVal,MATCH(CtryCode&amp;".distn.bsh."&amp;V$10&amp;$E190&amp;V$9&amp;V$11,DHHKey,0),MATCH($D190,DHHVar,0))</f>
        <v>0.0</v>
      </c>
      <c r="W190" s="207" t="str">
        <f>IF(X$5=K$5,SUM(Y190:AI190)-SUM(L190:V190),"")</f>
        <v/>
      </c>
      <c r="X190" s="9" t="str">
        <f>LOWER(CtryCode)&amp;".distn."&amp;$A190&amp;IF($B190="","","."&amp;$B190)&amp;IF($C190="","",".dec."&amp;$C190)&amp;"."&amp;X$5</f>
        <v>egy.distn.bsh.die.dec.ove.2</v>
      </c>
      <c r="Y190" s="208">
        <f>INDEX(DHHVal,MATCH(CtryCode&amp;".distn.bsh."&amp;Y$10&amp;$E190&amp;Y$9&amp;Y$11,DHHKey,0),MATCH($D190,DHHVar,0))</f>
        <v>0.0</v>
      </c>
      <c r="Z190" s="203">
        <f>INDEX(DHHVal,MATCH(CtryCode&amp;".distn.bsh."&amp;Z$10&amp;$E190&amp;Z$9&amp;Z$11,DHHKey,0),MATCH($D190,DHHVar,0))</f>
        <v>0.0</v>
      </c>
      <c r="AA190" s="203">
        <f>INDEX(DHHVal,MATCH(CtryCode&amp;".distn.bsh."&amp;AA$10&amp;$E190&amp;AA$9&amp;AA$11,DHHKey,0),MATCH($D190,DHHVar,0))</f>
        <v>0.0</v>
      </c>
      <c r="AB190" s="203">
        <f>INDEX(DHHVal,MATCH(CtryCode&amp;".distn.bsh."&amp;AB$10&amp;$E190&amp;AB$9&amp;AB$11,DHHKey,0),MATCH($D190,DHHVar,0))</f>
        <v>0.0</v>
      </c>
      <c r="AC190" s="203">
        <f>INDEX(DHHVal,MATCH(CtryCode&amp;".distn.bsh."&amp;AC$10&amp;$E190&amp;AC$9&amp;AC$11,DHHKey,0),MATCH($D190,DHHVar,0))</f>
        <v>0.0</v>
      </c>
      <c r="AD190" s="203">
        <f>INDEX(DHHVal,MATCH(CtryCode&amp;".distn.bsh."&amp;AD$10&amp;$E190&amp;AD$9&amp;AD$11,DHHKey,0),MATCH($D190,DHHVar,0))</f>
        <v>0.0</v>
      </c>
      <c r="AE190" s="203">
        <f>INDEX(DHHVal,MATCH(CtryCode&amp;".distn.bsh."&amp;AE$10&amp;$E190&amp;AE$9&amp;AE$11,DHHKey,0),MATCH($D190,DHHVar,0))</f>
        <v>0.0</v>
      </c>
      <c r="AF190" s="203">
        <f>INDEX(DHHVal,MATCH(CtryCode&amp;".distn.bsh."&amp;AF$10&amp;$E190&amp;AF$9&amp;AF$11,DHHKey,0),MATCH($D190,DHHVar,0))</f>
        <v>0.0</v>
      </c>
      <c r="AG190" s="203">
        <f>INDEX(DHHVal,MATCH(CtryCode&amp;".distn.bsh."&amp;AG$10&amp;$E190&amp;AG$9&amp;AG$11,DHHKey,0),MATCH($D190,DHHVar,0))</f>
        <v>0.0</v>
      </c>
      <c r="AH190" s="203">
        <f>INDEX(DHHVal,MATCH(CtryCode&amp;".distn.bsh."&amp;AH$10&amp;$E190&amp;AH$9&amp;AH$11,DHHKey,0),MATCH($D190,DHHVar,0))</f>
        <v>0.0</v>
      </c>
      <c r="AI190" s="203">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33" t="inlineStr">
        <is>
          <t>HHSurvey</t>
        </is>
      </c>
      <c r="K191" s="9" t="str">
        <f>LOWER(CtryCode)&amp;".distn."&amp;$A191&amp;IF($B191="","","."&amp;$B191)&amp;IF($C191="","",".dec."&amp;$C191)&amp;"."&amp;K$5</f>
        <v>egy.distn.bsh.ker.dec.ove.1</v>
      </c>
      <c r="L191" s="208">
        <f>INDEX(DHHVal,MATCH(CtryCode&amp;".distn.bsh."&amp;L$10&amp;$E191&amp;L$9&amp;L$11,DHHKey,0),MATCH($D191,DHHVar,0))</f>
        <v>5.47104619642875e-05</v>
      </c>
      <c r="M191" s="203">
        <f>INDEX(DHHVal,MATCH(CtryCode&amp;".distn.bsh."&amp;M$10&amp;$E191&amp;M$9&amp;M$11,DHHKey,0),MATCH($D191,DHHVar,0))</f>
        <v>2.007991092078152e-05</v>
      </c>
      <c r="N191" s="203">
        <f>INDEX(DHHVal,MATCH(CtryCode&amp;".distn.bsh."&amp;N$10&amp;$E191&amp;N$9&amp;N$11,DHHKey,0),MATCH($D191,DHHVar,0))</f>
        <v>2.278565642010661e-05</v>
      </c>
      <c r="O191" s="203">
        <f>INDEX(DHHVal,MATCH(CtryCode&amp;".distn.bsh."&amp;O$10&amp;$E191&amp;O$9&amp;O$11,DHHKey,0),MATCH($D191,DHHVar,0))</f>
        <v>1.02555962916753e-05</v>
      </c>
      <c r="P191" s="203">
        <f>INDEX(DHHVal,MATCH(CtryCode&amp;".distn.bsh."&amp;P$10&amp;$E191&amp;P$9&amp;P$11,DHHKey,0),MATCH($D191,DHHVar,0))</f>
        <v>5.672685703231701e-05</v>
      </c>
      <c r="Q191" s="203">
        <f>INDEX(DHHVal,MATCH(CtryCode&amp;".distn.bsh."&amp;Q$10&amp;$E191&amp;Q$9&amp;Q$11,DHHKey,0),MATCH($D191,DHHVar,0))</f>
        <v>5.659026394098394e-05</v>
      </c>
      <c r="R191" s="203">
        <f>INDEX(DHHVal,MATCH(CtryCode&amp;".distn.bsh."&amp;R$10&amp;$E191&amp;R$9&amp;R$11,DHHKey,0),MATCH($D191,DHHVar,0))</f>
        <v>4.647021853757486e-05</v>
      </c>
      <c r="S191" s="203">
        <f>INDEX(DHHVal,MATCH(CtryCode&amp;".distn.bsh."&amp;S$10&amp;$E191&amp;S$9&amp;S$11,DHHKey,0),MATCH($D191,DHHVar,0))</f>
        <v>2.134950537996008e-05</v>
      </c>
      <c r="T191" s="203">
        <f>INDEX(DHHVal,MATCH(CtryCode&amp;".distn.bsh."&amp;T$10&amp;$E191&amp;T$9&amp;T$11,DHHKey,0),MATCH($D191,DHHVar,0))</f>
        <v>8.175186013846e-05</v>
      </c>
      <c r="U191" s="203">
        <f>INDEX(DHHVal,MATCH(CtryCode&amp;".distn.bsh."&amp;U$10&amp;$E191&amp;U$9&amp;U$11,DHHKey,0),MATCH($D191,DHHVar,0))</f>
        <v>0.0001149866307181042</v>
      </c>
      <c r="V191" s="203">
        <f>INDEX(DHHVal,MATCH(CtryCode&amp;".distn.bsh."&amp;V$10&amp;$E191&amp;V$9&amp;V$11,DHHKey,0),MATCH($D191,DHHVar,0))</f>
        <v>7.732654860958214e-05</v>
      </c>
      <c r="W191" s="207" t="str">
        <f>IF(X$5=K$5,SUM(Y191:AI191)-SUM(L191:V191),"")</f>
        <v/>
      </c>
      <c r="X191" s="9" t="str">
        <f>LOWER(CtryCode)&amp;".distn."&amp;$A191&amp;IF($B191="","","."&amp;$B191)&amp;IF($C191="","",".dec."&amp;$C191)&amp;"."&amp;X$5</f>
        <v>egy.distn.bsh.ker.dec.ove.2</v>
      </c>
      <c r="Y191" s="208">
        <f>INDEX(DHHVal,MATCH(CtryCode&amp;".distn.bsh."&amp;Y$10&amp;$E191&amp;Y$9&amp;Y$11,DHHKey,0),MATCH($D191,DHHVar,0))</f>
        <v>5.47104619642875e-05</v>
      </c>
      <c r="Z191" s="203">
        <f>INDEX(DHHVal,MATCH(CtryCode&amp;".distn.bsh."&amp;Z$10&amp;$E191&amp;Z$9&amp;Z$11,DHHKey,0),MATCH($D191,DHHVar,0))</f>
        <v>2.007991092078152e-05</v>
      </c>
      <c r="AA191" s="203">
        <f>INDEX(DHHVal,MATCH(CtryCode&amp;".distn.bsh."&amp;AA$10&amp;$E191&amp;AA$9&amp;AA$11,DHHKey,0),MATCH($D191,DHHVar,0))</f>
        <v>2.278565642010661e-05</v>
      </c>
      <c r="AB191" s="203">
        <f>INDEX(DHHVal,MATCH(CtryCode&amp;".distn.bsh."&amp;AB$10&amp;$E191&amp;AB$9&amp;AB$11,DHHKey,0),MATCH($D191,DHHVar,0))</f>
        <v>1.02555962916753e-05</v>
      </c>
      <c r="AC191" s="203">
        <f>INDEX(DHHVal,MATCH(CtryCode&amp;".distn.bsh."&amp;AC$10&amp;$E191&amp;AC$9&amp;AC$11,DHHKey,0),MATCH($D191,DHHVar,0))</f>
        <v>5.672685703231701e-05</v>
      </c>
      <c r="AD191" s="203">
        <f>INDEX(DHHVal,MATCH(CtryCode&amp;".distn.bsh."&amp;AD$10&amp;$E191&amp;AD$9&amp;AD$11,DHHKey,0),MATCH($D191,DHHVar,0))</f>
        <v>5.659026394098394e-05</v>
      </c>
      <c r="AE191" s="203">
        <f>INDEX(DHHVal,MATCH(CtryCode&amp;".distn.bsh."&amp;AE$10&amp;$E191&amp;AE$9&amp;AE$11,DHHKey,0),MATCH($D191,DHHVar,0))</f>
        <v>4.647021853757486e-05</v>
      </c>
      <c r="AF191" s="203">
        <f>INDEX(DHHVal,MATCH(CtryCode&amp;".distn.bsh."&amp;AF$10&amp;$E191&amp;AF$9&amp;AF$11,DHHKey,0),MATCH($D191,DHHVar,0))</f>
        <v>2.134950537996008e-05</v>
      </c>
      <c r="AG191" s="203">
        <f>INDEX(DHHVal,MATCH(CtryCode&amp;".distn.bsh."&amp;AG$10&amp;$E191&amp;AG$9&amp;AG$11,DHHKey,0),MATCH($D191,DHHVar,0))</f>
        <v>8.175186013846e-05</v>
      </c>
      <c r="AH191" s="203">
        <f>INDEX(DHHVal,MATCH(CtryCode&amp;".distn.bsh."&amp;AH$10&amp;$E191&amp;AH$9&amp;AH$11,DHHKey,0),MATCH($D191,DHHVar,0))</f>
        <v>0.0001149866307181042</v>
      </c>
      <c r="AI191" s="203">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33" t="inlineStr">
        <is>
          <t>HHSurvey</t>
        </is>
      </c>
      <c r="K192" s="9" t="str">
        <f>LOWER(CtryCode)&amp;".distn."&amp;$A192&amp;IF($B192="","","."&amp;$B192)&amp;IF($C192="","",".dec."&amp;$C192)&amp;"."&amp;K$5</f>
        <v>egy.distn.bsh.lpg.dec.ove.1</v>
      </c>
      <c r="L192" s="208">
        <f>INDEX(DHHVal,MATCH(CtryCode&amp;".distn.bsh."&amp;L$10&amp;$E192&amp;L$9&amp;L$11,DHHKey,0),MATCH($D192,DHHVar,0))</f>
        <v>1.764627246801565</v>
      </c>
      <c r="M192" s="203">
        <f>INDEX(DHHVal,MATCH(CtryCode&amp;".distn.bsh."&amp;M$10&amp;$E192&amp;M$9&amp;M$11,DHHKey,0),MATCH($D192,DHHVar,0))</f>
        <v>2.732878313095273</v>
      </c>
      <c r="N192" s="203">
        <f>INDEX(DHHVal,MATCH(CtryCode&amp;".distn.bsh."&amp;N$10&amp;$E192&amp;N$9&amp;N$11,DHHKey,0),MATCH($D192,DHHVar,0))</f>
        <v>2.347839307810304</v>
      </c>
      <c r="O192" s="203">
        <f>INDEX(DHHVal,MATCH(CtryCode&amp;".distn.bsh."&amp;O$10&amp;$E192&amp;O$9&amp;O$11,DHHKey,0),MATCH($D192,DHHVar,0))</f>
        <v>2.066171666044051</v>
      </c>
      <c r="P192" s="203">
        <f>INDEX(DHHVal,MATCH(CtryCode&amp;".distn.bsh."&amp;P$10&amp;$E192&amp;P$9&amp;P$11,DHHKey,0),MATCH($D192,DHHVar,0))</f>
        <v>1.771361052151576</v>
      </c>
      <c r="Q192" s="203">
        <f>INDEX(DHHVal,MATCH(CtryCode&amp;".distn.bsh."&amp;Q$10&amp;$E192&amp;Q$9&amp;Q$11,DHHKey,0),MATCH($D192,DHHVar,0))</f>
        <v>1.729992103661582</v>
      </c>
      <c r="R192" s="203">
        <f>INDEX(DHHVal,MATCH(CtryCode&amp;".distn.bsh."&amp;R$10&amp;$E192&amp;R$9&amp;R$11,DHHKey,0),MATCH($D192,DHHVar,0))</f>
        <v>1.600655486697883</v>
      </c>
      <c r="S192" s="203">
        <f>INDEX(DHHVal,MATCH(CtryCode&amp;".distn.bsh."&amp;S$10&amp;$E192&amp;S$9&amp;S$11,DHHKey,0),MATCH($D192,DHHVar,0))</f>
        <v>1.598236862680213</v>
      </c>
      <c r="T192" s="203">
        <f>INDEX(DHHVal,MATCH(CtryCode&amp;".distn.bsh."&amp;T$10&amp;$E192&amp;T$9&amp;T$11,DHHKey,0),MATCH($D192,DHHVar,0))</f>
        <v>1.367792566030258</v>
      </c>
      <c r="U192" s="203">
        <f>INDEX(DHHVal,MATCH(CtryCode&amp;".distn.bsh."&amp;U$10&amp;$E192&amp;U$9&amp;U$11,DHHKey,0),MATCH($D192,DHHVar,0))</f>
        <v>1.180808895013426</v>
      </c>
      <c r="V192" s="203">
        <f>INDEX(DHHVal,MATCH(CtryCode&amp;".distn.bsh."&amp;V$10&amp;$E192&amp;V$9&amp;V$11,DHHKey,0),MATCH($D192,DHHVar,0))</f>
        <v>1.008182819886205</v>
      </c>
      <c r="W192" s="207" t="str">
        <f>IF(X$5=K$5,SUM(Y192:AI192)-SUM(L192:V192),"")</f>
        <v/>
      </c>
      <c r="X192" s="9" t="str">
        <f>LOWER(CtryCode)&amp;".distn."&amp;$A192&amp;IF($B192="","","."&amp;$B192)&amp;IF($C192="","",".dec."&amp;$C192)&amp;"."&amp;X$5</f>
        <v>egy.distn.bsh.lpg.dec.ove.2</v>
      </c>
      <c r="Y192" s="208">
        <f>INDEX(DHHVal,MATCH(CtryCode&amp;".distn.bsh."&amp;Y$10&amp;$E192&amp;Y$9&amp;Y$11,DHHKey,0),MATCH($D192,DHHVar,0))</f>
        <v>1.764627246801565</v>
      </c>
      <c r="Z192" s="203">
        <f>INDEX(DHHVal,MATCH(CtryCode&amp;".distn.bsh."&amp;Z$10&amp;$E192&amp;Z$9&amp;Z$11,DHHKey,0),MATCH($D192,DHHVar,0))</f>
        <v>2.732878313095273</v>
      </c>
      <c r="AA192" s="203">
        <f>INDEX(DHHVal,MATCH(CtryCode&amp;".distn.bsh."&amp;AA$10&amp;$E192&amp;AA$9&amp;AA$11,DHHKey,0),MATCH($D192,DHHVar,0))</f>
        <v>2.347839307810304</v>
      </c>
      <c r="AB192" s="203">
        <f>INDEX(DHHVal,MATCH(CtryCode&amp;".distn.bsh."&amp;AB$10&amp;$E192&amp;AB$9&amp;AB$11,DHHKey,0),MATCH($D192,DHHVar,0))</f>
        <v>2.066171666044051</v>
      </c>
      <c r="AC192" s="203">
        <f>INDEX(DHHVal,MATCH(CtryCode&amp;".distn.bsh."&amp;AC$10&amp;$E192&amp;AC$9&amp;AC$11,DHHKey,0),MATCH($D192,DHHVar,0))</f>
        <v>1.771361052151576</v>
      </c>
      <c r="AD192" s="203">
        <f>INDEX(DHHVal,MATCH(CtryCode&amp;".distn.bsh."&amp;AD$10&amp;$E192&amp;AD$9&amp;AD$11,DHHKey,0),MATCH($D192,DHHVar,0))</f>
        <v>1.729992103661582</v>
      </c>
      <c r="AE192" s="203">
        <f>INDEX(DHHVal,MATCH(CtryCode&amp;".distn.bsh."&amp;AE$10&amp;$E192&amp;AE$9&amp;AE$11,DHHKey,0),MATCH($D192,DHHVar,0))</f>
        <v>1.600655486697883</v>
      </c>
      <c r="AF192" s="203">
        <f>INDEX(DHHVal,MATCH(CtryCode&amp;".distn.bsh."&amp;AF$10&amp;$E192&amp;AF$9&amp;AF$11,DHHKey,0),MATCH($D192,DHHVar,0))</f>
        <v>1.598236862680213</v>
      </c>
      <c r="AG192" s="203">
        <f>INDEX(DHHVal,MATCH(CtryCode&amp;".distn.bsh."&amp;AG$10&amp;$E192&amp;AG$9&amp;AG$11,DHHKey,0),MATCH($D192,DHHVar,0))</f>
        <v>1.367792566030258</v>
      </c>
      <c r="AH192" s="203">
        <f>INDEX(DHHVal,MATCH(CtryCode&amp;".distn.bsh."&amp;AH$10&amp;$E192&amp;AH$9&amp;AH$11,DHHKey,0),MATCH($D192,DHHVar,0))</f>
        <v>1.180808895013426</v>
      </c>
      <c r="AI192" s="203">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33" t="inlineStr">
        <is>
          <t>HHSurvey</t>
        </is>
      </c>
      <c r="K193" s="9" t="str">
        <f>LOWER(CtryCode)&amp;".distn."&amp;$A193&amp;IF($B193="","","."&amp;$B193)&amp;IF($C193="","",".dec."&amp;$C193)&amp;"."&amp;K$5</f>
        <v>egy.distn.bsh.app.dec.ove.1</v>
      </c>
      <c r="L193" s="208">
        <f>INDEX(DHHVal,MATCH(CtryCode&amp;".distn.bsh."&amp;L$10&amp;$E193&amp;L$9&amp;L$11,DHHKey,0),MATCH($D193,DHHVar,0))</f>
        <v>1.738053346896713</v>
      </c>
      <c r="M193" s="203">
        <f>INDEX(DHHVal,MATCH(CtryCode&amp;".distn.bsh."&amp;M$10&amp;$E193&amp;M$9&amp;M$11,DHHKey,0),MATCH($D193,DHHVar,0))</f>
        <v>1.755035630461325</v>
      </c>
      <c r="N193" s="203">
        <f>INDEX(DHHVal,MATCH(CtryCode&amp;".distn.bsh."&amp;N$10&amp;$E193&amp;N$9&amp;N$11,DHHKey,0),MATCH($D193,DHHVar,0))</f>
        <v>1.694090003747357</v>
      </c>
      <c r="O193" s="203">
        <f>INDEX(DHHVal,MATCH(CtryCode&amp;".distn.bsh."&amp;O$10&amp;$E193&amp;O$9&amp;O$11,DHHKey,0),MATCH($D193,DHHVar,0))</f>
        <v>1.645201946542239</v>
      </c>
      <c r="P193" s="203">
        <f>INDEX(DHHVal,MATCH(CtryCode&amp;".distn.bsh."&amp;P$10&amp;$E193&amp;P$9&amp;P$11,DHHKey,0),MATCH($D193,DHHVar,0))</f>
        <v>1.563419738301665</v>
      </c>
      <c r="Q193" s="203">
        <f>INDEX(DHHVal,MATCH(CtryCode&amp;".distn.bsh."&amp;Q$10&amp;$E193&amp;Q$9&amp;Q$11,DHHKey,0),MATCH($D193,DHHVar,0))</f>
        <v>1.704217947151114</v>
      </c>
      <c r="R193" s="203">
        <f>INDEX(DHHVal,MATCH(CtryCode&amp;".distn.bsh."&amp;R$10&amp;$E193&amp;R$9&amp;R$11,DHHKey,0),MATCH($D193,DHHVar,0))</f>
        <v>1.641295524416765</v>
      </c>
      <c r="S193" s="203">
        <f>INDEX(DHHVal,MATCH(CtryCode&amp;".distn.bsh."&amp;S$10&amp;$E193&amp;S$9&amp;S$11,DHHKey,0),MATCH($D193,DHHVar,0))</f>
        <v>1.808909928284024</v>
      </c>
      <c r="T193" s="203">
        <f>INDEX(DHHVal,MATCH(CtryCode&amp;".distn.bsh."&amp;T$10&amp;$E193&amp;T$9&amp;T$11,DHHKey,0),MATCH($D193,DHHVar,0))</f>
        <v>1.775747979049075</v>
      </c>
      <c r="U193" s="203">
        <f>INDEX(DHHVal,MATCH(CtryCode&amp;".distn.bsh."&amp;U$10&amp;$E193&amp;U$9&amp;U$11,DHHKey,0),MATCH($D193,DHHVar,0))</f>
        <v>1.613441191048476</v>
      </c>
      <c r="V193" s="203">
        <f>INDEX(DHHVal,MATCH(CtryCode&amp;".distn.bsh."&amp;V$10&amp;$E193&amp;V$9&amp;V$11,DHHKey,0),MATCH($D193,DHHVar,0))</f>
        <v>1.80744366883074</v>
      </c>
      <c r="W193" s="207" t="str">
        <f>IF(X$5=K$5,SUM(Y193:AI193)-SUM(L193:V193),"")</f>
        <v/>
      </c>
      <c r="X193" s="9" t="str">
        <f>LOWER(CtryCode)&amp;".distn."&amp;$A193&amp;IF($B193="","","."&amp;$B193)&amp;IF($C193="","",".dec."&amp;$C193)&amp;"."&amp;X$5</f>
        <v>egy.distn.bsh.app.dec.ove.2</v>
      </c>
      <c r="Y193" s="208">
        <f>INDEX(DHHVal,MATCH(CtryCode&amp;".distn.bsh."&amp;Y$10&amp;$E193&amp;Y$9&amp;Y$11,DHHKey,0),MATCH($D193,DHHVar,0))</f>
        <v>1.738053346896713</v>
      </c>
      <c r="Z193" s="203">
        <f>INDEX(DHHVal,MATCH(CtryCode&amp;".distn.bsh."&amp;Z$10&amp;$E193&amp;Z$9&amp;Z$11,DHHKey,0),MATCH($D193,DHHVar,0))</f>
        <v>1.755035630461325</v>
      </c>
      <c r="AA193" s="203">
        <f>INDEX(DHHVal,MATCH(CtryCode&amp;".distn.bsh."&amp;AA$10&amp;$E193&amp;AA$9&amp;AA$11,DHHKey,0),MATCH($D193,DHHVar,0))</f>
        <v>1.694090003747357</v>
      </c>
      <c r="AB193" s="203">
        <f>INDEX(DHHVal,MATCH(CtryCode&amp;".distn.bsh."&amp;AB$10&amp;$E193&amp;AB$9&amp;AB$11,DHHKey,0),MATCH($D193,DHHVar,0))</f>
        <v>1.645201946542239</v>
      </c>
      <c r="AC193" s="203">
        <f>INDEX(DHHVal,MATCH(CtryCode&amp;".distn.bsh."&amp;AC$10&amp;$E193&amp;AC$9&amp;AC$11,DHHKey,0),MATCH($D193,DHHVar,0))</f>
        <v>1.563419738301665</v>
      </c>
      <c r="AD193" s="203">
        <f>INDEX(DHHVal,MATCH(CtryCode&amp;".distn.bsh."&amp;AD$10&amp;$E193&amp;AD$9&amp;AD$11,DHHKey,0),MATCH($D193,DHHVar,0))</f>
        <v>1.704217947151114</v>
      </c>
      <c r="AE193" s="203">
        <f>INDEX(DHHVal,MATCH(CtryCode&amp;".distn.bsh."&amp;AE$10&amp;$E193&amp;AE$9&amp;AE$11,DHHKey,0),MATCH($D193,DHHVar,0))</f>
        <v>1.641295524416765</v>
      </c>
      <c r="AF193" s="203">
        <f>INDEX(DHHVal,MATCH(CtryCode&amp;".distn.bsh."&amp;AF$10&amp;$E193&amp;AF$9&amp;AF$11,DHHKey,0),MATCH($D193,DHHVar,0))</f>
        <v>1.808909928284024</v>
      </c>
      <c r="AG193" s="203">
        <f>INDEX(DHHVal,MATCH(CtryCode&amp;".distn.bsh."&amp;AG$10&amp;$E193&amp;AG$9&amp;AG$11,DHHKey,0),MATCH($D193,DHHVar,0))</f>
        <v>1.775747979049075</v>
      </c>
      <c r="AH193" s="203">
        <f>INDEX(DHHVal,MATCH(CtryCode&amp;".distn.bsh."&amp;AH$10&amp;$E193&amp;AH$9&amp;AH$11,DHHKey,0),MATCH($D193,DHHVar,0))</f>
        <v>1.613441191048476</v>
      </c>
      <c r="AI193" s="203">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33" t="inlineStr">
        <is>
          <t>HHSurvey</t>
        </is>
      </c>
      <c r="K194" s="9" t="str">
        <f>LOWER(CtryCode)&amp;".distn."&amp;$A194&amp;IF($B194="","","."&amp;$B194)&amp;IF($C194="","",".dec."&amp;$C194)&amp;"."&amp;K$5</f>
        <v>egy.distn.bsh.che.dec.ove.1</v>
      </c>
      <c r="L194" s="208">
        <f>INDEX(DHHVal,MATCH(CtryCode&amp;".distn.bsh."&amp;L$10&amp;$E194&amp;L$9&amp;L$11,DHHKey,0),MATCH($D194,DHHVar,0))</f>
        <v>3.799474696951615</v>
      </c>
      <c r="M194" s="203">
        <f>INDEX(DHHVal,MATCH(CtryCode&amp;".distn.bsh."&amp;M$10&amp;$E194&amp;M$9&amp;M$11,DHHKey,0),MATCH($D194,DHHVar,0))</f>
        <v>4.44362658958456</v>
      </c>
      <c r="N194" s="203">
        <f>INDEX(DHHVal,MATCH(CtryCode&amp;".distn.bsh."&amp;N$10&amp;$E194&amp;N$9&amp;N$11,DHHKey,0),MATCH($D194,DHHVar,0))</f>
        <v>4.010761966903173</v>
      </c>
      <c r="O194" s="203">
        <f>INDEX(DHHVal,MATCH(CtryCode&amp;".distn.bsh."&amp;O$10&amp;$E194&amp;O$9&amp;O$11,DHHKey,0),MATCH($D194,DHHVar,0))</f>
        <v>3.522672797654661</v>
      </c>
      <c r="P194" s="203">
        <f>INDEX(DHHVal,MATCH(CtryCode&amp;".distn.bsh."&amp;P$10&amp;$E194&amp;P$9&amp;P$11,DHHKey,0),MATCH($D194,DHHVar,0))</f>
        <v>3.698318715654664</v>
      </c>
      <c r="Q194" s="203">
        <f>INDEX(DHHVal,MATCH(CtryCode&amp;".distn.bsh."&amp;Q$10&amp;$E194&amp;Q$9&amp;Q$11,DHHKey,0),MATCH($D194,DHHVar,0))</f>
        <v>3.885564565364296</v>
      </c>
      <c r="R194" s="203">
        <f>INDEX(DHHVal,MATCH(CtryCode&amp;".distn.bsh."&amp;R$10&amp;$E194&amp;R$9&amp;R$11,DHHKey,0),MATCH($D194,DHHVar,0))</f>
        <v>3.676361735762871</v>
      </c>
      <c r="S194" s="203">
        <f>INDEX(DHHVal,MATCH(CtryCode&amp;".distn.bsh."&amp;S$10&amp;$E194&amp;S$9&amp;S$11,DHHKey,0),MATCH($D194,DHHVar,0))</f>
        <v>3.562139853371693</v>
      </c>
      <c r="T194" s="203">
        <f>INDEX(DHHVal,MATCH(CtryCode&amp;".distn.bsh."&amp;T$10&amp;$E194&amp;T$9&amp;T$11,DHHKey,0),MATCH($D194,DHHVar,0))</f>
        <v>3.674580799189082</v>
      </c>
      <c r="U194" s="203">
        <f>INDEX(DHHVal,MATCH(CtryCode&amp;".distn.bsh."&amp;U$10&amp;$E194&amp;U$9&amp;U$11,DHHKey,0),MATCH($D194,DHHVar,0))</f>
        <v>3.719640709256866</v>
      </c>
      <c r="V194" s="203">
        <f>INDEX(DHHVal,MATCH(CtryCode&amp;".distn.bsh."&amp;V$10&amp;$E194&amp;V$9&amp;V$11,DHHKey,0),MATCH($D194,DHHVar,0))</f>
        <v>3.603608415639351</v>
      </c>
      <c r="W194" s="207" t="str">
        <f>IF(X$5=K$5,SUM(Y194:AI194)-SUM(L194:V194),"")</f>
        <v/>
      </c>
      <c r="X194" s="9" t="str">
        <f>LOWER(CtryCode)&amp;".distn."&amp;$A194&amp;IF($B194="","","."&amp;$B194)&amp;IF($C194="","",".dec."&amp;$C194)&amp;"."&amp;X$5</f>
        <v>egy.distn.bsh.che.dec.ove.2</v>
      </c>
      <c r="Y194" s="208">
        <f>INDEX(DHHVal,MATCH(CtryCode&amp;".distn.bsh."&amp;Y$10&amp;$E194&amp;Y$9&amp;Y$11,DHHKey,0),MATCH($D194,DHHVar,0))</f>
        <v>3.799474696951615</v>
      </c>
      <c r="Z194" s="203">
        <f>INDEX(DHHVal,MATCH(CtryCode&amp;".distn.bsh."&amp;Z$10&amp;$E194&amp;Z$9&amp;Z$11,DHHKey,0),MATCH($D194,DHHVar,0))</f>
        <v>4.44362658958456</v>
      </c>
      <c r="AA194" s="203">
        <f>INDEX(DHHVal,MATCH(CtryCode&amp;".distn.bsh."&amp;AA$10&amp;$E194&amp;AA$9&amp;AA$11,DHHKey,0),MATCH($D194,DHHVar,0))</f>
        <v>4.010761966903173</v>
      </c>
      <c r="AB194" s="203">
        <f>INDEX(DHHVal,MATCH(CtryCode&amp;".distn.bsh."&amp;AB$10&amp;$E194&amp;AB$9&amp;AB$11,DHHKey,0),MATCH($D194,DHHVar,0))</f>
        <v>3.522672797654661</v>
      </c>
      <c r="AC194" s="203">
        <f>INDEX(DHHVal,MATCH(CtryCode&amp;".distn.bsh."&amp;AC$10&amp;$E194&amp;AC$9&amp;AC$11,DHHKey,0),MATCH($D194,DHHVar,0))</f>
        <v>3.698318715654664</v>
      </c>
      <c r="AD194" s="203">
        <f>INDEX(DHHVal,MATCH(CtryCode&amp;".distn.bsh."&amp;AD$10&amp;$E194&amp;AD$9&amp;AD$11,DHHKey,0),MATCH($D194,DHHVar,0))</f>
        <v>3.885564565364296</v>
      </c>
      <c r="AE194" s="203">
        <f>INDEX(DHHVal,MATCH(CtryCode&amp;".distn.bsh."&amp;AE$10&amp;$E194&amp;AE$9&amp;AE$11,DHHKey,0),MATCH($D194,DHHVar,0))</f>
        <v>3.676361735762871</v>
      </c>
      <c r="AF194" s="203">
        <f>INDEX(DHHVal,MATCH(CtryCode&amp;".distn.bsh."&amp;AF$10&amp;$E194&amp;AF$9&amp;AF$11,DHHKey,0),MATCH($D194,DHHVar,0))</f>
        <v>3.562139853371693</v>
      </c>
      <c r="AG194" s="203">
        <f>INDEX(DHHVal,MATCH(CtryCode&amp;".distn.bsh."&amp;AG$10&amp;$E194&amp;AG$9&amp;AG$11,DHHKey,0),MATCH($D194,DHHVar,0))</f>
        <v>3.674580799189082</v>
      </c>
      <c r="AH194" s="203">
        <f>INDEX(DHHVal,MATCH(CtryCode&amp;".distn.bsh."&amp;AH$10&amp;$E194&amp;AH$9&amp;AH$11,DHHKey,0),MATCH($D194,DHHVar,0))</f>
        <v>3.719640709256866</v>
      </c>
      <c r="AI194" s="203">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33" t="inlineStr">
        <is>
          <t>HHSurvey</t>
        </is>
      </c>
      <c r="K195" s="9" t="str">
        <f>LOWER(CtryCode)&amp;".distn."&amp;$A195&amp;IF($B195="","","."&amp;$B195)&amp;IF($C195="","",".dec."&amp;$C195)&amp;"."&amp;K$5</f>
        <v>egy.distn.bsh.clo.dec.ove.1</v>
      </c>
      <c r="L195" s="208">
        <f>INDEX(DHHVal,MATCH(CtryCode&amp;".distn.bsh."&amp;L$10&amp;$E195&amp;L$9&amp;L$11,DHHKey,0),MATCH($D195,DHHVar,0))</f>
        <v>5.846357171408407</v>
      </c>
      <c r="M195" s="203">
        <f>INDEX(DHHVal,MATCH(CtryCode&amp;".distn.bsh."&amp;M$10&amp;$E195&amp;M$9&amp;M$11,DHHKey,0),MATCH($D195,DHHVar,0))</f>
        <v>6.03280342997361</v>
      </c>
      <c r="N195" s="203">
        <f>INDEX(DHHVal,MATCH(CtryCode&amp;".distn.bsh."&amp;N$10&amp;$E195&amp;N$9&amp;N$11,DHHKey,0),MATCH($D195,DHHVar,0))</f>
        <v>5.574286058392713</v>
      </c>
      <c r="O195" s="203">
        <f>INDEX(DHHVal,MATCH(CtryCode&amp;".distn.bsh."&amp;O$10&amp;$E195&amp;O$9&amp;O$11,DHHKey,0),MATCH($D195,DHHVar,0))</f>
        <v>6.42835448266968</v>
      </c>
      <c r="P195" s="203">
        <f>INDEX(DHHVal,MATCH(CtryCode&amp;".distn.bsh."&amp;P$10&amp;$E195&amp;P$9&amp;P$11,DHHKey,0),MATCH($D195,DHHVar,0))</f>
        <v>5.756979324737229</v>
      </c>
      <c r="Q195" s="203">
        <f>INDEX(DHHVal,MATCH(CtryCode&amp;".distn.bsh."&amp;Q$10&amp;$E195&amp;Q$9&amp;Q$11,DHHKey,0),MATCH($D195,DHHVar,0))</f>
        <v>6.032147912793521</v>
      </c>
      <c r="R195" s="203">
        <f>INDEX(DHHVal,MATCH(CtryCode&amp;".distn.bsh."&amp;R$10&amp;$E195&amp;R$9&amp;R$11,DHHKey,0),MATCH($D195,DHHVar,0))</f>
        <v>5.769560896817531</v>
      </c>
      <c r="S195" s="203">
        <f>INDEX(DHHVal,MATCH(CtryCode&amp;".distn.bsh."&amp;S$10&amp;$E195&amp;S$9&amp;S$11,DHHKey,0),MATCH($D195,DHHVar,0))</f>
        <v>6.008203008048008</v>
      </c>
      <c r="T195" s="203">
        <f>INDEX(DHHVal,MATCH(CtryCode&amp;".distn.bsh."&amp;T$10&amp;$E195&amp;T$9&amp;T$11,DHHKey,0),MATCH($D195,DHHVar,0))</f>
        <v>5.11925845817134</v>
      </c>
      <c r="U195" s="203">
        <f>INDEX(DHHVal,MATCH(CtryCode&amp;".distn.bsh."&amp;U$10&amp;$E195&amp;U$9&amp;U$11,DHHKey,0),MATCH($D195,DHHVar,0))</f>
        <v>5.20640570759533</v>
      </c>
      <c r="V195" s="203">
        <f>INDEX(DHHVal,MATCH(CtryCode&amp;".distn.bsh."&amp;V$10&amp;$E195&amp;V$9&amp;V$11,DHHKey,0),MATCH($D195,DHHVar,0))</f>
        <v>4.260004717867489</v>
      </c>
      <c r="W195" s="207" t="str">
        <f>IF(X$5=K$5,SUM(Y195:AI195)-SUM(L195:V195),"")</f>
        <v/>
      </c>
      <c r="X195" s="9" t="str">
        <f>LOWER(CtryCode)&amp;".distn."&amp;$A195&amp;IF($B195="","","."&amp;$B195)&amp;IF($C195="","",".dec."&amp;$C195)&amp;"."&amp;X$5</f>
        <v>egy.distn.bsh.clo.dec.ove.2</v>
      </c>
      <c r="Y195" s="208">
        <f>INDEX(DHHVal,MATCH(CtryCode&amp;".distn.bsh."&amp;Y$10&amp;$E195&amp;Y$9&amp;Y$11,DHHKey,0),MATCH($D195,DHHVar,0))</f>
        <v>5.846357171408407</v>
      </c>
      <c r="Z195" s="203">
        <f>INDEX(DHHVal,MATCH(CtryCode&amp;".distn.bsh."&amp;Z$10&amp;$E195&amp;Z$9&amp;Z$11,DHHKey,0),MATCH($D195,DHHVar,0))</f>
        <v>6.03280342997361</v>
      </c>
      <c r="AA195" s="203">
        <f>INDEX(DHHVal,MATCH(CtryCode&amp;".distn.bsh."&amp;AA$10&amp;$E195&amp;AA$9&amp;AA$11,DHHKey,0),MATCH($D195,DHHVar,0))</f>
        <v>5.574286058392713</v>
      </c>
      <c r="AB195" s="203">
        <f>INDEX(DHHVal,MATCH(CtryCode&amp;".distn.bsh."&amp;AB$10&amp;$E195&amp;AB$9&amp;AB$11,DHHKey,0),MATCH($D195,DHHVar,0))</f>
        <v>6.42835448266968</v>
      </c>
      <c r="AC195" s="203">
        <f>INDEX(DHHVal,MATCH(CtryCode&amp;".distn.bsh."&amp;AC$10&amp;$E195&amp;AC$9&amp;AC$11,DHHKey,0),MATCH($D195,DHHVar,0))</f>
        <v>5.756979324737229</v>
      </c>
      <c r="AD195" s="203">
        <f>INDEX(DHHVal,MATCH(CtryCode&amp;".distn.bsh."&amp;AD$10&amp;$E195&amp;AD$9&amp;AD$11,DHHKey,0),MATCH($D195,DHHVar,0))</f>
        <v>6.032147912793521</v>
      </c>
      <c r="AE195" s="203">
        <f>INDEX(DHHVal,MATCH(CtryCode&amp;".distn.bsh."&amp;AE$10&amp;$E195&amp;AE$9&amp;AE$11,DHHKey,0),MATCH($D195,DHHVar,0))</f>
        <v>5.769560896817531</v>
      </c>
      <c r="AF195" s="203">
        <f>INDEX(DHHVal,MATCH(CtryCode&amp;".distn.bsh."&amp;AF$10&amp;$E195&amp;AF$9&amp;AF$11,DHHKey,0),MATCH($D195,DHHVar,0))</f>
        <v>6.008203008048008</v>
      </c>
      <c r="AG195" s="203">
        <f>INDEX(DHHVal,MATCH(CtryCode&amp;".distn.bsh."&amp;AG$10&amp;$E195&amp;AG$9&amp;AG$11,DHHKey,0),MATCH($D195,DHHVar,0))</f>
        <v>5.11925845817134</v>
      </c>
      <c r="AH195" s="203">
        <f>INDEX(DHHVal,MATCH(CtryCode&amp;".distn.bsh."&amp;AH$10&amp;$E195&amp;AH$9&amp;AH$11,DHHKey,0),MATCH($D195,DHHVar,0))</f>
        <v>5.20640570759533</v>
      </c>
      <c r="AI195" s="203">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33" t="inlineStr">
        <is>
          <t>HHSurvey</t>
        </is>
      </c>
      <c r="K196" s="9" t="str">
        <f>LOWER(CtryCode)&amp;".distn."&amp;$A196&amp;IF($B196="","","."&amp;$B196)&amp;IF($C196="","",".dec."&amp;$C196)&amp;"."&amp;K$5</f>
        <v>egy.distn.bsh.com.dec.ove.1</v>
      </c>
      <c r="L196" s="208">
        <f>INDEX(DHHVal,MATCH(CtryCode&amp;".distn.bsh."&amp;L$10&amp;$E196&amp;L$9&amp;L$11,DHHKey,0),MATCH($D196,DHHVar,0))</f>
        <v>2.560279764140953</v>
      </c>
      <c r="M196" s="203">
        <f>INDEX(DHHVal,MATCH(CtryCode&amp;".distn.bsh."&amp;M$10&amp;$E196&amp;M$9&amp;M$11,DHHKey,0),MATCH($D196,DHHVar,0))</f>
        <v>2.178704763725762</v>
      </c>
      <c r="N196" s="203">
        <f>INDEX(DHHVal,MATCH(CtryCode&amp;".distn.bsh."&amp;N$10&amp;$E196&amp;N$9&amp;N$11,DHHKey,0),MATCH($D196,DHHVar,0))</f>
        <v>2.327584240215824</v>
      </c>
      <c r="O196" s="203">
        <f>INDEX(DHHVal,MATCH(CtryCode&amp;".distn.bsh."&amp;O$10&amp;$E196&amp;O$9&amp;O$11,DHHKey,0),MATCH($D196,DHHVar,0))</f>
        <v>2.376022366313373</v>
      </c>
      <c r="P196" s="203">
        <f>INDEX(DHHVal,MATCH(CtryCode&amp;".distn.bsh."&amp;P$10&amp;$E196&amp;P$9&amp;P$11,DHHKey,0),MATCH($D196,DHHVar,0))</f>
        <v>2.820105096499784</v>
      </c>
      <c r="Q196" s="203">
        <f>INDEX(DHHVal,MATCH(CtryCode&amp;".distn.bsh."&amp;Q$10&amp;$E196&amp;Q$9&amp;Q$11,DHHKey,0),MATCH($D196,DHHVar,0))</f>
        <v>2.850079128227403</v>
      </c>
      <c r="R196" s="203">
        <f>INDEX(DHHVal,MATCH(CtryCode&amp;".distn.bsh."&amp;R$10&amp;$E196&amp;R$9&amp;R$11,DHHKey,0),MATCH($D196,DHHVar,0))</f>
        <v>2.903339467936522</v>
      </c>
      <c r="S196" s="203">
        <f>INDEX(DHHVal,MATCH(CtryCode&amp;".distn.bsh."&amp;S$10&amp;$E196&amp;S$9&amp;S$11,DHHKey,0),MATCH($D196,DHHVar,0))</f>
        <v>2.803770177483278</v>
      </c>
      <c r="T196" s="203">
        <f>INDEX(DHHVal,MATCH(CtryCode&amp;".distn.bsh."&amp;T$10&amp;$E196&amp;T$9&amp;T$11,DHHKey,0),MATCH($D196,DHHVar,0))</f>
        <v>2.934290519707844</v>
      </c>
      <c r="U196" s="203">
        <f>INDEX(DHHVal,MATCH(CtryCode&amp;".distn.bsh."&amp;U$10&amp;$E196&amp;U$9&amp;U$11,DHHKey,0),MATCH($D196,DHHVar,0))</f>
        <v>3.320145132218661</v>
      </c>
      <c r="V196" s="203">
        <f>INDEX(DHHVal,MATCH(CtryCode&amp;".distn.bsh."&amp;V$10&amp;$E196&amp;V$9&amp;V$11,DHHKey,0),MATCH($D196,DHHVar,0))</f>
        <v>3.340869375385191</v>
      </c>
      <c r="W196" s="207" t="str">
        <f>IF(X$5=K$5,SUM(Y196:AI196)-SUM(L196:V196),"")</f>
        <v/>
      </c>
      <c r="X196" s="9" t="str">
        <f>LOWER(CtryCode)&amp;".distn."&amp;$A196&amp;IF($B196="","","."&amp;$B196)&amp;IF($C196="","",".dec."&amp;$C196)&amp;"."&amp;X$5</f>
        <v>egy.distn.bsh.com.dec.ove.2</v>
      </c>
      <c r="Y196" s="208">
        <f>INDEX(DHHVal,MATCH(CtryCode&amp;".distn.bsh."&amp;Y$10&amp;$E196&amp;Y$9&amp;Y$11,DHHKey,0),MATCH($D196,DHHVar,0))</f>
        <v>2.560279764140953</v>
      </c>
      <c r="Z196" s="203">
        <f>INDEX(DHHVal,MATCH(CtryCode&amp;".distn.bsh."&amp;Z$10&amp;$E196&amp;Z$9&amp;Z$11,DHHKey,0),MATCH($D196,DHHVar,0))</f>
        <v>2.178704763725762</v>
      </c>
      <c r="AA196" s="203">
        <f>INDEX(DHHVal,MATCH(CtryCode&amp;".distn.bsh."&amp;AA$10&amp;$E196&amp;AA$9&amp;AA$11,DHHKey,0),MATCH($D196,DHHVar,0))</f>
        <v>2.327584240215824</v>
      </c>
      <c r="AB196" s="203">
        <f>INDEX(DHHVal,MATCH(CtryCode&amp;".distn.bsh."&amp;AB$10&amp;$E196&amp;AB$9&amp;AB$11,DHHKey,0),MATCH($D196,DHHVar,0))</f>
        <v>2.376022366313373</v>
      </c>
      <c r="AC196" s="203">
        <f>INDEX(DHHVal,MATCH(CtryCode&amp;".distn.bsh."&amp;AC$10&amp;$E196&amp;AC$9&amp;AC$11,DHHKey,0),MATCH($D196,DHHVar,0))</f>
        <v>2.820105096499784</v>
      </c>
      <c r="AD196" s="203">
        <f>INDEX(DHHVal,MATCH(CtryCode&amp;".distn.bsh."&amp;AD$10&amp;$E196&amp;AD$9&amp;AD$11,DHHKey,0),MATCH($D196,DHHVar,0))</f>
        <v>2.850079128227403</v>
      </c>
      <c r="AE196" s="203">
        <f>INDEX(DHHVal,MATCH(CtryCode&amp;".distn.bsh."&amp;AE$10&amp;$E196&amp;AE$9&amp;AE$11,DHHKey,0),MATCH($D196,DHHVar,0))</f>
        <v>2.903339467936522</v>
      </c>
      <c r="AF196" s="203">
        <f>INDEX(DHHVal,MATCH(CtryCode&amp;".distn.bsh."&amp;AF$10&amp;$E196&amp;AF$9&amp;AF$11,DHHKey,0),MATCH($D196,DHHVar,0))</f>
        <v>2.803770177483278</v>
      </c>
      <c r="AG196" s="203">
        <f>INDEX(DHHVal,MATCH(CtryCode&amp;".distn.bsh."&amp;AG$10&amp;$E196&amp;AG$9&amp;AG$11,DHHKey,0),MATCH($D196,DHHVar,0))</f>
        <v>2.934290519707844</v>
      </c>
      <c r="AH196" s="203">
        <f>INDEX(DHHVal,MATCH(CtryCode&amp;".distn.bsh."&amp;AH$10&amp;$E196&amp;AH$9&amp;AH$11,DHHKey,0),MATCH($D196,DHHVar,0))</f>
        <v>3.320145132218661</v>
      </c>
      <c r="AI196" s="203">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33" t="inlineStr">
        <is>
          <t>HHSurvey</t>
        </is>
      </c>
      <c r="K197" s="9" t="str">
        <f>LOWER(CtryCode)&amp;".distn."&amp;$A197&amp;IF($B197="","","."&amp;$B197)&amp;IF($C197="","",".dec."&amp;$C197)&amp;"."&amp;K$5</f>
        <v>egy.distn.bsh.edu.dec.ove.1</v>
      </c>
      <c r="L197" s="208">
        <f>INDEX(DHHVal,MATCH(CtryCode&amp;".distn.bsh."&amp;L$10&amp;$E197&amp;L$9&amp;L$11,DHHKey,0),MATCH($D197,DHHVar,0))</f>
        <v>3.554916441584782</v>
      </c>
      <c r="M197" s="203">
        <f>INDEX(DHHVal,MATCH(CtryCode&amp;".distn.bsh."&amp;M$10&amp;$E197&amp;M$9&amp;M$11,DHHKey,0),MATCH($D197,DHHVar,0))</f>
        <v>2.946697026824231</v>
      </c>
      <c r="N197" s="203">
        <f>INDEX(DHHVal,MATCH(CtryCode&amp;".distn.bsh."&amp;N$10&amp;$E197&amp;N$9&amp;N$11,DHHKey,0),MATCH($D197,DHHVar,0))</f>
        <v>3.959406622839178</v>
      </c>
      <c r="O197" s="203">
        <f>INDEX(DHHVal,MATCH(CtryCode&amp;".distn.bsh."&amp;O$10&amp;$E197&amp;O$9&amp;O$11,DHHKey,0),MATCH($D197,DHHVar,0))</f>
        <v>4.213716537663631</v>
      </c>
      <c r="P197" s="203">
        <f>INDEX(DHHVal,MATCH(CtryCode&amp;".distn.bsh."&amp;P$10&amp;$E197&amp;P$9&amp;P$11,DHHKey,0),MATCH($D197,DHHVar,0))</f>
        <v>4.092771715307416</v>
      </c>
      <c r="Q197" s="203">
        <f>INDEX(DHHVal,MATCH(CtryCode&amp;".distn.bsh."&amp;Q$10&amp;$E197&amp;Q$9&amp;Q$11,DHHKey,0),MATCH($D197,DHHVar,0))</f>
        <v>4.573411282222439</v>
      </c>
      <c r="R197" s="203">
        <f>INDEX(DHHVal,MATCH(CtryCode&amp;".distn.bsh."&amp;R$10&amp;$E197&amp;R$9&amp;R$11,DHHKey,0),MATCH($D197,DHHVar,0))</f>
        <v>4.24540273564703</v>
      </c>
      <c r="S197" s="203">
        <f>INDEX(DHHVal,MATCH(CtryCode&amp;".distn.bsh."&amp;S$10&amp;$E197&amp;S$9&amp;S$11,DHHKey,0),MATCH($D197,DHHVar,0))</f>
        <v>4.366731796834555</v>
      </c>
      <c r="T197" s="203">
        <f>INDEX(DHHVal,MATCH(CtryCode&amp;".distn.bsh."&amp;T$10&amp;$E197&amp;T$9&amp;T$11,DHHKey,0),MATCH($D197,DHHVar,0))</f>
        <v>3.701719314676974</v>
      </c>
      <c r="U197" s="203">
        <f>INDEX(DHHVal,MATCH(CtryCode&amp;".distn.bsh."&amp;U$10&amp;$E197&amp;U$9&amp;U$11,DHHKey,0),MATCH($D197,DHHVar,0))</f>
        <v>2.722517763251207</v>
      </c>
      <c r="V197" s="203">
        <f>INDEX(DHHVal,MATCH(CtryCode&amp;".distn.bsh."&amp;V$10&amp;$E197&amp;V$9&amp;V$11,DHHKey,0),MATCH($D197,DHHVar,0))</f>
        <v>1.488474433159424</v>
      </c>
      <c r="W197" s="207" t="str">
        <f>IF(X$5=K$5,SUM(Y197:AI197)-SUM(L197:V197),"")</f>
        <v/>
      </c>
      <c r="X197" s="9" t="str">
        <f>LOWER(CtryCode)&amp;".distn."&amp;$A197&amp;IF($B197="","","."&amp;$B197)&amp;IF($C197="","",".dec."&amp;$C197)&amp;"."&amp;X$5</f>
        <v>egy.distn.bsh.edu.dec.ove.2</v>
      </c>
      <c r="Y197" s="208">
        <f>INDEX(DHHVal,MATCH(CtryCode&amp;".distn.bsh."&amp;Y$10&amp;$E197&amp;Y$9&amp;Y$11,DHHKey,0),MATCH($D197,DHHVar,0))</f>
        <v>3.554916441584782</v>
      </c>
      <c r="Z197" s="203">
        <f>INDEX(DHHVal,MATCH(CtryCode&amp;".distn.bsh."&amp;Z$10&amp;$E197&amp;Z$9&amp;Z$11,DHHKey,0),MATCH($D197,DHHVar,0))</f>
        <v>2.946697026824231</v>
      </c>
      <c r="AA197" s="203">
        <f>INDEX(DHHVal,MATCH(CtryCode&amp;".distn.bsh."&amp;AA$10&amp;$E197&amp;AA$9&amp;AA$11,DHHKey,0),MATCH($D197,DHHVar,0))</f>
        <v>3.959406622839178</v>
      </c>
      <c r="AB197" s="203">
        <f>INDEX(DHHVal,MATCH(CtryCode&amp;".distn.bsh."&amp;AB$10&amp;$E197&amp;AB$9&amp;AB$11,DHHKey,0),MATCH($D197,DHHVar,0))</f>
        <v>4.213716537663631</v>
      </c>
      <c r="AC197" s="203">
        <f>INDEX(DHHVal,MATCH(CtryCode&amp;".distn.bsh."&amp;AC$10&amp;$E197&amp;AC$9&amp;AC$11,DHHKey,0),MATCH($D197,DHHVar,0))</f>
        <v>4.092771715307416</v>
      </c>
      <c r="AD197" s="203">
        <f>INDEX(DHHVal,MATCH(CtryCode&amp;".distn.bsh."&amp;AD$10&amp;$E197&amp;AD$9&amp;AD$11,DHHKey,0),MATCH($D197,DHHVar,0))</f>
        <v>4.573411282222439</v>
      </c>
      <c r="AE197" s="203">
        <f>INDEX(DHHVal,MATCH(CtryCode&amp;".distn.bsh."&amp;AE$10&amp;$E197&amp;AE$9&amp;AE$11,DHHKey,0),MATCH($D197,DHHVar,0))</f>
        <v>4.24540273564703</v>
      </c>
      <c r="AF197" s="203">
        <f>INDEX(DHHVal,MATCH(CtryCode&amp;".distn.bsh."&amp;AF$10&amp;$E197&amp;AF$9&amp;AF$11,DHHKey,0),MATCH($D197,DHHVar,0))</f>
        <v>4.366731796834555</v>
      </c>
      <c r="AG197" s="203">
        <f>INDEX(DHHVal,MATCH(CtryCode&amp;".distn.bsh."&amp;AG$10&amp;$E197&amp;AG$9&amp;AG$11,DHHKey,0),MATCH($D197,DHHVar,0))</f>
        <v>3.701719314676974</v>
      </c>
      <c r="AH197" s="203">
        <f>INDEX(DHHVal,MATCH(CtryCode&amp;".distn.bsh."&amp;AH$10&amp;$E197&amp;AH$9&amp;AH$11,DHHKey,0),MATCH($D197,DHHVar,0))</f>
        <v>2.722517763251207</v>
      </c>
      <c r="AI197" s="203">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33" t="inlineStr">
        <is>
          <t>HHSurvey</t>
        </is>
      </c>
      <c r="K198" s="9" t="str">
        <f>LOWER(CtryCode)&amp;".distn."&amp;$A198&amp;IF($B198="","","."&amp;$B198)&amp;IF($C198="","",".dec."&amp;$C198)&amp;"."&amp;K$5</f>
        <v>egy.distn.bsh.food.dec.ove.1</v>
      </c>
      <c r="L198" s="208">
        <f>INDEX(DHHVal,MATCH(CtryCode&amp;".distn.bsh."&amp;L$10&amp;$E198&amp;L$9&amp;L$11,DHHKey,0),MATCH($D198,DHHVar,0))</f>
        <v>52.29224957575893</v>
      </c>
      <c r="M198" s="203">
        <f>INDEX(DHHVal,MATCH(CtryCode&amp;".distn.bsh."&amp;M$10&amp;$E198&amp;M$9&amp;M$11,DHHKey,0),MATCH($D198,DHHVar,0))</f>
        <v>54.58038658197393</v>
      </c>
      <c r="N198" s="203">
        <f>INDEX(DHHVal,MATCH(CtryCode&amp;".distn.bsh."&amp;N$10&amp;$E198&amp;N$9&amp;N$11,DHHKey,0),MATCH($D198,DHHVar,0))</f>
        <v>59.91791438333294</v>
      </c>
      <c r="O198" s="203">
        <f>INDEX(DHHVal,MATCH(CtryCode&amp;".distn.bsh."&amp;O$10&amp;$E198&amp;O$9&amp;O$11,DHHKey,0),MATCH($D198,DHHVar,0))</f>
        <v>55.25572768448318</v>
      </c>
      <c r="P198" s="203">
        <f>INDEX(DHHVal,MATCH(CtryCode&amp;".distn.bsh."&amp;P$10&amp;$E198&amp;P$9&amp;P$11,DHHKey,0),MATCH($D198,DHHVar,0))</f>
        <v>55.77309261054311</v>
      </c>
      <c r="Q198" s="203">
        <f>INDEX(DHHVal,MATCH(CtryCode&amp;".distn.bsh."&amp;Q$10&amp;$E198&amp;Q$9&amp;Q$11,DHHKey,0),MATCH($D198,DHHVar,0))</f>
        <v>53.40879359817428</v>
      </c>
      <c r="R198" s="203">
        <f>INDEX(DHHVal,MATCH(CtryCode&amp;".distn.bsh."&amp;R$10&amp;$E198&amp;R$9&amp;R$11,DHHKey,0),MATCH($D198,DHHVar,0))</f>
        <v>59.24615093906738</v>
      </c>
      <c r="S198" s="203">
        <f>INDEX(DHHVal,MATCH(CtryCode&amp;".distn.bsh."&amp;S$10&amp;$E198&amp;S$9&amp;S$11,DHHKey,0),MATCH($D198,DHHVar,0))</f>
        <v>52.96290256512891</v>
      </c>
      <c r="T198" s="203">
        <f>INDEX(DHHVal,MATCH(CtryCode&amp;".distn.bsh."&amp;T$10&amp;$E198&amp;T$9&amp;T$11,DHHKey,0),MATCH($D198,DHHVar,0))</f>
        <v>56.94114176698496</v>
      </c>
      <c r="U198" s="203">
        <f>INDEX(DHHVal,MATCH(CtryCode&amp;".distn.bsh."&amp;U$10&amp;$E198&amp;U$9&amp;U$11,DHHKey,0),MATCH($D198,DHHVar,0))</f>
        <v>58.19082690567494</v>
      </c>
      <c r="V198" s="203">
        <f>INDEX(DHHVal,MATCH(CtryCode&amp;".distn.bsh."&amp;V$10&amp;$E198&amp;V$9&amp;V$11,DHHKey,0),MATCH($D198,DHHVar,0))</f>
        <v>50.13601126670928</v>
      </c>
      <c r="W198" s="207" t="str">
        <f>IF(X$5=K$5,SUM(Y198:AI198)-SUM(L198:V198),"")</f>
        <v/>
      </c>
      <c r="X198" s="9" t="str">
        <f>LOWER(CtryCode)&amp;".distn."&amp;$A198&amp;IF($B198="","","."&amp;$B198)&amp;IF($C198="","",".dec."&amp;$C198)&amp;"."&amp;X$5</f>
        <v>egy.distn.bsh.food.dec.ove.2</v>
      </c>
      <c r="Y198" s="208">
        <f>INDEX(DHHVal,MATCH(CtryCode&amp;".distn.bsh."&amp;Y$10&amp;$E198&amp;Y$9&amp;Y$11,DHHKey,0),MATCH($D198,DHHVar,0))</f>
        <v>52.29224957575893</v>
      </c>
      <c r="Z198" s="203">
        <f>INDEX(DHHVal,MATCH(CtryCode&amp;".distn.bsh."&amp;Z$10&amp;$E198&amp;Z$9&amp;Z$11,DHHKey,0),MATCH($D198,DHHVar,0))</f>
        <v>54.58038658197393</v>
      </c>
      <c r="AA198" s="203">
        <f>INDEX(DHHVal,MATCH(CtryCode&amp;".distn.bsh."&amp;AA$10&amp;$E198&amp;AA$9&amp;AA$11,DHHKey,0),MATCH($D198,DHHVar,0))</f>
        <v>59.91791438333294</v>
      </c>
      <c r="AB198" s="203">
        <f>INDEX(DHHVal,MATCH(CtryCode&amp;".distn.bsh."&amp;AB$10&amp;$E198&amp;AB$9&amp;AB$11,DHHKey,0),MATCH($D198,DHHVar,0))</f>
        <v>55.25572768448318</v>
      </c>
      <c r="AC198" s="203">
        <f>INDEX(DHHVal,MATCH(CtryCode&amp;".distn.bsh."&amp;AC$10&amp;$E198&amp;AC$9&amp;AC$11,DHHKey,0),MATCH($D198,DHHVar,0))</f>
        <v>55.77309261054311</v>
      </c>
      <c r="AD198" s="203">
        <f>INDEX(DHHVal,MATCH(CtryCode&amp;".distn.bsh."&amp;AD$10&amp;$E198&amp;AD$9&amp;AD$11,DHHKey,0),MATCH($D198,DHHVar,0))</f>
        <v>53.40879359817428</v>
      </c>
      <c r="AE198" s="203">
        <f>INDEX(DHHVal,MATCH(CtryCode&amp;".distn.bsh."&amp;AE$10&amp;$E198&amp;AE$9&amp;AE$11,DHHKey,0),MATCH($D198,DHHVar,0))</f>
        <v>59.24615093906738</v>
      </c>
      <c r="AF198" s="203">
        <f>INDEX(DHHVal,MATCH(CtryCode&amp;".distn.bsh."&amp;AF$10&amp;$E198&amp;AF$9&amp;AF$11,DHHKey,0),MATCH($D198,DHHVar,0))</f>
        <v>52.96290256512891</v>
      </c>
      <c r="AG198" s="203">
        <f>INDEX(DHHVal,MATCH(CtryCode&amp;".distn.bsh."&amp;AG$10&amp;$E198&amp;AG$9&amp;AG$11,DHHKey,0),MATCH($D198,DHHVar,0))</f>
        <v>56.94114176698496</v>
      </c>
      <c r="AH198" s="203">
        <f>INDEX(DHHVal,MATCH(CtryCode&amp;".distn.bsh."&amp;AH$10&amp;$E198&amp;AH$9&amp;AH$11,DHHKey,0),MATCH($D198,DHHVar,0))</f>
        <v>58.19082690567494</v>
      </c>
      <c r="AI198" s="203">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33" t="inlineStr">
        <is>
          <t>HHSurvey</t>
        </is>
      </c>
      <c r="K199" s="9" t="str">
        <f>LOWER(CtryCode)&amp;".distn."&amp;$A199&amp;IF($B199="","","."&amp;$B199)&amp;IF($C199="","",".dec."&amp;$C199)&amp;"."&amp;K$5</f>
        <v>egy.distn.bsh.hea.dec.ove.1</v>
      </c>
      <c r="L199" s="208">
        <f>INDEX(DHHVal,MATCH(CtryCode&amp;".distn.bsh."&amp;L$10&amp;$E199&amp;L$9&amp;L$11,DHHKey,0),MATCH($D199,DHHVar,0))</f>
        <v>4.047027517708186</v>
      </c>
      <c r="M199" s="203">
        <f>INDEX(DHHVal,MATCH(CtryCode&amp;".distn.bsh."&amp;M$10&amp;$E199&amp;M$9&amp;M$11,DHHKey,0),MATCH($D199,DHHVar,0))</f>
        <v>3.077114415832753</v>
      </c>
      <c r="N199" s="203">
        <f>INDEX(DHHVal,MATCH(CtryCode&amp;".distn.bsh."&amp;N$10&amp;$E199&amp;N$9&amp;N$11,DHHKey,0),MATCH($D199,DHHVar,0))</f>
        <v>3.061186127995035</v>
      </c>
      <c r="O199" s="203">
        <f>INDEX(DHHVal,MATCH(CtryCode&amp;".distn.bsh."&amp;O$10&amp;$E199&amp;O$9&amp;O$11,DHHKey,0),MATCH($D199,DHHVar,0))</f>
        <v>3.759926843135341</v>
      </c>
      <c r="P199" s="203">
        <f>INDEX(DHHVal,MATCH(CtryCode&amp;".distn.bsh."&amp;P$10&amp;$E199&amp;P$9&amp;P$11,DHHKey,0),MATCH($D199,DHHVar,0))</f>
        <v>3.708710755705519</v>
      </c>
      <c r="Q199" s="203">
        <f>INDEX(DHHVal,MATCH(CtryCode&amp;".distn.bsh."&amp;Q$10&amp;$E199&amp;Q$9&amp;Q$11,DHHKey,0),MATCH($D199,DHHVar,0))</f>
        <v>4.03256865239503</v>
      </c>
      <c r="R199" s="203">
        <f>INDEX(DHHVal,MATCH(CtryCode&amp;".distn.bsh."&amp;R$10&amp;$E199&amp;R$9&amp;R$11,DHHKey,0),MATCH($D199,DHHVar,0))</f>
        <v>3.993599870334924</v>
      </c>
      <c r="S199" s="203">
        <f>INDEX(DHHVal,MATCH(CtryCode&amp;".distn.bsh."&amp;S$10&amp;$E199&amp;S$9&amp;S$11,DHHKey,0),MATCH($D199,DHHVar,0))</f>
        <v>4.86783715498053</v>
      </c>
      <c r="T199" s="203">
        <f>INDEX(DHHVal,MATCH(CtryCode&amp;".distn.bsh."&amp;T$10&amp;$E199&amp;T$9&amp;T$11,DHHKey,0),MATCH($D199,DHHVar,0))</f>
        <v>4.620355913684664</v>
      </c>
      <c r="U199" s="203">
        <f>INDEX(DHHVal,MATCH(CtryCode&amp;".distn.bsh."&amp;U$10&amp;$E199&amp;U$9&amp;U$11,DHHKey,0),MATCH($D199,DHHVar,0))</f>
        <v>5.092236448686966</v>
      </c>
      <c r="V199" s="203">
        <f>INDEX(DHHVal,MATCH(CtryCode&amp;".distn.bsh."&amp;V$10&amp;$E199&amp;V$9&amp;V$11,DHHKey,0),MATCH($D199,DHHVar,0))</f>
        <v>5.999239877822515</v>
      </c>
      <c r="W199" s="207" t="str">
        <f>IF(X$5=K$5,SUM(Y199:AI199)-SUM(L199:V199),"")</f>
        <v/>
      </c>
      <c r="X199" s="9" t="str">
        <f>LOWER(CtryCode)&amp;".distn."&amp;$A199&amp;IF($B199="","","."&amp;$B199)&amp;IF($C199="","",".dec."&amp;$C199)&amp;"."&amp;X$5</f>
        <v>egy.distn.bsh.hea.dec.ove.2</v>
      </c>
      <c r="Y199" s="208">
        <f>INDEX(DHHVal,MATCH(CtryCode&amp;".distn.bsh."&amp;Y$10&amp;$E199&amp;Y$9&amp;Y$11,DHHKey,0),MATCH($D199,DHHVar,0))</f>
        <v>4.047027517708186</v>
      </c>
      <c r="Z199" s="203">
        <f>INDEX(DHHVal,MATCH(CtryCode&amp;".distn.bsh."&amp;Z$10&amp;$E199&amp;Z$9&amp;Z$11,DHHKey,0),MATCH($D199,DHHVar,0))</f>
        <v>3.077114415832753</v>
      </c>
      <c r="AA199" s="203">
        <f>INDEX(DHHVal,MATCH(CtryCode&amp;".distn.bsh."&amp;AA$10&amp;$E199&amp;AA$9&amp;AA$11,DHHKey,0),MATCH($D199,DHHVar,0))</f>
        <v>3.061186127995035</v>
      </c>
      <c r="AB199" s="203">
        <f>INDEX(DHHVal,MATCH(CtryCode&amp;".distn.bsh."&amp;AB$10&amp;$E199&amp;AB$9&amp;AB$11,DHHKey,0),MATCH($D199,DHHVar,0))</f>
        <v>3.759926843135341</v>
      </c>
      <c r="AC199" s="203">
        <f>INDEX(DHHVal,MATCH(CtryCode&amp;".distn.bsh."&amp;AC$10&amp;$E199&amp;AC$9&amp;AC$11,DHHKey,0),MATCH($D199,DHHVar,0))</f>
        <v>3.708710755705519</v>
      </c>
      <c r="AD199" s="203">
        <f>INDEX(DHHVal,MATCH(CtryCode&amp;".distn.bsh."&amp;AD$10&amp;$E199&amp;AD$9&amp;AD$11,DHHKey,0),MATCH($D199,DHHVar,0))</f>
        <v>4.03256865239503</v>
      </c>
      <c r="AE199" s="203">
        <f>INDEX(DHHVal,MATCH(CtryCode&amp;".distn.bsh."&amp;AE$10&amp;$E199&amp;AE$9&amp;AE$11,DHHKey,0),MATCH($D199,DHHVar,0))</f>
        <v>3.993599870334924</v>
      </c>
      <c r="AF199" s="203">
        <f>INDEX(DHHVal,MATCH(CtryCode&amp;".distn.bsh."&amp;AF$10&amp;$E199&amp;AF$9&amp;AF$11,DHHKey,0),MATCH($D199,DHHVar,0))</f>
        <v>4.86783715498053</v>
      </c>
      <c r="AG199" s="203">
        <f>INDEX(DHHVal,MATCH(CtryCode&amp;".distn.bsh."&amp;AG$10&amp;$E199&amp;AG$9&amp;AG$11,DHHKey,0),MATCH($D199,DHHVar,0))</f>
        <v>4.620355913684664</v>
      </c>
      <c r="AH199" s="203">
        <f>INDEX(DHHVal,MATCH(CtryCode&amp;".distn.bsh."&amp;AH$10&amp;$E199&amp;AH$9&amp;AH$11,DHHKey,0),MATCH($D199,DHHVar,0))</f>
        <v>5.092236448686966</v>
      </c>
      <c r="AI199" s="203">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33" t="inlineStr">
        <is>
          <t>HHSurvey</t>
        </is>
      </c>
      <c r="K200" s="9" t="str">
        <f>LOWER(CtryCode)&amp;".distn."&amp;$A200&amp;IF($B200="","","."&amp;$B200)&amp;IF($C200="","",".dec."&amp;$C200)&amp;"."&amp;K$5</f>
        <v>egy.distn.bsh.hou.dec.ove.1</v>
      </c>
      <c r="L200" s="208">
        <f>INDEX(DHHVal,MATCH(CtryCode&amp;".distn.bsh."&amp;L$10&amp;$E200&amp;L$9&amp;L$11,DHHKey,0),MATCH($D200,DHHVar,0))</f>
        <v>4.711808110803045</v>
      </c>
      <c r="M200" s="203">
        <f>INDEX(DHHVal,MATCH(CtryCode&amp;".distn.bsh."&amp;M$10&amp;$E200&amp;M$9&amp;M$11,DHHKey,0),MATCH($D200,DHHVar,0))</f>
        <v>5.226548763690845</v>
      </c>
      <c r="N200" s="203">
        <f>INDEX(DHHVal,MATCH(CtryCode&amp;".distn.bsh."&amp;N$10&amp;$E200&amp;N$9&amp;N$11,DHHKey,0),MATCH($D200,DHHVar,0))</f>
        <v>4.483250241098802</v>
      </c>
      <c r="O200" s="203">
        <f>INDEX(DHHVal,MATCH(CtryCode&amp;".distn.bsh."&amp;O$10&amp;$E200&amp;O$9&amp;O$11,DHHKey,0),MATCH($D200,DHHVar,0))</f>
        <v>4.792830466900387</v>
      </c>
      <c r="P200" s="203">
        <f>INDEX(DHHVal,MATCH(CtryCode&amp;".distn.bsh."&amp;P$10&amp;$E200&amp;P$9&amp;P$11,DHHKey,0),MATCH($D200,DHHVar,0))</f>
        <v>4.150937211943607</v>
      </c>
      <c r="Q200" s="203">
        <f>INDEX(DHHVal,MATCH(CtryCode&amp;".distn.bsh."&amp;Q$10&amp;$E200&amp;Q$9&amp;Q$11,DHHKey,0),MATCH($D200,DHHVar,0))</f>
        <v>4.766145804283788</v>
      </c>
      <c r="R200" s="203">
        <f>INDEX(DHHVal,MATCH(CtryCode&amp;".distn.bsh."&amp;R$10&amp;$E200&amp;R$9&amp;R$11,DHHKey,0),MATCH($D200,DHHVar,0))</f>
        <v>4.619353948869653</v>
      </c>
      <c r="S200" s="203">
        <f>INDEX(DHHVal,MATCH(CtryCode&amp;".distn.bsh."&amp;S$10&amp;$E200&amp;S$9&amp;S$11,DHHKey,0),MATCH($D200,DHHVar,0))</f>
        <v>4.691320277513182</v>
      </c>
      <c r="T200" s="203">
        <f>INDEX(DHHVal,MATCH(CtryCode&amp;".distn.bsh."&amp;T$10&amp;$E200&amp;T$9&amp;T$11,DHHKey,0),MATCH($D200,DHHVar,0))</f>
        <v>4.430075390282753</v>
      </c>
      <c r="U200" s="203">
        <f>INDEX(DHHVal,MATCH(CtryCode&amp;".distn.bsh."&amp;U$10&amp;$E200&amp;U$9&amp;U$11,DHHKey,0),MATCH($D200,DHHVar,0))</f>
        <v>4.423010336429061</v>
      </c>
      <c r="V200" s="203">
        <f>INDEX(DHHVal,MATCH(CtryCode&amp;".distn.bsh."&amp;V$10&amp;$E200&amp;V$9&amp;V$11,DHHKey,0),MATCH($D200,DHHVar,0))</f>
        <v>6.002621829773441</v>
      </c>
      <c r="W200" s="207" t="str">
        <f>IF(X$5=K$5,SUM(Y200:AI200)-SUM(L200:V200),"")</f>
        <v/>
      </c>
      <c r="X200" s="9" t="str">
        <f>LOWER(CtryCode)&amp;".distn."&amp;$A200&amp;IF($B200="","","."&amp;$B200)&amp;IF($C200="","",".dec."&amp;$C200)&amp;"."&amp;X$5</f>
        <v>egy.distn.bsh.hou.dec.ove.2</v>
      </c>
      <c r="Y200" s="208">
        <f>INDEX(DHHVal,MATCH(CtryCode&amp;".distn.bsh."&amp;Y$10&amp;$E200&amp;Y$9&amp;Y$11,DHHKey,0),MATCH($D200,DHHVar,0))</f>
        <v>4.711808110803045</v>
      </c>
      <c r="Z200" s="203">
        <f>INDEX(DHHVal,MATCH(CtryCode&amp;".distn.bsh."&amp;Z$10&amp;$E200&amp;Z$9&amp;Z$11,DHHKey,0),MATCH($D200,DHHVar,0))</f>
        <v>5.226548763690845</v>
      </c>
      <c r="AA200" s="203">
        <f>INDEX(DHHVal,MATCH(CtryCode&amp;".distn.bsh."&amp;AA$10&amp;$E200&amp;AA$9&amp;AA$11,DHHKey,0),MATCH($D200,DHHVar,0))</f>
        <v>4.483250241098802</v>
      </c>
      <c r="AB200" s="203">
        <f>INDEX(DHHVal,MATCH(CtryCode&amp;".distn.bsh."&amp;AB$10&amp;$E200&amp;AB$9&amp;AB$11,DHHKey,0),MATCH($D200,DHHVar,0))</f>
        <v>4.792830466900387</v>
      </c>
      <c r="AC200" s="203">
        <f>INDEX(DHHVal,MATCH(CtryCode&amp;".distn.bsh."&amp;AC$10&amp;$E200&amp;AC$9&amp;AC$11,DHHKey,0),MATCH($D200,DHHVar,0))</f>
        <v>4.150937211943607</v>
      </c>
      <c r="AD200" s="203">
        <f>INDEX(DHHVal,MATCH(CtryCode&amp;".distn.bsh."&amp;AD$10&amp;$E200&amp;AD$9&amp;AD$11,DHHKey,0),MATCH($D200,DHHVar,0))</f>
        <v>4.766145804283788</v>
      </c>
      <c r="AE200" s="203">
        <f>INDEX(DHHVal,MATCH(CtryCode&amp;".distn.bsh."&amp;AE$10&amp;$E200&amp;AE$9&amp;AE$11,DHHKey,0),MATCH($D200,DHHVar,0))</f>
        <v>4.619353948869653</v>
      </c>
      <c r="AF200" s="203">
        <f>INDEX(DHHVal,MATCH(CtryCode&amp;".distn.bsh."&amp;AF$10&amp;$E200&amp;AF$9&amp;AF$11,DHHKey,0),MATCH($D200,DHHVar,0))</f>
        <v>4.691320277513182</v>
      </c>
      <c r="AG200" s="203">
        <f>INDEX(DHHVal,MATCH(CtryCode&amp;".distn.bsh."&amp;AG$10&amp;$E200&amp;AG$9&amp;AG$11,DHHKey,0),MATCH($D200,DHHVar,0))</f>
        <v>4.430075390282753</v>
      </c>
      <c r="AH200" s="203">
        <f>INDEX(DHHVal,MATCH(CtryCode&amp;".distn.bsh."&amp;AH$10&amp;$E200&amp;AH$9&amp;AH$11,DHHKey,0),MATCH($D200,DHHVar,0))</f>
        <v>4.423010336429061</v>
      </c>
      <c r="AI200" s="203">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33" t="inlineStr">
        <is>
          <t>HHSurvey</t>
        </is>
      </c>
      <c r="K201" s="9" t="str">
        <f>LOWER(CtryCode)&amp;".distn."&amp;$A201&amp;IF($B201="","","."&amp;$B201)&amp;IF($C201="","",".dec."&amp;$C201)&amp;"."&amp;K$5</f>
        <v>egy.distn.bsh.oth.dec.ove.1</v>
      </c>
      <c r="L201" s="208">
        <f>INDEX(DHHVal,MATCH(CtryCode&amp;".distn.bsh."&amp;L$10&amp;$E201&amp;L$9&amp;L$11,DHHKey,0),MATCH($D201,DHHVar,0))</f>
        <v>0.015549701214305</v>
      </c>
      <c r="M201" s="203">
        <f>INDEX(DHHVal,MATCH(CtryCode&amp;".distn.bsh."&amp;M$10&amp;$E201&amp;M$9&amp;M$11,DHHKey,0),MATCH($D201,DHHVar,0))</f>
        <v>0.01310867309642412</v>
      </c>
      <c r="N201" s="203">
        <f>INDEX(DHHVal,MATCH(CtryCode&amp;".distn.bsh."&amp;N$10&amp;$E201&amp;N$9&amp;N$11,DHHKey,0),MATCH($D201,DHHVar,0))</f>
        <v>0.008955674392771671</v>
      </c>
      <c r="O201" s="203">
        <f>INDEX(DHHVal,MATCH(CtryCode&amp;".distn.bsh."&amp;O$10&amp;$E201&amp;O$9&amp;O$11,DHHKey,0),MATCH($D201,DHHVar,0))</f>
        <v>0.006513791023949674</v>
      </c>
      <c r="P201" s="203">
        <f>INDEX(DHHVal,MATCH(CtryCode&amp;".distn.bsh."&amp;P$10&amp;$E201&amp;P$9&amp;P$11,DHHKey,0),MATCH($D201,DHHVar,0))</f>
        <v>0.008978666323109155</v>
      </c>
      <c r="Q201" s="203">
        <f>INDEX(DHHVal,MATCH(CtryCode&amp;".distn.bsh."&amp;Q$10&amp;$E201&amp;Q$9&amp;Q$11,DHHKey,0),MATCH($D201,DHHVar,0))</f>
        <v>0.02060788320275213</v>
      </c>
      <c r="R201" s="203">
        <f>INDEX(DHHVal,MATCH(CtryCode&amp;".distn.bsh."&amp;R$10&amp;$E201&amp;R$9&amp;R$11,DHHKey,0),MATCH($D201,DHHVar,0))</f>
        <v>0.01537789745493419</v>
      </c>
      <c r="S201" s="203">
        <f>INDEX(DHHVal,MATCH(CtryCode&amp;".distn.bsh."&amp;S$10&amp;$E201&amp;S$9&amp;S$11,DHHKey,0),MATCH($D201,DHHVar,0))</f>
        <v>0.01416784452288668</v>
      </c>
      <c r="T201" s="203">
        <f>INDEX(DHHVal,MATCH(CtryCode&amp;".distn.bsh."&amp;T$10&amp;$E201&amp;T$9&amp;T$11,DHHKey,0),MATCH($D201,DHHVar,0))</f>
        <v>0.01847465109333369</v>
      </c>
      <c r="U201" s="203">
        <f>INDEX(DHHVal,MATCH(CtryCode&amp;".distn.bsh."&amp;U$10&amp;$E201&amp;U$9&amp;U$11,DHHKey,0),MATCH($D201,DHHVar,0))</f>
        <v>0.01678636897813678</v>
      </c>
      <c r="V201" s="203">
        <f>INDEX(DHHVal,MATCH(CtryCode&amp;".distn.bsh."&amp;V$10&amp;$E201&amp;V$9&amp;V$11,DHHKey,0),MATCH($D201,DHHVar,0))</f>
        <v>0.02841770595075438</v>
      </c>
      <c r="W201" s="207" t="str">
        <f>IF(X$5=K$5,SUM(Y201:AI201)-SUM(L201:V201),"")</f>
        <v/>
      </c>
      <c r="X201" s="9" t="str">
        <f>LOWER(CtryCode)&amp;".distn."&amp;$A201&amp;IF($B201="","","."&amp;$B201)&amp;IF($C201="","",".dec."&amp;$C201)&amp;"."&amp;X$5</f>
        <v>egy.distn.bsh.oth.dec.ove.2</v>
      </c>
      <c r="Y201" s="208">
        <f>INDEX(DHHVal,MATCH(CtryCode&amp;".distn.bsh."&amp;Y$10&amp;$E201&amp;Y$9&amp;Y$11,DHHKey,0),MATCH($D201,DHHVar,0))</f>
        <v>0.015549701214305</v>
      </c>
      <c r="Z201" s="203">
        <f>INDEX(DHHVal,MATCH(CtryCode&amp;".distn.bsh."&amp;Z$10&amp;$E201&amp;Z$9&amp;Z$11,DHHKey,0),MATCH($D201,DHHVar,0))</f>
        <v>0.01310867309642412</v>
      </c>
      <c r="AA201" s="203">
        <f>INDEX(DHHVal,MATCH(CtryCode&amp;".distn.bsh."&amp;AA$10&amp;$E201&amp;AA$9&amp;AA$11,DHHKey,0),MATCH($D201,DHHVar,0))</f>
        <v>0.008955674392771671</v>
      </c>
      <c r="AB201" s="203">
        <f>INDEX(DHHVal,MATCH(CtryCode&amp;".distn.bsh."&amp;AB$10&amp;$E201&amp;AB$9&amp;AB$11,DHHKey,0),MATCH($D201,DHHVar,0))</f>
        <v>0.006513791023949674</v>
      </c>
      <c r="AC201" s="203">
        <f>INDEX(DHHVal,MATCH(CtryCode&amp;".distn.bsh."&amp;AC$10&amp;$E201&amp;AC$9&amp;AC$11,DHHKey,0),MATCH($D201,DHHVar,0))</f>
        <v>0.008978666323109155</v>
      </c>
      <c r="AD201" s="203">
        <f>INDEX(DHHVal,MATCH(CtryCode&amp;".distn.bsh."&amp;AD$10&amp;$E201&amp;AD$9&amp;AD$11,DHHKey,0),MATCH($D201,DHHVar,0))</f>
        <v>0.02060788320275213</v>
      </c>
      <c r="AE201" s="203">
        <f>INDEX(DHHVal,MATCH(CtryCode&amp;".distn.bsh."&amp;AE$10&amp;$E201&amp;AE$9&amp;AE$11,DHHKey,0),MATCH($D201,DHHVar,0))</f>
        <v>0.01537789745493419</v>
      </c>
      <c r="AF201" s="203">
        <f>INDEX(DHHVal,MATCH(CtryCode&amp;".distn.bsh."&amp;AF$10&amp;$E201&amp;AF$9&amp;AF$11,DHHKey,0),MATCH($D201,DHHVar,0))</f>
        <v>0.01416784452288668</v>
      </c>
      <c r="AG201" s="203">
        <f>INDEX(DHHVal,MATCH(CtryCode&amp;".distn.bsh."&amp;AG$10&amp;$E201&amp;AG$9&amp;AG$11,DHHKey,0),MATCH($D201,DHHVar,0))</f>
        <v>0.01847465109333369</v>
      </c>
      <c r="AH201" s="203">
        <f>INDEX(DHHVal,MATCH(CtryCode&amp;".distn.bsh."&amp;AH$10&amp;$E201&amp;AH$9&amp;AH$11,DHHKey,0),MATCH($D201,DHHVar,0))</f>
        <v>0.01678636897813678</v>
      </c>
      <c r="AI201" s="203">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33" t="inlineStr">
        <is>
          <t>HHSurvey</t>
        </is>
      </c>
      <c r="K202" s="9" t="str">
        <f>LOWER(CtryCode)&amp;".distn."&amp;$A202&amp;IF($B202="","","."&amp;$B202)&amp;IF($C202="","",".dec."&amp;$C202)&amp;"."&amp;K$5</f>
        <v>egy.distn.bsh.pap.dec.ove.1</v>
      </c>
      <c r="L202" s="208">
        <f>INDEX(DHHVal,MATCH(CtryCode&amp;".distn.bsh."&amp;L$10&amp;$E202&amp;L$9&amp;L$11,DHHKey,0),MATCH($D202,DHHVar,0))</f>
        <v>1.673039187300743</v>
      </c>
      <c r="M202" s="203">
        <f>INDEX(DHHVal,MATCH(CtryCode&amp;".distn.bsh."&amp;M$10&amp;$E202&amp;M$9&amp;M$11,DHHKey,0),MATCH($D202,DHHVar,0))</f>
        <v>2.273089296039874</v>
      </c>
      <c r="N202" s="203">
        <f>INDEX(DHHVal,MATCH(CtryCode&amp;".distn.bsh."&amp;N$10&amp;$E202&amp;N$9&amp;N$11,DHHKey,0),MATCH($D202,DHHVar,0))</f>
        <v>2.254818705970005</v>
      </c>
      <c r="O202" s="203">
        <f>INDEX(DHHVal,MATCH(CtryCode&amp;".distn.bsh."&amp;O$10&amp;$E202&amp;O$9&amp;O$11,DHHKey,0),MATCH($D202,DHHVar,0))</f>
        <v>2.261796316285711</v>
      </c>
      <c r="P202" s="203">
        <f>INDEX(DHHVal,MATCH(CtryCode&amp;".distn.bsh."&amp;P$10&amp;$E202&amp;P$9&amp;P$11,DHHKey,0),MATCH($D202,DHHVar,0))</f>
        <v>2.048814269111949</v>
      </c>
      <c r="Q202" s="203">
        <f>INDEX(DHHVal,MATCH(CtryCode&amp;".distn.bsh."&amp;Q$10&amp;$E202&amp;Q$9&amp;Q$11,DHHKey,0),MATCH($D202,DHHVar,0))</f>
        <v>2.019078627123822</v>
      </c>
      <c r="R202" s="203">
        <f>INDEX(DHHVal,MATCH(CtryCode&amp;".distn.bsh."&amp;R$10&amp;$E202&amp;R$9&amp;R$11,DHHKey,0),MATCH($D202,DHHVar,0))</f>
        <v>1.898514352397634</v>
      </c>
      <c r="S202" s="203">
        <f>INDEX(DHHVal,MATCH(CtryCode&amp;".distn.bsh."&amp;S$10&amp;$E202&amp;S$9&amp;S$11,DHHKey,0),MATCH($D202,DHHVar,0))</f>
        <v>1.712490250296749</v>
      </c>
      <c r="T202" s="203">
        <f>INDEX(DHHVal,MATCH(CtryCode&amp;".distn.bsh."&amp;T$10&amp;$E202&amp;T$9&amp;T$11,DHHKey,0),MATCH($D202,DHHVar,0))</f>
        <v>1.31210118211588</v>
      </c>
      <c r="U202" s="203">
        <f>INDEX(DHHVal,MATCH(CtryCode&amp;".distn.bsh."&amp;U$10&amp;$E202&amp;U$9&amp;U$11,DHHKey,0),MATCH($D202,DHHVar,0))</f>
        <v>1.180805432124059</v>
      </c>
      <c r="V202" s="203">
        <f>INDEX(DHHVal,MATCH(CtryCode&amp;".distn.bsh."&amp;V$10&amp;$E202&amp;V$9&amp;V$11,DHHKey,0),MATCH($D202,DHHVar,0))</f>
        <v>0.856216103641458</v>
      </c>
      <c r="W202" s="207" t="str">
        <f>IF(X$5=K$5,SUM(Y202:AI202)-SUM(L202:V202),"")</f>
        <v/>
      </c>
      <c r="X202" s="9" t="str">
        <f>LOWER(CtryCode)&amp;".distn."&amp;$A202&amp;IF($B202="","","."&amp;$B202)&amp;IF($C202="","",".dec."&amp;$C202)&amp;"."&amp;X$5</f>
        <v>egy.distn.bsh.pap.dec.ove.2</v>
      </c>
      <c r="Y202" s="208">
        <f>INDEX(DHHVal,MATCH(CtryCode&amp;".distn.bsh."&amp;Y$10&amp;$E202&amp;Y$9&amp;Y$11,DHHKey,0),MATCH($D202,DHHVar,0))</f>
        <v>1.673039187300743</v>
      </c>
      <c r="Z202" s="203">
        <f>INDEX(DHHVal,MATCH(CtryCode&amp;".distn.bsh."&amp;Z$10&amp;$E202&amp;Z$9&amp;Z$11,DHHKey,0),MATCH($D202,DHHVar,0))</f>
        <v>2.273089296039874</v>
      </c>
      <c r="AA202" s="203">
        <f>INDEX(DHHVal,MATCH(CtryCode&amp;".distn.bsh."&amp;AA$10&amp;$E202&amp;AA$9&amp;AA$11,DHHKey,0),MATCH($D202,DHHVar,0))</f>
        <v>2.254818705970005</v>
      </c>
      <c r="AB202" s="203">
        <f>INDEX(DHHVal,MATCH(CtryCode&amp;".distn.bsh."&amp;AB$10&amp;$E202&amp;AB$9&amp;AB$11,DHHKey,0),MATCH($D202,DHHVar,0))</f>
        <v>2.261796316285711</v>
      </c>
      <c r="AC202" s="203">
        <f>INDEX(DHHVal,MATCH(CtryCode&amp;".distn.bsh."&amp;AC$10&amp;$E202&amp;AC$9&amp;AC$11,DHHKey,0),MATCH($D202,DHHVar,0))</f>
        <v>2.048814269111949</v>
      </c>
      <c r="AD202" s="203">
        <f>INDEX(DHHVal,MATCH(CtryCode&amp;".distn.bsh."&amp;AD$10&amp;$E202&amp;AD$9&amp;AD$11,DHHKey,0),MATCH($D202,DHHVar,0))</f>
        <v>2.019078627123822</v>
      </c>
      <c r="AE202" s="203">
        <f>INDEX(DHHVal,MATCH(CtryCode&amp;".distn.bsh."&amp;AE$10&amp;$E202&amp;AE$9&amp;AE$11,DHHKey,0),MATCH($D202,DHHVar,0))</f>
        <v>1.898514352397634</v>
      </c>
      <c r="AF202" s="203">
        <f>INDEX(DHHVal,MATCH(CtryCode&amp;".distn.bsh."&amp;AF$10&amp;$E202&amp;AF$9&amp;AF$11,DHHKey,0),MATCH($D202,DHHVar,0))</f>
        <v>1.712490250296749</v>
      </c>
      <c r="AG202" s="203">
        <f>INDEX(DHHVal,MATCH(CtryCode&amp;".distn.bsh."&amp;AG$10&amp;$E202&amp;AG$9&amp;AG$11,DHHKey,0),MATCH($D202,DHHVar,0))</f>
        <v>1.31210118211588</v>
      </c>
      <c r="AH202" s="203">
        <f>INDEX(DHHVal,MATCH(CtryCode&amp;".distn.bsh."&amp;AH$10&amp;$E202&amp;AH$9&amp;AH$11,DHHKey,0),MATCH($D202,DHHVar,0))</f>
        <v>1.180805432124059</v>
      </c>
      <c r="AI202" s="203">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33" t="inlineStr">
        <is>
          <t>HHSurvey</t>
        </is>
      </c>
      <c r="K203" s="9" t="str">
        <f>LOWER(CtryCode)&amp;".distn."&amp;$A203&amp;IF($B203="","","."&amp;$B203)&amp;IF($C203="","",".dec."&amp;$C203)&amp;"."&amp;K$5</f>
        <v>egy.distn.bsh.pha.dec.ove.1</v>
      </c>
      <c r="L203" s="208">
        <f>INDEX(DHHVal,MATCH(CtryCode&amp;".distn.bsh."&amp;L$10&amp;$E203&amp;L$9&amp;L$11,DHHKey,0),MATCH($D203,DHHVar,0))</f>
        <v>6.959599313126096</v>
      </c>
      <c r="M203" s="203">
        <f>INDEX(DHHVal,MATCH(CtryCode&amp;".distn.bsh."&amp;M$10&amp;$E203&amp;M$9&amp;M$11,DHHKey,0),MATCH($D203,DHHVar,0))</f>
        <v>4.937988985870935</v>
      </c>
      <c r="N203" s="203">
        <f>INDEX(DHHVal,MATCH(CtryCode&amp;".distn.bsh."&amp;N$10&amp;$E203&amp;N$9&amp;N$11,DHHKey,0),MATCH($D203,DHHVar,0))</f>
        <v>4.816906301525308</v>
      </c>
      <c r="O203" s="203">
        <f>INDEX(DHHVal,MATCH(CtryCode&amp;".distn.bsh."&amp;O$10&amp;$E203&amp;O$9&amp;O$11,DHHKey,0),MATCH($D203,DHHVar,0))</f>
        <v>4.89688378841177</v>
      </c>
      <c r="P203" s="203">
        <f>INDEX(DHHVal,MATCH(CtryCode&amp;".distn.bsh."&amp;P$10&amp;$E203&amp;P$9&amp;P$11,DHHKey,0),MATCH($D203,DHHVar,0))</f>
        <v>5.145600408815143</v>
      </c>
      <c r="Q203" s="203">
        <f>INDEX(DHHVal,MATCH(CtryCode&amp;".distn.bsh."&amp;Q$10&amp;$E203&amp;Q$9&amp;Q$11,DHHKey,0),MATCH($D203,DHHVar,0))</f>
        <v>5.85972423193722</v>
      </c>
      <c r="R203" s="203">
        <f>INDEX(DHHVal,MATCH(CtryCode&amp;".distn.bsh."&amp;R$10&amp;$E203&amp;R$9&amp;R$11,DHHKey,0),MATCH($D203,DHHVar,0))</f>
        <v>6.58966181155912</v>
      </c>
      <c r="S203" s="203">
        <f>INDEX(DHHVal,MATCH(CtryCode&amp;".distn.bsh."&amp;S$10&amp;$E203&amp;S$9&amp;S$11,DHHKey,0),MATCH($D203,DHHVar,0))</f>
        <v>6.478107274194761</v>
      </c>
      <c r="T203" s="203">
        <f>INDEX(DHHVal,MATCH(CtryCode&amp;".distn.bsh."&amp;T$10&amp;$E203&amp;T$9&amp;T$11,DHHKey,0),MATCH($D203,DHHVar,0))</f>
        <v>8.257907400149474</v>
      </c>
      <c r="U203" s="203">
        <f>INDEX(DHHVal,MATCH(CtryCode&amp;".distn.bsh."&amp;U$10&amp;$E203&amp;U$9&amp;U$11,DHHKey,0),MATCH($D203,DHHVar,0))</f>
        <v>8.381884169350608</v>
      </c>
      <c r="V203" s="203">
        <f>INDEX(DHHVal,MATCH(CtryCode&amp;".distn.bsh."&amp;V$10&amp;$E203&amp;V$9&amp;V$11,DHHKey,0),MATCH($D203,DHHVar,0))</f>
        <v>10.22344938687841</v>
      </c>
      <c r="W203" s="207" t="str">
        <f>IF(X$5=K$5,SUM(Y203:AI203)-SUM(L203:V203),"")</f>
        <v/>
      </c>
      <c r="X203" s="9" t="str">
        <f>LOWER(CtryCode)&amp;".distn."&amp;$A203&amp;IF($B203="","","."&amp;$B203)&amp;IF($C203="","",".dec."&amp;$C203)&amp;"."&amp;X$5</f>
        <v>egy.distn.bsh.pha.dec.ove.2</v>
      </c>
      <c r="Y203" s="208">
        <f>INDEX(DHHVal,MATCH(CtryCode&amp;".distn.bsh."&amp;Y$10&amp;$E203&amp;Y$9&amp;Y$11,DHHKey,0),MATCH($D203,DHHVar,0))</f>
        <v>6.959599313126096</v>
      </c>
      <c r="Z203" s="203">
        <f>INDEX(DHHVal,MATCH(CtryCode&amp;".distn.bsh."&amp;Z$10&amp;$E203&amp;Z$9&amp;Z$11,DHHKey,0),MATCH($D203,DHHVar,0))</f>
        <v>4.937988985870935</v>
      </c>
      <c r="AA203" s="203">
        <f>INDEX(DHHVal,MATCH(CtryCode&amp;".distn.bsh."&amp;AA$10&amp;$E203&amp;AA$9&amp;AA$11,DHHKey,0),MATCH($D203,DHHVar,0))</f>
        <v>4.816906301525308</v>
      </c>
      <c r="AB203" s="203">
        <f>INDEX(DHHVal,MATCH(CtryCode&amp;".distn.bsh."&amp;AB$10&amp;$E203&amp;AB$9&amp;AB$11,DHHKey,0),MATCH($D203,DHHVar,0))</f>
        <v>4.89688378841177</v>
      </c>
      <c r="AC203" s="203">
        <f>INDEX(DHHVal,MATCH(CtryCode&amp;".distn.bsh."&amp;AC$10&amp;$E203&amp;AC$9&amp;AC$11,DHHKey,0),MATCH($D203,DHHVar,0))</f>
        <v>5.145600408815143</v>
      </c>
      <c r="AD203" s="203">
        <f>INDEX(DHHVal,MATCH(CtryCode&amp;".distn.bsh."&amp;AD$10&amp;$E203&amp;AD$9&amp;AD$11,DHHKey,0),MATCH($D203,DHHVar,0))</f>
        <v>5.85972423193722</v>
      </c>
      <c r="AE203" s="203">
        <f>INDEX(DHHVal,MATCH(CtryCode&amp;".distn.bsh."&amp;AE$10&amp;$E203&amp;AE$9&amp;AE$11,DHHKey,0),MATCH($D203,DHHVar,0))</f>
        <v>6.58966181155912</v>
      </c>
      <c r="AF203" s="203">
        <f>INDEX(DHHVal,MATCH(CtryCode&amp;".distn.bsh."&amp;AF$10&amp;$E203&amp;AF$9&amp;AF$11,DHHKey,0),MATCH($D203,DHHVar,0))</f>
        <v>6.478107274194761</v>
      </c>
      <c r="AG203" s="203">
        <f>INDEX(DHHVal,MATCH(CtryCode&amp;".distn.bsh."&amp;AG$10&amp;$E203&amp;AG$9&amp;AG$11,DHHKey,0),MATCH($D203,DHHVar,0))</f>
        <v>8.257907400149474</v>
      </c>
      <c r="AH203" s="203">
        <f>INDEX(DHHVal,MATCH(CtryCode&amp;".distn.bsh."&amp;AH$10&amp;$E203&amp;AH$9&amp;AH$11,DHHKey,0),MATCH($D203,DHHVar,0))</f>
        <v>8.381884169350608</v>
      </c>
      <c r="AI203" s="203">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33" t="inlineStr">
        <is>
          <t>HHSurvey</t>
        </is>
      </c>
      <c r="K204" s="9" t="str">
        <f>LOWER(CtryCode)&amp;".distn."&amp;$A204&amp;IF($B204="","","."&amp;$B204)&amp;IF($C204="","",".dec."&amp;$C204)&amp;"."&amp;K$5</f>
        <v>egy.distn.bsh.ret.dec.ove.1</v>
      </c>
      <c r="L204" s="208">
        <f>INDEX(DHHVal,MATCH(CtryCode&amp;".distn.bsh."&amp;L$10&amp;$E204&amp;L$9&amp;L$11,DHHKey,0),MATCH($D204,DHHVar,0))</f>
        <v>7.42940212927848</v>
      </c>
      <c r="M204" s="203">
        <f>INDEX(DHHVal,MATCH(CtryCode&amp;".distn.bsh."&amp;M$10&amp;$E204&amp;M$9&amp;M$11,DHHKey,0),MATCH($D204,DHHVar,0))</f>
        <v>6.901447746814765</v>
      </c>
      <c r="N204" s="203">
        <f>INDEX(DHHVal,MATCH(CtryCode&amp;".distn.bsh."&amp;N$10&amp;$E204&amp;N$9&amp;N$11,DHHKey,0),MATCH($D204,DHHVar,0))</f>
        <v>6.712899943600356</v>
      </c>
      <c r="O204" s="203">
        <f>INDEX(DHHVal,MATCH(CtryCode&amp;".distn.bsh."&amp;O$10&amp;$E204&amp;O$9&amp;O$11,DHHKey,0),MATCH($D204,DHHVar,0))</f>
        <v>6.889418483816435</v>
      </c>
      <c r="P204" s="203">
        <f>INDEX(DHHVal,MATCH(CtryCode&amp;".distn.bsh."&amp;P$10&amp;$E204&amp;P$9&amp;P$11,DHHKey,0),MATCH($D204,DHHVar,0))</f>
        <v>6.41435418783313</v>
      </c>
      <c r="Q204" s="203">
        <f>INDEX(DHHVal,MATCH(CtryCode&amp;".distn.bsh."&amp;Q$10&amp;$E204&amp;Q$9&amp;Q$11,DHHKey,0),MATCH($D204,DHHVar,0))</f>
        <v>7.25443641062837</v>
      </c>
      <c r="R204" s="203">
        <f>INDEX(DHHVal,MATCH(CtryCode&amp;".distn.bsh."&amp;R$10&amp;$E204&amp;R$9&amp;R$11,DHHKey,0),MATCH($D204,DHHVar,0))</f>
        <v>6.451885626400369</v>
      </c>
      <c r="S204" s="203">
        <f>INDEX(DHHVal,MATCH(CtryCode&amp;".distn.bsh."&amp;S$10&amp;$E204&amp;S$9&amp;S$11,DHHKey,0),MATCH($D204,DHHVar,0))</f>
        <v>6.31164830559923</v>
      </c>
      <c r="T204" s="203">
        <f>INDEX(DHHVal,MATCH(CtryCode&amp;".distn.bsh."&amp;T$10&amp;$E204&amp;T$9&amp;T$11,DHHKey,0),MATCH($D204,DHHVar,0))</f>
        <v>6.38075944743144</v>
      </c>
      <c r="U204" s="203">
        <f>INDEX(DHHVal,MATCH(CtryCode&amp;".distn.bsh."&amp;U$10&amp;$E204&amp;U$9&amp;U$11,DHHKey,0),MATCH($D204,DHHVar,0))</f>
        <v>6.5757768039674</v>
      </c>
      <c r="V204" s="203">
        <f>INDEX(DHHVal,MATCH(CtryCode&amp;".distn.bsh."&amp;V$10&amp;$E204&amp;V$9&amp;V$11,DHHKey,0),MATCH($D204,DHHVar,0))</f>
        <v>8.014992485257808</v>
      </c>
      <c r="W204" s="207" t="str">
        <f>IF(X$5=K$5,SUM(Y204:AI204)-SUM(L204:V204),"")</f>
        <v/>
      </c>
      <c r="X204" s="9" t="str">
        <f>LOWER(CtryCode)&amp;".distn."&amp;$A204&amp;IF($B204="","","."&amp;$B204)&amp;IF($C204="","",".dec."&amp;$C204)&amp;"."&amp;X$5</f>
        <v>egy.distn.bsh.ret.dec.ove.2</v>
      </c>
      <c r="Y204" s="208">
        <f>INDEX(DHHVal,MATCH(CtryCode&amp;".distn.bsh."&amp;Y$10&amp;$E204&amp;Y$9&amp;Y$11,DHHKey,0),MATCH($D204,DHHVar,0))</f>
        <v>7.42940212927848</v>
      </c>
      <c r="Z204" s="203">
        <f>INDEX(DHHVal,MATCH(CtryCode&amp;".distn.bsh."&amp;Z$10&amp;$E204&amp;Z$9&amp;Z$11,DHHKey,0),MATCH($D204,DHHVar,0))</f>
        <v>6.901447746814765</v>
      </c>
      <c r="AA204" s="203">
        <f>INDEX(DHHVal,MATCH(CtryCode&amp;".distn.bsh."&amp;AA$10&amp;$E204&amp;AA$9&amp;AA$11,DHHKey,0),MATCH($D204,DHHVar,0))</f>
        <v>6.712899943600356</v>
      </c>
      <c r="AB204" s="203">
        <f>INDEX(DHHVal,MATCH(CtryCode&amp;".distn.bsh."&amp;AB$10&amp;$E204&amp;AB$9&amp;AB$11,DHHKey,0),MATCH($D204,DHHVar,0))</f>
        <v>6.889418483816435</v>
      </c>
      <c r="AC204" s="203">
        <f>INDEX(DHHVal,MATCH(CtryCode&amp;".distn.bsh."&amp;AC$10&amp;$E204&amp;AC$9&amp;AC$11,DHHKey,0),MATCH($D204,DHHVar,0))</f>
        <v>6.41435418783313</v>
      </c>
      <c r="AD204" s="203">
        <f>INDEX(DHHVal,MATCH(CtryCode&amp;".distn.bsh."&amp;AD$10&amp;$E204&amp;AD$9&amp;AD$11,DHHKey,0),MATCH($D204,DHHVar,0))</f>
        <v>7.25443641062837</v>
      </c>
      <c r="AE204" s="203">
        <f>INDEX(DHHVal,MATCH(CtryCode&amp;".distn.bsh."&amp;AE$10&amp;$E204&amp;AE$9&amp;AE$11,DHHKey,0),MATCH($D204,DHHVar,0))</f>
        <v>6.451885626400369</v>
      </c>
      <c r="AF204" s="203">
        <f>INDEX(DHHVal,MATCH(CtryCode&amp;".distn.bsh."&amp;AF$10&amp;$E204&amp;AF$9&amp;AF$11,DHHKey,0),MATCH($D204,DHHVar,0))</f>
        <v>6.31164830559923</v>
      </c>
      <c r="AG204" s="203">
        <f>INDEX(DHHVal,MATCH(CtryCode&amp;".distn.bsh."&amp;AG$10&amp;$E204&amp;AG$9&amp;AG$11,DHHKey,0),MATCH($D204,DHHVar,0))</f>
        <v>6.38075944743144</v>
      </c>
      <c r="AH204" s="203">
        <f>INDEX(DHHVal,MATCH(CtryCode&amp;".distn.bsh."&amp;AH$10&amp;$E204&amp;AH$9&amp;AH$11,DHHKey,0),MATCH($D204,DHHVar,0))</f>
        <v>6.5757768039674</v>
      </c>
      <c r="AI204" s="203">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33" t="inlineStr">
        <is>
          <t>HHSurvey</t>
        </is>
      </c>
      <c r="K205" s="9" t="str">
        <f>LOWER(CtryCode)&amp;".distn."&amp;$A205&amp;IF($B205="","","."&amp;$B205)&amp;IF($C205="","",".dec."&amp;$C205)&amp;"."&amp;K$5</f>
        <v>egy.distn.bsh.teq.dec.ove.1</v>
      </c>
      <c r="L205" s="208">
        <f>INDEX(DHHVal,MATCH(CtryCode&amp;".distn.bsh."&amp;L$10&amp;$E205&amp;L$9&amp;L$11,DHHKey,0),MATCH($D205,DHHVar,0))</f>
        <v>0.4246805859221146</v>
      </c>
      <c r="M205" s="203">
        <f>INDEX(DHHVal,MATCH(CtryCode&amp;".distn.bsh."&amp;M$10&amp;$E205&amp;M$9&amp;M$11,DHHKey,0),MATCH($D205,DHHVar,0))</f>
        <v>0.3200998946549786</v>
      </c>
      <c r="N205" s="203">
        <f>INDEX(DHHVal,MATCH(CtryCode&amp;".distn.bsh."&amp;N$10&amp;$E205&amp;N$9&amp;N$11,DHHKey,0),MATCH($D205,DHHVar,0))</f>
        <v>0.3082469670377453</v>
      </c>
      <c r="O205" s="203">
        <f>INDEX(DHHVal,MATCH(CtryCode&amp;".distn.bsh."&amp;O$10&amp;$E205&amp;O$9&amp;O$11,DHHKey,0),MATCH($D205,DHHVar,0))</f>
        <v>0.3119857691978264</v>
      </c>
      <c r="P205" s="203">
        <f>INDEX(DHHVal,MATCH(CtryCode&amp;".distn.bsh."&amp;P$10&amp;$E205&amp;P$9&amp;P$11,DHHKey,0),MATCH($D205,DHHVar,0))</f>
        <v>0.2844974470564032</v>
      </c>
      <c r="Q205" s="203">
        <f>INDEX(DHHVal,MATCH(CtryCode&amp;".distn.bsh."&amp;Q$10&amp;$E205&amp;Q$9&amp;Q$11,DHHKey,0),MATCH($D205,DHHVar,0))</f>
        <v>0.3795508712681104</v>
      </c>
      <c r="R205" s="203">
        <f>INDEX(DHHVal,MATCH(CtryCode&amp;".distn.bsh."&amp;R$10&amp;$E205&amp;R$9&amp;R$11,DHHKey,0),MATCH($D205,DHHVar,0))</f>
        <v>0.4570567046882881</v>
      </c>
      <c r="S205" s="203">
        <f>INDEX(DHHVal,MATCH(CtryCode&amp;".distn.bsh."&amp;S$10&amp;$E205&amp;S$9&amp;S$11,DHHKey,0),MATCH($D205,DHHVar,0))</f>
        <v>0.518589645750027</v>
      </c>
      <c r="T205" s="203">
        <f>INDEX(DHHVal,MATCH(CtryCode&amp;".distn.bsh."&amp;T$10&amp;$E205&amp;T$9&amp;T$11,DHHKey,0),MATCH($D205,DHHVar,0))</f>
        <v>0.6074475964079666</v>
      </c>
      <c r="U205" s="203">
        <f>INDEX(DHHVal,MATCH(CtryCode&amp;".distn.bsh."&amp;U$10&amp;$E205&amp;U$9&amp;U$11,DHHKey,0),MATCH($D205,DHHVar,0))</f>
        <v>0.6825495565238616</v>
      </c>
      <c r="V205" s="203">
        <f>INDEX(DHHVal,MATCH(CtryCode&amp;".distn.bsh."&amp;V$10&amp;$E205&amp;V$9&amp;V$11,DHHKey,0),MATCH($D205,DHHVar,0))</f>
        <v>0.8812537957036082</v>
      </c>
      <c r="W205" s="207" t="str">
        <f>IF(X$5=K$5,SUM(Y205:AI205)-SUM(L205:V205),"")</f>
        <v/>
      </c>
      <c r="X205" s="9" t="str">
        <f>LOWER(CtryCode)&amp;".distn."&amp;$A205&amp;IF($B205="","","."&amp;$B205)&amp;IF($C205="","",".dec."&amp;$C205)&amp;"."&amp;X$5</f>
        <v>egy.distn.bsh.teq.dec.ove.2</v>
      </c>
      <c r="Y205" s="208">
        <f>INDEX(DHHVal,MATCH(CtryCode&amp;".distn.bsh."&amp;Y$10&amp;$E205&amp;Y$9&amp;Y$11,DHHKey,0),MATCH($D205,DHHVar,0))</f>
        <v>0.4246805859221146</v>
      </c>
      <c r="Z205" s="203">
        <f>INDEX(DHHVal,MATCH(CtryCode&amp;".distn.bsh."&amp;Z$10&amp;$E205&amp;Z$9&amp;Z$11,DHHKey,0),MATCH($D205,DHHVar,0))</f>
        <v>0.3200998946549786</v>
      </c>
      <c r="AA205" s="203">
        <f>INDEX(DHHVal,MATCH(CtryCode&amp;".distn.bsh."&amp;AA$10&amp;$E205&amp;AA$9&amp;AA$11,DHHKey,0),MATCH($D205,DHHVar,0))</f>
        <v>0.3082469670377453</v>
      </c>
      <c r="AB205" s="203">
        <f>INDEX(DHHVal,MATCH(CtryCode&amp;".distn.bsh."&amp;AB$10&amp;$E205&amp;AB$9&amp;AB$11,DHHKey,0),MATCH($D205,DHHVar,0))</f>
        <v>0.3119857691978264</v>
      </c>
      <c r="AC205" s="203">
        <f>INDEX(DHHVal,MATCH(CtryCode&amp;".distn.bsh."&amp;AC$10&amp;$E205&amp;AC$9&amp;AC$11,DHHKey,0),MATCH($D205,DHHVar,0))</f>
        <v>0.2844974470564032</v>
      </c>
      <c r="AD205" s="203">
        <f>INDEX(DHHVal,MATCH(CtryCode&amp;".distn.bsh."&amp;AD$10&amp;$E205&amp;AD$9&amp;AD$11,DHHKey,0),MATCH($D205,DHHVar,0))</f>
        <v>0.3795508712681104</v>
      </c>
      <c r="AE205" s="203">
        <f>INDEX(DHHVal,MATCH(CtryCode&amp;".distn.bsh."&amp;AE$10&amp;$E205&amp;AE$9&amp;AE$11,DHHKey,0),MATCH($D205,DHHVar,0))</f>
        <v>0.4570567046882881</v>
      </c>
      <c r="AF205" s="203">
        <f>INDEX(DHHVal,MATCH(CtryCode&amp;".distn.bsh."&amp;AF$10&amp;$E205&amp;AF$9&amp;AF$11,DHHKey,0),MATCH($D205,DHHVar,0))</f>
        <v>0.518589645750027</v>
      </c>
      <c r="AG205" s="203">
        <f>INDEX(DHHVal,MATCH(CtryCode&amp;".distn.bsh."&amp;AG$10&amp;$E205&amp;AG$9&amp;AG$11,DHHKey,0),MATCH($D205,DHHVar,0))</f>
        <v>0.6074475964079666</v>
      </c>
      <c r="AH205" s="203">
        <f>INDEX(DHHVal,MATCH(CtryCode&amp;".distn.bsh."&amp;AH$10&amp;$E205&amp;AH$9&amp;AH$11,DHHKey,0),MATCH($D205,DHHVar,0))</f>
        <v>0.6825495565238616</v>
      </c>
      <c r="AI205" s="203">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33" t="inlineStr">
        <is>
          <t>HHSurvey</t>
        </is>
      </c>
      <c r="K206" s="9" t="str">
        <f>LOWER(CtryCode)&amp;".distn."&amp;$A206&amp;IF($B206="","","."&amp;$B206)&amp;IF($C206="","",".dec."&amp;$C206)&amp;"."&amp;K$5</f>
        <v>egy.distn.bsh.tpu.dec.ove.1</v>
      </c>
      <c r="L206" s="208">
        <f>INDEX(DHHVal,MATCH(CtryCode&amp;".distn.bsh."&amp;L$10&amp;$E206&amp;L$9&amp;L$11,DHHKey,0),MATCH($D206,DHHVar,0))</f>
        <v>4.290565751420677</v>
      </c>
      <c r="M206" s="203">
        <f>INDEX(DHHVal,MATCH(CtryCode&amp;".distn.bsh."&amp;M$10&amp;$E206&amp;M$9&amp;M$11,DHHKey,0),MATCH($D206,DHHVar,0))</f>
        <v>4.708125228043048</v>
      </c>
      <c r="N206" s="203">
        <f>INDEX(DHHVal,MATCH(CtryCode&amp;".distn.bsh."&amp;N$10&amp;$E206&amp;N$9&amp;N$11,DHHKey,0),MATCH($D206,DHHVar,0))</f>
        <v>4.335741488902785</v>
      </c>
      <c r="O206" s="203">
        <f>INDEX(DHHVal,MATCH(CtryCode&amp;".distn.bsh."&amp;O$10&amp;$E206&amp;O$9&amp;O$11,DHHKey,0),MATCH($D206,DHHVar,0))</f>
        <v>4.268952842251398</v>
      </c>
      <c r="P206" s="203">
        <f>INDEX(DHHVal,MATCH(CtryCode&amp;".distn.bsh."&amp;P$10&amp;$E206&amp;P$9&amp;P$11,DHHKey,0),MATCH($D206,DHHVar,0))</f>
        <v>4.331742900259846</v>
      </c>
      <c r="Q206" s="203">
        <f>INDEX(DHHVal,MATCH(CtryCode&amp;".distn.bsh."&amp;Q$10&amp;$E206&amp;Q$9&amp;Q$11,DHHKey,0),MATCH($D206,DHHVar,0))</f>
        <v>4.471895373127912</v>
      </c>
      <c r="R206" s="203">
        <f>INDEX(DHHVal,MATCH(CtryCode&amp;".distn.bsh."&amp;R$10&amp;$E206&amp;R$9&amp;R$11,DHHKey,0),MATCH($D206,DHHVar,0))</f>
        <v>4.540748444813043</v>
      </c>
      <c r="S206" s="203">
        <f>INDEX(DHHVal,MATCH(CtryCode&amp;".distn.bsh."&amp;S$10&amp;$E206&amp;S$9&amp;S$11,DHHKey,0),MATCH($D206,DHHVar,0))</f>
        <v>5.054151666175673</v>
      </c>
      <c r="T206" s="203">
        <f>INDEX(DHHVal,MATCH(CtryCode&amp;".distn.bsh."&amp;T$10&amp;$E206&amp;T$9&amp;T$11,DHHKey,0),MATCH($D206,DHHVar,0))</f>
        <v>4.9568858865895</v>
      </c>
      <c r="U206" s="203">
        <f>INDEX(DHHVal,MATCH(CtryCode&amp;".distn.bsh."&amp;U$10&amp;$E206&amp;U$9&amp;U$11,DHHKey,0),MATCH($D206,DHHVar,0))</f>
        <v>4.574116814637175</v>
      </c>
      <c r="V206" s="203">
        <f>INDEX(DHHVal,MATCH(CtryCode&amp;".distn.bsh."&amp;V$10&amp;$E206&amp;V$9&amp;V$11,DHHKey,0),MATCH($D206,DHHVar,0))</f>
        <v>4.172703964848428</v>
      </c>
      <c r="W206" s="207" t="str">
        <f>IF(X$5=K$5,SUM(Y206:AI206)-SUM(L206:V206),"")</f>
        <v/>
      </c>
      <c r="X206" s="9" t="str">
        <f>LOWER(CtryCode)&amp;".distn."&amp;$A206&amp;IF($B206="","","."&amp;$B206)&amp;IF($C206="","",".dec."&amp;$C206)&amp;"."&amp;X$5</f>
        <v>egy.distn.bsh.tpu.dec.ove.2</v>
      </c>
      <c r="Y206" s="208">
        <f>INDEX(DHHVal,MATCH(CtryCode&amp;".distn.bsh."&amp;Y$10&amp;$E206&amp;Y$9&amp;Y$11,DHHKey,0),MATCH($D206,DHHVar,0))</f>
        <v>4.290565751420677</v>
      </c>
      <c r="Z206" s="203">
        <f>INDEX(DHHVal,MATCH(CtryCode&amp;".distn.bsh."&amp;Z$10&amp;$E206&amp;Z$9&amp;Z$11,DHHKey,0),MATCH($D206,DHHVar,0))</f>
        <v>4.708125228043048</v>
      </c>
      <c r="AA206" s="203">
        <f>INDEX(DHHVal,MATCH(CtryCode&amp;".distn.bsh."&amp;AA$10&amp;$E206&amp;AA$9&amp;AA$11,DHHKey,0),MATCH($D206,DHHVar,0))</f>
        <v>4.335741488902785</v>
      </c>
      <c r="AB206" s="203">
        <f>INDEX(DHHVal,MATCH(CtryCode&amp;".distn.bsh."&amp;AB$10&amp;$E206&amp;AB$9&amp;AB$11,DHHKey,0),MATCH($D206,DHHVar,0))</f>
        <v>4.268952842251398</v>
      </c>
      <c r="AC206" s="203">
        <f>INDEX(DHHVal,MATCH(CtryCode&amp;".distn.bsh."&amp;AC$10&amp;$E206&amp;AC$9&amp;AC$11,DHHKey,0),MATCH($D206,DHHVar,0))</f>
        <v>4.331742900259846</v>
      </c>
      <c r="AD206" s="203">
        <f>INDEX(DHHVal,MATCH(CtryCode&amp;".distn.bsh."&amp;AD$10&amp;$E206&amp;AD$9&amp;AD$11,DHHKey,0),MATCH($D206,DHHVar,0))</f>
        <v>4.471895373127912</v>
      </c>
      <c r="AE206" s="203">
        <f>INDEX(DHHVal,MATCH(CtryCode&amp;".distn.bsh."&amp;AE$10&amp;$E206&amp;AE$9&amp;AE$11,DHHKey,0),MATCH($D206,DHHVar,0))</f>
        <v>4.540748444813043</v>
      </c>
      <c r="AF206" s="203">
        <f>INDEX(DHHVal,MATCH(CtryCode&amp;".distn.bsh."&amp;AF$10&amp;$E206&amp;AF$9&amp;AF$11,DHHKey,0),MATCH($D206,DHHVar,0))</f>
        <v>5.054151666175673</v>
      </c>
      <c r="AG206" s="203">
        <f>INDEX(DHHVal,MATCH(CtryCode&amp;".distn.bsh."&amp;AG$10&amp;$E206&amp;AG$9&amp;AG$11,DHHKey,0),MATCH($D206,DHHVar,0))</f>
        <v>4.9568858865895</v>
      </c>
      <c r="AH206" s="203">
        <f>INDEX(DHHVal,MATCH(CtryCode&amp;".distn.bsh."&amp;AH$10&amp;$E206&amp;AH$9&amp;AH$11,DHHKey,0),MATCH($D206,DHHVar,0))</f>
        <v>4.574116814637175</v>
      </c>
      <c r="AI206" s="203">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33" t="inlineStr">
        <is>
          <t>HHSurvey</t>
        </is>
      </c>
      <c r="K207" s="9" t="str">
        <f>LOWER(CtryCode)&amp;".distn."&amp;$A207&amp;IF($B207="","","."&amp;$B207)&amp;IF($C207="","",".dec."&amp;$C207)&amp;"."&amp;K$5</f>
        <v>egy.distn.bsh.ccl.dec.ove.1</v>
      </c>
      <c r="L207" s="208">
        <f>INDEX(DHHVal,MATCH(CtryCode&amp;".distn.bsh."&amp;L$10&amp;$E207&amp;L$9&amp;L$11,DHHKey,0),MATCH($D207,DHHVar,0))</f>
        <v>0.004080784633072502</v>
      </c>
      <c r="M207" s="203">
        <f>INDEX(DHHVal,MATCH(CtryCode&amp;".distn.bsh."&amp;M$10&amp;$E207&amp;M$9&amp;M$11,DHHKey,0),MATCH($D207,DHHVar,0))</f>
        <v>0.00902897665505489</v>
      </c>
      <c r="N207" s="203">
        <f>INDEX(DHHVal,MATCH(CtryCode&amp;".distn.bsh."&amp;N$10&amp;$E207&amp;N$9&amp;N$11,DHHKey,0),MATCH($D207,DHHVar,0))</f>
        <v>0.005217982900853417</v>
      </c>
      <c r="O207" s="203">
        <f>INDEX(DHHVal,MATCH(CtryCode&amp;".distn.bsh."&amp;O$10&amp;$E207&amp;O$9&amp;O$11,DHHKey,0),MATCH($D207,DHHVar,0))</f>
        <v>0.005587873128969549</v>
      </c>
      <c r="P207" s="203">
        <f>INDEX(DHHVal,MATCH(CtryCode&amp;".distn.bsh."&amp;P$10&amp;$E207&amp;P$9&amp;P$11,DHHKey,0),MATCH($D207,DHHVar,0))</f>
        <v>0.003812470711426131</v>
      </c>
      <c r="Q207" s="203">
        <f>INDEX(DHHVal,MATCH(CtryCode&amp;".distn.bsh."&amp;Q$10&amp;$E207&amp;Q$9&amp;Q$11,DHHKey,0),MATCH($D207,DHHVar,0))</f>
        <v>0.002939657810329119</v>
      </c>
      <c r="R207" s="203">
        <f>INDEX(DHHVal,MATCH(CtryCode&amp;".distn.bsh."&amp;R$10&amp;$E207&amp;R$9&amp;R$11,DHHKey,0),MATCH($D207,DHHVar,0))</f>
        <v>0.002790797129249626</v>
      </c>
      <c r="S207" s="203">
        <f>INDEX(DHHVal,MATCH(CtryCode&amp;".distn.bsh."&amp;S$10&amp;$E207&amp;S$9&amp;S$11,DHHKey,0),MATCH($D207,DHHVar,0))</f>
        <v>0.003117537254047056</v>
      </c>
      <c r="T207" s="203">
        <f>INDEX(DHHVal,MATCH(CtryCode&amp;".distn.bsh."&amp;T$10&amp;$E207&amp;T$9&amp;T$11,DHHKey,0),MATCH($D207,DHHVar,0))</f>
        <v>0.003120762325396446</v>
      </c>
      <c r="U207" s="203">
        <f>INDEX(DHHVal,MATCH(CtryCode&amp;".distn.bsh."&amp;U$10&amp;$E207&amp;U$9&amp;U$11,DHHKey,0),MATCH($D207,DHHVar,0))</f>
        <v>0.002354328701921259</v>
      </c>
      <c r="V207" s="203">
        <f>INDEX(DHHVal,MATCH(CtryCode&amp;".distn.bsh."&amp;V$10&amp;$E207&amp;V$9&amp;V$11,DHHKey,0),MATCH($D207,DHHVar,0))</f>
        <v>0.001178011657878852</v>
      </c>
      <c r="W207" s="207" t="str">
        <f>IF(X$5=K$5,SUM(Y207:AI207)-SUM(L207:V207),"")</f>
        <v/>
      </c>
      <c r="X207" s="9" t="str">
        <f>LOWER(CtryCode)&amp;".distn."&amp;$A207&amp;IF($B207="","","."&amp;$B207)&amp;IF($C207="","",".dec."&amp;$C207)&amp;"."&amp;X$5</f>
        <v>egy.distn.bsh.ccl.dec.ove.2</v>
      </c>
      <c r="Y207" s="208">
        <f>INDEX(DHHVal,MATCH(CtryCode&amp;".distn.bsh."&amp;Y$10&amp;$E207&amp;Y$9&amp;Y$11,DHHKey,0),MATCH($D207,DHHVar,0))</f>
        <v>0.004080784633072502</v>
      </c>
      <c r="Z207" s="203">
        <f>INDEX(DHHVal,MATCH(CtryCode&amp;".distn.bsh."&amp;Z$10&amp;$E207&amp;Z$9&amp;Z$11,DHHKey,0),MATCH($D207,DHHVar,0))</f>
        <v>0.00902897665505489</v>
      </c>
      <c r="AA207" s="203">
        <f>INDEX(DHHVal,MATCH(CtryCode&amp;".distn.bsh."&amp;AA$10&amp;$E207&amp;AA$9&amp;AA$11,DHHKey,0),MATCH($D207,DHHVar,0))</f>
        <v>0.005217982900853417</v>
      </c>
      <c r="AB207" s="203">
        <f>INDEX(DHHVal,MATCH(CtryCode&amp;".distn.bsh."&amp;AB$10&amp;$E207&amp;AB$9&amp;AB$11,DHHKey,0),MATCH($D207,DHHVar,0))</f>
        <v>0.005587873128969549</v>
      </c>
      <c r="AC207" s="203">
        <f>INDEX(DHHVal,MATCH(CtryCode&amp;".distn.bsh."&amp;AC$10&amp;$E207&amp;AC$9&amp;AC$11,DHHKey,0),MATCH($D207,DHHVar,0))</f>
        <v>0.003812470711426131</v>
      </c>
      <c r="AD207" s="203">
        <f>INDEX(DHHVal,MATCH(CtryCode&amp;".distn.bsh."&amp;AD$10&amp;$E207&amp;AD$9&amp;AD$11,DHHKey,0),MATCH($D207,DHHVar,0))</f>
        <v>0.002939657810329119</v>
      </c>
      <c r="AE207" s="203">
        <f>INDEX(DHHVal,MATCH(CtryCode&amp;".distn.bsh."&amp;AE$10&amp;$E207&amp;AE$9&amp;AE$11,DHHKey,0),MATCH($D207,DHHVar,0))</f>
        <v>0.002790797129249626</v>
      </c>
      <c r="AF207" s="203">
        <f>INDEX(DHHVal,MATCH(CtryCode&amp;".distn.bsh."&amp;AF$10&amp;$E207&amp;AF$9&amp;AF$11,DHHKey,0),MATCH($D207,DHHVar,0))</f>
        <v>0.003117537254047056</v>
      </c>
      <c r="AG207" s="203">
        <f>INDEX(DHHVal,MATCH(CtryCode&amp;".distn.bsh."&amp;AG$10&amp;$E207&amp;AG$9&amp;AG$11,DHHKey,0),MATCH($D207,DHHVar,0))</f>
        <v>0.003120762325396446</v>
      </c>
      <c r="AH207" s="203">
        <f>INDEX(DHHVal,MATCH(CtryCode&amp;".distn.bsh."&amp;AH$10&amp;$E207&amp;AH$9&amp;AH$11,DHHKey,0),MATCH($D207,DHHVar,0))</f>
        <v>0.002354328701921259</v>
      </c>
      <c r="AI207" s="203">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33" t="inlineStr">
        <is>
          <t>HHSurvey</t>
        </is>
      </c>
      <c r="K208" s="9" t="str">
        <f>LOWER(CtryCode)&amp;".distn."&amp;$A208&amp;IF($B208="","","."&amp;$B208)&amp;IF($C208="","",".dec."&amp;$C208)&amp;"."&amp;K$5</f>
        <v>egy.distn.bsh.ethanol.dec.ove.1</v>
      </c>
      <c r="L208" s="208">
        <f>INDEX(DHHVal,MATCH(CtryCode&amp;".distn.bsh."&amp;L$10&amp;$E208&amp;L$9&amp;L$11,DHHKey,0),MATCH($D208,DHHVar,0))</f>
        <v>0.0</v>
      </c>
      <c r="M208" s="203">
        <f>INDEX(DHHVal,MATCH(CtryCode&amp;".distn.bsh."&amp;M$10&amp;$E208&amp;M$9&amp;M$11,DHHKey,0),MATCH($D208,DHHVar,0))</f>
        <v>0.0</v>
      </c>
      <c r="N208" s="203">
        <f>INDEX(DHHVal,MATCH(CtryCode&amp;".distn.bsh."&amp;N$10&amp;$E208&amp;N$9&amp;N$11,DHHKey,0),MATCH($D208,DHHVar,0))</f>
        <v>0.0</v>
      </c>
      <c r="O208" s="203">
        <f>INDEX(DHHVal,MATCH(CtryCode&amp;".distn.bsh."&amp;O$10&amp;$E208&amp;O$9&amp;O$11,DHHKey,0),MATCH($D208,DHHVar,0))</f>
        <v>0.0</v>
      </c>
      <c r="P208" s="203">
        <f>INDEX(DHHVal,MATCH(CtryCode&amp;".distn.bsh."&amp;P$10&amp;$E208&amp;P$9&amp;P$11,DHHKey,0),MATCH($D208,DHHVar,0))</f>
        <v>0.0</v>
      </c>
      <c r="Q208" s="203">
        <f>INDEX(DHHVal,MATCH(CtryCode&amp;".distn.bsh."&amp;Q$10&amp;$E208&amp;Q$9&amp;Q$11,DHHKey,0),MATCH($D208,DHHVar,0))</f>
        <v>0.0</v>
      </c>
      <c r="R208" s="203">
        <f>INDEX(DHHVal,MATCH(CtryCode&amp;".distn.bsh."&amp;R$10&amp;$E208&amp;R$9&amp;R$11,DHHKey,0),MATCH($D208,DHHVar,0))</f>
        <v>1.083766149420668e-05</v>
      </c>
      <c r="S208" s="203">
        <f>INDEX(DHHVal,MATCH(CtryCode&amp;".distn.bsh."&amp;S$10&amp;$E208&amp;S$9&amp;S$11,DHHKey,0),MATCH($D208,DHHVar,0))</f>
        <v>0.0</v>
      </c>
      <c r="T208" s="203">
        <f>INDEX(DHHVal,MATCH(CtryCode&amp;".distn.bsh."&amp;T$10&amp;$E208&amp;T$9&amp;T$11,DHHKey,0),MATCH($D208,DHHVar,0))</f>
        <v>1.072327421885693e-05</v>
      </c>
      <c r="U208" s="203">
        <f>INDEX(DHHVal,MATCH(CtryCode&amp;".distn.bsh."&amp;U$10&amp;$E208&amp;U$9&amp;U$11,DHHKey,0),MATCH($D208,DHHVar,0))</f>
        <v>1.046448443565175e-05</v>
      </c>
      <c r="V208" s="203">
        <f>INDEX(DHHVal,MATCH(CtryCode&amp;".distn.bsh."&amp;V$10&amp;$E208&amp;V$9&amp;V$11,DHHKey,0),MATCH($D208,DHHVar,0))</f>
        <v>1.022111194711938e-05</v>
      </c>
      <c r="W208" s="207" t="str">
        <f>IF(X$5=K$5,SUM(Y208:AI208)-SUM(L208:V208),"")</f>
        <v/>
      </c>
      <c r="X208" s="9" t="str">
        <f>LOWER(CtryCode)&amp;".distn."&amp;$A208&amp;IF($B208="","","."&amp;$B208)&amp;IF($C208="","",".dec."&amp;$C208)&amp;"."&amp;X$5</f>
        <v>egy.distn.bsh.ethanol.dec.ove.2</v>
      </c>
      <c r="Y208" s="208">
        <f>INDEX(DHHVal,MATCH(CtryCode&amp;".distn.bsh."&amp;Y$10&amp;$E208&amp;Y$9&amp;Y$11,DHHKey,0),MATCH($D208,DHHVar,0))</f>
        <v>0.0</v>
      </c>
      <c r="Z208" s="203">
        <f>INDEX(DHHVal,MATCH(CtryCode&amp;".distn.bsh."&amp;Z$10&amp;$E208&amp;Z$9&amp;Z$11,DHHKey,0),MATCH($D208,DHHVar,0))</f>
        <v>0.0</v>
      </c>
      <c r="AA208" s="203">
        <f>INDEX(DHHVal,MATCH(CtryCode&amp;".distn.bsh."&amp;AA$10&amp;$E208&amp;AA$9&amp;AA$11,DHHKey,0),MATCH($D208,DHHVar,0))</f>
        <v>0.0</v>
      </c>
      <c r="AB208" s="203">
        <f>INDEX(DHHVal,MATCH(CtryCode&amp;".distn.bsh."&amp;AB$10&amp;$E208&amp;AB$9&amp;AB$11,DHHKey,0),MATCH($D208,DHHVar,0))</f>
        <v>0.0</v>
      </c>
      <c r="AC208" s="203">
        <f>INDEX(DHHVal,MATCH(CtryCode&amp;".distn.bsh."&amp;AC$10&amp;$E208&amp;AC$9&amp;AC$11,DHHKey,0),MATCH($D208,DHHVar,0))</f>
        <v>0.0</v>
      </c>
      <c r="AD208" s="203">
        <f>INDEX(DHHVal,MATCH(CtryCode&amp;".distn.bsh."&amp;AD$10&amp;$E208&amp;AD$9&amp;AD$11,DHHKey,0),MATCH($D208,DHHVar,0))</f>
        <v>0.0</v>
      </c>
      <c r="AE208" s="203">
        <f>INDEX(DHHVal,MATCH(CtryCode&amp;".distn.bsh."&amp;AE$10&amp;$E208&amp;AE$9&amp;AE$11,DHHKey,0),MATCH($D208,DHHVar,0))</f>
        <v>1.083766149420668e-05</v>
      </c>
      <c r="AF208" s="203">
        <f>INDEX(DHHVal,MATCH(CtryCode&amp;".distn.bsh."&amp;AF$10&amp;$E208&amp;AF$9&amp;AF$11,DHHKey,0),MATCH($D208,DHHVar,0))</f>
        <v>0.0</v>
      </c>
      <c r="AG208" s="203">
        <f>INDEX(DHHVal,MATCH(CtryCode&amp;".distn.bsh."&amp;AG$10&amp;$E208&amp;AG$9&amp;AG$11,DHHKey,0),MATCH($D208,DHHVar,0))</f>
        <v>1.072327421885693e-05</v>
      </c>
      <c r="AH208" s="203">
        <f>INDEX(DHHVal,MATCH(CtryCode&amp;".distn.bsh."&amp;AH$10&amp;$E208&amp;AH$9&amp;AH$11,DHHKey,0),MATCH($D208,DHHVar,0))</f>
        <v>1.046448443565175e-05</v>
      </c>
      <c r="AI208" s="203">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33" t="inlineStr">
        <is>
          <t>HHSurvey</t>
        </is>
      </c>
      <c r="K209" s="9" t="str">
        <f>LOWER(CtryCode)&amp;".distn."&amp;$A209&amp;IF($B209="","","."&amp;$B209)&amp;IF($C209="","",".dec."&amp;$C209)&amp;"."&amp;K$5</f>
        <v>egy.distn.bsh.fwd.dec.ove.1</v>
      </c>
      <c r="L209" s="208">
        <f>INDEX(DHHVal,MATCH(CtryCode&amp;".distn.bsh."&amp;L$10&amp;$E209&amp;L$9&amp;L$11,DHHKey,0),MATCH($D209,DHHVar,0))</f>
        <v>0.0002127301922559838</v>
      </c>
      <c r="M209" s="203">
        <f>INDEX(DHHVal,MATCH(CtryCode&amp;".distn.bsh."&amp;M$10&amp;$E209&amp;M$9&amp;M$11,DHHKey,0),MATCH($D209,DHHVar,0))</f>
        <v>0.0005341891399374182</v>
      </c>
      <c r="N209" s="203">
        <f>INDEX(DHHVal,MATCH(CtryCode&amp;".distn.bsh."&amp;N$10&amp;$E209&amp;N$9&amp;N$11,DHHKey,0),MATCH($D209,DHHVar,0))</f>
        <v>0.0002688376026619259</v>
      </c>
      <c r="O209" s="203">
        <f>INDEX(DHHVal,MATCH(CtryCode&amp;".distn.bsh."&amp;O$10&amp;$E209&amp;O$9&amp;O$11,DHHKey,0),MATCH($D209,DHHVar,0))</f>
        <v>0.0003079593247779623</v>
      </c>
      <c r="P209" s="203">
        <f>INDEX(DHHVal,MATCH(CtryCode&amp;".distn.bsh."&amp;P$10&amp;$E209&amp;P$9&amp;P$11,DHHKey,0),MATCH($D209,DHHVar,0))</f>
        <v>0.0002165494667629994</v>
      </c>
      <c r="Q209" s="203">
        <f>INDEX(DHHVal,MATCH(CtryCode&amp;".distn.bsh."&amp;Q$10&amp;$E209&amp;Q$9&amp;Q$11,DHHKey,0),MATCH($D209,DHHVar,0))</f>
        <v>0.0001611201079633168</v>
      </c>
      <c r="R209" s="203">
        <f>INDEX(DHHVal,MATCH(CtryCode&amp;".distn.bsh."&amp;R$10&amp;$E209&amp;R$9&amp;R$11,DHHKey,0),MATCH($D209,DHHVar,0))</f>
        <v>0.0001473703380388435</v>
      </c>
      <c r="S209" s="203">
        <f>INDEX(DHHVal,MATCH(CtryCode&amp;".distn.bsh."&amp;S$10&amp;$E209&amp;S$9&amp;S$11,DHHKey,0),MATCH($D209,DHHVar,0))</f>
        <v>0.0001587696480006269</v>
      </c>
      <c r="T209" s="203">
        <f>INDEX(DHHVal,MATCH(CtryCode&amp;".distn.bsh."&amp;T$10&amp;$E209&amp;T$9&amp;T$11,DHHKey,0),MATCH($D209,DHHVar,0))</f>
        <v>0.0001773920837667564</v>
      </c>
      <c r="U209" s="203">
        <f>INDEX(DHHVal,MATCH(CtryCode&amp;".distn.bsh."&amp;U$10&amp;$E209&amp;U$9&amp;U$11,DHHKey,0),MATCH($D209,DHHVar,0))</f>
        <v>0.0001113089939790087</v>
      </c>
      <c r="V209" s="203">
        <f>INDEX(DHHVal,MATCH(CtryCode&amp;".distn.bsh."&amp;V$10&amp;$E209&amp;V$9&amp;V$11,DHHKey,0),MATCH($D209,DHHVar,0))</f>
        <v>6.914614584305991e-05</v>
      </c>
      <c r="W209" s="207" t="str">
        <f>IF(X$5=K$5,SUM(Y209:AI209)-SUM(L209:V209),"")</f>
        <v/>
      </c>
      <c r="X209" s="9" t="str">
        <f>LOWER(CtryCode)&amp;".distn."&amp;$A209&amp;IF($B209="","","."&amp;$B209)&amp;IF($C209="","",".dec."&amp;$C209)&amp;"."&amp;X$5</f>
        <v>egy.distn.bsh.fwd.dec.ove.2</v>
      </c>
      <c r="Y209" s="208">
        <f>INDEX(DHHVal,MATCH(CtryCode&amp;".distn.bsh."&amp;Y$10&amp;$E209&amp;Y$9&amp;Y$11,DHHKey,0),MATCH($D209,DHHVar,0))</f>
        <v>0.0002127301922559838</v>
      </c>
      <c r="Z209" s="203">
        <f>INDEX(DHHVal,MATCH(CtryCode&amp;".distn.bsh."&amp;Z$10&amp;$E209&amp;Z$9&amp;Z$11,DHHKey,0),MATCH($D209,DHHVar,0))</f>
        <v>0.0005341891399374182</v>
      </c>
      <c r="AA209" s="203">
        <f>INDEX(DHHVal,MATCH(CtryCode&amp;".distn.bsh."&amp;AA$10&amp;$E209&amp;AA$9&amp;AA$11,DHHKey,0),MATCH($D209,DHHVar,0))</f>
        <v>0.0002688376026619259</v>
      </c>
      <c r="AB209" s="203">
        <f>INDEX(DHHVal,MATCH(CtryCode&amp;".distn.bsh."&amp;AB$10&amp;$E209&amp;AB$9&amp;AB$11,DHHKey,0),MATCH($D209,DHHVar,0))</f>
        <v>0.0003079593247779623</v>
      </c>
      <c r="AC209" s="203">
        <f>INDEX(DHHVal,MATCH(CtryCode&amp;".distn.bsh."&amp;AC$10&amp;$E209&amp;AC$9&amp;AC$11,DHHKey,0),MATCH($D209,DHHVar,0))</f>
        <v>0.0002165494667629994</v>
      </c>
      <c r="AD209" s="203">
        <f>INDEX(DHHVal,MATCH(CtryCode&amp;".distn.bsh."&amp;AD$10&amp;$E209&amp;AD$9&amp;AD$11,DHHKey,0),MATCH($D209,DHHVar,0))</f>
        <v>0.0001611201079633168</v>
      </c>
      <c r="AE209" s="203">
        <f>INDEX(DHHVal,MATCH(CtryCode&amp;".distn.bsh."&amp;AE$10&amp;$E209&amp;AE$9&amp;AE$11,DHHKey,0),MATCH($D209,DHHVar,0))</f>
        <v>0.0001473703380388435</v>
      </c>
      <c r="AF209" s="203">
        <f>INDEX(DHHVal,MATCH(CtryCode&amp;".distn.bsh."&amp;AF$10&amp;$E209&amp;AF$9&amp;AF$11,DHHKey,0),MATCH($D209,DHHVar,0))</f>
        <v>0.0001587696480006269</v>
      </c>
      <c r="AG209" s="203">
        <f>INDEX(DHHVal,MATCH(CtryCode&amp;".distn.bsh."&amp;AG$10&amp;$E209&amp;AG$9&amp;AG$11,DHHKey,0),MATCH($D209,DHHVar,0))</f>
        <v>0.0001773920837667564</v>
      </c>
      <c r="AH209" s="203">
        <f>INDEX(DHHVal,MATCH(CtryCode&amp;".distn.bsh."&amp;AH$10&amp;$E209&amp;AH$9&amp;AH$11,DHHKey,0),MATCH($D209,DHHVar,0))</f>
        <v>0.0001113089939790087</v>
      </c>
      <c r="AI209" s="203">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33" t="inlineStr">
        <is>
          <t>HHSurvey</t>
        </is>
      </c>
      <c r="K212" s="9" t="str">
        <f>LOWER(CtryCode)&amp;".distn."&amp;$A212&amp;IF($B212="","","."&amp;$B212)&amp;IF($C212="","",".dec."&amp;$C212)&amp;"."&amp;K$5</f>
        <v>egy.distn.bsh.coa.dec.urb.1</v>
      </c>
      <c r="L212" s="208">
        <f>INDEX(DHHVal,MATCH(CtryCode&amp;".distn.bsh."&amp;L$10&amp;$E212&amp;L$9&amp;L$11,DHHKey,0),MATCH($D212,DHHVar,0))</f>
        <v>0.0</v>
      </c>
      <c r="M212" s="203">
        <f>INDEX(DHHVal,MATCH(CtryCode&amp;".distn.bsh."&amp;M$10&amp;$E212&amp;M$9&amp;M$11,DHHKey,0),MATCH($D212,DHHVar,0))</f>
        <v>0.0</v>
      </c>
      <c r="N212" s="203">
        <f>INDEX(DHHVal,MATCH(CtryCode&amp;".distn.bsh."&amp;N$10&amp;$E212&amp;N$9&amp;N$11,DHHKey,0),MATCH($D212,DHHVar,0))</f>
        <v>0.0</v>
      </c>
      <c r="O212" s="203">
        <f>INDEX(DHHVal,MATCH(CtryCode&amp;".distn.bsh."&amp;O$10&amp;$E212&amp;O$9&amp;O$11,DHHKey,0),MATCH($D212,DHHVar,0))</f>
        <v>0.0</v>
      </c>
      <c r="P212" s="203">
        <f>INDEX(DHHVal,MATCH(CtryCode&amp;".distn.bsh."&amp;P$10&amp;$E212&amp;P$9&amp;P$11,DHHKey,0),MATCH($D212,DHHVar,0))</f>
        <v>0.0</v>
      </c>
      <c r="Q212" s="203">
        <f>INDEX(DHHVal,MATCH(CtryCode&amp;".distn.bsh."&amp;Q$10&amp;$E212&amp;Q$9&amp;Q$11,DHHKey,0),MATCH($D212,DHHVar,0))</f>
        <v>0.0</v>
      </c>
      <c r="R212" s="203">
        <f>INDEX(DHHVal,MATCH(CtryCode&amp;".distn.bsh."&amp;R$10&amp;$E212&amp;R$9&amp;R$11,DHHKey,0),MATCH($D212,DHHVar,0))</f>
        <v>0.0</v>
      </c>
      <c r="S212" s="203">
        <f>INDEX(DHHVal,MATCH(CtryCode&amp;".distn.bsh."&amp;S$10&amp;$E212&amp;S$9&amp;S$11,DHHKey,0),MATCH($D212,DHHVar,0))</f>
        <v>0.0</v>
      </c>
      <c r="T212" s="203">
        <f>INDEX(DHHVal,MATCH(CtryCode&amp;".distn.bsh."&amp;T$10&amp;$E212&amp;T$9&amp;T$11,DHHKey,0),MATCH($D212,DHHVar,0))</f>
        <v>0.0</v>
      </c>
      <c r="U212" s="203">
        <f>INDEX(DHHVal,MATCH(CtryCode&amp;".distn.bsh."&amp;U$10&amp;$E212&amp;U$9&amp;U$11,DHHKey,0),MATCH($D212,DHHVar,0))</f>
        <v>0.0</v>
      </c>
      <c r="V212" s="203">
        <f>INDEX(DHHVal,MATCH(CtryCode&amp;".distn.bsh."&amp;V$10&amp;$E212&amp;V$9&amp;V$11,DHHKey,0),MATCH($D212,DHHVar,0))</f>
        <v>0.0</v>
      </c>
      <c r="W212" s="207" t="str">
        <f>IF(X$5=K$5,SUM(Y212:AI212)-SUM(L212:V212),"")</f>
        <v/>
      </c>
      <c r="X212" s="9" t="str">
        <f>LOWER(CtryCode)&amp;".distn."&amp;$A212&amp;IF($B212="","","."&amp;$B212)&amp;IF($C212="","",".dec."&amp;$C212)&amp;"."&amp;X$5</f>
        <v>egy.distn.bsh.coa.dec.urb.2</v>
      </c>
      <c r="Y212" s="208">
        <f>INDEX(DHHVal,MATCH(CtryCode&amp;".distn.bsh."&amp;Y$10&amp;$E212&amp;Y$9&amp;Y$11,DHHKey,0),MATCH($D212,DHHVar,0))</f>
        <v>0.0</v>
      </c>
      <c r="Z212" s="203">
        <f>INDEX(DHHVal,MATCH(CtryCode&amp;".distn.bsh."&amp;Z$10&amp;$E212&amp;Z$9&amp;Z$11,DHHKey,0),MATCH($D212,DHHVar,0))</f>
        <v>0.0</v>
      </c>
      <c r="AA212" s="203">
        <f>INDEX(DHHVal,MATCH(CtryCode&amp;".distn.bsh."&amp;AA$10&amp;$E212&amp;AA$9&amp;AA$11,DHHKey,0),MATCH($D212,DHHVar,0))</f>
        <v>0.0</v>
      </c>
      <c r="AB212" s="203">
        <f>INDEX(DHHVal,MATCH(CtryCode&amp;".distn.bsh."&amp;AB$10&amp;$E212&amp;AB$9&amp;AB$11,DHHKey,0),MATCH($D212,DHHVar,0))</f>
        <v>0.0</v>
      </c>
      <c r="AC212" s="203">
        <f>INDEX(DHHVal,MATCH(CtryCode&amp;".distn.bsh."&amp;AC$10&amp;$E212&amp;AC$9&amp;AC$11,DHHKey,0),MATCH($D212,DHHVar,0))</f>
        <v>0.0</v>
      </c>
      <c r="AD212" s="203">
        <f>INDEX(DHHVal,MATCH(CtryCode&amp;".distn.bsh."&amp;AD$10&amp;$E212&amp;AD$9&amp;AD$11,DHHKey,0),MATCH($D212,DHHVar,0))</f>
        <v>0.0</v>
      </c>
      <c r="AE212" s="203">
        <f>INDEX(DHHVal,MATCH(CtryCode&amp;".distn.bsh."&amp;AE$10&amp;$E212&amp;AE$9&amp;AE$11,DHHKey,0),MATCH($D212,DHHVar,0))</f>
        <v>0.0</v>
      </c>
      <c r="AF212" s="203">
        <f>INDEX(DHHVal,MATCH(CtryCode&amp;".distn.bsh."&amp;AF$10&amp;$E212&amp;AF$9&amp;AF$11,DHHKey,0),MATCH($D212,DHHVar,0))</f>
        <v>0.0</v>
      </c>
      <c r="AG212" s="203">
        <f>INDEX(DHHVal,MATCH(CtryCode&amp;".distn.bsh."&amp;AG$10&amp;$E212&amp;AG$9&amp;AG$11,DHHKey,0),MATCH($D212,DHHVar,0))</f>
        <v>0.0</v>
      </c>
      <c r="AH212" s="203">
        <f>INDEX(DHHVal,MATCH(CtryCode&amp;".distn.bsh."&amp;AH$10&amp;$E212&amp;AH$9&amp;AH$11,DHHKey,0),MATCH($D212,DHHVar,0))</f>
        <v>0.0</v>
      </c>
      <c r="AI212" s="203">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33" t="inlineStr">
        <is>
          <t>HHSurvey</t>
        </is>
      </c>
      <c r="K213" s="9" t="str">
        <f>LOWER(CtryCode)&amp;".distn."&amp;$A213&amp;IF($B213="","","."&amp;$B213)&amp;IF($C213="","",".dec."&amp;$C213)&amp;"."&amp;K$5</f>
        <v>egy.distn.bsh.ely.dec.urb.1</v>
      </c>
      <c r="L213" s="208">
        <f>INDEX(DHHVal,MATCH(CtryCode&amp;".distn.bsh."&amp;L$10&amp;$E213&amp;L$9&amp;L$11,DHHKey,0),MATCH($D213,DHHVar,0))</f>
        <v>3.629762473448341</v>
      </c>
      <c r="M213" s="203">
        <f>INDEX(DHHVal,MATCH(CtryCode&amp;".distn.bsh."&amp;M$10&amp;$E213&amp;M$9&amp;M$11,DHHKey,0),MATCH($D213,DHHVar,0))</f>
        <v>3.55452048907051</v>
      </c>
      <c r="N213" s="203">
        <f>INDEX(DHHVal,MATCH(CtryCode&amp;".distn.bsh."&amp;N$10&amp;$E213&amp;N$9&amp;N$11,DHHKey,0),MATCH($D213,DHHVar,0))</f>
        <v>3.240724390989204</v>
      </c>
      <c r="O213" s="203">
        <f>INDEX(DHHVal,MATCH(CtryCode&amp;".distn.bsh."&amp;O$10&amp;$E213&amp;O$9&amp;O$11,DHHKey,0),MATCH($D213,DHHVar,0))</f>
        <v>3.441799663455984</v>
      </c>
      <c r="P213" s="203">
        <f>INDEX(DHHVal,MATCH(CtryCode&amp;".distn.bsh."&amp;P$10&amp;$E213&amp;P$9&amp;P$11,DHHKey,0),MATCH($D213,DHHVar,0))</f>
        <v>3.262083431104834</v>
      </c>
      <c r="Q213" s="203">
        <f>INDEX(DHHVal,MATCH(CtryCode&amp;".distn.bsh."&amp;Q$10&amp;$E213&amp;Q$9&amp;Q$11,DHHKey,0),MATCH($D213,DHHVar,0))</f>
        <v>3.141773697992912</v>
      </c>
      <c r="R213" s="203">
        <f>INDEX(DHHVal,MATCH(CtryCode&amp;".distn.bsh."&amp;R$10&amp;$E213&amp;R$9&amp;R$11,DHHKey,0),MATCH($D213,DHHVar,0))</f>
        <v>3.13223180160709</v>
      </c>
      <c r="S213" s="203">
        <f>INDEX(DHHVal,MATCH(CtryCode&amp;".distn.bsh."&amp;S$10&amp;$E213&amp;S$9&amp;S$11,DHHKey,0),MATCH($D213,DHHVar,0))</f>
        <v>3.480589636108443</v>
      </c>
      <c r="T213" s="203">
        <f>INDEX(DHHVal,MATCH(CtryCode&amp;".distn.bsh."&amp;T$10&amp;$E213&amp;T$9&amp;T$11,DHHKey,0),MATCH($D213,DHHVar,0))</f>
        <v>3.386240193152231</v>
      </c>
      <c r="U213" s="203">
        <f>INDEX(DHHVal,MATCH(CtryCode&amp;".distn.bsh."&amp;U$10&amp;$E213&amp;U$9&amp;U$11,DHHKey,0),MATCH($D213,DHHVar,0))</f>
        <v>3.377694391055175</v>
      </c>
      <c r="V213" s="203">
        <f>INDEX(DHHVal,MATCH(CtryCode&amp;".distn.bsh."&amp;V$10&amp;$E213&amp;V$9&amp;V$11,DHHKey,0),MATCH($D213,DHHVar,0))</f>
        <v>3.706393245471088</v>
      </c>
      <c r="W213" s="207" t="str">
        <f>IF(X$5=K$5,SUM(Y213:AI213)-SUM(L213:V213),"")</f>
        <v/>
      </c>
      <c r="X213" s="9" t="str">
        <f>LOWER(CtryCode)&amp;".distn."&amp;$A213&amp;IF($B213="","","."&amp;$B213)&amp;IF($C213="","",".dec."&amp;$C213)&amp;"."&amp;X$5</f>
        <v>egy.distn.bsh.ely.dec.urb.2</v>
      </c>
      <c r="Y213" s="208">
        <f>INDEX(DHHVal,MATCH(CtryCode&amp;".distn.bsh."&amp;Y$10&amp;$E213&amp;Y$9&amp;Y$11,DHHKey,0),MATCH($D213,DHHVar,0))</f>
        <v>3.629762473448341</v>
      </c>
      <c r="Z213" s="203">
        <f>INDEX(DHHVal,MATCH(CtryCode&amp;".distn.bsh."&amp;Z$10&amp;$E213&amp;Z$9&amp;Z$11,DHHKey,0),MATCH($D213,DHHVar,0))</f>
        <v>3.55452048907051</v>
      </c>
      <c r="AA213" s="203">
        <f>INDEX(DHHVal,MATCH(CtryCode&amp;".distn.bsh."&amp;AA$10&amp;$E213&amp;AA$9&amp;AA$11,DHHKey,0),MATCH($D213,DHHVar,0))</f>
        <v>3.240724390989204</v>
      </c>
      <c r="AB213" s="203">
        <f>INDEX(DHHVal,MATCH(CtryCode&amp;".distn.bsh."&amp;AB$10&amp;$E213&amp;AB$9&amp;AB$11,DHHKey,0),MATCH($D213,DHHVar,0))</f>
        <v>3.441799663455984</v>
      </c>
      <c r="AC213" s="203">
        <f>INDEX(DHHVal,MATCH(CtryCode&amp;".distn.bsh."&amp;AC$10&amp;$E213&amp;AC$9&amp;AC$11,DHHKey,0),MATCH($D213,DHHVar,0))</f>
        <v>3.262083431104834</v>
      </c>
      <c r="AD213" s="203">
        <f>INDEX(DHHVal,MATCH(CtryCode&amp;".distn.bsh."&amp;AD$10&amp;$E213&amp;AD$9&amp;AD$11,DHHKey,0),MATCH($D213,DHHVar,0))</f>
        <v>3.141773697992912</v>
      </c>
      <c r="AE213" s="203">
        <f>INDEX(DHHVal,MATCH(CtryCode&amp;".distn.bsh."&amp;AE$10&amp;$E213&amp;AE$9&amp;AE$11,DHHKey,0),MATCH($D213,DHHVar,0))</f>
        <v>3.13223180160709</v>
      </c>
      <c r="AF213" s="203">
        <f>INDEX(DHHVal,MATCH(CtryCode&amp;".distn.bsh."&amp;AF$10&amp;$E213&amp;AF$9&amp;AF$11,DHHKey,0),MATCH($D213,DHHVar,0))</f>
        <v>3.480589636108443</v>
      </c>
      <c r="AG213" s="203">
        <f>INDEX(DHHVal,MATCH(CtryCode&amp;".distn.bsh."&amp;AG$10&amp;$E213&amp;AG$9&amp;AG$11,DHHKey,0),MATCH($D213,DHHVar,0))</f>
        <v>3.386240193152231</v>
      </c>
      <c r="AH213" s="203">
        <f>INDEX(DHHVal,MATCH(CtryCode&amp;".distn.bsh."&amp;AH$10&amp;$E213&amp;AH$9&amp;AH$11,DHHKey,0),MATCH($D213,DHHVar,0))</f>
        <v>3.377694391055175</v>
      </c>
      <c r="AI213" s="203">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33" t="inlineStr">
        <is>
          <t>HHSurvey</t>
        </is>
      </c>
      <c r="K214" s="9" t="str">
        <f>LOWER(CtryCode)&amp;".distn."&amp;$A214&amp;IF($B214="","","."&amp;$B214)&amp;IF($C214="","",".dec."&amp;$C214)&amp;"."&amp;K$5</f>
        <v>egy.distn.bsh.nga.dec.urb.1</v>
      </c>
      <c r="L214" s="208">
        <f>INDEX(DHHVal,MATCH(CtryCode&amp;".distn.bsh."&amp;L$10&amp;$E214&amp;L$9&amp;L$11,DHHKey,0),MATCH($D214,DHHVar,0))</f>
        <v>0.7473761018485006</v>
      </c>
      <c r="M214" s="203">
        <f>INDEX(DHHVal,MATCH(CtryCode&amp;".distn.bsh."&amp;M$10&amp;$E214&amp;M$9&amp;M$11,DHHKey,0),MATCH($D214,DHHVar,0))</f>
        <v>0.6757678311632994</v>
      </c>
      <c r="N214" s="203">
        <f>INDEX(DHHVal,MATCH(CtryCode&amp;".distn.bsh."&amp;N$10&amp;$E214&amp;N$9&amp;N$11,DHHKey,0),MATCH($D214,DHHVar,0))</f>
        <v>0.6373320509647561</v>
      </c>
      <c r="O214" s="203">
        <f>INDEX(DHHVal,MATCH(CtryCode&amp;".distn.bsh."&amp;O$10&amp;$E214&amp;O$9&amp;O$11,DHHKey,0),MATCH($D214,DHHVar,0))</f>
        <v>0.6503008609963807</v>
      </c>
      <c r="P214" s="203">
        <f>INDEX(DHHVal,MATCH(CtryCode&amp;".distn.bsh."&amp;P$10&amp;$E214&amp;P$9&amp;P$11,DHHKey,0),MATCH($D214,DHHVar,0))</f>
        <v>0.6402445071895492</v>
      </c>
      <c r="Q214" s="203">
        <f>INDEX(DHHVal,MATCH(CtryCode&amp;".distn.bsh."&amp;Q$10&amp;$E214&amp;Q$9&amp;Q$11,DHHKey,0),MATCH($D214,DHHVar,0))</f>
        <v>0.7312745728098289</v>
      </c>
      <c r="R214" s="203">
        <f>INDEX(DHHVal,MATCH(CtryCode&amp;".distn.bsh."&amp;R$10&amp;$E214&amp;R$9&amp;R$11,DHHKey,0),MATCH($D214,DHHVar,0))</f>
        <v>0.7095679722634476</v>
      </c>
      <c r="S214" s="203">
        <f>INDEX(DHHVal,MATCH(CtryCode&amp;".distn.bsh."&amp;S$10&amp;$E214&amp;S$9&amp;S$11,DHHKey,0),MATCH($D214,DHHVar,0))</f>
        <v>0.8140610154255962</v>
      </c>
      <c r="T214" s="203">
        <f>INDEX(DHHVal,MATCH(CtryCode&amp;".distn.bsh."&amp;T$10&amp;$E214&amp;T$9&amp;T$11,DHHKey,0),MATCH($D214,DHHVar,0))</f>
        <v>0.7944280751426372</v>
      </c>
      <c r="U214" s="203">
        <f>INDEX(DHHVal,MATCH(CtryCode&amp;".distn.bsh."&amp;U$10&amp;$E214&amp;U$9&amp;U$11,DHHKey,0),MATCH($D214,DHHVar,0))</f>
        <v>0.8318338421506033</v>
      </c>
      <c r="V214" s="203">
        <f>INDEX(DHHVal,MATCH(CtryCode&amp;".distn.bsh."&amp;V$10&amp;$E214&amp;V$9&amp;V$11,DHHKey,0),MATCH($D214,DHHVar,0))</f>
        <v>0.8518410383375894</v>
      </c>
      <c r="W214" s="207" t="str">
        <f>IF(X$5=K$5,SUM(Y214:AI214)-SUM(L214:V214),"")</f>
        <v/>
      </c>
      <c r="X214" s="9" t="str">
        <f>LOWER(CtryCode)&amp;".distn."&amp;$A214&amp;IF($B214="","","."&amp;$B214)&amp;IF($C214="","",".dec."&amp;$C214)&amp;"."&amp;X$5</f>
        <v>egy.distn.bsh.nga.dec.urb.2</v>
      </c>
      <c r="Y214" s="208">
        <f>INDEX(DHHVal,MATCH(CtryCode&amp;".distn.bsh."&amp;Y$10&amp;$E214&amp;Y$9&amp;Y$11,DHHKey,0),MATCH($D214,DHHVar,0))</f>
        <v>0.7473761018485006</v>
      </c>
      <c r="Z214" s="203">
        <f>INDEX(DHHVal,MATCH(CtryCode&amp;".distn.bsh."&amp;Z$10&amp;$E214&amp;Z$9&amp;Z$11,DHHKey,0),MATCH($D214,DHHVar,0))</f>
        <v>0.6757678311632994</v>
      </c>
      <c r="AA214" s="203">
        <f>INDEX(DHHVal,MATCH(CtryCode&amp;".distn.bsh."&amp;AA$10&amp;$E214&amp;AA$9&amp;AA$11,DHHKey,0),MATCH($D214,DHHVar,0))</f>
        <v>0.6373320509647561</v>
      </c>
      <c r="AB214" s="203">
        <f>INDEX(DHHVal,MATCH(CtryCode&amp;".distn.bsh."&amp;AB$10&amp;$E214&amp;AB$9&amp;AB$11,DHHKey,0),MATCH($D214,DHHVar,0))</f>
        <v>0.6503008609963807</v>
      </c>
      <c r="AC214" s="203">
        <f>INDEX(DHHVal,MATCH(CtryCode&amp;".distn.bsh."&amp;AC$10&amp;$E214&amp;AC$9&amp;AC$11,DHHKey,0),MATCH($D214,DHHVar,0))</f>
        <v>0.6402445071895492</v>
      </c>
      <c r="AD214" s="203">
        <f>INDEX(DHHVal,MATCH(CtryCode&amp;".distn.bsh."&amp;AD$10&amp;$E214&amp;AD$9&amp;AD$11,DHHKey,0),MATCH($D214,DHHVar,0))</f>
        <v>0.7312745728098289</v>
      </c>
      <c r="AE214" s="203">
        <f>INDEX(DHHVal,MATCH(CtryCode&amp;".distn.bsh."&amp;AE$10&amp;$E214&amp;AE$9&amp;AE$11,DHHKey,0),MATCH($D214,DHHVar,0))</f>
        <v>0.7095679722634476</v>
      </c>
      <c r="AF214" s="203">
        <f>INDEX(DHHVal,MATCH(CtryCode&amp;".distn.bsh."&amp;AF$10&amp;$E214&amp;AF$9&amp;AF$11,DHHKey,0),MATCH($D214,DHHVar,0))</f>
        <v>0.8140610154255962</v>
      </c>
      <c r="AG214" s="203">
        <f>INDEX(DHHVal,MATCH(CtryCode&amp;".distn.bsh."&amp;AG$10&amp;$E214&amp;AG$9&amp;AG$11,DHHKey,0),MATCH($D214,DHHVar,0))</f>
        <v>0.7944280751426372</v>
      </c>
      <c r="AH214" s="203">
        <f>INDEX(DHHVal,MATCH(CtryCode&amp;".distn.bsh."&amp;AH$10&amp;$E214&amp;AH$9&amp;AH$11,DHHKey,0),MATCH($D214,DHHVar,0))</f>
        <v>0.8318338421506033</v>
      </c>
      <c r="AI214" s="203">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33" t="inlineStr">
        <is>
          <t>HHSurvey</t>
        </is>
      </c>
      <c r="K215" s="9" t="str">
        <f>LOWER(CtryCode)&amp;".distn."&amp;$A215&amp;IF($B215="","","."&amp;$B215)&amp;IF($C215="","",".dec."&amp;$C215)&amp;"."&amp;K$5</f>
        <v>egy.distn.bsh.oil.dec.urb.1</v>
      </c>
      <c r="L215" s="208">
        <f>INDEX(DHHVal,MATCH(CtryCode&amp;".distn.bsh."&amp;L$10&amp;$E215&amp;L$9&amp;L$11,DHHKey,0),MATCH($D215,DHHVar,0))</f>
        <v>0.1202021038091617</v>
      </c>
      <c r="M215" s="203">
        <f>INDEX(DHHVal,MATCH(CtryCode&amp;".distn.bsh."&amp;M$10&amp;$E215&amp;M$9&amp;M$11,DHHKey,0),MATCH($D215,DHHVar,0))</f>
        <v>0.09009046459154293</v>
      </c>
      <c r="N215" s="203">
        <f>INDEX(DHHVal,MATCH(CtryCode&amp;".distn.bsh."&amp;N$10&amp;$E215&amp;N$9&amp;N$11,DHHKey,0),MATCH($D215,DHHVar,0))</f>
        <v>0.09633643702447033</v>
      </c>
      <c r="O215" s="203">
        <f>INDEX(DHHVal,MATCH(CtryCode&amp;".distn.bsh."&amp;O$10&amp;$E215&amp;O$9&amp;O$11,DHHKey,0),MATCH($D215,DHHVar,0))</f>
        <v>0.0816365145133352</v>
      </c>
      <c r="P215" s="203">
        <f>INDEX(DHHVal,MATCH(CtryCode&amp;".distn.bsh."&amp;P$10&amp;$E215&amp;P$9&amp;P$11,DHHKey,0),MATCH($D215,DHHVar,0))</f>
        <v>0.115563842611627</v>
      </c>
      <c r="Q215" s="203">
        <f>INDEX(DHHVal,MATCH(CtryCode&amp;".distn.bsh."&amp;Q$10&amp;$E215&amp;Q$9&amp;Q$11,DHHKey,0),MATCH($D215,DHHVar,0))</f>
        <v>0.1365879055836253</v>
      </c>
      <c r="R215" s="203">
        <f>INDEX(DHHVal,MATCH(CtryCode&amp;".distn.bsh."&amp;R$10&amp;$E215&amp;R$9&amp;R$11,DHHKey,0),MATCH($D215,DHHVar,0))</f>
        <v>0.09841155925573945</v>
      </c>
      <c r="S215" s="203">
        <f>INDEX(DHHVal,MATCH(CtryCode&amp;".distn.bsh."&amp;S$10&amp;$E215&amp;S$9&amp;S$11,DHHKey,0),MATCH($D215,DHHVar,0))</f>
        <v>0.1583933005022574</v>
      </c>
      <c r="T215" s="203">
        <f>INDEX(DHHVal,MATCH(CtryCode&amp;".distn.bsh."&amp;T$10&amp;$E215&amp;T$9&amp;T$11,DHHKey,0),MATCH($D215,DHHVar,0))</f>
        <v>0.1420322627160427</v>
      </c>
      <c r="U215" s="203">
        <f>INDEX(DHHVal,MATCH(CtryCode&amp;".distn.bsh."&amp;U$10&amp;$E215&amp;U$9&amp;U$11,DHHKey,0),MATCH($D215,DHHVar,0))</f>
        <v>0.159041513450425</v>
      </c>
      <c r="V215" s="203">
        <f>INDEX(DHHVal,MATCH(CtryCode&amp;".distn.bsh."&amp;V$10&amp;$E215&amp;V$9&amp;V$11,DHHKey,0),MATCH($D215,DHHVar,0))</f>
        <v>0.1737962560265005</v>
      </c>
      <c r="W215" s="207" t="str">
        <f>IF(X$5=K$5,SUM(Y215:AI215)-SUM(L215:V215),"")</f>
        <v/>
      </c>
      <c r="X215" s="9" t="str">
        <f>LOWER(CtryCode)&amp;".distn."&amp;$A215&amp;IF($B215="","","."&amp;$B215)&amp;IF($C215="","",".dec."&amp;$C215)&amp;"."&amp;X$5</f>
        <v>egy.distn.bsh.oil.dec.urb.2</v>
      </c>
      <c r="Y215" s="208">
        <f>INDEX(DHHVal,MATCH(CtryCode&amp;".distn.bsh."&amp;Y$10&amp;$E215&amp;Y$9&amp;Y$11,DHHKey,0),MATCH($D215,DHHVar,0))</f>
        <v>0.1202021038091617</v>
      </c>
      <c r="Z215" s="203">
        <f>INDEX(DHHVal,MATCH(CtryCode&amp;".distn.bsh."&amp;Z$10&amp;$E215&amp;Z$9&amp;Z$11,DHHKey,0),MATCH($D215,DHHVar,0))</f>
        <v>0.09009046459154293</v>
      </c>
      <c r="AA215" s="203">
        <f>INDEX(DHHVal,MATCH(CtryCode&amp;".distn.bsh."&amp;AA$10&amp;$E215&amp;AA$9&amp;AA$11,DHHKey,0),MATCH($D215,DHHVar,0))</f>
        <v>0.09633643702447033</v>
      </c>
      <c r="AB215" s="203">
        <f>INDEX(DHHVal,MATCH(CtryCode&amp;".distn.bsh."&amp;AB$10&amp;$E215&amp;AB$9&amp;AB$11,DHHKey,0),MATCH($D215,DHHVar,0))</f>
        <v>0.0816365145133352</v>
      </c>
      <c r="AC215" s="203">
        <f>INDEX(DHHVal,MATCH(CtryCode&amp;".distn.bsh."&amp;AC$10&amp;$E215&amp;AC$9&amp;AC$11,DHHKey,0),MATCH($D215,DHHVar,0))</f>
        <v>0.115563842611627</v>
      </c>
      <c r="AD215" s="203">
        <f>INDEX(DHHVal,MATCH(CtryCode&amp;".distn.bsh."&amp;AD$10&amp;$E215&amp;AD$9&amp;AD$11,DHHKey,0),MATCH($D215,DHHVar,0))</f>
        <v>0.1365879055836253</v>
      </c>
      <c r="AE215" s="203">
        <f>INDEX(DHHVal,MATCH(CtryCode&amp;".distn.bsh."&amp;AE$10&amp;$E215&amp;AE$9&amp;AE$11,DHHKey,0),MATCH($D215,DHHVar,0))</f>
        <v>0.09841155925573945</v>
      </c>
      <c r="AF215" s="203">
        <f>INDEX(DHHVal,MATCH(CtryCode&amp;".distn.bsh."&amp;AF$10&amp;$E215&amp;AF$9&amp;AF$11,DHHKey,0),MATCH($D215,DHHVar,0))</f>
        <v>0.1583933005022574</v>
      </c>
      <c r="AG215" s="203">
        <f>INDEX(DHHVal,MATCH(CtryCode&amp;".distn.bsh."&amp;AG$10&amp;$E215&amp;AG$9&amp;AG$11,DHHKey,0),MATCH($D215,DHHVar,0))</f>
        <v>0.1420322627160427</v>
      </c>
      <c r="AH215" s="203">
        <f>INDEX(DHHVal,MATCH(CtryCode&amp;".distn.bsh."&amp;AH$10&amp;$E215&amp;AH$9&amp;AH$11,DHHKey,0),MATCH($D215,DHHVar,0))</f>
        <v>0.159041513450425</v>
      </c>
      <c r="AI215" s="203">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33" t="inlineStr">
        <is>
          <t>HHSurvey</t>
        </is>
      </c>
      <c r="K216" s="9" t="str">
        <f>LOWER(CtryCode)&amp;".distn."&amp;$A216&amp;IF($B216="","","."&amp;$B216)&amp;IF($C216="","",".dec."&amp;$C216)&amp;"."&amp;K$5</f>
        <v>egy.distn.bsh.gso.dec.urb.1</v>
      </c>
      <c r="L216" s="208">
        <f>INDEX(DHHVal,MATCH(CtryCode&amp;".distn.bsh."&amp;L$10&amp;$E216&amp;L$9&amp;L$11,DHHKey,0),MATCH($D216,DHHVar,0))</f>
        <v>0.5947036647912585</v>
      </c>
      <c r="M216" s="203">
        <f>INDEX(DHHVal,MATCH(CtryCode&amp;".distn.bsh."&amp;M$10&amp;$E216&amp;M$9&amp;M$11,DHHKey,0),MATCH($D216,DHHVar,0))</f>
        <v>0.2623812555696599</v>
      </c>
      <c r="N216" s="203">
        <f>INDEX(DHHVal,MATCH(CtryCode&amp;".distn.bsh."&amp;N$10&amp;$E216&amp;N$9&amp;N$11,DHHKey,0),MATCH($D216,DHHVar,0))</f>
        <v>0.3823643471242095</v>
      </c>
      <c r="O216" s="203">
        <f>INDEX(DHHVal,MATCH(CtryCode&amp;".distn.bsh."&amp;O$10&amp;$E216&amp;O$9&amp;O$11,DHHKey,0),MATCH($D216,DHHVar,0))</f>
        <v>0.4291628902517697</v>
      </c>
      <c r="P216" s="203">
        <f>INDEX(DHHVal,MATCH(CtryCode&amp;".distn.bsh."&amp;P$10&amp;$E216&amp;P$9&amp;P$11,DHHKey,0),MATCH($D216,DHHVar,0))</f>
        <v>0.5168642237174121</v>
      </c>
      <c r="Q216" s="203">
        <f>INDEX(DHHVal,MATCH(CtryCode&amp;".distn.bsh."&amp;Q$10&amp;$E216&amp;Q$9&amp;Q$11,DHHKey,0),MATCH($D216,DHHVar,0))</f>
        <v>0.5247433923760948</v>
      </c>
      <c r="R216" s="203">
        <f>INDEX(DHHVal,MATCH(CtryCode&amp;".distn.bsh."&amp;R$10&amp;$E216&amp;R$9&amp;R$11,DHHKey,0),MATCH($D216,DHHVar,0))</f>
        <v>0.5997385367151822</v>
      </c>
      <c r="S216" s="203">
        <f>INDEX(DHHVal,MATCH(CtryCode&amp;".distn.bsh."&amp;S$10&amp;$E216&amp;S$9&amp;S$11,DHHKey,0),MATCH($D216,DHHVar,0))</f>
        <v>0.7354387203369419</v>
      </c>
      <c r="T216" s="203">
        <f>INDEX(DHHVal,MATCH(CtryCode&amp;".distn.bsh."&amp;T$10&amp;$E216&amp;T$9&amp;T$11,DHHKey,0),MATCH($D216,DHHVar,0))</f>
        <v>0.6422343000135791</v>
      </c>
      <c r="U216" s="203">
        <f>INDEX(DHHVal,MATCH(CtryCode&amp;".distn.bsh."&amp;U$10&amp;$E216&amp;U$9&amp;U$11,DHHKey,0),MATCH($D216,DHHVar,0))</f>
        <v>0.866238332862026</v>
      </c>
      <c r="V216" s="203">
        <f>INDEX(DHHVal,MATCH(CtryCode&amp;".distn.bsh."&amp;V$10&amp;$E216&amp;V$9&amp;V$11,DHHKey,0),MATCH($D216,DHHVar,0))</f>
        <v>0.9423415410350208</v>
      </c>
      <c r="W216" s="207" t="str">
        <f>IF(X$5=K$5,SUM(Y216:AI216)-SUM(L216:V216),"")</f>
        <v/>
      </c>
      <c r="X216" s="9" t="str">
        <f>LOWER(CtryCode)&amp;".distn."&amp;$A216&amp;IF($B216="","","."&amp;$B216)&amp;IF($C216="","",".dec."&amp;$C216)&amp;"."&amp;X$5</f>
        <v>egy.distn.bsh.gso.dec.urb.2</v>
      </c>
      <c r="Y216" s="208">
        <f>INDEX(DHHVal,MATCH(CtryCode&amp;".distn.bsh."&amp;Y$10&amp;$E216&amp;Y$9&amp;Y$11,DHHKey,0),MATCH($D216,DHHVar,0))</f>
        <v>0.5947036647912585</v>
      </c>
      <c r="Z216" s="203">
        <f>INDEX(DHHVal,MATCH(CtryCode&amp;".distn.bsh."&amp;Z$10&amp;$E216&amp;Z$9&amp;Z$11,DHHKey,0),MATCH($D216,DHHVar,0))</f>
        <v>0.2623812555696599</v>
      </c>
      <c r="AA216" s="203">
        <f>INDEX(DHHVal,MATCH(CtryCode&amp;".distn.bsh."&amp;AA$10&amp;$E216&amp;AA$9&amp;AA$11,DHHKey,0),MATCH($D216,DHHVar,0))</f>
        <v>0.3823643471242095</v>
      </c>
      <c r="AB216" s="203">
        <f>INDEX(DHHVal,MATCH(CtryCode&amp;".distn.bsh."&amp;AB$10&amp;$E216&amp;AB$9&amp;AB$11,DHHKey,0),MATCH($D216,DHHVar,0))</f>
        <v>0.4291628902517697</v>
      </c>
      <c r="AC216" s="203">
        <f>INDEX(DHHVal,MATCH(CtryCode&amp;".distn.bsh."&amp;AC$10&amp;$E216&amp;AC$9&amp;AC$11,DHHKey,0),MATCH($D216,DHHVar,0))</f>
        <v>0.5168642237174121</v>
      </c>
      <c r="AD216" s="203">
        <f>INDEX(DHHVal,MATCH(CtryCode&amp;".distn.bsh."&amp;AD$10&amp;$E216&amp;AD$9&amp;AD$11,DHHKey,0),MATCH($D216,DHHVar,0))</f>
        <v>0.5247433923760948</v>
      </c>
      <c r="AE216" s="203">
        <f>INDEX(DHHVal,MATCH(CtryCode&amp;".distn.bsh."&amp;AE$10&amp;$E216&amp;AE$9&amp;AE$11,DHHKey,0),MATCH($D216,DHHVar,0))</f>
        <v>0.5997385367151822</v>
      </c>
      <c r="AF216" s="203">
        <f>INDEX(DHHVal,MATCH(CtryCode&amp;".distn.bsh."&amp;AF$10&amp;$E216&amp;AF$9&amp;AF$11,DHHKey,0),MATCH($D216,DHHVar,0))</f>
        <v>0.7354387203369419</v>
      </c>
      <c r="AG216" s="203">
        <f>INDEX(DHHVal,MATCH(CtryCode&amp;".distn.bsh."&amp;AG$10&amp;$E216&amp;AG$9&amp;AG$11,DHHKey,0),MATCH($D216,DHHVar,0))</f>
        <v>0.6422343000135791</v>
      </c>
      <c r="AH216" s="203">
        <f>INDEX(DHHVal,MATCH(CtryCode&amp;".distn.bsh."&amp;AH$10&amp;$E216&amp;AH$9&amp;AH$11,DHHKey,0),MATCH($D216,DHHVar,0))</f>
        <v>0.866238332862026</v>
      </c>
      <c r="AI216" s="203">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33" t="inlineStr">
        <is>
          <t>HHSurvey</t>
        </is>
      </c>
      <c r="K217" s="9" t="str">
        <f>LOWER(CtryCode)&amp;".distn."&amp;$A217&amp;IF($B217="","","."&amp;$B217)&amp;IF($C217="","",".dec."&amp;$C217)&amp;"."&amp;K$5</f>
        <v>egy.distn.bsh.die.dec.urb.1</v>
      </c>
      <c r="L217" s="208">
        <f>INDEX(DHHVal,MATCH(CtryCode&amp;".distn.bsh."&amp;L$10&amp;$E217&amp;L$9&amp;L$11,DHHKey,0),MATCH($D217,DHHVar,0))</f>
        <v>0.0</v>
      </c>
      <c r="M217" s="203">
        <f>INDEX(DHHVal,MATCH(CtryCode&amp;".distn.bsh."&amp;M$10&amp;$E217&amp;M$9&amp;M$11,DHHKey,0),MATCH($D217,DHHVar,0))</f>
        <v>0.0</v>
      </c>
      <c r="N217" s="203">
        <f>INDEX(DHHVal,MATCH(CtryCode&amp;".distn.bsh."&amp;N$10&amp;$E217&amp;N$9&amp;N$11,DHHKey,0),MATCH($D217,DHHVar,0))</f>
        <v>0.0</v>
      </c>
      <c r="O217" s="203">
        <f>INDEX(DHHVal,MATCH(CtryCode&amp;".distn.bsh."&amp;O$10&amp;$E217&amp;O$9&amp;O$11,DHHKey,0),MATCH($D217,DHHVar,0))</f>
        <v>0.0</v>
      </c>
      <c r="P217" s="203">
        <f>INDEX(DHHVal,MATCH(CtryCode&amp;".distn.bsh."&amp;P$10&amp;$E217&amp;P$9&amp;P$11,DHHKey,0),MATCH($D217,DHHVar,0))</f>
        <v>0.0</v>
      </c>
      <c r="Q217" s="203">
        <f>INDEX(DHHVal,MATCH(CtryCode&amp;".distn.bsh."&amp;Q$10&amp;$E217&amp;Q$9&amp;Q$11,DHHKey,0),MATCH($D217,DHHVar,0))</f>
        <v>0.0</v>
      </c>
      <c r="R217" s="203">
        <f>INDEX(DHHVal,MATCH(CtryCode&amp;".distn.bsh."&amp;R$10&amp;$E217&amp;R$9&amp;R$11,DHHKey,0),MATCH($D217,DHHVar,0))</f>
        <v>0.0</v>
      </c>
      <c r="S217" s="203">
        <f>INDEX(DHHVal,MATCH(CtryCode&amp;".distn.bsh."&amp;S$10&amp;$E217&amp;S$9&amp;S$11,DHHKey,0),MATCH($D217,DHHVar,0))</f>
        <v>0.0</v>
      </c>
      <c r="T217" s="203">
        <f>INDEX(DHHVal,MATCH(CtryCode&amp;".distn.bsh."&amp;T$10&amp;$E217&amp;T$9&amp;T$11,DHHKey,0),MATCH($D217,DHHVar,0))</f>
        <v>0.0</v>
      </c>
      <c r="U217" s="203">
        <f>INDEX(DHHVal,MATCH(CtryCode&amp;".distn.bsh."&amp;U$10&amp;$E217&amp;U$9&amp;U$11,DHHKey,0),MATCH($D217,DHHVar,0))</f>
        <v>0.0</v>
      </c>
      <c r="V217" s="203">
        <f>INDEX(DHHVal,MATCH(CtryCode&amp;".distn.bsh."&amp;V$10&amp;$E217&amp;V$9&amp;V$11,DHHKey,0),MATCH($D217,DHHVar,0))</f>
        <v>0.0</v>
      </c>
      <c r="W217" s="207" t="str">
        <f>IF(X$5=K$5,SUM(Y217:AI217)-SUM(L217:V217),"")</f>
        <v/>
      </c>
      <c r="X217" s="9" t="str">
        <f>LOWER(CtryCode)&amp;".distn."&amp;$A217&amp;IF($B217="","","."&amp;$B217)&amp;IF($C217="","",".dec."&amp;$C217)&amp;"."&amp;X$5</f>
        <v>egy.distn.bsh.die.dec.urb.2</v>
      </c>
      <c r="Y217" s="208">
        <f>INDEX(DHHVal,MATCH(CtryCode&amp;".distn.bsh."&amp;Y$10&amp;$E217&amp;Y$9&amp;Y$11,DHHKey,0),MATCH($D217,DHHVar,0))</f>
        <v>0.0</v>
      </c>
      <c r="Z217" s="203">
        <f>INDEX(DHHVal,MATCH(CtryCode&amp;".distn.bsh."&amp;Z$10&amp;$E217&amp;Z$9&amp;Z$11,DHHKey,0),MATCH($D217,DHHVar,0))</f>
        <v>0.0</v>
      </c>
      <c r="AA217" s="203">
        <f>INDEX(DHHVal,MATCH(CtryCode&amp;".distn.bsh."&amp;AA$10&amp;$E217&amp;AA$9&amp;AA$11,DHHKey,0),MATCH($D217,DHHVar,0))</f>
        <v>0.0</v>
      </c>
      <c r="AB217" s="203">
        <f>INDEX(DHHVal,MATCH(CtryCode&amp;".distn.bsh."&amp;AB$10&amp;$E217&amp;AB$9&amp;AB$11,DHHKey,0),MATCH($D217,DHHVar,0))</f>
        <v>0.0</v>
      </c>
      <c r="AC217" s="203">
        <f>INDEX(DHHVal,MATCH(CtryCode&amp;".distn.bsh."&amp;AC$10&amp;$E217&amp;AC$9&amp;AC$11,DHHKey,0),MATCH($D217,DHHVar,0))</f>
        <v>0.0</v>
      </c>
      <c r="AD217" s="203">
        <f>INDEX(DHHVal,MATCH(CtryCode&amp;".distn.bsh."&amp;AD$10&amp;$E217&amp;AD$9&amp;AD$11,DHHKey,0),MATCH($D217,DHHVar,0))</f>
        <v>0.0</v>
      </c>
      <c r="AE217" s="203">
        <f>INDEX(DHHVal,MATCH(CtryCode&amp;".distn.bsh."&amp;AE$10&amp;$E217&amp;AE$9&amp;AE$11,DHHKey,0),MATCH($D217,DHHVar,0))</f>
        <v>0.0</v>
      </c>
      <c r="AF217" s="203">
        <f>INDEX(DHHVal,MATCH(CtryCode&amp;".distn.bsh."&amp;AF$10&amp;$E217&amp;AF$9&amp;AF$11,DHHKey,0),MATCH($D217,DHHVar,0))</f>
        <v>0.0</v>
      </c>
      <c r="AG217" s="203">
        <f>INDEX(DHHVal,MATCH(CtryCode&amp;".distn.bsh."&amp;AG$10&amp;$E217&amp;AG$9&amp;AG$11,DHHKey,0),MATCH($D217,DHHVar,0))</f>
        <v>0.0</v>
      </c>
      <c r="AH217" s="203">
        <f>INDEX(DHHVal,MATCH(CtryCode&amp;".distn.bsh."&amp;AH$10&amp;$E217&amp;AH$9&amp;AH$11,DHHKey,0),MATCH($D217,DHHVar,0))</f>
        <v>0.0</v>
      </c>
      <c r="AI217" s="203">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33" t="inlineStr">
        <is>
          <t>HHSurvey</t>
        </is>
      </c>
      <c r="K218" s="9" t="str">
        <f>LOWER(CtryCode)&amp;".distn."&amp;$A218&amp;IF($B218="","","."&amp;$B218)&amp;IF($C218="","",".dec."&amp;$C218)&amp;"."&amp;K$5</f>
        <v>egy.distn.bsh.ker.dec.urb.1</v>
      </c>
      <c r="L218" s="208">
        <f>INDEX(DHHVal,MATCH(CtryCode&amp;".distn.bsh."&amp;L$10&amp;$E218&amp;L$9&amp;L$11,DHHKey,0),MATCH($D218,DHHVar,0))</f>
        <v>5.320316503242209e-05</v>
      </c>
      <c r="M218" s="203">
        <f>INDEX(DHHVal,MATCH(CtryCode&amp;".distn.bsh."&amp;M$10&amp;$E218&amp;M$9&amp;M$11,DHHKey,0),MATCH($D218,DHHVar,0))</f>
        <v>3.073367142350549e-05</v>
      </c>
      <c r="N218" s="203">
        <f>INDEX(DHHVal,MATCH(CtryCode&amp;".distn.bsh."&amp;N$10&amp;$E218&amp;N$9&amp;N$11,DHHKey,0),MATCH($D218,DHHVar,0))</f>
        <v>0.0</v>
      </c>
      <c r="O218" s="203">
        <f>INDEX(DHHVal,MATCH(CtryCode&amp;".distn.bsh."&amp;O$10&amp;$E218&amp;O$9&amp;O$11,DHHKey,0),MATCH($D218,DHHVar,0))</f>
        <v>2.129113062974737e-05</v>
      </c>
      <c r="P218" s="203">
        <f>INDEX(DHHVal,MATCH(CtryCode&amp;".distn.bsh."&amp;P$10&amp;$E218&amp;P$9&amp;P$11,DHHKey,0),MATCH($D218,DHHVar,0))</f>
        <v>0.0</v>
      </c>
      <c r="Q218" s="203">
        <f>INDEX(DHHVal,MATCH(CtryCode&amp;".distn.bsh."&amp;Q$10&amp;$E218&amp;Q$9&amp;Q$11,DHHKey,0),MATCH($D218,DHHVar,0))</f>
        <v>8.727111462940936e-05</v>
      </c>
      <c r="R218" s="203">
        <f>INDEX(DHHVal,MATCH(CtryCode&amp;".distn.bsh."&amp;R$10&amp;$E218&amp;R$9&amp;R$11,DHHKey,0),MATCH($D218,DHHVar,0))</f>
        <v>4.563428153805475e-05</v>
      </c>
      <c r="S218" s="203">
        <f>INDEX(DHHVal,MATCH(CtryCode&amp;".distn.bsh."&amp;S$10&amp;$E218&amp;S$9&amp;S$11,DHHKey,0),MATCH($D218,DHHVar,0))</f>
        <v>0.0001126583580232338</v>
      </c>
      <c r="T218" s="203">
        <f>INDEX(DHHVal,MATCH(CtryCode&amp;".distn.bsh."&amp;T$10&amp;$E218&amp;T$9&amp;T$11,DHHKey,0),MATCH($D218,DHHVar,0))</f>
        <v>9.775831214528792e-05</v>
      </c>
      <c r="U218" s="203">
        <f>INDEX(DHHVal,MATCH(CtryCode&amp;".distn.bsh."&amp;U$10&amp;$E218&amp;U$9&amp;U$11,DHHKey,0),MATCH($D218,DHHVar,0))</f>
        <v>5.740115799837305e-05</v>
      </c>
      <c r="V218" s="203">
        <f>INDEX(DHHVal,MATCH(CtryCode&amp;".distn.bsh."&amp;V$10&amp;$E218&amp;V$9&amp;V$11,DHHKey,0),MATCH($D218,DHHVar,0))</f>
        <v>0.0001216903617061071</v>
      </c>
      <c r="W218" s="207" t="str">
        <f>IF(X$5=K$5,SUM(Y218:AI218)-SUM(L218:V218),"")</f>
        <v/>
      </c>
      <c r="X218" s="9" t="str">
        <f>LOWER(CtryCode)&amp;".distn."&amp;$A218&amp;IF($B218="","","."&amp;$B218)&amp;IF($C218="","",".dec."&amp;$C218)&amp;"."&amp;X$5</f>
        <v>egy.distn.bsh.ker.dec.urb.2</v>
      </c>
      <c r="Y218" s="208">
        <f>INDEX(DHHVal,MATCH(CtryCode&amp;".distn.bsh."&amp;Y$10&amp;$E218&amp;Y$9&amp;Y$11,DHHKey,0),MATCH($D218,DHHVar,0))</f>
        <v>5.320316503242209e-05</v>
      </c>
      <c r="Z218" s="203">
        <f>INDEX(DHHVal,MATCH(CtryCode&amp;".distn.bsh."&amp;Z$10&amp;$E218&amp;Z$9&amp;Z$11,DHHKey,0),MATCH($D218,DHHVar,0))</f>
        <v>3.073367142350549e-05</v>
      </c>
      <c r="AA218" s="203">
        <f>INDEX(DHHVal,MATCH(CtryCode&amp;".distn.bsh."&amp;AA$10&amp;$E218&amp;AA$9&amp;AA$11,DHHKey,0),MATCH($D218,DHHVar,0))</f>
        <v>0.0</v>
      </c>
      <c r="AB218" s="203">
        <f>INDEX(DHHVal,MATCH(CtryCode&amp;".distn.bsh."&amp;AB$10&amp;$E218&amp;AB$9&amp;AB$11,DHHKey,0),MATCH($D218,DHHVar,0))</f>
        <v>2.129113062974737e-05</v>
      </c>
      <c r="AC218" s="203">
        <f>INDEX(DHHVal,MATCH(CtryCode&amp;".distn.bsh."&amp;AC$10&amp;$E218&amp;AC$9&amp;AC$11,DHHKey,0),MATCH($D218,DHHVar,0))</f>
        <v>0.0</v>
      </c>
      <c r="AD218" s="203">
        <f>INDEX(DHHVal,MATCH(CtryCode&amp;".distn.bsh."&amp;AD$10&amp;$E218&amp;AD$9&amp;AD$11,DHHKey,0),MATCH($D218,DHHVar,0))</f>
        <v>8.727111462940936e-05</v>
      </c>
      <c r="AE218" s="203">
        <f>INDEX(DHHVal,MATCH(CtryCode&amp;".distn.bsh."&amp;AE$10&amp;$E218&amp;AE$9&amp;AE$11,DHHKey,0),MATCH($D218,DHHVar,0))</f>
        <v>4.563428153805475e-05</v>
      </c>
      <c r="AF218" s="203">
        <f>INDEX(DHHVal,MATCH(CtryCode&amp;".distn.bsh."&amp;AF$10&amp;$E218&amp;AF$9&amp;AF$11,DHHKey,0),MATCH($D218,DHHVar,0))</f>
        <v>0.0001126583580232338</v>
      </c>
      <c r="AG218" s="203">
        <f>INDEX(DHHVal,MATCH(CtryCode&amp;".distn.bsh."&amp;AG$10&amp;$E218&amp;AG$9&amp;AG$11,DHHKey,0),MATCH($D218,DHHVar,0))</f>
        <v>9.775831214528792e-05</v>
      </c>
      <c r="AH218" s="203">
        <f>INDEX(DHHVal,MATCH(CtryCode&amp;".distn.bsh."&amp;AH$10&amp;$E218&amp;AH$9&amp;AH$11,DHHKey,0),MATCH($D218,DHHVar,0))</f>
        <v>5.740115799837305e-05</v>
      </c>
      <c r="AI218" s="203">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33" t="inlineStr">
        <is>
          <t>HHSurvey</t>
        </is>
      </c>
      <c r="K219" s="9" t="str">
        <f>LOWER(CtryCode)&amp;".distn."&amp;$A219&amp;IF($B219="","","."&amp;$B219)&amp;IF($C219="","",".dec."&amp;$C219)&amp;"."&amp;K$5</f>
        <v>egy.distn.bsh.lpg.dec.urb.1</v>
      </c>
      <c r="L219" s="208">
        <f>INDEX(DHHVal,MATCH(CtryCode&amp;".distn.bsh."&amp;L$10&amp;$E219&amp;L$9&amp;L$11,DHHKey,0),MATCH($D219,DHHVar,0))</f>
        <v>0.9318141942051523</v>
      </c>
      <c r="M219" s="203">
        <f>INDEX(DHHVal,MATCH(CtryCode&amp;".distn.bsh."&amp;M$10&amp;$E219&amp;M$9&amp;M$11,DHHKey,0),MATCH($D219,DHHVar,0))</f>
        <v>1.82850426640524</v>
      </c>
      <c r="N219" s="203">
        <f>INDEX(DHHVal,MATCH(CtryCode&amp;".distn.bsh."&amp;N$10&amp;$E219&amp;N$9&amp;N$11,DHHKey,0),MATCH($D219,DHHVar,0))</f>
        <v>1.33813253054851</v>
      </c>
      <c r="O219" s="203">
        <f>INDEX(DHHVal,MATCH(CtryCode&amp;".distn.bsh."&amp;O$10&amp;$E219&amp;O$9&amp;O$11,DHHKey,0),MATCH($D219,DHHVar,0))</f>
        <v>1.147325470272983</v>
      </c>
      <c r="P219" s="203">
        <f>INDEX(DHHVal,MATCH(CtryCode&amp;".distn.bsh."&amp;P$10&amp;$E219&amp;P$9&amp;P$11,DHHKey,0),MATCH($D219,DHHVar,0))</f>
        <v>0.9727664818469559</v>
      </c>
      <c r="Q219" s="203">
        <f>INDEX(DHHVal,MATCH(CtryCode&amp;".distn.bsh."&amp;Q$10&amp;$E219&amp;Q$9&amp;Q$11,DHHKey,0),MATCH($D219,DHHVar,0))</f>
        <v>0.8314055113801688</v>
      </c>
      <c r="R219" s="203">
        <f>INDEX(DHHVal,MATCH(CtryCode&amp;".distn.bsh."&amp;R$10&amp;$E219&amp;R$9&amp;R$11,DHHKey,0),MATCH($D219,DHHVar,0))</f>
        <v>0.9281279208759083</v>
      </c>
      <c r="S219" s="203">
        <f>INDEX(DHHVal,MATCH(CtryCode&amp;".distn.bsh."&amp;S$10&amp;$E219&amp;S$9&amp;S$11,DHHKey,0),MATCH($D219,DHHVar,0))</f>
        <v>0.8766381073717103</v>
      </c>
      <c r="T219" s="203">
        <f>INDEX(DHHVal,MATCH(CtryCode&amp;".distn.bsh."&amp;T$10&amp;$E219&amp;T$9&amp;T$11,DHHKey,0),MATCH($D219,DHHVar,0))</f>
        <v>0.6667275542929421</v>
      </c>
      <c r="U219" s="203">
        <f>INDEX(DHHVal,MATCH(CtryCode&amp;".distn.bsh."&amp;U$10&amp;$E219&amp;U$9&amp;U$11,DHHKey,0),MATCH($D219,DHHVar,0))</f>
        <v>0.6914494068887019</v>
      </c>
      <c r="V219" s="203">
        <f>INDEX(DHHVal,MATCH(CtryCode&amp;".distn.bsh."&amp;V$10&amp;$E219&amp;V$9&amp;V$11,DHHKey,0),MATCH($D219,DHHVar,0))</f>
        <v>0.5111390636348002</v>
      </c>
      <c r="W219" s="207" t="str">
        <f>IF(X$5=K$5,SUM(Y219:AI219)-SUM(L219:V219),"")</f>
        <v/>
      </c>
      <c r="X219" s="9" t="str">
        <f>LOWER(CtryCode)&amp;".distn."&amp;$A219&amp;IF($B219="","","."&amp;$B219)&amp;IF($C219="","",".dec."&amp;$C219)&amp;"."&amp;X$5</f>
        <v>egy.distn.bsh.lpg.dec.urb.2</v>
      </c>
      <c r="Y219" s="208">
        <f>INDEX(DHHVal,MATCH(CtryCode&amp;".distn.bsh."&amp;Y$10&amp;$E219&amp;Y$9&amp;Y$11,DHHKey,0),MATCH($D219,DHHVar,0))</f>
        <v>0.9318141942051523</v>
      </c>
      <c r="Z219" s="203">
        <f>INDEX(DHHVal,MATCH(CtryCode&amp;".distn.bsh."&amp;Z$10&amp;$E219&amp;Z$9&amp;Z$11,DHHKey,0),MATCH($D219,DHHVar,0))</f>
        <v>1.82850426640524</v>
      </c>
      <c r="AA219" s="203">
        <f>INDEX(DHHVal,MATCH(CtryCode&amp;".distn.bsh."&amp;AA$10&amp;$E219&amp;AA$9&amp;AA$11,DHHKey,0),MATCH($D219,DHHVar,0))</f>
        <v>1.33813253054851</v>
      </c>
      <c r="AB219" s="203">
        <f>INDEX(DHHVal,MATCH(CtryCode&amp;".distn.bsh."&amp;AB$10&amp;$E219&amp;AB$9&amp;AB$11,DHHKey,0),MATCH($D219,DHHVar,0))</f>
        <v>1.147325470272983</v>
      </c>
      <c r="AC219" s="203">
        <f>INDEX(DHHVal,MATCH(CtryCode&amp;".distn.bsh."&amp;AC$10&amp;$E219&amp;AC$9&amp;AC$11,DHHKey,0),MATCH($D219,DHHVar,0))</f>
        <v>0.9727664818469559</v>
      </c>
      <c r="AD219" s="203">
        <f>INDEX(DHHVal,MATCH(CtryCode&amp;".distn.bsh."&amp;AD$10&amp;$E219&amp;AD$9&amp;AD$11,DHHKey,0),MATCH($D219,DHHVar,0))</f>
        <v>0.8314055113801688</v>
      </c>
      <c r="AE219" s="203">
        <f>INDEX(DHHVal,MATCH(CtryCode&amp;".distn.bsh."&amp;AE$10&amp;$E219&amp;AE$9&amp;AE$11,DHHKey,0),MATCH($D219,DHHVar,0))</f>
        <v>0.9281279208759083</v>
      </c>
      <c r="AF219" s="203">
        <f>INDEX(DHHVal,MATCH(CtryCode&amp;".distn.bsh."&amp;AF$10&amp;$E219&amp;AF$9&amp;AF$11,DHHKey,0),MATCH($D219,DHHVar,0))</f>
        <v>0.8766381073717103</v>
      </c>
      <c r="AG219" s="203">
        <f>INDEX(DHHVal,MATCH(CtryCode&amp;".distn.bsh."&amp;AG$10&amp;$E219&amp;AG$9&amp;AG$11,DHHKey,0),MATCH($D219,DHHVar,0))</f>
        <v>0.6667275542929421</v>
      </c>
      <c r="AH219" s="203">
        <f>INDEX(DHHVal,MATCH(CtryCode&amp;".distn.bsh."&amp;AH$10&amp;$E219&amp;AH$9&amp;AH$11,DHHKey,0),MATCH($D219,DHHVar,0))</f>
        <v>0.6914494068887019</v>
      </c>
      <c r="AI219" s="203">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33" t="inlineStr">
        <is>
          <t>HHSurvey</t>
        </is>
      </c>
      <c r="K220" s="9" t="str">
        <f>LOWER(CtryCode)&amp;".distn."&amp;$A220&amp;IF($B220="","","."&amp;$B220)&amp;IF($C220="","",".dec."&amp;$C220)&amp;"."&amp;K$5</f>
        <v>egy.distn.bsh.app.dec.urb.1</v>
      </c>
      <c r="L220" s="208">
        <f>INDEX(DHHVal,MATCH(CtryCode&amp;".distn.bsh."&amp;L$10&amp;$E220&amp;L$9&amp;L$11,DHHKey,0),MATCH($D220,DHHVar,0))</f>
        <v>1.634503259298848</v>
      </c>
      <c r="M220" s="203">
        <f>INDEX(DHHVal,MATCH(CtryCode&amp;".distn.bsh."&amp;M$10&amp;$E220&amp;M$9&amp;M$11,DHHKey,0),MATCH($D220,DHHVar,0))</f>
        <v>1.383052947185039</v>
      </c>
      <c r="N220" s="203">
        <f>INDEX(DHHVal,MATCH(CtryCode&amp;".distn.bsh."&amp;N$10&amp;$E220&amp;N$9&amp;N$11,DHHKey,0),MATCH($D220,DHHVar,0))</f>
        <v>1.515877846078082</v>
      </c>
      <c r="O220" s="203">
        <f>INDEX(DHHVal,MATCH(CtryCode&amp;".distn.bsh."&amp;O$10&amp;$E220&amp;O$9&amp;O$11,DHHKey,0),MATCH($D220,DHHVar,0))</f>
        <v>1.56586672654392</v>
      </c>
      <c r="P220" s="203">
        <f>INDEX(DHHVal,MATCH(CtryCode&amp;".distn.bsh."&amp;P$10&amp;$E220&amp;P$9&amp;P$11,DHHKey,0),MATCH($D220,DHHVar,0))</f>
        <v>1.458161125281415</v>
      </c>
      <c r="Q220" s="203">
        <f>INDEX(DHHVal,MATCH(CtryCode&amp;".distn.bsh."&amp;Q$10&amp;$E220&amp;Q$9&amp;Q$11,DHHKey,0),MATCH($D220,DHHVar,0))</f>
        <v>1.598644605820062</v>
      </c>
      <c r="R220" s="203">
        <f>INDEX(DHHVal,MATCH(CtryCode&amp;".distn.bsh."&amp;R$10&amp;$E220&amp;R$9&amp;R$11,DHHKey,0),MATCH($D220,DHHVar,0))</f>
        <v>1.709272567166752</v>
      </c>
      <c r="S220" s="203">
        <f>INDEX(DHHVal,MATCH(CtryCode&amp;".distn.bsh."&amp;S$10&amp;$E220&amp;S$9&amp;S$11,DHHKey,0),MATCH($D220,DHHVar,0))</f>
        <v>1.481992081409042</v>
      </c>
      <c r="T220" s="203">
        <f>INDEX(DHHVal,MATCH(CtryCode&amp;".distn.bsh."&amp;T$10&amp;$E220&amp;T$9&amp;T$11,DHHKey,0),MATCH($D220,DHHVar,0))</f>
        <v>1.503160467733614</v>
      </c>
      <c r="U220" s="203">
        <f>INDEX(DHHVal,MATCH(CtryCode&amp;".distn.bsh."&amp;U$10&amp;$E220&amp;U$9&amp;U$11,DHHKey,0),MATCH($D220,DHHVar,0))</f>
        <v>1.567550480074987</v>
      </c>
      <c r="V220" s="203">
        <f>INDEX(DHHVal,MATCH(CtryCode&amp;".distn.bsh."&amp;V$10&amp;$E220&amp;V$9&amp;V$11,DHHKey,0),MATCH($D220,DHHVar,0))</f>
        <v>1.773708438290006</v>
      </c>
      <c r="W220" s="207" t="str">
        <f>IF(X$5=K$5,SUM(Y220:AI220)-SUM(L220:V220),"")</f>
        <v/>
      </c>
      <c r="X220" s="9" t="str">
        <f>LOWER(CtryCode)&amp;".distn."&amp;$A220&amp;IF($B220="","","."&amp;$B220)&amp;IF($C220="","",".dec."&amp;$C220)&amp;"."&amp;X$5</f>
        <v>egy.distn.bsh.app.dec.urb.2</v>
      </c>
      <c r="Y220" s="208">
        <f>INDEX(DHHVal,MATCH(CtryCode&amp;".distn.bsh."&amp;Y$10&amp;$E220&amp;Y$9&amp;Y$11,DHHKey,0),MATCH($D220,DHHVar,0))</f>
        <v>1.634503259298848</v>
      </c>
      <c r="Z220" s="203">
        <f>INDEX(DHHVal,MATCH(CtryCode&amp;".distn.bsh."&amp;Z$10&amp;$E220&amp;Z$9&amp;Z$11,DHHKey,0),MATCH($D220,DHHVar,0))</f>
        <v>1.383052947185039</v>
      </c>
      <c r="AA220" s="203">
        <f>INDEX(DHHVal,MATCH(CtryCode&amp;".distn.bsh."&amp;AA$10&amp;$E220&amp;AA$9&amp;AA$11,DHHKey,0),MATCH($D220,DHHVar,0))</f>
        <v>1.515877846078082</v>
      </c>
      <c r="AB220" s="203">
        <f>INDEX(DHHVal,MATCH(CtryCode&amp;".distn.bsh."&amp;AB$10&amp;$E220&amp;AB$9&amp;AB$11,DHHKey,0),MATCH($D220,DHHVar,0))</f>
        <v>1.56586672654392</v>
      </c>
      <c r="AC220" s="203">
        <f>INDEX(DHHVal,MATCH(CtryCode&amp;".distn.bsh."&amp;AC$10&amp;$E220&amp;AC$9&amp;AC$11,DHHKey,0),MATCH($D220,DHHVar,0))</f>
        <v>1.458161125281415</v>
      </c>
      <c r="AD220" s="203">
        <f>INDEX(DHHVal,MATCH(CtryCode&amp;".distn.bsh."&amp;AD$10&amp;$E220&amp;AD$9&amp;AD$11,DHHKey,0),MATCH($D220,DHHVar,0))</f>
        <v>1.598644605820062</v>
      </c>
      <c r="AE220" s="203">
        <f>INDEX(DHHVal,MATCH(CtryCode&amp;".distn.bsh."&amp;AE$10&amp;$E220&amp;AE$9&amp;AE$11,DHHKey,0),MATCH($D220,DHHVar,0))</f>
        <v>1.709272567166752</v>
      </c>
      <c r="AF220" s="203">
        <f>INDEX(DHHVal,MATCH(CtryCode&amp;".distn.bsh."&amp;AF$10&amp;$E220&amp;AF$9&amp;AF$11,DHHKey,0),MATCH($D220,DHHVar,0))</f>
        <v>1.481992081409042</v>
      </c>
      <c r="AG220" s="203">
        <f>INDEX(DHHVal,MATCH(CtryCode&amp;".distn.bsh."&amp;AG$10&amp;$E220&amp;AG$9&amp;AG$11,DHHKey,0),MATCH($D220,DHHVar,0))</f>
        <v>1.503160467733614</v>
      </c>
      <c r="AH220" s="203">
        <f>INDEX(DHHVal,MATCH(CtryCode&amp;".distn.bsh."&amp;AH$10&amp;$E220&amp;AH$9&amp;AH$11,DHHKey,0),MATCH($D220,DHHVar,0))</f>
        <v>1.567550480074987</v>
      </c>
      <c r="AI220" s="203">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33" t="inlineStr">
        <is>
          <t>HHSurvey</t>
        </is>
      </c>
      <c r="K221" s="9" t="str">
        <f>LOWER(CtryCode)&amp;".distn."&amp;$A221&amp;IF($B221="","","."&amp;$B221)&amp;IF($C221="","",".dec."&amp;$C221)&amp;"."&amp;K$5</f>
        <v>egy.distn.bsh.che.dec.urb.1</v>
      </c>
      <c r="L221" s="208">
        <f>INDEX(DHHVal,MATCH(CtryCode&amp;".distn.bsh."&amp;L$10&amp;$E221&amp;L$9&amp;L$11,DHHKey,0),MATCH($D221,DHHVar,0))</f>
        <v>3.534302834142554</v>
      </c>
      <c r="M221" s="203">
        <f>INDEX(DHHVal,MATCH(CtryCode&amp;".distn.bsh."&amp;M$10&amp;$E221&amp;M$9&amp;M$11,DHHKey,0),MATCH($D221,DHHVar,0))</f>
        <v>3.845034585906955</v>
      </c>
      <c r="N221" s="203">
        <f>INDEX(DHHVal,MATCH(CtryCode&amp;".distn.bsh."&amp;N$10&amp;$E221&amp;N$9&amp;N$11,DHHKey,0),MATCH($D221,DHHVar,0))</f>
        <v>4.022349023000599</v>
      </c>
      <c r="O221" s="203">
        <f>INDEX(DHHVal,MATCH(CtryCode&amp;".distn.bsh."&amp;O$10&amp;$E221&amp;O$9&amp;O$11,DHHKey,0),MATCH($D221,DHHVar,0))</f>
        <v>4.218300382721042</v>
      </c>
      <c r="P221" s="203">
        <f>INDEX(DHHVal,MATCH(CtryCode&amp;".distn.bsh."&amp;P$10&amp;$E221&amp;P$9&amp;P$11,DHHKey,0),MATCH($D221,DHHVar,0))</f>
        <v>3.758908643389254</v>
      </c>
      <c r="Q221" s="203">
        <f>INDEX(DHHVal,MATCH(CtryCode&amp;".distn.bsh."&amp;Q$10&amp;$E221&amp;Q$9&amp;Q$11,DHHKey,0),MATCH($D221,DHHVar,0))</f>
        <v>3.648587107034158</v>
      </c>
      <c r="R221" s="203">
        <f>INDEX(DHHVal,MATCH(CtryCode&amp;".distn.bsh."&amp;R$10&amp;$E221&amp;R$9&amp;R$11,DHHKey,0),MATCH($D221,DHHVar,0))</f>
        <v>3.994264067985876</v>
      </c>
      <c r="S221" s="203">
        <f>INDEX(DHHVal,MATCH(CtryCode&amp;".distn.bsh."&amp;S$10&amp;$E221&amp;S$9&amp;S$11,DHHKey,0),MATCH($D221,DHHVar,0))</f>
        <v>3.93111482428083</v>
      </c>
      <c r="T221" s="203">
        <f>INDEX(DHHVal,MATCH(CtryCode&amp;".distn.bsh."&amp;T$10&amp;$E221&amp;T$9&amp;T$11,DHHKey,0),MATCH($D221,DHHVar,0))</f>
        <v>3.525018716306479</v>
      </c>
      <c r="U221" s="203">
        <f>INDEX(DHHVal,MATCH(CtryCode&amp;".distn.bsh."&amp;U$10&amp;$E221&amp;U$9&amp;U$11,DHHKey,0),MATCH($D221,DHHVar,0))</f>
        <v>3.906134270781724</v>
      </c>
      <c r="V221" s="203">
        <f>INDEX(DHHVal,MATCH(CtryCode&amp;".distn.bsh."&amp;V$10&amp;$E221&amp;V$9&amp;V$11,DHHKey,0),MATCH($D221,DHHVar,0))</f>
        <v>3.563574745461004</v>
      </c>
      <c r="W221" s="207" t="str">
        <f>IF(X$5=K$5,SUM(Y221:AI221)-SUM(L221:V221),"")</f>
        <v/>
      </c>
      <c r="X221" s="9" t="str">
        <f>LOWER(CtryCode)&amp;".distn."&amp;$A221&amp;IF($B221="","","."&amp;$B221)&amp;IF($C221="","",".dec."&amp;$C221)&amp;"."&amp;X$5</f>
        <v>egy.distn.bsh.che.dec.urb.2</v>
      </c>
      <c r="Y221" s="208">
        <f>INDEX(DHHVal,MATCH(CtryCode&amp;".distn.bsh."&amp;Y$10&amp;$E221&amp;Y$9&amp;Y$11,DHHKey,0),MATCH($D221,DHHVar,0))</f>
        <v>3.534302834142554</v>
      </c>
      <c r="Z221" s="203">
        <f>INDEX(DHHVal,MATCH(CtryCode&amp;".distn.bsh."&amp;Z$10&amp;$E221&amp;Z$9&amp;Z$11,DHHKey,0),MATCH($D221,DHHVar,0))</f>
        <v>3.845034585906955</v>
      </c>
      <c r="AA221" s="203">
        <f>INDEX(DHHVal,MATCH(CtryCode&amp;".distn.bsh."&amp;AA$10&amp;$E221&amp;AA$9&amp;AA$11,DHHKey,0),MATCH($D221,DHHVar,0))</f>
        <v>4.022349023000599</v>
      </c>
      <c r="AB221" s="203">
        <f>INDEX(DHHVal,MATCH(CtryCode&amp;".distn.bsh."&amp;AB$10&amp;$E221&amp;AB$9&amp;AB$11,DHHKey,0),MATCH($D221,DHHVar,0))</f>
        <v>4.218300382721042</v>
      </c>
      <c r="AC221" s="203">
        <f>INDEX(DHHVal,MATCH(CtryCode&amp;".distn.bsh."&amp;AC$10&amp;$E221&amp;AC$9&amp;AC$11,DHHKey,0),MATCH($D221,DHHVar,0))</f>
        <v>3.758908643389254</v>
      </c>
      <c r="AD221" s="203">
        <f>INDEX(DHHVal,MATCH(CtryCode&amp;".distn.bsh."&amp;AD$10&amp;$E221&amp;AD$9&amp;AD$11,DHHKey,0),MATCH($D221,DHHVar,0))</f>
        <v>3.648587107034158</v>
      </c>
      <c r="AE221" s="203">
        <f>INDEX(DHHVal,MATCH(CtryCode&amp;".distn.bsh."&amp;AE$10&amp;$E221&amp;AE$9&amp;AE$11,DHHKey,0),MATCH($D221,DHHVar,0))</f>
        <v>3.994264067985876</v>
      </c>
      <c r="AF221" s="203">
        <f>INDEX(DHHVal,MATCH(CtryCode&amp;".distn.bsh."&amp;AF$10&amp;$E221&amp;AF$9&amp;AF$11,DHHKey,0),MATCH($D221,DHHVar,0))</f>
        <v>3.93111482428083</v>
      </c>
      <c r="AG221" s="203">
        <f>INDEX(DHHVal,MATCH(CtryCode&amp;".distn.bsh."&amp;AG$10&amp;$E221&amp;AG$9&amp;AG$11,DHHKey,0),MATCH($D221,DHHVar,0))</f>
        <v>3.525018716306479</v>
      </c>
      <c r="AH221" s="203">
        <f>INDEX(DHHVal,MATCH(CtryCode&amp;".distn.bsh."&amp;AH$10&amp;$E221&amp;AH$9&amp;AH$11,DHHKey,0),MATCH($D221,DHHVar,0))</f>
        <v>3.906134270781724</v>
      </c>
      <c r="AI221" s="203">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33" t="inlineStr">
        <is>
          <t>HHSurvey</t>
        </is>
      </c>
      <c r="K222" s="9" t="str">
        <f>LOWER(CtryCode)&amp;".distn."&amp;$A222&amp;IF($B222="","","."&amp;$B222)&amp;IF($C222="","",".dec."&amp;$C222)&amp;"."&amp;K$5</f>
        <v>egy.distn.bsh.clo.dec.urb.1</v>
      </c>
      <c r="L222" s="208">
        <f>INDEX(DHHVal,MATCH(CtryCode&amp;".distn.bsh."&amp;L$10&amp;$E222&amp;L$9&amp;L$11,DHHKey,0),MATCH($D222,DHHVar,0))</f>
        <v>5.163846153544612</v>
      </c>
      <c r="M222" s="203">
        <f>INDEX(DHHVal,MATCH(CtryCode&amp;".distn.bsh."&amp;M$10&amp;$E222&amp;M$9&amp;M$11,DHHKey,0),MATCH($D222,DHHVar,0))</f>
        <v>5.750518654026792</v>
      </c>
      <c r="N222" s="203">
        <f>INDEX(DHHVal,MATCH(CtryCode&amp;".distn.bsh."&amp;N$10&amp;$E222&amp;N$9&amp;N$11,DHHKey,0),MATCH($D222,DHHVar,0))</f>
        <v>5.280899918353848</v>
      </c>
      <c r="O222" s="203">
        <f>INDEX(DHHVal,MATCH(CtryCode&amp;".distn.bsh."&amp;O$10&amp;$E222&amp;O$9&amp;O$11,DHHKey,0),MATCH($D222,DHHVar,0))</f>
        <v>5.671737925144678</v>
      </c>
      <c r="P222" s="203">
        <f>INDEX(DHHVal,MATCH(CtryCode&amp;".distn.bsh."&amp;P$10&amp;$E222&amp;P$9&amp;P$11,DHHKey,0),MATCH($D222,DHHVar,0))</f>
        <v>5.748462826283994</v>
      </c>
      <c r="Q222" s="203">
        <f>INDEX(DHHVal,MATCH(CtryCode&amp;".distn.bsh."&amp;Q$10&amp;$E222&amp;Q$9&amp;Q$11,DHHKey,0),MATCH($D222,DHHVar,0))</f>
        <v>5.820476067832673</v>
      </c>
      <c r="R222" s="203">
        <f>INDEX(DHHVal,MATCH(CtryCode&amp;".distn.bsh."&amp;R$10&amp;$E222&amp;R$9&amp;R$11,DHHKey,0),MATCH($D222,DHHVar,0))</f>
        <v>5.442076171077142</v>
      </c>
      <c r="S222" s="203">
        <f>INDEX(DHHVal,MATCH(CtryCode&amp;".distn.bsh."&amp;S$10&amp;$E222&amp;S$9&amp;S$11,DHHKey,0),MATCH($D222,DHHVar,0))</f>
        <v>5.411881117556884</v>
      </c>
      <c r="T222" s="203">
        <f>INDEX(DHHVal,MATCH(CtryCode&amp;".distn.bsh."&amp;T$10&amp;$E222&amp;T$9&amp;T$11,DHHKey,0),MATCH($D222,DHHVar,0))</f>
        <v>5.050404602215011</v>
      </c>
      <c r="U222" s="203">
        <f>INDEX(DHHVal,MATCH(CtryCode&amp;".distn.bsh."&amp;U$10&amp;$E222&amp;U$9&amp;U$11,DHHKey,0),MATCH($D222,DHHVar,0))</f>
        <v>4.708279296828449</v>
      </c>
      <c r="V222" s="203">
        <f>INDEX(DHHVal,MATCH(CtryCode&amp;".distn.bsh."&amp;V$10&amp;$E222&amp;V$9&amp;V$11,DHHKey,0),MATCH($D222,DHHVar,0))</f>
        <v>4.270688733340188</v>
      </c>
      <c r="W222" s="207" t="str">
        <f>IF(X$5=K$5,SUM(Y222:AI222)-SUM(L222:V222),"")</f>
        <v/>
      </c>
      <c r="X222" s="9" t="str">
        <f>LOWER(CtryCode)&amp;".distn."&amp;$A222&amp;IF($B222="","","."&amp;$B222)&amp;IF($C222="","",".dec."&amp;$C222)&amp;"."&amp;X$5</f>
        <v>egy.distn.bsh.clo.dec.urb.2</v>
      </c>
      <c r="Y222" s="208">
        <f>INDEX(DHHVal,MATCH(CtryCode&amp;".distn.bsh."&amp;Y$10&amp;$E222&amp;Y$9&amp;Y$11,DHHKey,0),MATCH($D222,DHHVar,0))</f>
        <v>5.163846153544612</v>
      </c>
      <c r="Z222" s="203">
        <f>INDEX(DHHVal,MATCH(CtryCode&amp;".distn.bsh."&amp;Z$10&amp;$E222&amp;Z$9&amp;Z$11,DHHKey,0),MATCH($D222,DHHVar,0))</f>
        <v>5.750518654026792</v>
      </c>
      <c r="AA222" s="203">
        <f>INDEX(DHHVal,MATCH(CtryCode&amp;".distn.bsh."&amp;AA$10&amp;$E222&amp;AA$9&amp;AA$11,DHHKey,0),MATCH($D222,DHHVar,0))</f>
        <v>5.280899918353848</v>
      </c>
      <c r="AB222" s="203">
        <f>INDEX(DHHVal,MATCH(CtryCode&amp;".distn.bsh."&amp;AB$10&amp;$E222&amp;AB$9&amp;AB$11,DHHKey,0),MATCH($D222,DHHVar,0))</f>
        <v>5.671737925144678</v>
      </c>
      <c r="AC222" s="203">
        <f>INDEX(DHHVal,MATCH(CtryCode&amp;".distn.bsh."&amp;AC$10&amp;$E222&amp;AC$9&amp;AC$11,DHHKey,0),MATCH($D222,DHHVar,0))</f>
        <v>5.748462826283994</v>
      </c>
      <c r="AD222" s="203">
        <f>INDEX(DHHVal,MATCH(CtryCode&amp;".distn.bsh."&amp;AD$10&amp;$E222&amp;AD$9&amp;AD$11,DHHKey,0),MATCH($D222,DHHVar,0))</f>
        <v>5.820476067832673</v>
      </c>
      <c r="AE222" s="203">
        <f>INDEX(DHHVal,MATCH(CtryCode&amp;".distn.bsh."&amp;AE$10&amp;$E222&amp;AE$9&amp;AE$11,DHHKey,0),MATCH($D222,DHHVar,0))</f>
        <v>5.442076171077142</v>
      </c>
      <c r="AF222" s="203">
        <f>INDEX(DHHVal,MATCH(CtryCode&amp;".distn.bsh."&amp;AF$10&amp;$E222&amp;AF$9&amp;AF$11,DHHKey,0),MATCH($D222,DHHVar,0))</f>
        <v>5.411881117556884</v>
      </c>
      <c r="AG222" s="203">
        <f>INDEX(DHHVal,MATCH(CtryCode&amp;".distn.bsh."&amp;AG$10&amp;$E222&amp;AG$9&amp;AG$11,DHHKey,0),MATCH($D222,DHHVar,0))</f>
        <v>5.050404602215011</v>
      </c>
      <c r="AH222" s="203">
        <f>INDEX(DHHVal,MATCH(CtryCode&amp;".distn.bsh."&amp;AH$10&amp;$E222&amp;AH$9&amp;AH$11,DHHKey,0),MATCH($D222,DHHVar,0))</f>
        <v>4.708279296828449</v>
      </c>
      <c r="AI222" s="203">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33" t="inlineStr">
        <is>
          <t>HHSurvey</t>
        </is>
      </c>
      <c r="K223" s="9" t="str">
        <f>LOWER(CtryCode)&amp;".distn."&amp;$A223&amp;IF($B223="","","."&amp;$B223)&amp;IF($C223="","",".dec."&amp;$C223)&amp;"."&amp;K$5</f>
        <v>egy.distn.bsh.com.dec.urb.1</v>
      </c>
      <c r="L223" s="208">
        <f>INDEX(DHHVal,MATCH(CtryCode&amp;".distn.bsh."&amp;L$10&amp;$E223&amp;L$9&amp;L$11,DHHKey,0),MATCH($D223,DHHVar,0))</f>
        <v>3.321766467551434</v>
      </c>
      <c r="M223" s="203">
        <f>INDEX(DHHVal,MATCH(CtryCode&amp;".distn.bsh."&amp;M$10&amp;$E223&amp;M$9&amp;M$11,DHHKey,0),MATCH($D223,DHHVar,0))</f>
        <v>2.84214683039544</v>
      </c>
      <c r="N223" s="203">
        <f>INDEX(DHHVal,MATCH(CtryCode&amp;".distn.bsh."&amp;N$10&amp;$E223&amp;N$9&amp;N$11,DHHKey,0),MATCH($D223,DHHVar,0))</f>
        <v>2.997047642574571</v>
      </c>
      <c r="O223" s="203">
        <f>INDEX(DHHVal,MATCH(CtryCode&amp;".distn.bsh."&amp;O$10&amp;$E223&amp;O$9&amp;O$11,DHHKey,0),MATCH($D223,DHHVar,0))</f>
        <v>3.291023564927811</v>
      </c>
      <c r="P223" s="203">
        <f>INDEX(DHHVal,MATCH(CtryCode&amp;".distn.bsh."&amp;P$10&amp;$E223&amp;P$9&amp;P$11,DHHKey,0),MATCH($D223,DHHVar,0))</f>
        <v>3.574365822132037</v>
      </c>
      <c r="Q223" s="203">
        <f>INDEX(DHHVal,MATCH(CtryCode&amp;".distn.bsh."&amp;Q$10&amp;$E223&amp;Q$9&amp;Q$11,DHHKey,0),MATCH($D223,DHHVar,0))</f>
        <v>3.294410806087441</v>
      </c>
      <c r="R223" s="203">
        <f>INDEX(DHHVal,MATCH(CtryCode&amp;".distn.bsh."&amp;R$10&amp;$E223&amp;R$9&amp;R$11,DHHKey,0),MATCH($D223,DHHVar,0))</f>
        <v>3.375000477552399</v>
      </c>
      <c r="S223" s="203">
        <f>INDEX(DHHVal,MATCH(CtryCode&amp;".distn.bsh."&amp;S$10&amp;$E223&amp;S$9&amp;S$11,DHHKey,0),MATCH($D223,DHHVar,0))</f>
        <v>3.475399306504047</v>
      </c>
      <c r="T223" s="203">
        <f>INDEX(DHHVal,MATCH(CtryCode&amp;".distn.bsh."&amp;T$10&amp;$E223&amp;T$9&amp;T$11,DHHKey,0),MATCH($D223,DHHVar,0))</f>
        <v>3.828739259506976</v>
      </c>
      <c r="U223" s="203">
        <f>INDEX(DHHVal,MATCH(CtryCode&amp;".distn.bsh."&amp;U$10&amp;$E223&amp;U$9&amp;U$11,DHHKey,0),MATCH($D223,DHHVar,0))</f>
        <v>3.40750415327369</v>
      </c>
      <c r="V223" s="203">
        <f>INDEX(DHHVal,MATCH(CtryCode&amp;".distn.bsh."&amp;V$10&amp;$E223&amp;V$9&amp;V$11,DHHKey,0),MATCH($D223,DHHVar,0))</f>
        <v>3.503611058632416</v>
      </c>
      <c r="W223" s="207" t="str">
        <f>IF(X$5=K$5,SUM(Y223:AI223)-SUM(L223:V223),"")</f>
        <v/>
      </c>
      <c r="X223" s="9" t="str">
        <f>LOWER(CtryCode)&amp;".distn."&amp;$A223&amp;IF($B223="","","."&amp;$B223)&amp;IF($C223="","",".dec."&amp;$C223)&amp;"."&amp;X$5</f>
        <v>egy.distn.bsh.com.dec.urb.2</v>
      </c>
      <c r="Y223" s="208">
        <f>INDEX(DHHVal,MATCH(CtryCode&amp;".distn.bsh."&amp;Y$10&amp;$E223&amp;Y$9&amp;Y$11,DHHKey,0),MATCH($D223,DHHVar,0))</f>
        <v>3.321766467551434</v>
      </c>
      <c r="Z223" s="203">
        <f>INDEX(DHHVal,MATCH(CtryCode&amp;".distn.bsh."&amp;Z$10&amp;$E223&amp;Z$9&amp;Z$11,DHHKey,0),MATCH($D223,DHHVar,0))</f>
        <v>2.84214683039544</v>
      </c>
      <c r="AA223" s="203">
        <f>INDEX(DHHVal,MATCH(CtryCode&amp;".distn.bsh."&amp;AA$10&amp;$E223&amp;AA$9&amp;AA$11,DHHKey,0),MATCH($D223,DHHVar,0))</f>
        <v>2.997047642574571</v>
      </c>
      <c r="AB223" s="203">
        <f>INDEX(DHHVal,MATCH(CtryCode&amp;".distn.bsh."&amp;AB$10&amp;$E223&amp;AB$9&amp;AB$11,DHHKey,0),MATCH($D223,DHHVar,0))</f>
        <v>3.291023564927811</v>
      </c>
      <c r="AC223" s="203">
        <f>INDEX(DHHVal,MATCH(CtryCode&amp;".distn.bsh."&amp;AC$10&amp;$E223&amp;AC$9&amp;AC$11,DHHKey,0),MATCH($D223,DHHVar,0))</f>
        <v>3.574365822132037</v>
      </c>
      <c r="AD223" s="203">
        <f>INDEX(DHHVal,MATCH(CtryCode&amp;".distn.bsh."&amp;AD$10&amp;$E223&amp;AD$9&amp;AD$11,DHHKey,0),MATCH($D223,DHHVar,0))</f>
        <v>3.294410806087441</v>
      </c>
      <c r="AE223" s="203">
        <f>INDEX(DHHVal,MATCH(CtryCode&amp;".distn.bsh."&amp;AE$10&amp;$E223&amp;AE$9&amp;AE$11,DHHKey,0),MATCH($D223,DHHVar,0))</f>
        <v>3.375000477552399</v>
      </c>
      <c r="AF223" s="203">
        <f>INDEX(DHHVal,MATCH(CtryCode&amp;".distn.bsh."&amp;AF$10&amp;$E223&amp;AF$9&amp;AF$11,DHHKey,0),MATCH($D223,DHHVar,0))</f>
        <v>3.475399306504047</v>
      </c>
      <c r="AG223" s="203">
        <f>INDEX(DHHVal,MATCH(CtryCode&amp;".distn.bsh."&amp;AG$10&amp;$E223&amp;AG$9&amp;AG$11,DHHKey,0),MATCH($D223,DHHVar,0))</f>
        <v>3.828739259506976</v>
      </c>
      <c r="AH223" s="203">
        <f>INDEX(DHHVal,MATCH(CtryCode&amp;".distn.bsh."&amp;AH$10&amp;$E223&amp;AH$9&amp;AH$11,DHHKey,0),MATCH($D223,DHHVar,0))</f>
        <v>3.40750415327369</v>
      </c>
      <c r="AI223" s="203">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33" t="inlineStr">
        <is>
          <t>HHSurvey</t>
        </is>
      </c>
      <c r="K224" s="9" t="str">
        <f>LOWER(CtryCode)&amp;".distn."&amp;$A224&amp;IF($B224="","","."&amp;$B224)&amp;IF($C224="","",".dec."&amp;$C224)&amp;"."&amp;K$5</f>
        <v>egy.distn.bsh.edu.dec.urb.1</v>
      </c>
      <c r="L224" s="208">
        <f>INDEX(DHHVal,MATCH(CtryCode&amp;".distn.bsh."&amp;L$10&amp;$E224&amp;L$9&amp;L$11,DHHKey,0),MATCH($D224,DHHVar,0))</f>
        <v>4.059477968115822</v>
      </c>
      <c r="M224" s="203">
        <f>INDEX(DHHVal,MATCH(CtryCode&amp;".distn.bsh."&amp;M$10&amp;$E224&amp;M$9&amp;M$11,DHHKey,0),MATCH($D224,DHHVar,0))</f>
        <v>3.603210282706541</v>
      </c>
      <c r="N224" s="203">
        <f>INDEX(DHHVal,MATCH(CtryCode&amp;".distn.bsh."&amp;N$10&amp;$E224&amp;N$9&amp;N$11,DHHKey,0),MATCH($D224,DHHVar,0))</f>
        <v>4.822119627191985</v>
      </c>
      <c r="O224" s="203">
        <f>INDEX(DHHVal,MATCH(CtryCode&amp;".distn.bsh."&amp;O$10&amp;$E224&amp;O$9&amp;O$11,DHHKey,0),MATCH($D224,DHHVar,0))</f>
        <v>5.00748562869957</v>
      </c>
      <c r="P224" s="203">
        <f>INDEX(DHHVal,MATCH(CtryCode&amp;".distn.bsh."&amp;P$10&amp;$E224&amp;P$9&amp;P$11,DHHKey,0),MATCH($D224,DHHVar,0))</f>
        <v>4.743637187405374</v>
      </c>
      <c r="Q224" s="203">
        <f>INDEX(DHHVal,MATCH(CtryCode&amp;".distn.bsh."&amp;Q$10&amp;$E224&amp;Q$9&amp;Q$11,DHHKey,0),MATCH($D224,DHHVar,0))</f>
        <v>4.969745858542831</v>
      </c>
      <c r="R224" s="203">
        <f>INDEX(DHHVal,MATCH(CtryCode&amp;".distn.bsh."&amp;R$10&amp;$E224&amp;R$9&amp;R$11,DHHKey,0),MATCH($D224,DHHVar,0))</f>
        <v>4.880067129716482</v>
      </c>
      <c r="S224" s="203">
        <f>INDEX(DHHVal,MATCH(CtryCode&amp;".distn.bsh."&amp;S$10&amp;$E224&amp;S$9&amp;S$11,DHHKey,0),MATCH($D224,DHHVar,0))</f>
        <v>4.278779008226213</v>
      </c>
      <c r="T224" s="203">
        <f>INDEX(DHHVal,MATCH(CtryCode&amp;".distn.bsh."&amp;T$10&amp;$E224&amp;T$9&amp;T$11,DHHKey,0),MATCH($D224,DHHVar,0))</f>
        <v>3.965608063769628</v>
      </c>
      <c r="U224" s="203">
        <f>INDEX(DHHVal,MATCH(CtryCode&amp;".distn.bsh."&amp;U$10&amp;$E224&amp;U$9&amp;U$11,DHHKey,0),MATCH($D224,DHHVar,0))</f>
        <v>3.048532358861435</v>
      </c>
      <c r="V224" s="203">
        <f>INDEX(DHHVal,MATCH(CtryCode&amp;".distn.bsh."&amp;V$10&amp;$E224&amp;V$9&amp;V$11,DHHKey,0),MATCH($D224,DHHVar,0))</f>
        <v>1.426531336263007</v>
      </c>
      <c r="W224" s="207" t="str">
        <f>IF(X$5=K$5,SUM(Y224:AI224)-SUM(L224:V224),"")</f>
        <v/>
      </c>
      <c r="X224" s="9" t="str">
        <f>LOWER(CtryCode)&amp;".distn."&amp;$A224&amp;IF($B224="","","."&amp;$B224)&amp;IF($C224="","",".dec."&amp;$C224)&amp;"."&amp;X$5</f>
        <v>egy.distn.bsh.edu.dec.urb.2</v>
      </c>
      <c r="Y224" s="208">
        <f>INDEX(DHHVal,MATCH(CtryCode&amp;".distn.bsh."&amp;Y$10&amp;$E224&amp;Y$9&amp;Y$11,DHHKey,0),MATCH($D224,DHHVar,0))</f>
        <v>4.059477968115822</v>
      </c>
      <c r="Z224" s="203">
        <f>INDEX(DHHVal,MATCH(CtryCode&amp;".distn.bsh."&amp;Z$10&amp;$E224&amp;Z$9&amp;Z$11,DHHKey,0),MATCH($D224,DHHVar,0))</f>
        <v>3.603210282706541</v>
      </c>
      <c r="AA224" s="203">
        <f>INDEX(DHHVal,MATCH(CtryCode&amp;".distn.bsh."&amp;AA$10&amp;$E224&amp;AA$9&amp;AA$11,DHHKey,0),MATCH($D224,DHHVar,0))</f>
        <v>4.822119627191985</v>
      </c>
      <c r="AB224" s="203">
        <f>INDEX(DHHVal,MATCH(CtryCode&amp;".distn.bsh."&amp;AB$10&amp;$E224&amp;AB$9&amp;AB$11,DHHKey,0),MATCH($D224,DHHVar,0))</f>
        <v>5.00748562869957</v>
      </c>
      <c r="AC224" s="203">
        <f>INDEX(DHHVal,MATCH(CtryCode&amp;".distn.bsh."&amp;AC$10&amp;$E224&amp;AC$9&amp;AC$11,DHHKey,0),MATCH($D224,DHHVar,0))</f>
        <v>4.743637187405374</v>
      </c>
      <c r="AD224" s="203">
        <f>INDEX(DHHVal,MATCH(CtryCode&amp;".distn.bsh."&amp;AD$10&amp;$E224&amp;AD$9&amp;AD$11,DHHKey,0),MATCH($D224,DHHVar,0))</f>
        <v>4.969745858542831</v>
      </c>
      <c r="AE224" s="203">
        <f>INDEX(DHHVal,MATCH(CtryCode&amp;".distn.bsh."&amp;AE$10&amp;$E224&amp;AE$9&amp;AE$11,DHHKey,0),MATCH($D224,DHHVar,0))</f>
        <v>4.880067129716482</v>
      </c>
      <c r="AF224" s="203">
        <f>INDEX(DHHVal,MATCH(CtryCode&amp;".distn.bsh."&amp;AF$10&amp;$E224&amp;AF$9&amp;AF$11,DHHKey,0),MATCH($D224,DHHVar,0))</f>
        <v>4.278779008226213</v>
      </c>
      <c r="AG224" s="203">
        <f>INDEX(DHHVal,MATCH(CtryCode&amp;".distn.bsh."&amp;AG$10&amp;$E224&amp;AG$9&amp;AG$11,DHHKey,0),MATCH($D224,DHHVar,0))</f>
        <v>3.965608063769628</v>
      </c>
      <c r="AH224" s="203">
        <f>INDEX(DHHVal,MATCH(CtryCode&amp;".distn.bsh."&amp;AH$10&amp;$E224&amp;AH$9&amp;AH$11,DHHKey,0),MATCH($D224,DHHVar,0))</f>
        <v>3.048532358861435</v>
      </c>
      <c r="AI224" s="203">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33" t="inlineStr">
        <is>
          <t>HHSurvey</t>
        </is>
      </c>
      <c r="K225" s="9" t="str">
        <f>LOWER(CtryCode)&amp;".distn."&amp;$A225&amp;IF($B225="","","."&amp;$B225)&amp;IF($C225="","",".dec."&amp;$C225)&amp;"."&amp;K$5</f>
        <v>egy.distn.bsh.food.dec.urb.1</v>
      </c>
      <c r="L225" s="208">
        <f>INDEX(DHHVal,MATCH(CtryCode&amp;".distn.bsh."&amp;L$10&amp;$E225&amp;L$9&amp;L$11,DHHKey,0),MATCH($D225,DHHVar,0))</f>
        <v>52.1506162704955</v>
      </c>
      <c r="M225" s="203">
        <f>INDEX(DHHVal,MATCH(CtryCode&amp;".distn.bsh."&amp;M$10&amp;$E225&amp;M$9&amp;M$11,DHHKey,0),MATCH($D225,DHHVar,0))</f>
        <v>50.35524040340973</v>
      </c>
      <c r="N225" s="203">
        <f>INDEX(DHHVal,MATCH(CtryCode&amp;".distn.bsh."&amp;N$10&amp;$E225&amp;N$9&amp;N$11,DHHKey,0),MATCH($D225,DHHVar,0))</f>
        <v>54.4735101549751</v>
      </c>
      <c r="O225" s="203">
        <f>INDEX(DHHVal,MATCH(CtryCode&amp;".distn.bsh."&amp;O$10&amp;$E225&amp;O$9&amp;O$11,DHHKey,0),MATCH($D225,DHHVar,0))</f>
        <v>55.2492403515681</v>
      </c>
      <c r="P225" s="203">
        <f>INDEX(DHHVal,MATCH(CtryCode&amp;".distn.bsh."&amp;P$10&amp;$E225&amp;P$9&amp;P$11,DHHKey,0),MATCH($D225,DHHVar,0))</f>
        <v>54.01561814185578</v>
      </c>
      <c r="Q225" s="203">
        <f>INDEX(DHHVal,MATCH(CtryCode&amp;".distn.bsh."&amp;Q$10&amp;$E225&amp;Q$9&amp;Q$11,DHHKey,0),MATCH($D225,DHHVar,0))</f>
        <v>50.29994877012282</v>
      </c>
      <c r="R225" s="203">
        <f>INDEX(DHHVal,MATCH(CtryCode&amp;".distn.bsh."&amp;R$10&amp;$E225&amp;R$9&amp;R$11,DHHKey,0),MATCH($D225,DHHVar,0))</f>
        <v>50.21159818561552</v>
      </c>
      <c r="S225" s="203">
        <f>INDEX(DHHVal,MATCH(CtryCode&amp;".distn.bsh."&amp;S$10&amp;$E225&amp;S$9&amp;S$11,DHHKey,0),MATCH($D225,DHHVar,0))</f>
        <v>53.52036455958638</v>
      </c>
      <c r="T225" s="203">
        <f>INDEX(DHHVal,MATCH(CtryCode&amp;".distn.bsh."&amp;T$10&amp;$E225&amp;T$9&amp;T$11,DHHKey,0),MATCH($D225,DHHVar,0))</f>
        <v>52.05034194576759</v>
      </c>
      <c r="U225" s="203">
        <f>INDEX(DHHVal,MATCH(CtryCode&amp;".distn.bsh."&amp;U$10&amp;$E225&amp;U$9&amp;U$11,DHHKey,0),MATCH($D225,DHHVar,0))</f>
        <v>49.28731635160825</v>
      </c>
      <c r="V225" s="203">
        <f>INDEX(DHHVal,MATCH(CtryCode&amp;".distn.bsh."&amp;V$10&amp;$E225&amp;V$9&amp;V$11,DHHKey,0),MATCH($D225,DHHVar,0))</f>
        <v>46.59404774620818</v>
      </c>
      <c r="W225" s="207" t="str">
        <f>IF(X$5=K$5,SUM(Y225:AI225)-SUM(L225:V225),"")</f>
        <v/>
      </c>
      <c r="X225" s="9" t="str">
        <f>LOWER(CtryCode)&amp;".distn."&amp;$A225&amp;IF($B225="","","."&amp;$B225)&amp;IF($C225="","",".dec."&amp;$C225)&amp;"."&amp;X$5</f>
        <v>egy.distn.bsh.food.dec.urb.2</v>
      </c>
      <c r="Y225" s="208">
        <f>INDEX(DHHVal,MATCH(CtryCode&amp;".distn.bsh."&amp;Y$10&amp;$E225&amp;Y$9&amp;Y$11,DHHKey,0),MATCH($D225,DHHVar,0))</f>
        <v>52.1506162704955</v>
      </c>
      <c r="Z225" s="203">
        <f>INDEX(DHHVal,MATCH(CtryCode&amp;".distn.bsh."&amp;Z$10&amp;$E225&amp;Z$9&amp;Z$11,DHHKey,0),MATCH($D225,DHHVar,0))</f>
        <v>50.35524040340973</v>
      </c>
      <c r="AA225" s="203">
        <f>INDEX(DHHVal,MATCH(CtryCode&amp;".distn.bsh."&amp;AA$10&amp;$E225&amp;AA$9&amp;AA$11,DHHKey,0),MATCH($D225,DHHVar,0))</f>
        <v>54.4735101549751</v>
      </c>
      <c r="AB225" s="203">
        <f>INDEX(DHHVal,MATCH(CtryCode&amp;".distn.bsh."&amp;AB$10&amp;$E225&amp;AB$9&amp;AB$11,DHHKey,0),MATCH($D225,DHHVar,0))</f>
        <v>55.2492403515681</v>
      </c>
      <c r="AC225" s="203">
        <f>INDEX(DHHVal,MATCH(CtryCode&amp;".distn.bsh."&amp;AC$10&amp;$E225&amp;AC$9&amp;AC$11,DHHKey,0),MATCH($D225,DHHVar,0))</f>
        <v>54.01561814185578</v>
      </c>
      <c r="AD225" s="203">
        <f>INDEX(DHHVal,MATCH(CtryCode&amp;".distn.bsh."&amp;AD$10&amp;$E225&amp;AD$9&amp;AD$11,DHHKey,0),MATCH($D225,DHHVar,0))</f>
        <v>50.29994877012282</v>
      </c>
      <c r="AE225" s="203">
        <f>INDEX(DHHVal,MATCH(CtryCode&amp;".distn.bsh."&amp;AE$10&amp;$E225&amp;AE$9&amp;AE$11,DHHKey,0),MATCH($D225,DHHVar,0))</f>
        <v>50.21159818561552</v>
      </c>
      <c r="AF225" s="203">
        <f>INDEX(DHHVal,MATCH(CtryCode&amp;".distn.bsh."&amp;AF$10&amp;$E225&amp;AF$9&amp;AF$11,DHHKey,0),MATCH($D225,DHHVar,0))</f>
        <v>53.52036455958638</v>
      </c>
      <c r="AG225" s="203">
        <f>INDEX(DHHVal,MATCH(CtryCode&amp;".distn.bsh."&amp;AG$10&amp;$E225&amp;AG$9&amp;AG$11,DHHKey,0),MATCH($D225,DHHVar,0))</f>
        <v>52.05034194576759</v>
      </c>
      <c r="AH225" s="203">
        <f>INDEX(DHHVal,MATCH(CtryCode&amp;".distn.bsh."&amp;AH$10&amp;$E225&amp;AH$9&amp;AH$11,DHHKey,0),MATCH($D225,DHHVar,0))</f>
        <v>49.28731635160825</v>
      </c>
      <c r="AI225" s="203">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33" t="inlineStr">
        <is>
          <t>HHSurvey</t>
        </is>
      </c>
      <c r="K226" s="9" t="str">
        <f>LOWER(CtryCode)&amp;".distn."&amp;$A226&amp;IF($B226="","","."&amp;$B226)&amp;IF($C226="","",".dec."&amp;$C226)&amp;"."&amp;K$5</f>
        <v>egy.distn.bsh.hea.dec.urb.1</v>
      </c>
      <c r="L226" s="208">
        <f>INDEX(DHHVal,MATCH(CtryCode&amp;".distn.bsh."&amp;L$10&amp;$E226&amp;L$9&amp;L$11,DHHKey,0),MATCH($D226,DHHVar,0))</f>
        <v>3.735858994945129</v>
      </c>
      <c r="M226" s="203">
        <f>INDEX(DHHVal,MATCH(CtryCode&amp;".distn.bsh."&amp;M$10&amp;$E226&amp;M$9&amp;M$11,DHHKey,0),MATCH($D226,DHHVar,0))</f>
        <v>2.654016220778351</v>
      </c>
      <c r="N226" s="203">
        <f>INDEX(DHHVal,MATCH(CtryCode&amp;".distn.bsh."&amp;N$10&amp;$E226&amp;N$9&amp;N$11,DHHKey,0),MATCH($D226,DHHVar,0))</f>
        <v>3.139873480067098</v>
      </c>
      <c r="O226" s="203">
        <f>INDEX(DHHVal,MATCH(CtryCode&amp;".distn.bsh."&amp;O$10&amp;$E226&amp;O$9&amp;O$11,DHHKey,0),MATCH($D226,DHHVar,0))</f>
        <v>3.506283011148338</v>
      </c>
      <c r="P226" s="203">
        <f>INDEX(DHHVal,MATCH(CtryCode&amp;".distn.bsh."&amp;P$10&amp;$E226&amp;P$9&amp;P$11,DHHKey,0),MATCH($D226,DHHVar,0))</f>
        <v>3.701333686001008</v>
      </c>
      <c r="Q226" s="203">
        <f>INDEX(DHHVal,MATCH(CtryCode&amp;".distn.bsh."&amp;Q$10&amp;$E226&amp;Q$9&amp;Q$11,DHHKey,0),MATCH($D226,DHHVar,0))</f>
        <v>4.074536796984287</v>
      </c>
      <c r="R226" s="203">
        <f>INDEX(DHHVal,MATCH(CtryCode&amp;".distn.bsh."&amp;R$10&amp;$E226&amp;R$9&amp;R$11,DHHKey,0),MATCH($D226,DHHVar,0))</f>
        <v>3.807516812543302</v>
      </c>
      <c r="S226" s="203">
        <f>INDEX(DHHVal,MATCH(CtryCode&amp;".distn.bsh."&amp;S$10&amp;$E226&amp;S$9&amp;S$11,DHHKey,0),MATCH($D226,DHHVar,0))</f>
        <v>4.374980593634746</v>
      </c>
      <c r="T226" s="203">
        <f>INDEX(DHHVal,MATCH(CtryCode&amp;".distn.bsh."&amp;T$10&amp;$E226&amp;T$9&amp;T$11,DHHKey,0),MATCH($D226,DHHVar,0))</f>
        <v>4.305581166203295</v>
      </c>
      <c r="U226" s="203">
        <f>INDEX(DHHVal,MATCH(CtryCode&amp;".distn.bsh."&amp;U$10&amp;$E226&amp;U$9&amp;U$11,DHHKey,0),MATCH($D226,DHHVar,0))</f>
        <v>4.789492288929565</v>
      </c>
      <c r="V226" s="203">
        <f>INDEX(DHHVal,MATCH(CtryCode&amp;".distn.bsh."&amp;V$10&amp;$E226&amp;V$9&amp;V$11,DHHKey,0),MATCH($D226,DHHVar,0))</f>
        <v>6.075963343922592</v>
      </c>
      <c r="W226" s="207" t="str">
        <f>IF(X$5=K$5,SUM(Y226:AI226)-SUM(L226:V226),"")</f>
        <v/>
      </c>
      <c r="X226" s="9" t="str">
        <f>LOWER(CtryCode)&amp;".distn."&amp;$A226&amp;IF($B226="","","."&amp;$B226)&amp;IF($C226="","",".dec."&amp;$C226)&amp;"."&amp;X$5</f>
        <v>egy.distn.bsh.hea.dec.urb.2</v>
      </c>
      <c r="Y226" s="208">
        <f>INDEX(DHHVal,MATCH(CtryCode&amp;".distn.bsh."&amp;Y$10&amp;$E226&amp;Y$9&amp;Y$11,DHHKey,0),MATCH($D226,DHHVar,0))</f>
        <v>3.735858994945129</v>
      </c>
      <c r="Z226" s="203">
        <f>INDEX(DHHVal,MATCH(CtryCode&amp;".distn.bsh."&amp;Z$10&amp;$E226&amp;Z$9&amp;Z$11,DHHKey,0),MATCH($D226,DHHVar,0))</f>
        <v>2.654016220778351</v>
      </c>
      <c r="AA226" s="203">
        <f>INDEX(DHHVal,MATCH(CtryCode&amp;".distn.bsh."&amp;AA$10&amp;$E226&amp;AA$9&amp;AA$11,DHHKey,0),MATCH($D226,DHHVar,0))</f>
        <v>3.139873480067098</v>
      </c>
      <c r="AB226" s="203">
        <f>INDEX(DHHVal,MATCH(CtryCode&amp;".distn.bsh."&amp;AB$10&amp;$E226&amp;AB$9&amp;AB$11,DHHKey,0),MATCH($D226,DHHVar,0))</f>
        <v>3.506283011148338</v>
      </c>
      <c r="AC226" s="203">
        <f>INDEX(DHHVal,MATCH(CtryCode&amp;".distn.bsh."&amp;AC$10&amp;$E226&amp;AC$9&amp;AC$11,DHHKey,0),MATCH($D226,DHHVar,0))</f>
        <v>3.701333686001008</v>
      </c>
      <c r="AD226" s="203">
        <f>INDEX(DHHVal,MATCH(CtryCode&amp;".distn.bsh."&amp;AD$10&amp;$E226&amp;AD$9&amp;AD$11,DHHKey,0),MATCH($D226,DHHVar,0))</f>
        <v>4.074536796984287</v>
      </c>
      <c r="AE226" s="203">
        <f>INDEX(DHHVal,MATCH(CtryCode&amp;".distn.bsh."&amp;AE$10&amp;$E226&amp;AE$9&amp;AE$11,DHHKey,0),MATCH($D226,DHHVar,0))</f>
        <v>3.807516812543302</v>
      </c>
      <c r="AF226" s="203">
        <f>INDEX(DHHVal,MATCH(CtryCode&amp;".distn.bsh."&amp;AF$10&amp;$E226&amp;AF$9&amp;AF$11,DHHKey,0),MATCH($D226,DHHVar,0))</f>
        <v>4.374980593634746</v>
      </c>
      <c r="AG226" s="203">
        <f>INDEX(DHHVal,MATCH(CtryCode&amp;".distn.bsh."&amp;AG$10&amp;$E226&amp;AG$9&amp;AG$11,DHHKey,0),MATCH($D226,DHHVar,0))</f>
        <v>4.305581166203295</v>
      </c>
      <c r="AH226" s="203">
        <f>INDEX(DHHVal,MATCH(CtryCode&amp;".distn.bsh."&amp;AH$10&amp;$E226&amp;AH$9&amp;AH$11,DHHKey,0),MATCH($D226,DHHVar,0))</f>
        <v>4.789492288929565</v>
      </c>
      <c r="AI226" s="203">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33" t="inlineStr">
        <is>
          <t>HHSurvey</t>
        </is>
      </c>
      <c r="K227" s="9" t="str">
        <f>LOWER(CtryCode)&amp;".distn."&amp;$A227&amp;IF($B227="","","."&amp;$B227)&amp;IF($C227="","",".dec."&amp;$C227)&amp;"."&amp;K$5</f>
        <v>egy.distn.bsh.hou.dec.urb.1</v>
      </c>
      <c r="L227" s="208">
        <f>INDEX(DHHVal,MATCH(CtryCode&amp;".distn.bsh."&amp;L$10&amp;$E227&amp;L$9&amp;L$11,DHHKey,0),MATCH($D227,DHHVar,0))</f>
        <v>6.281629617919792</v>
      </c>
      <c r="M227" s="203">
        <f>INDEX(DHHVal,MATCH(CtryCode&amp;".distn.bsh."&amp;M$10&amp;$E227&amp;M$9&amp;M$11,DHHKey,0),MATCH($D227,DHHVar,0))</f>
        <v>7.710857547953789</v>
      </c>
      <c r="N227" s="203">
        <f>INDEX(DHHVal,MATCH(CtryCode&amp;".distn.bsh."&amp;N$10&amp;$E227&amp;N$9&amp;N$11,DHHKey,0),MATCH($D227,DHHVar,0))</f>
        <v>6.740114001190888</v>
      </c>
      <c r="O227" s="203">
        <f>INDEX(DHHVal,MATCH(CtryCode&amp;".distn.bsh."&amp;O$10&amp;$E227&amp;O$9&amp;O$11,DHHKey,0),MATCH($D227,DHHVar,0))</f>
        <v>6.015188450404776</v>
      </c>
      <c r="P227" s="203">
        <f>INDEX(DHHVal,MATCH(CtryCode&amp;".distn.bsh."&amp;P$10&amp;$E227&amp;P$9&amp;P$11,DHHKey,0),MATCH($D227,DHHVar,0))</f>
        <v>5.551453521707732</v>
      </c>
      <c r="Q227" s="203">
        <f>INDEX(DHHVal,MATCH(CtryCode&amp;".distn.bsh."&amp;Q$10&amp;$E227&amp;Q$9&amp;Q$11,DHHKey,0),MATCH($D227,DHHVar,0))</f>
        <v>5.618549164564227</v>
      </c>
      <c r="R227" s="203">
        <f>INDEX(DHHVal,MATCH(CtryCode&amp;".distn.bsh."&amp;R$10&amp;$E227&amp;R$9&amp;R$11,DHHKey,0),MATCH($D227,DHHVar,0))</f>
        <v>5.15061226392907</v>
      </c>
      <c r="S227" s="203">
        <f>INDEX(DHHVal,MATCH(CtryCode&amp;".distn.bsh."&amp;S$10&amp;$E227&amp;S$9&amp;S$11,DHHKey,0),MATCH($D227,DHHVar,0))</f>
        <v>5.108869672486009</v>
      </c>
      <c r="T227" s="203">
        <f>INDEX(DHHVal,MATCH(CtryCode&amp;".distn.bsh."&amp;T$10&amp;$E227&amp;T$9&amp;T$11,DHHKey,0),MATCH($D227,DHHVar,0))</f>
        <v>5.247426886129874</v>
      </c>
      <c r="U227" s="203">
        <f>INDEX(DHHVal,MATCH(CtryCode&amp;".distn.bsh."&amp;U$10&amp;$E227&amp;U$9&amp;U$11,DHHKey,0),MATCH($D227,DHHVar,0))</f>
        <v>5.84024972245598</v>
      </c>
      <c r="V227" s="203">
        <f>INDEX(DHHVal,MATCH(CtryCode&amp;".distn.bsh."&amp;V$10&amp;$E227&amp;V$9&amp;V$11,DHHKey,0),MATCH($D227,DHHVar,0))</f>
        <v>6.481479673821609</v>
      </c>
      <c r="W227" s="207" t="str">
        <f>IF(X$5=K$5,SUM(Y227:AI227)-SUM(L227:V227),"")</f>
        <v/>
      </c>
      <c r="X227" s="9" t="str">
        <f>LOWER(CtryCode)&amp;".distn."&amp;$A227&amp;IF($B227="","","."&amp;$B227)&amp;IF($C227="","",".dec."&amp;$C227)&amp;"."&amp;X$5</f>
        <v>egy.distn.bsh.hou.dec.urb.2</v>
      </c>
      <c r="Y227" s="208">
        <f>INDEX(DHHVal,MATCH(CtryCode&amp;".distn.bsh."&amp;Y$10&amp;$E227&amp;Y$9&amp;Y$11,DHHKey,0),MATCH($D227,DHHVar,0))</f>
        <v>6.281629617919792</v>
      </c>
      <c r="Z227" s="203">
        <f>INDEX(DHHVal,MATCH(CtryCode&amp;".distn.bsh."&amp;Z$10&amp;$E227&amp;Z$9&amp;Z$11,DHHKey,0),MATCH($D227,DHHVar,0))</f>
        <v>7.710857547953789</v>
      </c>
      <c r="AA227" s="203">
        <f>INDEX(DHHVal,MATCH(CtryCode&amp;".distn.bsh."&amp;AA$10&amp;$E227&amp;AA$9&amp;AA$11,DHHKey,0),MATCH($D227,DHHVar,0))</f>
        <v>6.740114001190888</v>
      </c>
      <c r="AB227" s="203">
        <f>INDEX(DHHVal,MATCH(CtryCode&amp;".distn.bsh."&amp;AB$10&amp;$E227&amp;AB$9&amp;AB$11,DHHKey,0),MATCH($D227,DHHVar,0))</f>
        <v>6.015188450404776</v>
      </c>
      <c r="AC227" s="203">
        <f>INDEX(DHHVal,MATCH(CtryCode&amp;".distn.bsh."&amp;AC$10&amp;$E227&amp;AC$9&amp;AC$11,DHHKey,0),MATCH($D227,DHHVar,0))</f>
        <v>5.551453521707732</v>
      </c>
      <c r="AD227" s="203">
        <f>INDEX(DHHVal,MATCH(CtryCode&amp;".distn.bsh."&amp;AD$10&amp;$E227&amp;AD$9&amp;AD$11,DHHKey,0),MATCH($D227,DHHVar,0))</f>
        <v>5.618549164564227</v>
      </c>
      <c r="AE227" s="203">
        <f>INDEX(DHHVal,MATCH(CtryCode&amp;".distn.bsh."&amp;AE$10&amp;$E227&amp;AE$9&amp;AE$11,DHHKey,0),MATCH($D227,DHHVar,0))</f>
        <v>5.15061226392907</v>
      </c>
      <c r="AF227" s="203">
        <f>INDEX(DHHVal,MATCH(CtryCode&amp;".distn.bsh."&amp;AF$10&amp;$E227&amp;AF$9&amp;AF$11,DHHKey,0),MATCH($D227,DHHVar,0))</f>
        <v>5.108869672486009</v>
      </c>
      <c r="AG227" s="203">
        <f>INDEX(DHHVal,MATCH(CtryCode&amp;".distn.bsh."&amp;AG$10&amp;$E227&amp;AG$9&amp;AG$11,DHHKey,0),MATCH($D227,DHHVar,0))</f>
        <v>5.247426886129874</v>
      </c>
      <c r="AH227" s="203">
        <f>INDEX(DHHVal,MATCH(CtryCode&amp;".distn.bsh."&amp;AH$10&amp;$E227&amp;AH$9&amp;AH$11,DHHKey,0),MATCH($D227,DHHVar,0))</f>
        <v>5.84024972245598</v>
      </c>
      <c r="AI227" s="203">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33" t="inlineStr">
        <is>
          <t>HHSurvey</t>
        </is>
      </c>
      <c r="K228" s="9" t="str">
        <f>LOWER(CtryCode)&amp;".distn."&amp;$A228&amp;IF($B228="","","."&amp;$B228)&amp;IF($C228="","",".dec."&amp;$C228)&amp;"."&amp;K$5</f>
        <v>egy.distn.bsh.oth.dec.urb.1</v>
      </c>
      <c r="L228" s="208">
        <f>INDEX(DHHVal,MATCH(CtryCode&amp;".distn.bsh."&amp;L$10&amp;$E228&amp;L$9&amp;L$11,DHHKey,0),MATCH($D228,DHHVar,0))</f>
        <v>0.02161061873630103</v>
      </c>
      <c r="M228" s="203">
        <f>INDEX(DHHVal,MATCH(CtryCode&amp;".distn.bsh."&amp;M$10&amp;$E228&amp;M$9&amp;M$11,DHHKey,0),MATCH($D228,DHHVar,0))</f>
        <v>0.01676138081405265</v>
      </c>
      <c r="N228" s="203">
        <f>INDEX(DHHVal,MATCH(CtryCode&amp;".distn.bsh."&amp;N$10&amp;$E228&amp;N$9&amp;N$11,DHHKey,0),MATCH($D228,DHHVar,0))</f>
        <v>0.009107808707193257</v>
      </c>
      <c r="O228" s="203">
        <f>INDEX(DHHVal,MATCH(CtryCode&amp;".distn.bsh."&amp;O$10&amp;$E228&amp;O$9&amp;O$11,DHHKey,0),MATCH($D228,DHHVar,0))</f>
        <v>0.005842326679264729</v>
      </c>
      <c r="P228" s="203">
        <f>INDEX(DHHVal,MATCH(CtryCode&amp;".distn.bsh."&amp;P$10&amp;$E228&amp;P$9&amp;P$11,DHHKey,0),MATCH($D228,DHHVar,0))</f>
        <v>0.02613973510302911</v>
      </c>
      <c r="Q228" s="203">
        <f>INDEX(DHHVal,MATCH(CtryCode&amp;".distn.bsh."&amp;Q$10&amp;$E228&amp;Q$9&amp;Q$11,DHHKey,0),MATCH($D228,DHHVar,0))</f>
        <v>0.02079807195260369</v>
      </c>
      <c r="R228" s="203">
        <f>INDEX(DHHVal,MATCH(CtryCode&amp;".distn.bsh."&amp;R$10&amp;$E228&amp;R$9&amp;R$11,DHHKey,0),MATCH($D228,DHHVar,0))</f>
        <v>0.01627627307484052</v>
      </c>
      <c r="S228" s="203">
        <f>INDEX(DHHVal,MATCH(CtryCode&amp;".distn.bsh."&amp;S$10&amp;$E228&amp;S$9&amp;S$11,DHHKey,0),MATCH($D228,DHHVar,0))</f>
        <v>0.02277187261159393</v>
      </c>
      <c r="T228" s="203">
        <f>INDEX(DHHVal,MATCH(CtryCode&amp;".distn.bsh."&amp;T$10&amp;$E228&amp;T$9&amp;T$11,DHHKey,0),MATCH($D228,DHHVar,0))</f>
        <v>0.02614950097290854</v>
      </c>
      <c r="U228" s="203">
        <f>INDEX(DHHVal,MATCH(CtryCode&amp;".distn.bsh."&amp;U$10&amp;$E228&amp;U$9&amp;U$11,DHHKey,0),MATCH($D228,DHHVar,0))</f>
        <v>0.02642933456512314</v>
      </c>
      <c r="V228" s="203">
        <f>INDEX(DHHVal,MATCH(CtryCode&amp;".distn.bsh."&amp;V$10&amp;$E228&amp;V$9&amp;V$11,DHHKey,0),MATCH($D228,DHHVar,0))</f>
        <v>0.03829517182096092</v>
      </c>
      <c r="W228" s="207" t="str">
        <f>IF(X$5=K$5,SUM(Y228:AI228)-SUM(L228:V228),"")</f>
        <v/>
      </c>
      <c r="X228" s="9" t="str">
        <f>LOWER(CtryCode)&amp;".distn."&amp;$A228&amp;IF($B228="","","."&amp;$B228)&amp;IF($C228="","",".dec."&amp;$C228)&amp;"."&amp;X$5</f>
        <v>egy.distn.bsh.oth.dec.urb.2</v>
      </c>
      <c r="Y228" s="208">
        <f>INDEX(DHHVal,MATCH(CtryCode&amp;".distn.bsh."&amp;Y$10&amp;$E228&amp;Y$9&amp;Y$11,DHHKey,0),MATCH($D228,DHHVar,0))</f>
        <v>0.02161061873630103</v>
      </c>
      <c r="Z228" s="203">
        <f>INDEX(DHHVal,MATCH(CtryCode&amp;".distn.bsh."&amp;Z$10&amp;$E228&amp;Z$9&amp;Z$11,DHHKey,0),MATCH($D228,DHHVar,0))</f>
        <v>0.01676138081405265</v>
      </c>
      <c r="AA228" s="203">
        <f>INDEX(DHHVal,MATCH(CtryCode&amp;".distn.bsh."&amp;AA$10&amp;$E228&amp;AA$9&amp;AA$11,DHHKey,0),MATCH($D228,DHHVar,0))</f>
        <v>0.009107808707193257</v>
      </c>
      <c r="AB228" s="203">
        <f>INDEX(DHHVal,MATCH(CtryCode&amp;".distn.bsh."&amp;AB$10&amp;$E228&amp;AB$9&amp;AB$11,DHHKey,0),MATCH($D228,DHHVar,0))</f>
        <v>0.005842326679264729</v>
      </c>
      <c r="AC228" s="203">
        <f>INDEX(DHHVal,MATCH(CtryCode&amp;".distn.bsh."&amp;AC$10&amp;$E228&amp;AC$9&amp;AC$11,DHHKey,0),MATCH($D228,DHHVar,0))</f>
        <v>0.02613973510302911</v>
      </c>
      <c r="AD228" s="203">
        <f>INDEX(DHHVal,MATCH(CtryCode&amp;".distn.bsh."&amp;AD$10&amp;$E228&amp;AD$9&amp;AD$11,DHHKey,0),MATCH($D228,DHHVar,0))</f>
        <v>0.02079807195260369</v>
      </c>
      <c r="AE228" s="203">
        <f>INDEX(DHHVal,MATCH(CtryCode&amp;".distn.bsh."&amp;AE$10&amp;$E228&amp;AE$9&amp;AE$11,DHHKey,0),MATCH($D228,DHHVar,0))</f>
        <v>0.01627627307484052</v>
      </c>
      <c r="AF228" s="203">
        <f>INDEX(DHHVal,MATCH(CtryCode&amp;".distn.bsh."&amp;AF$10&amp;$E228&amp;AF$9&amp;AF$11,DHHKey,0),MATCH($D228,DHHVar,0))</f>
        <v>0.02277187261159393</v>
      </c>
      <c r="AG228" s="203">
        <f>INDEX(DHHVal,MATCH(CtryCode&amp;".distn.bsh."&amp;AG$10&amp;$E228&amp;AG$9&amp;AG$11,DHHKey,0),MATCH($D228,DHHVar,0))</f>
        <v>0.02614950097290854</v>
      </c>
      <c r="AH228" s="203">
        <f>INDEX(DHHVal,MATCH(CtryCode&amp;".distn.bsh."&amp;AH$10&amp;$E228&amp;AH$9&amp;AH$11,DHHKey,0),MATCH($D228,DHHVar,0))</f>
        <v>0.02642933456512314</v>
      </c>
      <c r="AI228" s="203">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33" t="inlineStr">
        <is>
          <t>HHSurvey</t>
        </is>
      </c>
      <c r="K229" s="9" t="str">
        <f>LOWER(CtryCode)&amp;".distn."&amp;$A229&amp;IF($B229="","","."&amp;$B229)&amp;IF($C229="","",".dec."&amp;$C229)&amp;"."&amp;K$5</f>
        <v>egy.distn.bsh.pap.dec.urb.1</v>
      </c>
      <c r="L229" s="208">
        <f>INDEX(DHHVal,MATCH(CtryCode&amp;".distn.bsh."&amp;L$10&amp;$E229&amp;L$9&amp;L$11,DHHKey,0),MATCH($D229,DHHVar,0))</f>
        <v>1.896170103709501</v>
      </c>
      <c r="M229" s="203">
        <f>INDEX(DHHVal,MATCH(CtryCode&amp;".distn.bsh."&amp;M$10&amp;$E229&amp;M$9&amp;M$11,DHHKey,0),MATCH($D229,DHHVar,0))</f>
        <v>2.694976518936253</v>
      </c>
      <c r="N229" s="203">
        <f>INDEX(DHHVal,MATCH(CtryCode&amp;".distn.bsh."&amp;N$10&amp;$E229&amp;N$9&amp;N$11,DHHKey,0),MATCH($D229,DHHVar,0))</f>
        <v>2.152897121315155</v>
      </c>
      <c r="O229" s="203">
        <f>INDEX(DHHVal,MATCH(CtryCode&amp;".distn.bsh."&amp;O$10&amp;$E229&amp;O$9&amp;O$11,DHHKey,0),MATCH($D229,DHHVar,0))</f>
        <v>2.336400368790494</v>
      </c>
      <c r="P229" s="203">
        <f>INDEX(DHHVal,MATCH(CtryCode&amp;".distn.bsh."&amp;P$10&amp;$E229&amp;P$9&amp;P$11,DHHKey,0),MATCH($D229,DHHVar,0))</f>
        <v>2.247392634320609</v>
      </c>
      <c r="Q229" s="203">
        <f>INDEX(DHHVal,MATCH(CtryCode&amp;".distn.bsh."&amp;Q$10&amp;$E229&amp;Q$9&amp;Q$11,DHHKey,0),MATCH($D229,DHHVar,0))</f>
        <v>2.080448443864544</v>
      </c>
      <c r="R229" s="203">
        <f>INDEX(DHHVal,MATCH(CtryCode&amp;".distn.bsh."&amp;R$10&amp;$E229&amp;R$9&amp;R$11,DHHKey,0),MATCH($D229,DHHVar,0))</f>
        <v>1.76475555312546</v>
      </c>
      <c r="S229" s="203">
        <f>INDEX(DHHVal,MATCH(CtryCode&amp;".distn.bsh."&amp;S$10&amp;$E229&amp;S$9&amp;S$11,DHHKey,0),MATCH($D229,DHHVar,0))</f>
        <v>1.554813321674235</v>
      </c>
      <c r="T229" s="203">
        <f>INDEX(DHHVal,MATCH(CtryCode&amp;".distn.bsh."&amp;T$10&amp;$E229&amp;T$9&amp;T$11,DHHKey,0),MATCH($D229,DHHVar,0))</f>
        <v>1.434096734545214</v>
      </c>
      <c r="U229" s="203">
        <f>INDEX(DHHVal,MATCH(CtryCode&amp;".distn.bsh."&amp;U$10&amp;$E229&amp;U$9&amp;U$11,DHHKey,0),MATCH($D229,DHHVar,0))</f>
        <v>1.093810788670702</v>
      </c>
      <c r="V229" s="203">
        <f>INDEX(DHHVal,MATCH(CtryCode&amp;".distn.bsh."&amp;V$10&amp;$E229&amp;V$9&amp;V$11,DHHKey,0),MATCH($D229,DHHVar,0))</f>
        <v>0.9171448418690276</v>
      </c>
      <c r="W229" s="207" t="str">
        <f>IF(X$5=K$5,SUM(Y229:AI229)-SUM(L229:V229),"")</f>
        <v/>
      </c>
      <c r="X229" s="9" t="str">
        <f>LOWER(CtryCode)&amp;".distn."&amp;$A229&amp;IF($B229="","","."&amp;$B229)&amp;IF($C229="","",".dec."&amp;$C229)&amp;"."&amp;X$5</f>
        <v>egy.distn.bsh.pap.dec.urb.2</v>
      </c>
      <c r="Y229" s="208">
        <f>INDEX(DHHVal,MATCH(CtryCode&amp;".distn.bsh."&amp;Y$10&amp;$E229&amp;Y$9&amp;Y$11,DHHKey,0),MATCH($D229,DHHVar,0))</f>
        <v>1.896170103709501</v>
      </c>
      <c r="Z229" s="203">
        <f>INDEX(DHHVal,MATCH(CtryCode&amp;".distn.bsh."&amp;Z$10&amp;$E229&amp;Z$9&amp;Z$11,DHHKey,0),MATCH($D229,DHHVar,0))</f>
        <v>2.694976518936253</v>
      </c>
      <c r="AA229" s="203">
        <f>INDEX(DHHVal,MATCH(CtryCode&amp;".distn.bsh."&amp;AA$10&amp;$E229&amp;AA$9&amp;AA$11,DHHKey,0),MATCH($D229,DHHVar,0))</f>
        <v>2.152897121315155</v>
      </c>
      <c r="AB229" s="203">
        <f>INDEX(DHHVal,MATCH(CtryCode&amp;".distn.bsh."&amp;AB$10&amp;$E229&amp;AB$9&amp;AB$11,DHHKey,0),MATCH($D229,DHHVar,0))</f>
        <v>2.336400368790494</v>
      </c>
      <c r="AC229" s="203">
        <f>INDEX(DHHVal,MATCH(CtryCode&amp;".distn.bsh."&amp;AC$10&amp;$E229&amp;AC$9&amp;AC$11,DHHKey,0),MATCH($D229,DHHVar,0))</f>
        <v>2.247392634320609</v>
      </c>
      <c r="AD229" s="203">
        <f>INDEX(DHHVal,MATCH(CtryCode&amp;".distn.bsh."&amp;AD$10&amp;$E229&amp;AD$9&amp;AD$11,DHHKey,0),MATCH($D229,DHHVar,0))</f>
        <v>2.080448443864544</v>
      </c>
      <c r="AE229" s="203">
        <f>INDEX(DHHVal,MATCH(CtryCode&amp;".distn.bsh."&amp;AE$10&amp;$E229&amp;AE$9&amp;AE$11,DHHKey,0),MATCH($D229,DHHVar,0))</f>
        <v>1.76475555312546</v>
      </c>
      <c r="AF229" s="203">
        <f>INDEX(DHHVal,MATCH(CtryCode&amp;".distn.bsh."&amp;AF$10&amp;$E229&amp;AF$9&amp;AF$11,DHHKey,0),MATCH($D229,DHHVar,0))</f>
        <v>1.554813321674235</v>
      </c>
      <c r="AG229" s="203">
        <f>INDEX(DHHVal,MATCH(CtryCode&amp;".distn.bsh."&amp;AG$10&amp;$E229&amp;AG$9&amp;AG$11,DHHKey,0),MATCH($D229,DHHVar,0))</f>
        <v>1.434096734545214</v>
      </c>
      <c r="AH229" s="203">
        <f>INDEX(DHHVal,MATCH(CtryCode&amp;".distn.bsh."&amp;AH$10&amp;$E229&amp;AH$9&amp;AH$11,DHHKey,0),MATCH($D229,DHHVar,0))</f>
        <v>1.093810788670702</v>
      </c>
      <c r="AI229" s="203">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33" t="inlineStr">
        <is>
          <t>HHSurvey</t>
        </is>
      </c>
      <c r="K230" s="9" t="str">
        <f>LOWER(CtryCode)&amp;".distn."&amp;$A230&amp;IF($B230="","","."&amp;$B230)&amp;IF($C230="","",".dec."&amp;$C230)&amp;"."&amp;K$5</f>
        <v>egy.distn.bsh.pha.dec.urb.1</v>
      </c>
      <c r="L230" s="208">
        <f>INDEX(DHHVal,MATCH(CtryCode&amp;".distn.bsh."&amp;L$10&amp;$E230&amp;L$9&amp;L$11,DHHKey,0),MATCH($D230,DHHVar,0))</f>
        <v>6.650752838423737</v>
      </c>
      <c r="M230" s="203">
        <f>INDEX(DHHVal,MATCH(CtryCode&amp;".distn.bsh."&amp;M$10&amp;$E230&amp;M$9&amp;M$11,DHHKey,0),MATCH($D230,DHHVar,0))</f>
        <v>5.204118105688032</v>
      </c>
      <c r="N230" s="203">
        <f>INDEX(DHHVal,MATCH(CtryCode&amp;".distn.bsh."&amp;N$10&amp;$E230&amp;N$9&amp;N$11,DHHKey,0),MATCH($D230,DHHVar,0))</f>
        <v>5.202356298028486</v>
      </c>
      <c r="O230" s="203">
        <f>INDEX(DHHVal,MATCH(CtryCode&amp;".distn.bsh."&amp;O$10&amp;$E230&amp;O$9&amp;O$11,DHHKey,0),MATCH($D230,DHHVar,0))</f>
        <v>5.442718680899758</v>
      </c>
      <c r="P230" s="203">
        <f>INDEX(DHHVal,MATCH(CtryCode&amp;".distn.bsh."&amp;P$10&amp;$E230&amp;P$9&amp;P$11,DHHKey,0),MATCH($D230,DHHVar,0))</f>
        <v>5.790505874285382</v>
      </c>
      <c r="Q230" s="203">
        <f>INDEX(DHHVal,MATCH(CtryCode&amp;".distn.bsh."&amp;Q$10&amp;$E230&amp;Q$9&amp;Q$11,DHHKey,0),MATCH($D230,DHHVar,0))</f>
        <v>5.918083787305669</v>
      </c>
      <c r="R230" s="203">
        <f>INDEX(DHHVal,MATCH(CtryCode&amp;".distn.bsh."&amp;R$10&amp;$E230&amp;R$9&amp;R$11,DHHKey,0),MATCH($D230,DHHVar,0))</f>
        <v>6.001211705217472</v>
      </c>
      <c r="S230" s="203">
        <f>INDEX(DHHVal,MATCH(CtryCode&amp;".distn.bsh."&amp;S$10&amp;$E230&amp;S$9&amp;S$11,DHHKey,0),MATCH($D230,DHHVar,0))</f>
        <v>7.279001850476748</v>
      </c>
      <c r="T230" s="203">
        <f>INDEX(DHHVal,MATCH(CtryCode&amp;".distn.bsh."&amp;T$10&amp;$E230&amp;T$9&amp;T$11,DHHKey,0),MATCH($D230,DHHVar,0))</f>
        <v>7.499669972101217</v>
      </c>
      <c r="U230" s="203">
        <f>INDEX(DHHVal,MATCH(CtryCode&amp;".distn.bsh."&amp;U$10&amp;$E230&amp;U$9&amp;U$11,DHHKey,0),MATCH($D230,DHHVar,0))</f>
        <v>9.01356898054609</v>
      </c>
      <c r="V230" s="203">
        <f>INDEX(DHHVal,MATCH(CtryCode&amp;".distn.bsh."&amp;V$10&amp;$E230&amp;V$9&amp;V$11,DHHKey,0),MATCH($D230,DHHVar,0))</f>
        <v>10.04800099085479</v>
      </c>
      <c r="W230" s="207" t="str">
        <f>IF(X$5=K$5,SUM(Y230:AI230)-SUM(L230:V230),"")</f>
        <v/>
      </c>
      <c r="X230" s="9" t="str">
        <f>LOWER(CtryCode)&amp;".distn."&amp;$A230&amp;IF($B230="","","."&amp;$B230)&amp;IF($C230="","",".dec."&amp;$C230)&amp;"."&amp;X$5</f>
        <v>egy.distn.bsh.pha.dec.urb.2</v>
      </c>
      <c r="Y230" s="208">
        <f>INDEX(DHHVal,MATCH(CtryCode&amp;".distn.bsh."&amp;Y$10&amp;$E230&amp;Y$9&amp;Y$11,DHHKey,0),MATCH($D230,DHHVar,0))</f>
        <v>6.650752838423737</v>
      </c>
      <c r="Z230" s="203">
        <f>INDEX(DHHVal,MATCH(CtryCode&amp;".distn.bsh."&amp;Z$10&amp;$E230&amp;Z$9&amp;Z$11,DHHKey,0),MATCH($D230,DHHVar,0))</f>
        <v>5.204118105688032</v>
      </c>
      <c r="AA230" s="203">
        <f>INDEX(DHHVal,MATCH(CtryCode&amp;".distn.bsh."&amp;AA$10&amp;$E230&amp;AA$9&amp;AA$11,DHHKey,0),MATCH($D230,DHHVar,0))</f>
        <v>5.202356298028486</v>
      </c>
      <c r="AB230" s="203">
        <f>INDEX(DHHVal,MATCH(CtryCode&amp;".distn.bsh."&amp;AB$10&amp;$E230&amp;AB$9&amp;AB$11,DHHKey,0),MATCH($D230,DHHVar,0))</f>
        <v>5.442718680899758</v>
      </c>
      <c r="AC230" s="203">
        <f>INDEX(DHHVal,MATCH(CtryCode&amp;".distn.bsh."&amp;AC$10&amp;$E230&amp;AC$9&amp;AC$11,DHHKey,0),MATCH($D230,DHHVar,0))</f>
        <v>5.790505874285382</v>
      </c>
      <c r="AD230" s="203">
        <f>INDEX(DHHVal,MATCH(CtryCode&amp;".distn.bsh."&amp;AD$10&amp;$E230&amp;AD$9&amp;AD$11,DHHKey,0),MATCH($D230,DHHVar,0))</f>
        <v>5.918083787305669</v>
      </c>
      <c r="AE230" s="203">
        <f>INDEX(DHHVal,MATCH(CtryCode&amp;".distn.bsh."&amp;AE$10&amp;$E230&amp;AE$9&amp;AE$11,DHHKey,0),MATCH($D230,DHHVar,0))</f>
        <v>6.001211705217472</v>
      </c>
      <c r="AF230" s="203">
        <f>INDEX(DHHVal,MATCH(CtryCode&amp;".distn.bsh."&amp;AF$10&amp;$E230&amp;AF$9&amp;AF$11,DHHKey,0),MATCH($D230,DHHVar,0))</f>
        <v>7.279001850476748</v>
      </c>
      <c r="AG230" s="203">
        <f>INDEX(DHHVal,MATCH(CtryCode&amp;".distn.bsh."&amp;AG$10&amp;$E230&amp;AG$9&amp;AG$11,DHHKey,0),MATCH($D230,DHHVar,0))</f>
        <v>7.499669972101217</v>
      </c>
      <c r="AH230" s="203">
        <f>INDEX(DHHVal,MATCH(CtryCode&amp;".distn.bsh."&amp;AH$10&amp;$E230&amp;AH$9&amp;AH$11,DHHKey,0),MATCH($D230,DHHVar,0))</f>
        <v>9.01356898054609</v>
      </c>
      <c r="AI230" s="203">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33" t="inlineStr">
        <is>
          <t>HHSurvey</t>
        </is>
      </c>
      <c r="K231" s="9" t="str">
        <f>LOWER(CtryCode)&amp;".distn."&amp;$A231&amp;IF($B231="","","."&amp;$B231)&amp;IF($C231="","",".dec."&amp;$C231)&amp;"."&amp;K$5</f>
        <v>egy.distn.bsh.ret.dec.urb.1</v>
      </c>
      <c r="L231" s="208">
        <f>INDEX(DHHVal,MATCH(CtryCode&amp;".distn.bsh."&amp;L$10&amp;$E231&amp;L$9&amp;L$11,DHHKey,0),MATCH($D231,DHHVar,0))</f>
        <v>7.651078655643733</v>
      </c>
      <c r="M231" s="203">
        <f>INDEX(DHHVal,MATCH(CtryCode&amp;".distn.bsh."&amp;M$10&amp;$E231&amp;M$9&amp;M$11,DHHKey,0),MATCH($D231,DHHVar,0))</f>
        <v>8.038654381120887</v>
      </c>
      <c r="N231" s="203">
        <f>INDEX(DHHVal,MATCH(CtryCode&amp;".distn.bsh."&amp;N$10&amp;$E231&amp;N$9&amp;N$11,DHHKey,0),MATCH($D231,DHHVar,0))</f>
        <v>7.308905530754608</v>
      </c>
      <c r="O231" s="203">
        <f>INDEX(DHHVal,MATCH(CtryCode&amp;".distn.bsh."&amp;O$10&amp;$E231&amp;O$9&amp;O$11,DHHKey,0),MATCH($D231,DHHVar,0))</f>
        <v>7.609087118745404</v>
      </c>
      <c r="P231" s="203">
        <f>INDEX(DHHVal,MATCH(CtryCode&amp;".distn.bsh."&amp;P$10&amp;$E231&amp;P$9&amp;P$11,DHHKey,0),MATCH($D231,DHHVar,0))</f>
        <v>7.527585224073333</v>
      </c>
      <c r="Q231" s="203">
        <f>INDEX(DHHVal,MATCH(CtryCode&amp;".distn.bsh."&amp;Q$10&amp;$E231&amp;Q$9&amp;Q$11,DHHKey,0),MATCH($D231,DHHVar,0))</f>
        <v>7.64050234098646</v>
      </c>
      <c r="R231" s="203">
        <f>INDEX(DHHVal,MATCH(CtryCode&amp;".distn.bsh."&amp;R$10&amp;$E231&amp;R$9&amp;R$11,DHHKey,0),MATCH($D231,DHHVar,0))</f>
        <v>8.220950706336552</v>
      </c>
      <c r="S231" s="203">
        <f>INDEX(DHHVal,MATCH(CtryCode&amp;".distn.bsh."&amp;S$10&amp;$E231&amp;S$9&amp;S$11,DHHKey,0),MATCH($D231,DHHVar,0))</f>
        <v>7.837146058666252</v>
      </c>
      <c r="T231" s="203">
        <f>INDEX(DHHVal,MATCH(CtryCode&amp;".distn.bsh."&amp;T$10&amp;$E231&amp;T$9&amp;T$11,DHHKey,0),MATCH($D231,DHHVar,0))</f>
        <v>7.692299052774564</v>
      </c>
      <c r="U231" s="203">
        <f>INDEX(DHHVal,MATCH(CtryCode&amp;".distn.bsh."&amp;U$10&amp;$E231&amp;U$9&amp;U$11,DHHKey,0),MATCH($D231,DHHVar,0))</f>
        <v>8.661179351710313</v>
      </c>
      <c r="V231" s="203">
        <f>INDEX(DHHVal,MATCH(CtryCode&amp;".distn.bsh."&amp;V$10&amp;$E231&amp;V$9&amp;V$11,DHHKey,0),MATCH($D231,DHHVar,0))</f>
        <v>8.033955881709785</v>
      </c>
      <c r="W231" s="207" t="str">
        <f>IF(X$5=K$5,SUM(Y231:AI231)-SUM(L231:V231),"")</f>
        <v/>
      </c>
      <c r="X231" s="9" t="str">
        <f>LOWER(CtryCode)&amp;".distn."&amp;$A231&amp;IF($B231="","","."&amp;$B231)&amp;IF($C231="","",".dec."&amp;$C231)&amp;"."&amp;X$5</f>
        <v>egy.distn.bsh.ret.dec.urb.2</v>
      </c>
      <c r="Y231" s="208">
        <f>INDEX(DHHVal,MATCH(CtryCode&amp;".distn.bsh."&amp;Y$10&amp;$E231&amp;Y$9&amp;Y$11,DHHKey,0),MATCH($D231,DHHVar,0))</f>
        <v>7.651078655643733</v>
      </c>
      <c r="Z231" s="203">
        <f>INDEX(DHHVal,MATCH(CtryCode&amp;".distn.bsh."&amp;Z$10&amp;$E231&amp;Z$9&amp;Z$11,DHHKey,0),MATCH($D231,DHHVar,0))</f>
        <v>8.038654381120887</v>
      </c>
      <c r="AA231" s="203">
        <f>INDEX(DHHVal,MATCH(CtryCode&amp;".distn.bsh."&amp;AA$10&amp;$E231&amp;AA$9&amp;AA$11,DHHKey,0),MATCH($D231,DHHVar,0))</f>
        <v>7.308905530754608</v>
      </c>
      <c r="AB231" s="203">
        <f>INDEX(DHHVal,MATCH(CtryCode&amp;".distn.bsh."&amp;AB$10&amp;$E231&amp;AB$9&amp;AB$11,DHHKey,0),MATCH($D231,DHHVar,0))</f>
        <v>7.609087118745404</v>
      </c>
      <c r="AC231" s="203">
        <f>INDEX(DHHVal,MATCH(CtryCode&amp;".distn.bsh."&amp;AC$10&amp;$E231&amp;AC$9&amp;AC$11,DHHKey,0),MATCH($D231,DHHVar,0))</f>
        <v>7.527585224073333</v>
      </c>
      <c r="AD231" s="203">
        <f>INDEX(DHHVal,MATCH(CtryCode&amp;".distn.bsh."&amp;AD$10&amp;$E231&amp;AD$9&amp;AD$11,DHHKey,0),MATCH($D231,DHHVar,0))</f>
        <v>7.64050234098646</v>
      </c>
      <c r="AE231" s="203">
        <f>INDEX(DHHVal,MATCH(CtryCode&amp;".distn.bsh."&amp;AE$10&amp;$E231&amp;AE$9&amp;AE$11,DHHKey,0),MATCH($D231,DHHVar,0))</f>
        <v>8.220950706336552</v>
      </c>
      <c r="AF231" s="203">
        <f>INDEX(DHHVal,MATCH(CtryCode&amp;".distn.bsh."&amp;AF$10&amp;$E231&amp;AF$9&amp;AF$11,DHHKey,0),MATCH($D231,DHHVar,0))</f>
        <v>7.837146058666252</v>
      </c>
      <c r="AG231" s="203">
        <f>INDEX(DHHVal,MATCH(CtryCode&amp;".distn.bsh."&amp;AG$10&amp;$E231&amp;AG$9&amp;AG$11,DHHKey,0),MATCH($D231,DHHVar,0))</f>
        <v>7.692299052774564</v>
      </c>
      <c r="AH231" s="203">
        <f>INDEX(DHHVal,MATCH(CtryCode&amp;".distn.bsh."&amp;AH$10&amp;$E231&amp;AH$9&amp;AH$11,DHHKey,0),MATCH($D231,DHHVar,0))</f>
        <v>8.661179351710313</v>
      </c>
      <c r="AI231" s="203">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33" t="inlineStr">
        <is>
          <t>HHSurvey</t>
        </is>
      </c>
      <c r="K232" s="9" t="str">
        <f>LOWER(CtryCode)&amp;".distn."&amp;$A232&amp;IF($B232="","","."&amp;$B232)&amp;IF($C232="","",".dec."&amp;$C232)&amp;"."&amp;K$5</f>
        <v>egy.distn.bsh.teq.dec.urb.1</v>
      </c>
      <c r="L232" s="208">
        <f>INDEX(DHHVal,MATCH(CtryCode&amp;".distn.bsh."&amp;L$10&amp;$E232&amp;L$9&amp;L$11,DHHKey,0),MATCH($D232,DHHVar,0))</f>
        <v>0.548826987524328</v>
      </c>
      <c r="M232" s="203">
        <f>INDEX(DHHVal,MATCH(CtryCode&amp;".distn.bsh."&amp;M$10&amp;$E232&amp;M$9&amp;M$11,DHHKey,0),MATCH($D232,DHHVar,0))</f>
        <v>0.4890782642341343</v>
      </c>
      <c r="N232" s="203">
        <f>INDEX(DHHVal,MATCH(CtryCode&amp;".distn.bsh."&amp;N$10&amp;$E232&amp;N$9&amp;N$11,DHHKey,0),MATCH($D232,DHHVar,0))</f>
        <v>0.3408240468827411</v>
      </c>
      <c r="O232" s="203">
        <f>INDEX(DHHVal,MATCH(CtryCode&amp;".distn.bsh."&amp;O$10&amp;$E232&amp;O$9&amp;O$11,DHHKey,0),MATCH($D232,DHHVar,0))</f>
        <v>0.271624171735272</v>
      </c>
      <c r="P232" s="203">
        <f>INDEX(DHHVal,MATCH(CtryCode&amp;".distn.bsh."&amp;P$10&amp;$E232&amp;P$9&amp;P$11,DHHKey,0),MATCH($D232,DHHVar,0))</f>
        <v>0.3043230133472703</v>
      </c>
      <c r="Q232" s="203">
        <f>INDEX(DHHVal,MATCH(CtryCode&amp;".distn.bsh."&amp;Q$10&amp;$E232&amp;Q$9&amp;Q$11,DHHKey,0),MATCH($D232,DHHVar,0))</f>
        <v>0.4948327246971275</v>
      </c>
      <c r="R232" s="203">
        <f>INDEX(DHHVal,MATCH(CtryCode&amp;".distn.bsh."&amp;R$10&amp;$E232&amp;R$9&amp;R$11,DHHKey,0),MATCH($D232,DHHVar,0))</f>
        <v>0.5233093344650475</v>
      </c>
      <c r="S232" s="203">
        <f>INDEX(DHHVal,MATCH(CtryCode&amp;".distn.bsh."&amp;S$10&amp;$E232&amp;S$9&amp;S$11,DHHKey,0),MATCH($D232,DHHVar,0))</f>
        <v>0.6504101203032709</v>
      </c>
      <c r="T232" s="203">
        <f>INDEX(DHHVal,MATCH(CtryCode&amp;".distn.bsh."&amp;T$10&amp;$E232&amp;T$9&amp;T$11,DHHKey,0),MATCH($D232,DHHVar,0))</f>
        <v>0.6697309952094086</v>
      </c>
      <c r="U232" s="203">
        <f>INDEX(DHHVal,MATCH(CtryCode&amp;".distn.bsh."&amp;U$10&amp;$E232&amp;U$9&amp;U$11,DHHKey,0),MATCH($D232,DHHVar,0))</f>
        <v>0.6363016594026336</v>
      </c>
      <c r="V232" s="203">
        <f>INDEX(DHHVal,MATCH(CtryCode&amp;".distn.bsh."&amp;V$10&amp;$E232&amp;V$9&amp;V$11,DHHKey,0),MATCH($D232,DHHVar,0))</f>
        <v>0.9782168542191478</v>
      </c>
      <c r="W232" s="207" t="str">
        <f>IF(X$5=K$5,SUM(Y232:AI232)-SUM(L232:V232),"")</f>
        <v/>
      </c>
      <c r="X232" s="9" t="str">
        <f>LOWER(CtryCode)&amp;".distn."&amp;$A232&amp;IF($B232="","","."&amp;$B232)&amp;IF($C232="","",".dec."&amp;$C232)&amp;"."&amp;X$5</f>
        <v>egy.distn.bsh.teq.dec.urb.2</v>
      </c>
      <c r="Y232" s="208">
        <f>INDEX(DHHVal,MATCH(CtryCode&amp;".distn.bsh."&amp;Y$10&amp;$E232&amp;Y$9&amp;Y$11,DHHKey,0),MATCH($D232,DHHVar,0))</f>
        <v>0.548826987524328</v>
      </c>
      <c r="Z232" s="203">
        <f>INDEX(DHHVal,MATCH(CtryCode&amp;".distn.bsh."&amp;Z$10&amp;$E232&amp;Z$9&amp;Z$11,DHHKey,0),MATCH($D232,DHHVar,0))</f>
        <v>0.4890782642341343</v>
      </c>
      <c r="AA232" s="203">
        <f>INDEX(DHHVal,MATCH(CtryCode&amp;".distn.bsh."&amp;AA$10&amp;$E232&amp;AA$9&amp;AA$11,DHHKey,0),MATCH($D232,DHHVar,0))</f>
        <v>0.3408240468827411</v>
      </c>
      <c r="AB232" s="203">
        <f>INDEX(DHHVal,MATCH(CtryCode&amp;".distn.bsh."&amp;AB$10&amp;$E232&amp;AB$9&amp;AB$11,DHHKey,0),MATCH($D232,DHHVar,0))</f>
        <v>0.271624171735272</v>
      </c>
      <c r="AC232" s="203">
        <f>INDEX(DHHVal,MATCH(CtryCode&amp;".distn.bsh."&amp;AC$10&amp;$E232&amp;AC$9&amp;AC$11,DHHKey,0),MATCH($D232,DHHVar,0))</f>
        <v>0.3043230133472703</v>
      </c>
      <c r="AD232" s="203">
        <f>INDEX(DHHVal,MATCH(CtryCode&amp;".distn.bsh."&amp;AD$10&amp;$E232&amp;AD$9&amp;AD$11,DHHKey,0),MATCH($D232,DHHVar,0))</f>
        <v>0.4948327246971275</v>
      </c>
      <c r="AE232" s="203">
        <f>INDEX(DHHVal,MATCH(CtryCode&amp;".distn.bsh."&amp;AE$10&amp;$E232&amp;AE$9&amp;AE$11,DHHKey,0),MATCH($D232,DHHVar,0))</f>
        <v>0.5233093344650475</v>
      </c>
      <c r="AF232" s="203">
        <f>INDEX(DHHVal,MATCH(CtryCode&amp;".distn.bsh."&amp;AF$10&amp;$E232&amp;AF$9&amp;AF$11,DHHKey,0),MATCH($D232,DHHVar,0))</f>
        <v>0.6504101203032709</v>
      </c>
      <c r="AG232" s="203">
        <f>INDEX(DHHVal,MATCH(CtryCode&amp;".distn.bsh."&amp;AG$10&amp;$E232&amp;AG$9&amp;AG$11,DHHKey,0),MATCH($D232,DHHVar,0))</f>
        <v>0.6697309952094086</v>
      </c>
      <c r="AH232" s="203">
        <f>INDEX(DHHVal,MATCH(CtryCode&amp;".distn.bsh."&amp;AH$10&amp;$E232&amp;AH$9&amp;AH$11,DHHKey,0),MATCH($D232,DHHVar,0))</f>
        <v>0.6363016594026336</v>
      </c>
      <c r="AI232" s="203">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33" t="inlineStr">
        <is>
          <t>HHSurvey</t>
        </is>
      </c>
      <c r="K233" s="9" t="str">
        <f>LOWER(CtryCode)&amp;".distn."&amp;$A233&amp;IF($B233="","","."&amp;$B233)&amp;IF($C233="","",".dec."&amp;$C233)&amp;"."&amp;K$5</f>
        <v>egy.distn.bsh.tpu.dec.urb.1</v>
      </c>
      <c r="L233" s="208">
        <f>INDEX(DHHVal,MATCH(CtryCode&amp;".distn.bsh."&amp;L$10&amp;$E233&amp;L$9&amp;L$11,DHHKey,0),MATCH($D233,DHHVar,0))</f>
        <v>5.371017371246131</v>
      </c>
      <c r="M233" s="203">
        <f>INDEX(DHHVal,MATCH(CtryCode&amp;".distn.bsh."&amp;M$10&amp;$E233&amp;M$9&amp;M$11,DHHKey,0),MATCH($D233,DHHVar,0))</f>
        <v>5.458546342681951</v>
      </c>
      <c r="N233" s="203">
        <f>INDEX(DHHVal,MATCH(CtryCode&amp;".distn.bsh."&amp;N$10&amp;$E233&amp;N$9&amp;N$11,DHHKey,0),MATCH($D233,DHHVar,0))</f>
        <v>5.389285444552778</v>
      </c>
      <c r="O233" s="203">
        <f>INDEX(DHHVal,MATCH(CtryCode&amp;".distn.bsh."&amp;O$10&amp;$E233&amp;O$9&amp;O$11,DHHKey,0),MATCH($D233,DHHVar,0))</f>
        <v>5.381469728693901</v>
      </c>
      <c r="P233" s="203">
        <f>INDEX(DHHVal,MATCH(CtryCode&amp;".distn.bsh."&amp;P$10&amp;$E233&amp;P$9&amp;P$11,DHHKey,0),MATCH($D233,DHHVar,0))</f>
        <v>5.478218036348435</v>
      </c>
      <c r="Q233" s="203">
        <f>INDEX(DHHVal,MATCH(CtryCode&amp;".distn.bsh."&amp;Q$10&amp;$E233&amp;Q$9&amp;Q$11,DHHKey,0),MATCH($D233,DHHVar,0))</f>
        <v>5.64017579922546</v>
      </c>
      <c r="R233" s="203">
        <f>INDEX(DHHVal,MATCH(CtryCode&amp;".distn.bsh."&amp;R$10&amp;$E233&amp;R$9&amp;R$11,DHHKey,0),MATCH($D233,DHHVar,0))</f>
        <v>5.535460233132653</v>
      </c>
      <c r="S233" s="203">
        <f>INDEX(DHHVal,MATCH(CtryCode&amp;".distn.bsh."&amp;S$10&amp;$E233&amp;S$9&amp;S$11,DHHKey,0),MATCH($D233,DHHVar,0))</f>
        <v>4.985797308842737</v>
      </c>
      <c r="T233" s="203">
        <f>INDEX(DHHVal,MATCH(CtryCode&amp;".distn.bsh."&amp;T$10&amp;$E233&amp;T$9&amp;T$11,DHHKey,0),MATCH($D233,DHHVar,0))</f>
        <v>5.469385147982186</v>
      </c>
      <c r="U233" s="203">
        <f>INDEX(DHHVal,MATCH(CtryCode&amp;".distn.bsh."&amp;U$10&amp;$E233&amp;U$9&amp;U$11,DHHKey,0),MATCH($D233,DHHVar,0))</f>
        <v>4.74428109213115</v>
      </c>
      <c r="V233" s="203">
        <f>INDEX(DHHVal,MATCH(CtryCode&amp;".distn.bsh."&amp;V$10&amp;$E233&amp;V$9&amp;V$11,DHHKey,0),MATCH($D233,DHHVar,0))</f>
        <v>4.360606428890907</v>
      </c>
      <c r="W233" s="207" t="str">
        <f>IF(X$5=K$5,SUM(Y233:AI233)-SUM(L233:V233),"")</f>
        <v/>
      </c>
      <c r="X233" s="9" t="str">
        <f>LOWER(CtryCode)&amp;".distn."&amp;$A233&amp;IF($B233="","","."&amp;$B233)&amp;IF($C233="","",".dec."&amp;$C233)&amp;"."&amp;X$5</f>
        <v>egy.distn.bsh.tpu.dec.urb.2</v>
      </c>
      <c r="Y233" s="208">
        <f>INDEX(DHHVal,MATCH(CtryCode&amp;".distn.bsh."&amp;Y$10&amp;$E233&amp;Y$9&amp;Y$11,DHHKey,0),MATCH($D233,DHHVar,0))</f>
        <v>5.371017371246131</v>
      </c>
      <c r="Z233" s="203">
        <f>INDEX(DHHVal,MATCH(CtryCode&amp;".distn.bsh."&amp;Z$10&amp;$E233&amp;Z$9&amp;Z$11,DHHKey,0),MATCH($D233,DHHVar,0))</f>
        <v>5.458546342681951</v>
      </c>
      <c r="AA233" s="203">
        <f>INDEX(DHHVal,MATCH(CtryCode&amp;".distn.bsh."&amp;AA$10&amp;$E233&amp;AA$9&amp;AA$11,DHHKey,0),MATCH($D233,DHHVar,0))</f>
        <v>5.389285444552778</v>
      </c>
      <c r="AB233" s="203">
        <f>INDEX(DHHVal,MATCH(CtryCode&amp;".distn.bsh."&amp;AB$10&amp;$E233&amp;AB$9&amp;AB$11,DHHKey,0),MATCH($D233,DHHVar,0))</f>
        <v>5.381469728693901</v>
      </c>
      <c r="AC233" s="203">
        <f>INDEX(DHHVal,MATCH(CtryCode&amp;".distn.bsh."&amp;AC$10&amp;$E233&amp;AC$9&amp;AC$11,DHHKey,0),MATCH($D233,DHHVar,0))</f>
        <v>5.478218036348435</v>
      </c>
      <c r="AD233" s="203">
        <f>INDEX(DHHVal,MATCH(CtryCode&amp;".distn.bsh."&amp;AD$10&amp;$E233&amp;AD$9&amp;AD$11,DHHKey,0),MATCH($D233,DHHVar,0))</f>
        <v>5.64017579922546</v>
      </c>
      <c r="AE233" s="203">
        <f>INDEX(DHHVal,MATCH(CtryCode&amp;".distn.bsh."&amp;AE$10&amp;$E233&amp;AE$9&amp;AE$11,DHHKey,0),MATCH($D233,DHHVar,0))</f>
        <v>5.535460233132653</v>
      </c>
      <c r="AF233" s="203">
        <f>INDEX(DHHVal,MATCH(CtryCode&amp;".distn.bsh."&amp;AF$10&amp;$E233&amp;AF$9&amp;AF$11,DHHKey,0),MATCH($D233,DHHVar,0))</f>
        <v>4.985797308842737</v>
      </c>
      <c r="AG233" s="203">
        <f>INDEX(DHHVal,MATCH(CtryCode&amp;".distn.bsh."&amp;AG$10&amp;$E233&amp;AG$9&amp;AG$11,DHHKey,0),MATCH($D233,DHHVar,0))</f>
        <v>5.469385147982186</v>
      </c>
      <c r="AH233" s="203">
        <f>INDEX(DHHVal,MATCH(CtryCode&amp;".distn.bsh."&amp;AH$10&amp;$E233&amp;AH$9&amp;AH$11,DHHKey,0),MATCH($D233,DHHVar,0))</f>
        <v>4.74428109213115</v>
      </c>
      <c r="AI233" s="203">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33" t="inlineStr">
        <is>
          <t>HHSurvey</t>
        </is>
      </c>
      <c r="K236" s="9" t="str">
        <f>LOWER(CtryCode)&amp;".distn."&amp;$A236&amp;IF($B236="","","."&amp;$B236)&amp;IF($C236="","",".dec."&amp;$C236)&amp;"."&amp;K$5</f>
        <v>egy.distn.bsh.coa.dec.rur.1</v>
      </c>
      <c r="L236" s="208">
        <f>INDEX(DHHVal,MATCH(CtryCode&amp;".distn.bsh."&amp;L$10&amp;$E236&amp;L$9&amp;L$11,DHHKey,0),MATCH($D236,DHHVar,0))</f>
        <v>0.0</v>
      </c>
      <c r="M236" s="203">
        <f>INDEX(DHHVal,MATCH(CtryCode&amp;".distn.bsh."&amp;M$10&amp;$E236&amp;M$9&amp;M$11,DHHKey,0),MATCH($D236,DHHVar,0))</f>
        <v>0.0</v>
      </c>
      <c r="N236" s="203">
        <f>INDEX(DHHVal,MATCH(CtryCode&amp;".distn.bsh."&amp;N$10&amp;$E236&amp;N$9&amp;N$11,DHHKey,0),MATCH($D236,DHHVar,0))</f>
        <v>0.0</v>
      </c>
      <c r="O236" s="203">
        <f>INDEX(DHHVal,MATCH(CtryCode&amp;".distn.bsh."&amp;O$10&amp;$E236&amp;O$9&amp;O$11,DHHKey,0),MATCH($D236,DHHVar,0))</f>
        <v>0.0</v>
      </c>
      <c r="P236" s="203">
        <f>INDEX(DHHVal,MATCH(CtryCode&amp;".distn.bsh."&amp;P$10&amp;$E236&amp;P$9&amp;P$11,DHHKey,0),MATCH($D236,DHHVar,0))</f>
        <v>0.0</v>
      </c>
      <c r="Q236" s="203">
        <f>INDEX(DHHVal,MATCH(CtryCode&amp;".distn.bsh."&amp;Q$10&amp;$E236&amp;Q$9&amp;Q$11,DHHKey,0),MATCH($D236,DHHVar,0))</f>
        <v>0.0</v>
      </c>
      <c r="R236" s="203">
        <f>INDEX(DHHVal,MATCH(CtryCode&amp;".distn.bsh."&amp;R$10&amp;$E236&amp;R$9&amp;R$11,DHHKey,0),MATCH($D236,DHHVar,0))</f>
        <v>0.0</v>
      </c>
      <c r="S236" s="203">
        <f>INDEX(DHHVal,MATCH(CtryCode&amp;".distn.bsh."&amp;S$10&amp;$E236&amp;S$9&amp;S$11,DHHKey,0),MATCH($D236,DHHVar,0))</f>
        <v>0.0</v>
      </c>
      <c r="T236" s="203">
        <f>INDEX(DHHVal,MATCH(CtryCode&amp;".distn.bsh."&amp;T$10&amp;$E236&amp;T$9&amp;T$11,DHHKey,0),MATCH($D236,DHHVar,0))</f>
        <v>0.0</v>
      </c>
      <c r="U236" s="203">
        <f>INDEX(DHHVal,MATCH(CtryCode&amp;".distn.bsh."&amp;U$10&amp;$E236&amp;U$9&amp;U$11,DHHKey,0),MATCH($D236,DHHVar,0))</f>
        <v>0.0</v>
      </c>
      <c r="V236" s="203">
        <f>INDEX(DHHVal,MATCH(CtryCode&amp;".distn.bsh."&amp;V$10&amp;$E236&amp;V$9&amp;V$11,DHHKey,0),MATCH($D236,DHHVar,0))</f>
        <v>0.0</v>
      </c>
      <c r="W236" s="207" t="str">
        <f>IF(X$5=K$5,SUM(Y236:AI236)-SUM(L236:V236),"")</f>
        <v/>
      </c>
      <c r="X236" s="9" t="str">
        <f>LOWER(CtryCode)&amp;".distn."&amp;$A236&amp;IF($B236="","","."&amp;$B236)&amp;IF($C236="","",".dec."&amp;$C236)&amp;"."&amp;X$5</f>
        <v>egy.distn.bsh.coa.dec.rur.2</v>
      </c>
      <c r="Y236" s="208">
        <f>INDEX(DHHVal,MATCH(CtryCode&amp;".distn.bsh."&amp;Y$10&amp;$E236&amp;Y$9&amp;Y$11,DHHKey,0),MATCH($D236,DHHVar,0))</f>
        <v>0.0</v>
      </c>
      <c r="Z236" s="203">
        <f>INDEX(DHHVal,MATCH(CtryCode&amp;".distn.bsh."&amp;Z$10&amp;$E236&amp;Z$9&amp;Z$11,DHHKey,0),MATCH($D236,DHHVar,0))</f>
        <v>0.0</v>
      </c>
      <c r="AA236" s="203">
        <f>INDEX(DHHVal,MATCH(CtryCode&amp;".distn.bsh."&amp;AA$10&amp;$E236&amp;AA$9&amp;AA$11,DHHKey,0),MATCH($D236,DHHVar,0))</f>
        <v>0.0</v>
      </c>
      <c r="AB236" s="203">
        <f>INDEX(DHHVal,MATCH(CtryCode&amp;".distn.bsh."&amp;AB$10&amp;$E236&amp;AB$9&amp;AB$11,DHHKey,0),MATCH($D236,DHHVar,0))</f>
        <v>0.0</v>
      </c>
      <c r="AC236" s="203">
        <f>INDEX(DHHVal,MATCH(CtryCode&amp;".distn.bsh."&amp;AC$10&amp;$E236&amp;AC$9&amp;AC$11,DHHKey,0),MATCH($D236,DHHVar,0))</f>
        <v>0.0</v>
      </c>
      <c r="AD236" s="203">
        <f>INDEX(DHHVal,MATCH(CtryCode&amp;".distn.bsh."&amp;AD$10&amp;$E236&amp;AD$9&amp;AD$11,DHHKey,0),MATCH($D236,DHHVar,0))</f>
        <v>0.0</v>
      </c>
      <c r="AE236" s="203">
        <f>INDEX(DHHVal,MATCH(CtryCode&amp;".distn.bsh."&amp;AE$10&amp;$E236&amp;AE$9&amp;AE$11,DHHKey,0),MATCH($D236,DHHVar,0))</f>
        <v>0.0</v>
      </c>
      <c r="AF236" s="203">
        <f>INDEX(DHHVal,MATCH(CtryCode&amp;".distn.bsh."&amp;AF$10&amp;$E236&amp;AF$9&amp;AF$11,DHHKey,0),MATCH($D236,DHHVar,0))</f>
        <v>0.0</v>
      </c>
      <c r="AG236" s="203">
        <f>INDEX(DHHVal,MATCH(CtryCode&amp;".distn.bsh."&amp;AG$10&amp;$E236&amp;AG$9&amp;AG$11,DHHKey,0),MATCH($D236,DHHVar,0))</f>
        <v>0.0</v>
      </c>
      <c r="AH236" s="203">
        <f>INDEX(DHHVal,MATCH(CtryCode&amp;".distn.bsh."&amp;AH$10&amp;$E236&amp;AH$9&amp;AH$11,DHHKey,0),MATCH($D236,DHHVar,0))</f>
        <v>0.0</v>
      </c>
      <c r="AI236" s="203">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33" t="inlineStr">
        <is>
          <t>HHSurvey</t>
        </is>
      </c>
      <c r="K237" s="9" t="str">
        <f>LOWER(CtryCode)&amp;".distn."&amp;$A237&amp;IF($B237="","","."&amp;$B237)&amp;IF($C237="","",".dec."&amp;$C237)&amp;"."&amp;K$5</f>
        <v>egy.distn.bsh.ely.dec.rur.1</v>
      </c>
      <c r="L237" s="208">
        <f>INDEX(DHHVal,MATCH(CtryCode&amp;".distn.bsh."&amp;L$10&amp;$E237&amp;L$9&amp;L$11,DHHKey,0),MATCH($D237,DHHVar,0))</f>
        <v>3.611870329158737</v>
      </c>
      <c r="M237" s="203">
        <f>INDEX(DHHVal,MATCH(CtryCode&amp;".distn.bsh."&amp;M$10&amp;$E237&amp;M$9&amp;M$11,DHHKey,0),MATCH($D237,DHHVar,0))</f>
        <v>3.846207679299666</v>
      </c>
      <c r="N237" s="203">
        <f>INDEX(DHHVal,MATCH(CtryCode&amp;".distn.bsh."&amp;N$10&amp;$E237&amp;N$9&amp;N$11,DHHKey,0),MATCH($D237,DHHVar,0))</f>
        <v>3.501517539565012</v>
      </c>
      <c r="O237" s="203">
        <f>INDEX(DHHVal,MATCH(CtryCode&amp;".distn.bsh."&amp;O$10&amp;$E237&amp;O$9&amp;O$11,DHHKey,0),MATCH($D237,DHHVar,0))</f>
        <v>3.231174888069031</v>
      </c>
      <c r="P237" s="203">
        <f>INDEX(DHHVal,MATCH(CtryCode&amp;".distn.bsh."&amp;P$10&amp;$E237&amp;P$9&amp;P$11,DHHKey,0),MATCH($D237,DHHVar,0))</f>
        <v>3.264668742878412</v>
      </c>
      <c r="Q237" s="203">
        <f>INDEX(DHHVal,MATCH(CtryCode&amp;".distn.bsh."&amp;Q$10&amp;$E237&amp;Q$9&amp;Q$11,DHHKey,0),MATCH($D237,DHHVar,0))</f>
        <v>3.356974981158808</v>
      </c>
      <c r="R237" s="203">
        <f>INDEX(DHHVal,MATCH(CtryCode&amp;".distn.bsh."&amp;R$10&amp;$E237&amp;R$9&amp;R$11,DHHKey,0),MATCH($D237,DHHVar,0))</f>
        <v>3.427545267260961</v>
      </c>
      <c r="S237" s="203">
        <f>INDEX(DHHVal,MATCH(CtryCode&amp;".distn.bsh."&amp;S$10&amp;$E237&amp;S$9&amp;S$11,DHHKey,0),MATCH($D237,DHHVar,0))</f>
        <v>3.185050340381856</v>
      </c>
      <c r="T237" s="203">
        <f>INDEX(DHHVal,MATCH(CtryCode&amp;".distn.bsh."&amp;T$10&amp;$E237&amp;T$9&amp;T$11,DHHKey,0),MATCH($D237,DHHVar,0))</f>
        <v>3.40538417479078</v>
      </c>
      <c r="U237" s="203">
        <f>INDEX(DHHVal,MATCH(CtryCode&amp;".distn.bsh."&amp;U$10&amp;$E237&amp;U$9&amp;U$11,DHHKey,0),MATCH($D237,DHHVar,0))</f>
        <v>3.37503958612808</v>
      </c>
      <c r="V237" s="203">
        <f>INDEX(DHHVal,MATCH(CtryCode&amp;".distn.bsh."&amp;V$10&amp;$E237&amp;V$9&amp;V$11,DHHKey,0),MATCH($D237,DHHVar,0))</f>
        <v>3.991764895409399</v>
      </c>
      <c r="W237" s="207" t="str">
        <f>IF(X$5=K$5,SUM(Y237:AI237)-SUM(L237:V237),"")</f>
        <v/>
      </c>
      <c r="X237" s="9" t="str">
        <f>LOWER(CtryCode)&amp;".distn."&amp;$A237&amp;IF($B237="","","."&amp;$B237)&amp;IF($C237="","",".dec."&amp;$C237)&amp;"."&amp;X$5</f>
        <v>egy.distn.bsh.ely.dec.rur.2</v>
      </c>
      <c r="Y237" s="208">
        <f>INDEX(DHHVal,MATCH(CtryCode&amp;".distn.bsh."&amp;Y$10&amp;$E237&amp;Y$9&amp;Y$11,DHHKey,0),MATCH($D237,DHHVar,0))</f>
        <v>3.611870329158737</v>
      </c>
      <c r="Z237" s="203">
        <f>INDEX(DHHVal,MATCH(CtryCode&amp;".distn.bsh."&amp;Z$10&amp;$E237&amp;Z$9&amp;Z$11,DHHKey,0),MATCH($D237,DHHVar,0))</f>
        <v>3.846207679299666</v>
      </c>
      <c r="AA237" s="203">
        <f>INDEX(DHHVal,MATCH(CtryCode&amp;".distn.bsh."&amp;AA$10&amp;$E237&amp;AA$9&amp;AA$11,DHHKey,0),MATCH($D237,DHHVar,0))</f>
        <v>3.501517539565012</v>
      </c>
      <c r="AB237" s="203">
        <f>INDEX(DHHVal,MATCH(CtryCode&amp;".distn.bsh."&amp;AB$10&amp;$E237&amp;AB$9&amp;AB$11,DHHKey,0),MATCH($D237,DHHVar,0))</f>
        <v>3.231174888069031</v>
      </c>
      <c r="AC237" s="203">
        <f>INDEX(DHHVal,MATCH(CtryCode&amp;".distn.bsh."&amp;AC$10&amp;$E237&amp;AC$9&amp;AC$11,DHHKey,0),MATCH($D237,DHHVar,0))</f>
        <v>3.264668742878412</v>
      </c>
      <c r="AD237" s="203">
        <f>INDEX(DHHVal,MATCH(CtryCode&amp;".distn.bsh."&amp;AD$10&amp;$E237&amp;AD$9&amp;AD$11,DHHKey,0),MATCH($D237,DHHVar,0))</f>
        <v>3.356974981158808</v>
      </c>
      <c r="AE237" s="203">
        <f>INDEX(DHHVal,MATCH(CtryCode&amp;".distn.bsh."&amp;AE$10&amp;$E237&amp;AE$9&amp;AE$11,DHHKey,0),MATCH($D237,DHHVar,0))</f>
        <v>3.427545267260961</v>
      </c>
      <c r="AF237" s="203">
        <f>INDEX(DHHVal,MATCH(CtryCode&amp;".distn.bsh."&amp;AF$10&amp;$E237&amp;AF$9&amp;AF$11,DHHKey,0),MATCH($D237,DHHVar,0))</f>
        <v>3.185050340381856</v>
      </c>
      <c r="AG237" s="203">
        <f>INDEX(DHHVal,MATCH(CtryCode&amp;".distn.bsh."&amp;AG$10&amp;$E237&amp;AG$9&amp;AG$11,DHHKey,0),MATCH($D237,DHHVar,0))</f>
        <v>3.40538417479078</v>
      </c>
      <c r="AH237" s="203">
        <f>INDEX(DHHVal,MATCH(CtryCode&amp;".distn.bsh."&amp;AH$10&amp;$E237&amp;AH$9&amp;AH$11,DHHKey,0),MATCH($D237,DHHVar,0))</f>
        <v>3.37503958612808</v>
      </c>
      <c r="AI237" s="203">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33" t="inlineStr">
        <is>
          <t>HHSurvey</t>
        </is>
      </c>
      <c r="K238" s="9" t="str">
        <f>LOWER(CtryCode)&amp;".distn."&amp;$A238&amp;IF($B238="","","."&amp;$B238)&amp;IF($C238="","",".dec."&amp;$C238)&amp;"."&amp;K$5</f>
        <v>egy.distn.bsh.nga.dec.rur.1</v>
      </c>
      <c r="L238" s="208">
        <f>INDEX(DHHVal,MATCH(CtryCode&amp;".distn.bsh."&amp;L$10&amp;$E238&amp;L$9&amp;L$11,DHHKey,0),MATCH($D238,DHHVar,0))</f>
        <v>0.06132527900319224</v>
      </c>
      <c r="M238" s="203">
        <f>INDEX(DHHVal,MATCH(CtryCode&amp;".distn.bsh."&amp;M$10&amp;$E238&amp;M$9&amp;M$11,DHHKey,0),MATCH($D238,DHHVar,0))</f>
        <v>0.04988361487967658</v>
      </c>
      <c r="N238" s="203">
        <f>INDEX(DHHVal,MATCH(CtryCode&amp;".distn.bsh."&amp;N$10&amp;$E238&amp;N$9&amp;N$11,DHHKey,0),MATCH($D238,DHHVar,0))</f>
        <v>0.06611936714001539</v>
      </c>
      <c r="O238" s="203">
        <f>INDEX(DHHVal,MATCH(CtryCode&amp;".distn.bsh."&amp;O$10&amp;$E238&amp;O$9&amp;O$11,DHHKey,0),MATCH($D238,DHHVar,0))</f>
        <v>0.0694264705565677</v>
      </c>
      <c r="P238" s="203">
        <f>INDEX(DHHVal,MATCH(CtryCode&amp;".distn.bsh."&amp;P$10&amp;$E238&amp;P$9&amp;P$11,DHHKey,0),MATCH($D238,DHHVar,0))</f>
        <v>0.06253800684098777</v>
      </c>
      <c r="Q238" s="203">
        <f>INDEX(DHHVal,MATCH(CtryCode&amp;".distn.bsh."&amp;Q$10&amp;$E238&amp;Q$9&amp;Q$11,DHHKey,0),MATCH($D238,DHHVar,0))</f>
        <v>0.06872297230684173</v>
      </c>
      <c r="R238" s="203">
        <f>INDEX(DHHVal,MATCH(CtryCode&amp;".distn.bsh."&amp;R$10&amp;$E238&amp;R$9&amp;R$11,DHHKey,0),MATCH($D238,DHHVar,0))</f>
        <v>0.06669893030221061</v>
      </c>
      <c r="S238" s="203">
        <f>INDEX(DHHVal,MATCH(CtryCode&amp;".distn.bsh."&amp;S$10&amp;$E238&amp;S$9&amp;S$11,DHHKey,0),MATCH($D238,DHHVar,0))</f>
        <v>0.07234650044914553</v>
      </c>
      <c r="T238" s="203">
        <f>INDEX(DHHVal,MATCH(CtryCode&amp;".distn.bsh."&amp;T$10&amp;$E238&amp;T$9&amp;T$11,DHHKey,0),MATCH($D238,DHHVar,0))</f>
        <v>0.08272869330784298</v>
      </c>
      <c r="U238" s="203">
        <f>INDEX(DHHVal,MATCH(CtryCode&amp;".distn.bsh."&amp;U$10&amp;$E238&amp;U$9&amp;U$11,DHHKey,0),MATCH($D238,DHHVar,0))</f>
        <v>0.05797928784715542</v>
      </c>
      <c r="V238" s="203">
        <f>INDEX(DHHVal,MATCH(CtryCode&amp;".distn.bsh."&amp;V$10&amp;$E238&amp;V$9&amp;V$11,DHHKey,0),MATCH($D238,DHHVar,0))</f>
        <v>0.06114312923443321</v>
      </c>
      <c r="W238" s="207" t="str">
        <f>IF(X$5=K$5,SUM(Y238:AI238)-SUM(L238:V238),"")</f>
        <v/>
      </c>
      <c r="X238" s="9" t="str">
        <f>LOWER(CtryCode)&amp;".distn."&amp;$A238&amp;IF($B238="","","."&amp;$B238)&amp;IF($C238="","",".dec."&amp;$C238)&amp;"."&amp;X$5</f>
        <v>egy.distn.bsh.nga.dec.rur.2</v>
      </c>
      <c r="Y238" s="208">
        <f>INDEX(DHHVal,MATCH(CtryCode&amp;".distn.bsh."&amp;Y$10&amp;$E238&amp;Y$9&amp;Y$11,DHHKey,0),MATCH($D238,DHHVar,0))</f>
        <v>0.06132527900319224</v>
      </c>
      <c r="Z238" s="203">
        <f>INDEX(DHHVal,MATCH(CtryCode&amp;".distn.bsh."&amp;Z$10&amp;$E238&amp;Z$9&amp;Z$11,DHHKey,0),MATCH($D238,DHHVar,0))</f>
        <v>0.04988361487967658</v>
      </c>
      <c r="AA238" s="203">
        <f>INDEX(DHHVal,MATCH(CtryCode&amp;".distn.bsh."&amp;AA$10&amp;$E238&amp;AA$9&amp;AA$11,DHHKey,0),MATCH($D238,DHHVar,0))</f>
        <v>0.06611936714001539</v>
      </c>
      <c r="AB238" s="203">
        <f>INDEX(DHHVal,MATCH(CtryCode&amp;".distn.bsh."&amp;AB$10&amp;$E238&amp;AB$9&amp;AB$11,DHHKey,0),MATCH($D238,DHHVar,0))</f>
        <v>0.0694264705565677</v>
      </c>
      <c r="AC238" s="203">
        <f>INDEX(DHHVal,MATCH(CtryCode&amp;".distn.bsh."&amp;AC$10&amp;$E238&amp;AC$9&amp;AC$11,DHHKey,0),MATCH($D238,DHHVar,0))</f>
        <v>0.06253800684098777</v>
      </c>
      <c r="AD238" s="203">
        <f>INDEX(DHHVal,MATCH(CtryCode&amp;".distn.bsh."&amp;AD$10&amp;$E238&amp;AD$9&amp;AD$11,DHHKey,0),MATCH($D238,DHHVar,0))</f>
        <v>0.06872297230684173</v>
      </c>
      <c r="AE238" s="203">
        <f>INDEX(DHHVal,MATCH(CtryCode&amp;".distn.bsh."&amp;AE$10&amp;$E238&amp;AE$9&amp;AE$11,DHHKey,0),MATCH($D238,DHHVar,0))</f>
        <v>0.06669893030221061</v>
      </c>
      <c r="AF238" s="203">
        <f>INDEX(DHHVal,MATCH(CtryCode&amp;".distn.bsh."&amp;AF$10&amp;$E238&amp;AF$9&amp;AF$11,DHHKey,0),MATCH($D238,DHHVar,0))</f>
        <v>0.07234650044914553</v>
      </c>
      <c r="AG238" s="203">
        <f>INDEX(DHHVal,MATCH(CtryCode&amp;".distn.bsh."&amp;AG$10&amp;$E238&amp;AG$9&amp;AG$11,DHHKey,0),MATCH($D238,DHHVar,0))</f>
        <v>0.08272869330784298</v>
      </c>
      <c r="AH238" s="203">
        <f>INDEX(DHHVal,MATCH(CtryCode&amp;".distn.bsh."&amp;AH$10&amp;$E238&amp;AH$9&amp;AH$11,DHHKey,0),MATCH($D238,DHHVar,0))</f>
        <v>0.05797928784715542</v>
      </c>
      <c r="AI238" s="203">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33" t="inlineStr">
        <is>
          <t>HHSurvey</t>
        </is>
      </c>
      <c r="K239" s="9" t="str">
        <f>LOWER(CtryCode)&amp;".distn."&amp;$A239&amp;IF($B239="","","."&amp;$B239)&amp;IF($C239="","",".dec."&amp;$C239)&amp;"."&amp;K$5</f>
        <v>egy.distn.bsh.oil.dec.rur.1</v>
      </c>
      <c r="L239" s="208">
        <f>INDEX(DHHVal,MATCH(CtryCode&amp;".distn.bsh."&amp;L$10&amp;$E239&amp;L$9&amp;L$11,DHHKey,0),MATCH($D239,DHHVar,0))</f>
        <v>0.1251949533094251</v>
      </c>
      <c r="M239" s="203">
        <f>INDEX(DHHVal,MATCH(CtryCode&amp;".distn.bsh."&amp;M$10&amp;$E239&amp;M$9&amp;M$11,DHHKey,0),MATCH($D239,DHHVar,0))</f>
        <v>0.09267768770750871</v>
      </c>
      <c r="N239" s="203">
        <f>INDEX(DHHVal,MATCH(CtryCode&amp;".distn.bsh."&amp;N$10&amp;$E239&amp;N$9&amp;N$11,DHHKey,0),MATCH($D239,DHHVar,0))</f>
        <v>0.1043372744792014</v>
      </c>
      <c r="O239" s="203">
        <f>INDEX(DHHVal,MATCH(CtryCode&amp;".distn.bsh."&amp;O$10&amp;$E239&amp;O$9&amp;O$11,DHHKey,0),MATCH($D239,DHHVar,0))</f>
        <v>0.1237860243447429</v>
      </c>
      <c r="P239" s="203">
        <f>INDEX(DHHVal,MATCH(CtryCode&amp;".distn.bsh."&amp;P$10&amp;$E239&amp;P$9&amp;P$11,DHHKey,0),MATCH($D239,DHHVar,0))</f>
        <v>0.1474870832345264</v>
      </c>
      <c r="Q239" s="203">
        <f>INDEX(DHHVal,MATCH(CtryCode&amp;".distn.bsh."&amp;Q$10&amp;$E239&amp;Q$9&amp;Q$11,DHHKey,0),MATCH($D239,DHHVar,0))</f>
        <v>0.1170412399138531</v>
      </c>
      <c r="R239" s="203">
        <f>INDEX(DHHVal,MATCH(CtryCode&amp;".distn.bsh."&amp;R$10&amp;$E239&amp;R$9&amp;R$11,DHHKey,0),MATCH($D239,DHHVar,0))</f>
        <v>0.1444992472858564</v>
      </c>
      <c r="S239" s="203">
        <f>INDEX(DHHVal,MATCH(CtryCode&amp;".distn.bsh."&amp;S$10&amp;$E239&amp;S$9&amp;S$11,DHHKey,0),MATCH($D239,DHHVar,0))</f>
        <v>0.1419828927188502</v>
      </c>
      <c r="T239" s="203">
        <f>INDEX(DHHVal,MATCH(CtryCode&amp;".distn.bsh."&amp;T$10&amp;$E239&amp;T$9&amp;T$11,DHHKey,0),MATCH($D239,DHHVar,0))</f>
        <v>0.1543015145423073</v>
      </c>
      <c r="U239" s="203">
        <f>INDEX(DHHVal,MATCH(CtryCode&amp;".distn.bsh."&amp;U$10&amp;$E239&amp;U$9&amp;U$11,DHHKey,0),MATCH($D239,DHHVar,0))</f>
        <v>0.1511717167761083</v>
      </c>
      <c r="V239" s="203">
        <f>INDEX(DHHVal,MATCH(CtryCode&amp;".distn.bsh."&amp;V$10&amp;$E239&amp;V$9&amp;V$11,DHHKey,0),MATCH($D239,DHHVar,0))</f>
        <v>0.1271936047904083</v>
      </c>
      <c r="W239" s="207" t="str">
        <f>IF(X$5=K$5,SUM(Y239:AI239)-SUM(L239:V239),"")</f>
        <v/>
      </c>
      <c r="X239" s="9" t="str">
        <f>LOWER(CtryCode)&amp;".distn."&amp;$A239&amp;IF($B239="","","."&amp;$B239)&amp;IF($C239="","",".dec."&amp;$C239)&amp;"."&amp;X$5</f>
        <v>egy.distn.bsh.oil.dec.rur.2</v>
      </c>
      <c r="Y239" s="208">
        <f>INDEX(DHHVal,MATCH(CtryCode&amp;".distn.bsh."&amp;Y$10&amp;$E239&amp;Y$9&amp;Y$11,DHHKey,0),MATCH($D239,DHHVar,0))</f>
        <v>0.1251949533094251</v>
      </c>
      <c r="Z239" s="203">
        <f>INDEX(DHHVal,MATCH(CtryCode&amp;".distn.bsh."&amp;Z$10&amp;$E239&amp;Z$9&amp;Z$11,DHHKey,0),MATCH($D239,DHHVar,0))</f>
        <v>0.09267768770750871</v>
      </c>
      <c r="AA239" s="203">
        <f>INDEX(DHHVal,MATCH(CtryCode&amp;".distn.bsh."&amp;AA$10&amp;$E239&amp;AA$9&amp;AA$11,DHHKey,0),MATCH($D239,DHHVar,0))</f>
        <v>0.1043372744792014</v>
      </c>
      <c r="AB239" s="203">
        <f>INDEX(DHHVal,MATCH(CtryCode&amp;".distn.bsh."&amp;AB$10&amp;$E239&amp;AB$9&amp;AB$11,DHHKey,0),MATCH($D239,DHHVar,0))</f>
        <v>0.1237860243447429</v>
      </c>
      <c r="AC239" s="203">
        <f>INDEX(DHHVal,MATCH(CtryCode&amp;".distn.bsh."&amp;AC$10&amp;$E239&amp;AC$9&amp;AC$11,DHHKey,0),MATCH($D239,DHHVar,0))</f>
        <v>0.1474870832345264</v>
      </c>
      <c r="AD239" s="203">
        <f>INDEX(DHHVal,MATCH(CtryCode&amp;".distn.bsh."&amp;AD$10&amp;$E239&amp;AD$9&amp;AD$11,DHHKey,0),MATCH($D239,DHHVar,0))</f>
        <v>0.1170412399138531</v>
      </c>
      <c r="AE239" s="203">
        <f>INDEX(DHHVal,MATCH(CtryCode&amp;".distn.bsh."&amp;AE$10&amp;$E239&amp;AE$9&amp;AE$11,DHHKey,0),MATCH($D239,DHHVar,0))</f>
        <v>0.1444992472858564</v>
      </c>
      <c r="AF239" s="203">
        <f>INDEX(DHHVal,MATCH(CtryCode&amp;".distn.bsh."&amp;AF$10&amp;$E239&amp;AF$9&amp;AF$11,DHHKey,0),MATCH($D239,DHHVar,0))</f>
        <v>0.1419828927188502</v>
      </c>
      <c r="AG239" s="203">
        <f>INDEX(DHHVal,MATCH(CtryCode&amp;".distn.bsh."&amp;AG$10&amp;$E239&amp;AG$9&amp;AG$11,DHHKey,0),MATCH($D239,DHHVar,0))</f>
        <v>0.1543015145423073</v>
      </c>
      <c r="AH239" s="203">
        <f>INDEX(DHHVal,MATCH(CtryCode&amp;".distn.bsh."&amp;AH$10&amp;$E239&amp;AH$9&amp;AH$11,DHHKey,0),MATCH($D239,DHHVar,0))</f>
        <v>0.1511717167761083</v>
      </c>
      <c r="AI239" s="203">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33" t="inlineStr">
        <is>
          <t>HHSurvey</t>
        </is>
      </c>
      <c r="K240" s="9" t="str">
        <f>LOWER(CtryCode)&amp;".distn."&amp;$A240&amp;IF($B240="","","."&amp;$B240)&amp;IF($C240="","",".dec."&amp;$C240)&amp;"."&amp;K$5</f>
        <v>egy.distn.bsh.gso.dec.rur.1</v>
      </c>
      <c r="L240" s="208">
        <f>INDEX(DHHVal,MATCH(CtryCode&amp;".distn.bsh."&amp;L$10&amp;$E240&amp;L$9&amp;L$11,DHHKey,0),MATCH($D240,DHHVar,0))</f>
        <v>0.4497689184843572</v>
      </c>
      <c r="M240" s="203">
        <f>INDEX(DHHVal,MATCH(CtryCode&amp;".distn.bsh."&amp;M$10&amp;$E240&amp;M$9&amp;M$11,DHHKey,0),MATCH($D240,DHHVar,0))</f>
        <v>0.2935787736782779</v>
      </c>
      <c r="N240" s="203">
        <f>INDEX(DHHVal,MATCH(CtryCode&amp;".distn.bsh."&amp;N$10&amp;$E240&amp;N$9&amp;N$11,DHHKey,0),MATCH($D240,DHHVar,0))</f>
        <v>0.3522162357272047</v>
      </c>
      <c r="O240" s="203">
        <f>INDEX(DHHVal,MATCH(CtryCode&amp;".distn.bsh."&amp;O$10&amp;$E240&amp;O$9&amp;O$11,DHHKey,0),MATCH($D240,DHHVar,0))</f>
        <v>0.4283288858579013</v>
      </c>
      <c r="P240" s="203">
        <f>INDEX(DHHVal,MATCH(CtryCode&amp;".distn.bsh."&amp;P$10&amp;$E240&amp;P$9&amp;P$11,DHHKey,0),MATCH($D240,DHHVar,0))</f>
        <v>0.5151962121328696</v>
      </c>
      <c r="Q240" s="203">
        <f>INDEX(DHHVal,MATCH(CtryCode&amp;".distn.bsh."&amp;Q$10&amp;$E240&amp;Q$9&amp;Q$11,DHHKey,0),MATCH($D240,DHHVar,0))</f>
        <v>0.4319122315642459</v>
      </c>
      <c r="R240" s="203">
        <f>INDEX(DHHVal,MATCH(CtryCode&amp;".distn.bsh."&amp;R$10&amp;$E240&amp;R$9&amp;R$11,DHHKey,0),MATCH($D240,DHHVar,0))</f>
        <v>0.4955293041734015</v>
      </c>
      <c r="S240" s="203">
        <f>INDEX(DHHVal,MATCH(CtryCode&amp;".distn.bsh."&amp;S$10&amp;$E240&amp;S$9&amp;S$11,DHHKey,0),MATCH($D240,DHHVar,0))</f>
        <v>0.5520274975114285</v>
      </c>
      <c r="T240" s="203">
        <f>INDEX(DHHVal,MATCH(CtryCode&amp;".distn.bsh."&amp;T$10&amp;$E240&amp;T$9&amp;T$11,DHHKey,0),MATCH($D240,DHHVar,0))</f>
        <v>0.6472880821035882</v>
      </c>
      <c r="U240" s="203">
        <f>INDEX(DHHVal,MATCH(CtryCode&amp;".distn.bsh."&amp;U$10&amp;$E240&amp;U$9&amp;U$11,DHHKey,0),MATCH($D240,DHHVar,0))</f>
        <v>0.5666779719401583</v>
      </c>
      <c r="V240" s="203">
        <f>INDEX(DHHVal,MATCH(CtryCode&amp;".distn.bsh."&amp;V$10&amp;$E240&amp;V$9&amp;V$11,DHHKey,0),MATCH($D240,DHHVar,0))</f>
        <v>0.5140425355473189</v>
      </c>
      <c r="W240" s="207" t="str">
        <f>IF(X$5=K$5,SUM(Y240:AI240)-SUM(L240:V240),"")</f>
        <v/>
      </c>
      <c r="X240" s="9" t="str">
        <f>LOWER(CtryCode)&amp;".distn."&amp;$A240&amp;IF($B240="","","."&amp;$B240)&amp;IF($C240="","",".dec."&amp;$C240)&amp;"."&amp;X$5</f>
        <v>egy.distn.bsh.gso.dec.rur.2</v>
      </c>
      <c r="Y240" s="208">
        <f>INDEX(DHHVal,MATCH(CtryCode&amp;".distn.bsh."&amp;Y$10&amp;$E240&amp;Y$9&amp;Y$11,DHHKey,0),MATCH($D240,DHHVar,0))</f>
        <v>0.4497689184843572</v>
      </c>
      <c r="Z240" s="203">
        <f>INDEX(DHHVal,MATCH(CtryCode&amp;".distn.bsh."&amp;Z$10&amp;$E240&amp;Z$9&amp;Z$11,DHHKey,0),MATCH($D240,DHHVar,0))</f>
        <v>0.2935787736782779</v>
      </c>
      <c r="AA240" s="203">
        <f>INDEX(DHHVal,MATCH(CtryCode&amp;".distn.bsh."&amp;AA$10&amp;$E240&amp;AA$9&amp;AA$11,DHHKey,0),MATCH($D240,DHHVar,0))</f>
        <v>0.3522162357272047</v>
      </c>
      <c r="AB240" s="203">
        <f>INDEX(DHHVal,MATCH(CtryCode&amp;".distn.bsh."&amp;AB$10&amp;$E240&amp;AB$9&amp;AB$11,DHHKey,0),MATCH($D240,DHHVar,0))</f>
        <v>0.4283288858579013</v>
      </c>
      <c r="AC240" s="203">
        <f>INDEX(DHHVal,MATCH(CtryCode&amp;".distn.bsh."&amp;AC$10&amp;$E240&amp;AC$9&amp;AC$11,DHHKey,0),MATCH($D240,DHHVar,0))</f>
        <v>0.5151962121328696</v>
      </c>
      <c r="AD240" s="203">
        <f>INDEX(DHHVal,MATCH(CtryCode&amp;".distn.bsh."&amp;AD$10&amp;$E240&amp;AD$9&amp;AD$11,DHHKey,0),MATCH($D240,DHHVar,0))</f>
        <v>0.4319122315642459</v>
      </c>
      <c r="AE240" s="203">
        <f>INDEX(DHHVal,MATCH(CtryCode&amp;".distn.bsh."&amp;AE$10&amp;$E240&amp;AE$9&amp;AE$11,DHHKey,0),MATCH($D240,DHHVar,0))</f>
        <v>0.4955293041734015</v>
      </c>
      <c r="AF240" s="203">
        <f>INDEX(DHHVal,MATCH(CtryCode&amp;".distn.bsh."&amp;AF$10&amp;$E240&amp;AF$9&amp;AF$11,DHHKey,0),MATCH($D240,DHHVar,0))</f>
        <v>0.5520274975114285</v>
      </c>
      <c r="AG240" s="203">
        <f>INDEX(DHHVal,MATCH(CtryCode&amp;".distn.bsh."&amp;AG$10&amp;$E240&amp;AG$9&amp;AG$11,DHHKey,0),MATCH($D240,DHHVar,0))</f>
        <v>0.6472880821035882</v>
      </c>
      <c r="AH240" s="203">
        <f>INDEX(DHHVal,MATCH(CtryCode&amp;".distn.bsh."&amp;AH$10&amp;$E240&amp;AH$9&amp;AH$11,DHHKey,0),MATCH($D240,DHHVar,0))</f>
        <v>0.5666779719401583</v>
      </c>
      <c r="AI240" s="203">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33" t="inlineStr">
        <is>
          <t>HHSurvey</t>
        </is>
      </c>
      <c r="K241" s="9" t="str">
        <f>LOWER(CtryCode)&amp;".distn."&amp;$A241&amp;IF($B241="","","."&amp;$B241)&amp;IF($C241="","",".dec."&amp;$C241)&amp;"."&amp;K$5</f>
        <v>egy.distn.bsh.die.dec.rur.1</v>
      </c>
      <c r="L241" s="208">
        <f>INDEX(DHHVal,MATCH(CtryCode&amp;".distn.bsh."&amp;L$10&amp;$E241&amp;L$9&amp;L$11,DHHKey,0),MATCH($D241,DHHVar,0))</f>
        <v>0.0</v>
      </c>
      <c r="M241" s="203">
        <f>INDEX(DHHVal,MATCH(CtryCode&amp;".distn.bsh."&amp;M$10&amp;$E241&amp;M$9&amp;M$11,DHHKey,0),MATCH($D241,DHHVar,0))</f>
        <v>0.0</v>
      </c>
      <c r="N241" s="203">
        <f>INDEX(DHHVal,MATCH(CtryCode&amp;".distn.bsh."&amp;N$10&amp;$E241&amp;N$9&amp;N$11,DHHKey,0),MATCH($D241,DHHVar,0))</f>
        <v>0.0</v>
      </c>
      <c r="O241" s="203">
        <f>INDEX(DHHVal,MATCH(CtryCode&amp;".distn.bsh."&amp;O$10&amp;$E241&amp;O$9&amp;O$11,DHHKey,0),MATCH($D241,DHHVar,0))</f>
        <v>0.0</v>
      </c>
      <c r="P241" s="203">
        <f>INDEX(DHHVal,MATCH(CtryCode&amp;".distn.bsh."&amp;P$10&amp;$E241&amp;P$9&amp;P$11,DHHKey,0),MATCH($D241,DHHVar,0))</f>
        <v>0.0</v>
      </c>
      <c r="Q241" s="203">
        <f>INDEX(DHHVal,MATCH(CtryCode&amp;".distn.bsh."&amp;Q$10&amp;$E241&amp;Q$9&amp;Q$11,DHHKey,0),MATCH($D241,DHHVar,0))</f>
        <v>0.0</v>
      </c>
      <c r="R241" s="203">
        <f>INDEX(DHHVal,MATCH(CtryCode&amp;".distn.bsh."&amp;R$10&amp;$E241&amp;R$9&amp;R$11,DHHKey,0),MATCH($D241,DHHVar,0))</f>
        <v>0.0</v>
      </c>
      <c r="S241" s="203">
        <f>INDEX(DHHVal,MATCH(CtryCode&amp;".distn.bsh."&amp;S$10&amp;$E241&amp;S$9&amp;S$11,DHHKey,0),MATCH($D241,DHHVar,0))</f>
        <v>0.0</v>
      </c>
      <c r="T241" s="203">
        <f>INDEX(DHHVal,MATCH(CtryCode&amp;".distn.bsh."&amp;T$10&amp;$E241&amp;T$9&amp;T$11,DHHKey,0),MATCH($D241,DHHVar,0))</f>
        <v>0.0</v>
      </c>
      <c r="U241" s="203">
        <f>INDEX(DHHVal,MATCH(CtryCode&amp;".distn.bsh."&amp;U$10&amp;$E241&amp;U$9&amp;U$11,DHHKey,0),MATCH($D241,DHHVar,0))</f>
        <v>0.0</v>
      </c>
      <c r="V241" s="203">
        <f>INDEX(DHHVal,MATCH(CtryCode&amp;".distn.bsh."&amp;V$10&amp;$E241&amp;V$9&amp;V$11,DHHKey,0),MATCH($D241,DHHVar,0))</f>
        <v>0.0</v>
      </c>
      <c r="W241" s="207" t="str">
        <f>IF(X$5=K$5,SUM(Y241:AI241)-SUM(L241:V241),"")</f>
        <v/>
      </c>
      <c r="X241" s="9" t="str">
        <f>LOWER(CtryCode)&amp;".distn."&amp;$A241&amp;IF($B241="","","."&amp;$B241)&amp;IF($C241="","",".dec."&amp;$C241)&amp;"."&amp;X$5</f>
        <v>egy.distn.bsh.die.dec.rur.2</v>
      </c>
      <c r="Y241" s="208">
        <f>INDEX(DHHVal,MATCH(CtryCode&amp;".distn.bsh."&amp;Y$10&amp;$E241&amp;Y$9&amp;Y$11,DHHKey,0),MATCH($D241,DHHVar,0))</f>
        <v>0.0</v>
      </c>
      <c r="Z241" s="203">
        <f>INDEX(DHHVal,MATCH(CtryCode&amp;".distn.bsh."&amp;Z$10&amp;$E241&amp;Z$9&amp;Z$11,DHHKey,0),MATCH($D241,DHHVar,0))</f>
        <v>0.0</v>
      </c>
      <c r="AA241" s="203">
        <f>INDEX(DHHVal,MATCH(CtryCode&amp;".distn.bsh."&amp;AA$10&amp;$E241&amp;AA$9&amp;AA$11,DHHKey,0),MATCH($D241,DHHVar,0))</f>
        <v>0.0</v>
      </c>
      <c r="AB241" s="203">
        <f>INDEX(DHHVal,MATCH(CtryCode&amp;".distn.bsh."&amp;AB$10&amp;$E241&amp;AB$9&amp;AB$11,DHHKey,0),MATCH($D241,DHHVar,0))</f>
        <v>0.0</v>
      </c>
      <c r="AC241" s="203">
        <f>INDEX(DHHVal,MATCH(CtryCode&amp;".distn.bsh."&amp;AC$10&amp;$E241&amp;AC$9&amp;AC$11,DHHKey,0),MATCH($D241,DHHVar,0))</f>
        <v>0.0</v>
      </c>
      <c r="AD241" s="203">
        <f>INDEX(DHHVal,MATCH(CtryCode&amp;".distn.bsh."&amp;AD$10&amp;$E241&amp;AD$9&amp;AD$11,DHHKey,0),MATCH($D241,DHHVar,0))</f>
        <v>0.0</v>
      </c>
      <c r="AE241" s="203">
        <f>INDEX(DHHVal,MATCH(CtryCode&amp;".distn.bsh."&amp;AE$10&amp;$E241&amp;AE$9&amp;AE$11,DHHKey,0),MATCH($D241,DHHVar,0))</f>
        <v>0.0</v>
      </c>
      <c r="AF241" s="203">
        <f>INDEX(DHHVal,MATCH(CtryCode&amp;".distn.bsh."&amp;AF$10&amp;$E241&amp;AF$9&amp;AF$11,DHHKey,0),MATCH($D241,DHHVar,0))</f>
        <v>0.0</v>
      </c>
      <c r="AG241" s="203">
        <f>INDEX(DHHVal,MATCH(CtryCode&amp;".distn.bsh."&amp;AG$10&amp;$E241&amp;AG$9&amp;AG$11,DHHKey,0),MATCH($D241,DHHVar,0))</f>
        <v>0.0</v>
      </c>
      <c r="AH241" s="203">
        <f>INDEX(DHHVal,MATCH(CtryCode&amp;".distn.bsh."&amp;AH$10&amp;$E241&amp;AH$9&amp;AH$11,DHHKey,0),MATCH($D241,DHHVar,0))</f>
        <v>0.0</v>
      </c>
      <c r="AI241" s="203">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33" t="inlineStr">
        <is>
          <t>HHSurvey</t>
        </is>
      </c>
      <c r="K242" s="9" t="str">
        <f>LOWER(CtryCode)&amp;".distn."&amp;$A242&amp;IF($B242="","","."&amp;$B242)&amp;IF($C242="","",".dec."&amp;$C242)&amp;"."&amp;K$5</f>
        <v>egy.distn.bsh.ker.dec.rur.1</v>
      </c>
      <c r="L242" s="208">
        <f>INDEX(DHHVal,MATCH(CtryCode&amp;".distn.bsh."&amp;L$10&amp;$E242&amp;L$9&amp;L$11,DHHKey,0),MATCH($D242,DHHVar,0))</f>
        <v>4.223981573988122e-05</v>
      </c>
      <c r="M242" s="203">
        <f>INDEX(DHHVal,MATCH(CtryCode&amp;".distn.bsh."&amp;M$10&amp;$E242&amp;M$9&amp;M$11,DHHKey,0),MATCH($D242,DHHVar,0))</f>
        <v>3.226307178908097e-05</v>
      </c>
      <c r="N242" s="203">
        <f>INDEX(DHHVal,MATCH(CtryCode&amp;".distn.bsh."&amp;N$10&amp;$E242&amp;N$9&amp;N$11,DHHKey,0),MATCH($D242,DHHVar,0))</f>
        <v>0.0</v>
      </c>
      <c r="O242" s="203">
        <f>INDEX(DHHVal,MATCH(CtryCode&amp;".distn.bsh."&amp;O$10&amp;$E242&amp;O$9&amp;O$11,DHHKey,0),MATCH($D242,DHHVar,0))</f>
        <v>2.182520812899586e-05</v>
      </c>
      <c r="P242" s="203">
        <f>INDEX(DHHVal,MATCH(CtryCode&amp;".distn.bsh."&amp;P$10&amp;$E242&amp;P$9&amp;P$11,DHHKey,0),MATCH($D242,DHHVar,0))</f>
        <v>0.0</v>
      </c>
      <c r="Q242" s="203">
        <f>INDEX(DHHVal,MATCH(CtryCode&amp;".distn.bsh."&amp;Q$10&amp;$E242&amp;Q$9&amp;Q$11,DHHKey,0),MATCH($D242,DHHVar,0))</f>
        <v>0.0001198124434142994</v>
      </c>
      <c r="R242" s="203">
        <f>INDEX(DHHVal,MATCH(CtryCode&amp;".distn.bsh."&amp;R$10&amp;$E242&amp;R$9&amp;R$11,DHHKey,0),MATCH($D242,DHHVar,0))</f>
        <v>6.521102724818561e-05</v>
      </c>
      <c r="S242" s="203">
        <f>INDEX(DHHVal,MATCH(CtryCode&amp;".distn.bsh."&amp;S$10&amp;$E242&amp;S$9&amp;S$11,DHHKey,0),MATCH($D242,DHHVar,0))</f>
        <v>0.0</v>
      </c>
      <c r="T242" s="203">
        <f>INDEX(DHHVal,MATCH(CtryCode&amp;".distn.bsh."&amp;T$10&amp;$E242&amp;T$9&amp;T$11,DHHKey,0),MATCH($D242,DHHVar,0))</f>
        <v>0.0</v>
      </c>
      <c r="U242" s="203">
        <f>INDEX(DHHVal,MATCH(CtryCode&amp;".distn.bsh."&amp;U$10&amp;$E242&amp;U$9&amp;U$11,DHHKey,0),MATCH($D242,DHHVar,0))</f>
        <v>4.2260843611078e-05</v>
      </c>
      <c r="V242" s="203">
        <f>INDEX(DHHVal,MATCH(CtryCode&amp;".distn.bsh."&amp;V$10&amp;$E242&amp;V$9&amp;V$11,DHHKey,0),MATCH($D242,DHHVar,0))</f>
        <v>0.000156143413429823</v>
      </c>
      <c r="W242" s="207" t="str">
        <f>IF(X$5=K$5,SUM(Y242:AI242)-SUM(L242:V242),"")</f>
        <v/>
      </c>
      <c r="X242" s="9" t="str">
        <f>LOWER(CtryCode)&amp;".distn."&amp;$A242&amp;IF($B242="","","."&amp;$B242)&amp;IF($C242="","",".dec."&amp;$C242)&amp;"."&amp;X$5</f>
        <v>egy.distn.bsh.ker.dec.rur.2</v>
      </c>
      <c r="Y242" s="208">
        <f>INDEX(DHHVal,MATCH(CtryCode&amp;".distn.bsh."&amp;Y$10&amp;$E242&amp;Y$9&amp;Y$11,DHHKey,0),MATCH($D242,DHHVar,0))</f>
        <v>4.223981573988122e-05</v>
      </c>
      <c r="Z242" s="203">
        <f>INDEX(DHHVal,MATCH(CtryCode&amp;".distn.bsh."&amp;Z$10&amp;$E242&amp;Z$9&amp;Z$11,DHHKey,0),MATCH($D242,DHHVar,0))</f>
        <v>3.226307178908097e-05</v>
      </c>
      <c r="AA242" s="203">
        <f>INDEX(DHHVal,MATCH(CtryCode&amp;".distn.bsh."&amp;AA$10&amp;$E242&amp;AA$9&amp;AA$11,DHHKey,0),MATCH($D242,DHHVar,0))</f>
        <v>0.0</v>
      </c>
      <c r="AB242" s="203">
        <f>INDEX(DHHVal,MATCH(CtryCode&amp;".distn.bsh."&amp;AB$10&amp;$E242&amp;AB$9&amp;AB$11,DHHKey,0),MATCH($D242,DHHVar,0))</f>
        <v>2.182520812899586e-05</v>
      </c>
      <c r="AC242" s="203">
        <f>INDEX(DHHVal,MATCH(CtryCode&amp;".distn.bsh."&amp;AC$10&amp;$E242&amp;AC$9&amp;AC$11,DHHKey,0),MATCH($D242,DHHVar,0))</f>
        <v>0.0</v>
      </c>
      <c r="AD242" s="203">
        <f>INDEX(DHHVal,MATCH(CtryCode&amp;".distn.bsh."&amp;AD$10&amp;$E242&amp;AD$9&amp;AD$11,DHHKey,0),MATCH($D242,DHHVar,0))</f>
        <v>0.0001198124434142994</v>
      </c>
      <c r="AE242" s="203">
        <f>INDEX(DHHVal,MATCH(CtryCode&amp;".distn.bsh."&amp;AE$10&amp;$E242&amp;AE$9&amp;AE$11,DHHKey,0),MATCH($D242,DHHVar,0))</f>
        <v>6.521102724818561e-05</v>
      </c>
      <c r="AF242" s="203">
        <f>INDEX(DHHVal,MATCH(CtryCode&amp;".distn.bsh."&amp;AF$10&amp;$E242&amp;AF$9&amp;AF$11,DHHKey,0),MATCH($D242,DHHVar,0))</f>
        <v>0.0</v>
      </c>
      <c r="AG242" s="203">
        <f>INDEX(DHHVal,MATCH(CtryCode&amp;".distn.bsh."&amp;AG$10&amp;$E242&amp;AG$9&amp;AG$11,DHHKey,0),MATCH($D242,DHHVar,0))</f>
        <v>0.0</v>
      </c>
      <c r="AH242" s="203">
        <f>INDEX(DHHVal,MATCH(CtryCode&amp;".distn.bsh."&amp;AH$10&amp;$E242&amp;AH$9&amp;AH$11,DHHKey,0),MATCH($D242,DHHVar,0))</f>
        <v>4.2260843611078e-05</v>
      </c>
      <c r="AI242" s="203">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33" t="inlineStr">
        <is>
          <t>HHSurvey</t>
        </is>
      </c>
      <c r="K243" s="9" t="str">
        <f>LOWER(CtryCode)&amp;".distn."&amp;$A243&amp;IF($B243="","","."&amp;$B243)&amp;IF($C243="","",".dec."&amp;$C243)&amp;"."&amp;K$5</f>
        <v>egy.distn.bsh.lpg.dec.rur.1</v>
      </c>
      <c r="L243" s="208">
        <f>INDEX(DHHVal,MATCH(CtryCode&amp;".distn.bsh."&amp;L$10&amp;$E243&amp;L$9&amp;L$11,DHHKey,0),MATCH($D243,DHHVar,0))</f>
        <v>2.234974380926812</v>
      </c>
      <c r="M243" s="203">
        <f>INDEX(DHHVal,MATCH(CtryCode&amp;".distn.bsh."&amp;M$10&amp;$E243&amp;M$9&amp;M$11,DHHKey,0),MATCH($D243,DHHVar,0))</f>
        <v>3.061583601843167</v>
      </c>
      <c r="N243" s="203">
        <f>INDEX(DHHVal,MATCH(CtryCode&amp;".distn.bsh."&amp;N$10&amp;$E243&amp;N$9&amp;N$11,DHHKey,0),MATCH($D243,DHHVar,0))</f>
        <v>2.588143361328239</v>
      </c>
      <c r="O243" s="203">
        <f>INDEX(DHHVal,MATCH(CtryCode&amp;".distn.bsh."&amp;O$10&amp;$E243&amp;O$9&amp;O$11,DHHKey,0),MATCH($D243,DHHVar,0))</f>
        <v>2.473604974051363</v>
      </c>
      <c r="P243" s="203">
        <f>INDEX(DHHVal,MATCH(CtryCode&amp;".distn.bsh."&amp;P$10&amp;$E243&amp;P$9&amp;P$11,DHHKey,0),MATCH($D243,DHHVar,0))</f>
        <v>2.49377340645113</v>
      </c>
      <c r="Q243" s="203">
        <f>INDEX(DHHVal,MATCH(CtryCode&amp;".distn.bsh."&amp;Q$10&amp;$E243&amp;Q$9&amp;Q$11,DHHKey,0),MATCH($D243,DHHVar,0))</f>
        <v>2.336970117701812</v>
      </c>
      <c r="R243" s="203">
        <f>INDEX(DHHVal,MATCH(CtryCode&amp;".distn.bsh."&amp;R$10&amp;$E243&amp;R$9&amp;R$11,DHHKey,0),MATCH($D243,DHHVar,0))</f>
        <v>2.071295635906104</v>
      </c>
      <c r="S243" s="203">
        <f>INDEX(DHHVal,MATCH(CtryCode&amp;".distn.bsh."&amp;S$10&amp;$E243&amp;S$9&amp;S$11,DHHKey,0),MATCH($D243,DHHVar,0))</f>
        <v>1.998200470834532</v>
      </c>
      <c r="T243" s="203">
        <f>INDEX(DHHVal,MATCH(CtryCode&amp;".distn.bsh."&amp;T$10&amp;$E243&amp;T$9&amp;T$11,DHHKey,0),MATCH($D243,DHHVar,0))</f>
        <v>2.169912448592076</v>
      </c>
      <c r="U243" s="203">
        <f>INDEX(DHHVal,MATCH(CtryCode&amp;".distn.bsh."&amp;U$10&amp;$E243&amp;U$9&amp;U$11,DHHKey,0),MATCH($D243,DHHVar,0))</f>
        <v>2.268973853630599</v>
      </c>
      <c r="V243" s="203">
        <f>INDEX(DHHVal,MATCH(CtryCode&amp;".distn.bsh."&amp;V$10&amp;$E243&amp;V$9&amp;V$11,DHHKey,0),MATCH($D243,DHHVar,0))</f>
        <v>2.199350736284317</v>
      </c>
      <c r="W243" s="207" t="str">
        <f>IF(X$5=K$5,SUM(Y243:AI243)-SUM(L243:V243),"")</f>
        <v/>
      </c>
      <c r="X243" s="9" t="str">
        <f>LOWER(CtryCode)&amp;".distn."&amp;$A243&amp;IF($B243="","","."&amp;$B243)&amp;IF($C243="","",".dec."&amp;$C243)&amp;"."&amp;X$5</f>
        <v>egy.distn.bsh.lpg.dec.rur.2</v>
      </c>
      <c r="Y243" s="208">
        <f>INDEX(DHHVal,MATCH(CtryCode&amp;".distn.bsh."&amp;Y$10&amp;$E243&amp;Y$9&amp;Y$11,DHHKey,0),MATCH($D243,DHHVar,0))</f>
        <v>2.234974380926812</v>
      </c>
      <c r="Z243" s="203">
        <f>INDEX(DHHVal,MATCH(CtryCode&amp;".distn.bsh."&amp;Z$10&amp;$E243&amp;Z$9&amp;Z$11,DHHKey,0),MATCH($D243,DHHVar,0))</f>
        <v>3.061583601843167</v>
      </c>
      <c r="AA243" s="203">
        <f>INDEX(DHHVal,MATCH(CtryCode&amp;".distn.bsh."&amp;AA$10&amp;$E243&amp;AA$9&amp;AA$11,DHHKey,0),MATCH($D243,DHHVar,0))</f>
        <v>2.588143361328239</v>
      </c>
      <c r="AB243" s="203">
        <f>INDEX(DHHVal,MATCH(CtryCode&amp;".distn.bsh."&amp;AB$10&amp;$E243&amp;AB$9&amp;AB$11,DHHKey,0),MATCH($D243,DHHVar,0))</f>
        <v>2.473604974051363</v>
      </c>
      <c r="AC243" s="203">
        <f>INDEX(DHHVal,MATCH(CtryCode&amp;".distn.bsh."&amp;AC$10&amp;$E243&amp;AC$9&amp;AC$11,DHHKey,0),MATCH($D243,DHHVar,0))</f>
        <v>2.49377340645113</v>
      </c>
      <c r="AD243" s="203">
        <f>INDEX(DHHVal,MATCH(CtryCode&amp;".distn.bsh."&amp;AD$10&amp;$E243&amp;AD$9&amp;AD$11,DHHKey,0),MATCH($D243,DHHVar,0))</f>
        <v>2.336970117701812</v>
      </c>
      <c r="AE243" s="203">
        <f>INDEX(DHHVal,MATCH(CtryCode&amp;".distn.bsh."&amp;AE$10&amp;$E243&amp;AE$9&amp;AE$11,DHHKey,0),MATCH($D243,DHHVar,0))</f>
        <v>2.071295635906104</v>
      </c>
      <c r="AF243" s="203">
        <f>INDEX(DHHVal,MATCH(CtryCode&amp;".distn.bsh."&amp;AF$10&amp;$E243&amp;AF$9&amp;AF$11,DHHKey,0),MATCH($D243,DHHVar,0))</f>
        <v>1.998200470834532</v>
      </c>
      <c r="AG243" s="203">
        <f>INDEX(DHHVal,MATCH(CtryCode&amp;".distn.bsh."&amp;AG$10&amp;$E243&amp;AG$9&amp;AG$11,DHHKey,0),MATCH($D243,DHHVar,0))</f>
        <v>2.169912448592076</v>
      </c>
      <c r="AH243" s="203">
        <f>INDEX(DHHVal,MATCH(CtryCode&amp;".distn.bsh."&amp;AH$10&amp;$E243&amp;AH$9&amp;AH$11,DHHKey,0),MATCH($D243,DHHVar,0))</f>
        <v>2.268973853630599</v>
      </c>
      <c r="AI243" s="203">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33" t="inlineStr">
        <is>
          <t>HHSurvey</t>
        </is>
      </c>
      <c r="K244" s="9" t="str">
        <f>LOWER(CtryCode)&amp;".distn."&amp;$A244&amp;IF($B244="","","."&amp;$B244)&amp;IF($C244="","",".dec."&amp;$C244)&amp;"."&amp;K$5</f>
        <v>egy.distn.bsh.app.dec.rur.1</v>
      </c>
      <c r="L244" s="208">
        <f>INDEX(DHHVal,MATCH(CtryCode&amp;".distn.bsh."&amp;L$10&amp;$E244&amp;L$9&amp;L$11,DHHKey,0),MATCH($D244,DHHVar,0))</f>
        <v>1.752528007381251</v>
      </c>
      <c r="M244" s="203">
        <f>INDEX(DHHVal,MATCH(CtryCode&amp;".distn.bsh."&amp;M$10&amp;$E244&amp;M$9&amp;M$11,DHHKey,0),MATCH($D244,DHHVar,0))</f>
        <v>1.854347044927382</v>
      </c>
      <c r="N244" s="203">
        <f>INDEX(DHHVal,MATCH(CtryCode&amp;".distn.bsh."&amp;N$10&amp;$E244&amp;N$9&amp;N$11,DHHKey,0),MATCH($D244,DHHVar,0))</f>
        <v>1.779018624913826</v>
      </c>
      <c r="O244" s="203">
        <f>INDEX(DHHVal,MATCH(CtryCode&amp;".distn.bsh."&amp;O$10&amp;$E244&amp;O$9&amp;O$11,DHHKey,0),MATCH($D244,DHHVar,0))</f>
        <v>1.773234423389277</v>
      </c>
      <c r="P244" s="203">
        <f>INDEX(DHHVal,MATCH(CtryCode&amp;".distn.bsh."&amp;P$10&amp;$E244&amp;P$9&amp;P$11,DHHKey,0),MATCH($D244,DHHVar,0))</f>
        <v>1.789248141039326</v>
      </c>
      <c r="Q244" s="203">
        <f>INDEX(DHHVal,MATCH(CtryCode&amp;".distn.bsh."&amp;Q$10&amp;$E244&amp;Q$9&amp;Q$11,DHHKey,0),MATCH($D244,DHHVar,0))</f>
        <v>1.737541916479132</v>
      </c>
      <c r="R244" s="203">
        <f>INDEX(DHHVal,MATCH(CtryCode&amp;".distn.bsh."&amp;R$10&amp;$E244&amp;R$9&amp;R$11,DHHKey,0),MATCH($D244,DHHVar,0))</f>
        <v>1.77306569035091</v>
      </c>
      <c r="S244" s="203">
        <f>INDEX(DHHVal,MATCH(CtryCode&amp;".distn.bsh."&amp;S$10&amp;$E244&amp;S$9&amp;S$11,DHHKey,0),MATCH($D244,DHHVar,0))</f>
        <v>1.942523041894576</v>
      </c>
      <c r="T244" s="203">
        <f>INDEX(DHHVal,MATCH(CtryCode&amp;".distn.bsh."&amp;T$10&amp;$E244&amp;T$9&amp;T$11,DHHKey,0),MATCH($D244,DHHVar,0))</f>
        <v>1.795842894400991</v>
      </c>
      <c r="U244" s="203">
        <f>INDEX(DHHVal,MATCH(CtryCode&amp;".distn.bsh."&amp;U$10&amp;$E244&amp;U$9&amp;U$11,DHHKey,0),MATCH($D244,DHHVar,0))</f>
        <v>1.723677929200712</v>
      </c>
      <c r="V244" s="203">
        <f>INDEX(DHHVal,MATCH(CtryCode&amp;".distn.bsh."&amp;V$10&amp;$E244&amp;V$9&amp;V$11,DHHKey,0),MATCH($D244,DHHVar,0))</f>
        <v>1.973870759483221</v>
      </c>
      <c r="W244" s="207" t="str">
        <f>IF(X$5=K$5,SUM(Y244:AI244)-SUM(L244:V244),"")</f>
        <v/>
      </c>
      <c r="X244" s="9" t="str">
        <f>LOWER(CtryCode)&amp;".distn."&amp;$A244&amp;IF($B244="","","."&amp;$B244)&amp;IF($C244="","",".dec."&amp;$C244)&amp;"."&amp;X$5</f>
        <v>egy.distn.bsh.app.dec.rur.2</v>
      </c>
      <c r="Y244" s="208">
        <f>INDEX(DHHVal,MATCH(CtryCode&amp;".distn.bsh."&amp;Y$10&amp;$E244&amp;Y$9&amp;Y$11,DHHKey,0),MATCH($D244,DHHVar,0))</f>
        <v>1.752528007381251</v>
      </c>
      <c r="Z244" s="203">
        <f>INDEX(DHHVal,MATCH(CtryCode&amp;".distn.bsh."&amp;Z$10&amp;$E244&amp;Z$9&amp;Z$11,DHHKey,0),MATCH($D244,DHHVar,0))</f>
        <v>1.854347044927382</v>
      </c>
      <c r="AA244" s="203">
        <f>INDEX(DHHVal,MATCH(CtryCode&amp;".distn.bsh."&amp;AA$10&amp;$E244&amp;AA$9&amp;AA$11,DHHKey,0),MATCH($D244,DHHVar,0))</f>
        <v>1.779018624913826</v>
      </c>
      <c r="AB244" s="203">
        <f>INDEX(DHHVal,MATCH(CtryCode&amp;".distn.bsh."&amp;AB$10&amp;$E244&amp;AB$9&amp;AB$11,DHHKey,0),MATCH($D244,DHHVar,0))</f>
        <v>1.773234423389277</v>
      </c>
      <c r="AC244" s="203">
        <f>INDEX(DHHVal,MATCH(CtryCode&amp;".distn.bsh."&amp;AC$10&amp;$E244&amp;AC$9&amp;AC$11,DHHKey,0),MATCH($D244,DHHVar,0))</f>
        <v>1.789248141039326</v>
      </c>
      <c r="AD244" s="203">
        <f>INDEX(DHHVal,MATCH(CtryCode&amp;".distn.bsh."&amp;AD$10&amp;$E244&amp;AD$9&amp;AD$11,DHHKey,0),MATCH($D244,DHHVar,0))</f>
        <v>1.737541916479132</v>
      </c>
      <c r="AE244" s="203">
        <f>INDEX(DHHVal,MATCH(CtryCode&amp;".distn.bsh."&amp;AE$10&amp;$E244&amp;AE$9&amp;AE$11,DHHKey,0),MATCH($D244,DHHVar,0))</f>
        <v>1.77306569035091</v>
      </c>
      <c r="AF244" s="203">
        <f>INDEX(DHHVal,MATCH(CtryCode&amp;".distn.bsh."&amp;AF$10&amp;$E244&amp;AF$9&amp;AF$11,DHHKey,0),MATCH($D244,DHHVar,0))</f>
        <v>1.942523041894576</v>
      </c>
      <c r="AG244" s="203">
        <f>INDEX(DHHVal,MATCH(CtryCode&amp;".distn.bsh."&amp;AG$10&amp;$E244&amp;AG$9&amp;AG$11,DHHKey,0),MATCH($D244,DHHVar,0))</f>
        <v>1.795842894400991</v>
      </c>
      <c r="AH244" s="203">
        <f>INDEX(DHHVal,MATCH(CtryCode&amp;".distn.bsh."&amp;AH$10&amp;$E244&amp;AH$9&amp;AH$11,DHHKey,0),MATCH($D244,DHHVar,0))</f>
        <v>1.723677929200712</v>
      </c>
      <c r="AI244" s="203">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33" t="inlineStr">
        <is>
          <t>HHSurvey</t>
        </is>
      </c>
      <c r="K245" s="9" t="str">
        <f>LOWER(CtryCode)&amp;".distn."&amp;$A245&amp;IF($B245="","","."&amp;$B245)&amp;IF($C245="","",".dec."&amp;$C245)&amp;"."&amp;K$5</f>
        <v>egy.distn.bsh.che.dec.rur.1</v>
      </c>
      <c r="L245" s="208">
        <f>INDEX(DHHVal,MATCH(CtryCode&amp;".distn.bsh."&amp;L$10&amp;$E245&amp;L$9&amp;L$11,DHHKey,0),MATCH($D245,DHHVar,0))</f>
        <v>3.674874940184719</v>
      </c>
      <c r="M245" s="203">
        <f>INDEX(DHHVal,MATCH(CtryCode&amp;".distn.bsh."&amp;M$10&amp;$E245&amp;M$9&amp;M$11,DHHKey,0),MATCH($D245,DHHVar,0))</f>
        <v>4.40663884760715</v>
      </c>
      <c r="N245" s="203">
        <f>INDEX(DHHVal,MATCH(CtryCode&amp;".distn.bsh."&amp;N$10&amp;$E245&amp;N$9&amp;N$11,DHHKey,0),MATCH($D245,DHHVar,0))</f>
        <v>3.752472809713656</v>
      </c>
      <c r="O245" s="203">
        <f>INDEX(DHHVal,MATCH(CtryCode&amp;".distn.bsh."&amp;O$10&amp;$E245&amp;O$9&amp;O$11,DHHKey,0),MATCH($D245,DHHVar,0))</f>
        <v>3.608738925318266</v>
      </c>
      <c r="P245" s="203">
        <f>INDEX(DHHVal,MATCH(CtryCode&amp;".distn.bsh."&amp;P$10&amp;$E245&amp;P$9&amp;P$11,DHHKey,0),MATCH($D245,DHHVar,0))</f>
        <v>3.335730800524011</v>
      </c>
      <c r="Q245" s="203">
        <f>INDEX(DHHVal,MATCH(CtryCode&amp;".distn.bsh."&amp;Q$10&amp;$E245&amp;Q$9&amp;Q$11,DHHKey,0),MATCH($D245,DHHVar,0))</f>
        <v>3.522757305820729</v>
      </c>
      <c r="R245" s="203">
        <f>INDEX(DHHVal,MATCH(CtryCode&amp;".distn.bsh."&amp;R$10&amp;$E245&amp;R$9&amp;R$11,DHHKey,0),MATCH($D245,DHHVar,0))</f>
        <v>3.638521573828306</v>
      </c>
      <c r="S245" s="203">
        <f>INDEX(DHHVal,MATCH(CtryCode&amp;".distn.bsh."&amp;S$10&amp;$E245&amp;S$9&amp;S$11,DHHKey,0),MATCH($D245,DHHVar,0))</f>
        <v>3.755594710995555</v>
      </c>
      <c r="T245" s="203">
        <f>INDEX(DHHVal,MATCH(CtryCode&amp;".distn.bsh."&amp;T$10&amp;$E245&amp;T$9&amp;T$11,DHHKey,0),MATCH($D245,DHHVar,0))</f>
        <v>3.3528545851262</v>
      </c>
      <c r="U245" s="203">
        <f>INDEX(DHHVal,MATCH(CtryCode&amp;".distn.bsh."&amp;U$10&amp;$E245&amp;U$9&amp;U$11,DHHKey,0),MATCH($D245,DHHVar,0))</f>
        <v>3.546366057326316</v>
      </c>
      <c r="V245" s="203">
        <f>INDEX(DHHVal,MATCH(CtryCode&amp;".distn.bsh."&amp;V$10&amp;$E245&amp;V$9&amp;V$11,DHHKey,0),MATCH($D245,DHHVar,0))</f>
        <v>3.458001305238406</v>
      </c>
      <c r="W245" s="207" t="str">
        <f>IF(X$5=K$5,SUM(Y245:AI245)-SUM(L245:V245),"")</f>
        <v/>
      </c>
      <c r="X245" s="9" t="str">
        <f>LOWER(CtryCode)&amp;".distn."&amp;$A245&amp;IF($B245="","","."&amp;$B245)&amp;IF($C245="","",".dec."&amp;$C245)&amp;"."&amp;X$5</f>
        <v>egy.distn.bsh.che.dec.rur.2</v>
      </c>
      <c r="Y245" s="208">
        <f>INDEX(DHHVal,MATCH(CtryCode&amp;".distn.bsh."&amp;Y$10&amp;$E245&amp;Y$9&amp;Y$11,DHHKey,0),MATCH($D245,DHHVar,0))</f>
        <v>3.674874940184719</v>
      </c>
      <c r="Z245" s="203">
        <f>INDEX(DHHVal,MATCH(CtryCode&amp;".distn.bsh."&amp;Z$10&amp;$E245&amp;Z$9&amp;Z$11,DHHKey,0),MATCH($D245,DHHVar,0))</f>
        <v>4.40663884760715</v>
      </c>
      <c r="AA245" s="203">
        <f>INDEX(DHHVal,MATCH(CtryCode&amp;".distn.bsh."&amp;AA$10&amp;$E245&amp;AA$9&amp;AA$11,DHHKey,0),MATCH($D245,DHHVar,0))</f>
        <v>3.752472809713656</v>
      </c>
      <c r="AB245" s="203">
        <f>INDEX(DHHVal,MATCH(CtryCode&amp;".distn.bsh."&amp;AB$10&amp;$E245&amp;AB$9&amp;AB$11,DHHKey,0),MATCH($D245,DHHVar,0))</f>
        <v>3.608738925318266</v>
      </c>
      <c r="AC245" s="203">
        <f>INDEX(DHHVal,MATCH(CtryCode&amp;".distn.bsh."&amp;AC$10&amp;$E245&amp;AC$9&amp;AC$11,DHHKey,0),MATCH($D245,DHHVar,0))</f>
        <v>3.335730800524011</v>
      </c>
      <c r="AD245" s="203">
        <f>INDEX(DHHVal,MATCH(CtryCode&amp;".distn.bsh."&amp;AD$10&amp;$E245&amp;AD$9&amp;AD$11,DHHKey,0),MATCH($D245,DHHVar,0))</f>
        <v>3.522757305820729</v>
      </c>
      <c r="AE245" s="203">
        <f>INDEX(DHHVal,MATCH(CtryCode&amp;".distn.bsh."&amp;AE$10&amp;$E245&amp;AE$9&amp;AE$11,DHHKey,0),MATCH($D245,DHHVar,0))</f>
        <v>3.638521573828306</v>
      </c>
      <c r="AF245" s="203">
        <f>INDEX(DHHVal,MATCH(CtryCode&amp;".distn.bsh."&amp;AF$10&amp;$E245&amp;AF$9&amp;AF$11,DHHKey,0),MATCH($D245,DHHVar,0))</f>
        <v>3.755594710995555</v>
      </c>
      <c r="AG245" s="203">
        <f>INDEX(DHHVal,MATCH(CtryCode&amp;".distn.bsh."&amp;AG$10&amp;$E245&amp;AG$9&amp;AG$11,DHHKey,0),MATCH($D245,DHHVar,0))</f>
        <v>3.3528545851262</v>
      </c>
      <c r="AH245" s="203">
        <f>INDEX(DHHVal,MATCH(CtryCode&amp;".distn.bsh."&amp;AH$10&amp;$E245&amp;AH$9&amp;AH$11,DHHKey,0),MATCH($D245,DHHVar,0))</f>
        <v>3.546366057326316</v>
      </c>
      <c r="AI245" s="203">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33" t="inlineStr">
        <is>
          <t>HHSurvey</t>
        </is>
      </c>
      <c r="K246" s="9" t="str">
        <f>LOWER(CtryCode)&amp;".distn."&amp;$A246&amp;IF($B246="","","."&amp;$B246)&amp;IF($C246="","",".dec."&amp;$C246)&amp;"."&amp;K$5</f>
        <v>egy.distn.bsh.clo.dec.rur.1</v>
      </c>
      <c r="L246" s="208">
        <f>INDEX(DHHVal,MATCH(CtryCode&amp;".distn.bsh."&amp;L$10&amp;$E246&amp;L$9&amp;L$11,DHHKey,0),MATCH($D246,DHHVar,0))</f>
        <v>6.212016172291431</v>
      </c>
      <c r="M246" s="203">
        <f>INDEX(DHHVal,MATCH(CtryCode&amp;".distn.bsh."&amp;M$10&amp;$E246&amp;M$9&amp;M$11,DHHKey,0),MATCH($D246,DHHVar,0))</f>
        <v>5.712667363462887</v>
      </c>
      <c r="N246" s="203">
        <f>INDEX(DHHVal,MATCH(CtryCode&amp;".distn.bsh."&amp;N$10&amp;$E246&amp;N$9&amp;N$11,DHHKey,0),MATCH($D246,DHHVar,0))</f>
        <v>5.665641726276205</v>
      </c>
      <c r="O246" s="203">
        <f>INDEX(DHHVal,MATCH(CtryCode&amp;".distn.bsh."&amp;O$10&amp;$E246&amp;O$9&amp;O$11,DHHKey,0),MATCH($D246,DHHVar,0))</f>
        <v>6.026747772135105</v>
      </c>
      <c r="P246" s="203">
        <f>INDEX(DHHVal,MATCH(CtryCode&amp;".distn.bsh."&amp;P$10&amp;$E246&amp;P$9&amp;P$11,DHHKey,0),MATCH($D246,DHHVar,0))</f>
        <v>6.463971906796971</v>
      </c>
      <c r="Q246" s="203">
        <f>INDEX(DHHVal,MATCH(CtryCode&amp;".distn.bsh."&amp;Q$10&amp;$E246&amp;Q$9&amp;Q$11,DHHKey,0),MATCH($D246,DHHVar,0))</f>
        <v>6.592891885423596</v>
      </c>
      <c r="R246" s="203">
        <f>INDEX(DHHVal,MATCH(CtryCode&amp;".distn.bsh."&amp;R$10&amp;$E246&amp;R$9&amp;R$11,DHHKey,0),MATCH($D246,DHHVar,0))</f>
        <v>6.753925281246033</v>
      </c>
      <c r="S246" s="203">
        <f>INDEX(DHHVal,MATCH(CtryCode&amp;".distn.bsh."&amp;S$10&amp;$E246&amp;S$9&amp;S$11,DHHKey,0),MATCH($D246,DHHVar,0))</f>
        <v>6.6098806382427</v>
      </c>
      <c r="T246" s="203">
        <f>INDEX(DHHVal,MATCH(CtryCode&amp;".distn.bsh."&amp;T$10&amp;$E246&amp;T$9&amp;T$11,DHHKey,0),MATCH($D246,DHHVar,0))</f>
        <v>5.377272549403905</v>
      </c>
      <c r="U246" s="203">
        <f>INDEX(DHHVal,MATCH(CtryCode&amp;".distn.bsh."&amp;U$10&amp;$E246&amp;U$9&amp;U$11,DHHKey,0),MATCH($D246,DHHVar,0))</f>
        <v>5.240322320386866</v>
      </c>
      <c r="V246" s="203">
        <f>INDEX(DHHVal,MATCH(CtryCode&amp;".distn.bsh."&amp;V$10&amp;$E246&amp;V$9&amp;V$11,DHHKey,0),MATCH($D246,DHHVar,0))</f>
        <v>4.054116625406423</v>
      </c>
      <c r="W246" s="207" t="str">
        <f>IF(X$5=K$5,SUM(Y246:AI246)-SUM(L246:V246),"")</f>
        <v/>
      </c>
      <c r="X246" s="9" t="str">
        <f>LOWER(CtryCode)&amp;".distn."&amp;$A246&amp;IF($B246="","","."&amp;$B246)&amp;IF($C246="","",".dec."&amp;$C246)&amp;"."&amp;X$5</f>
        <v>egy.distn.bsh.clo.dec.rur.2</v>
      </c>
      <c r="Y246" s="208">
        <f>INDEX(DHHVal,MATCH(CtryCode&amp;".distn.bsh."&amp;Y$10&amp;$E246&amp;Y$9&amp;Y$11,DHHKey,0),MATCH($D246,DHHVar,0))</f>
        <v>6.212016172291431</v>
      </c>
      <c r="Z246" s="203">
        <f>INDEX(DHHVal,MATCH(CtryCode&amp;".distn.bsh."&amp;Z$10&amp;$E246&amp;Z$9&amp;Z$11,DHHKey,0),MATCH($D246,DHHVar,0))</f>
        <v>5.712667363462887</v>
      </c>
      <c r="AA246" s="203">
        <f>INDEX(DHHVal,MATCH(CtryCode&amp;".distn.bsh."&amp;AA$10&amp;$E246&amp;AA$9&amp;AA$11,DHHKey,0),MATCH($D246,DHHVar,0))</f>
        <v>5.665641726276205</v>
      </c>
      <c r="AB246" s="203">
        <f>INDEX(DHHVal,MATCH(CtryCode&amp;".distn.bsh."&amp;AB$10&amp;$E246&amp;AB$9&amp;AB$11,DHHKey,0),MATCH($D246,DHHVar,0))</f>
        <v>6.026747772135105</v>
      </c>
      <c r="AC246" s="203">
        <f>INDEX(DHHVal,MATCH(CtryCode&amp;".distn.bsh."&amp;AC$10&amp;$E246&amp;AC$9&amp;AC$11,DHHKey,0),MATCH($D246,DHHVar,0))</f>
        <v>6.463971906796971</v>
      </c>
      <c r="AD246" s="203">
        <f>INDEX(DHHVal,MATCH(CtryCode&amp;".distn.bsh."&amp;AD$10&amp;$E246&amp;AD$9&amp;AD$11,DHHKey,0),MATCH($D246,DHHVar,0))</f>
        <v>6.592891885423596</v>
      </c>
      <c r="AE246" s="203">
        <f>INDEX(DHHVal,MATCH(CtryCode&amp;".distn.bsh."&amp;AE$10&amp;$E246&amp;AE$9&amp;AE$11,DHHKey,0),MATCH($D246,DHHVar,0))</f>
        <v>6.753925281246033</v>
      </c>
      <c r="AF246" s="203">
        <f>INDEX(DHHVal,MATCH(CtryCode&amp;".distn.bsh."&amp;AF$10&amp;$E246&amp;AF$9&amp;AF$11,DHHKey,0),MATCH($D246,DHHVar,0))</f>
        <v>6.6098806382427</v>
      </c>
      <c r="AG246" s="203">
        <f>INDEX(DHHVal,MATCH(CtryCode&amp;".distn.bsh."&amp;AG$10&amp;$E246&amp;AG$9&amp;AG$11,DHHKey,0),MATCH($D246,DHHVar,0))</f>
        <v>5.377272549403905</v>
      </c>
      <c r="AH246" s="203">
        <f>INDEX(DHHVal,MATCH(CtryCode&amp;".distn.bsh."&amp;AH$10&amp;$E246&amp;AH$9&amp;AH$11,DHHKey,0),MATCH($D246,DHHVar,0))</f>
        <v>5.240322320386866</v>
      </c>
      <c r="AI246" s="203">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33" t="inlineStr">
        <is>
          <t>HHSurvey</t>
        </is>
      </c>
      <c r="K247" s="9" t="str">
        <f>LOWER(CtryCode)&amp;".distn."&amp;$A247&amp;IF($B247="","","."&amp;$B247)&amp;IF($C247="","",".dec."&amp;$C247)&amp;"."&amp;K$5</f>
        <v>egy.distn.bsh.com.dec.rur.1</v>
      </c>
      <c r="L247" s="208">
        <f>INDEX(DHHVal,MATCH(CtryCode&amp;".distn.bsh."&amp;L$10&amp;$E247&amp;L$9&amp;L$11,DHHKey,0),MATCH($D247,DHHVar,0))</f>
        <v>2.345345361723089</v>
      </c>
      <c r="M247" s="203">
        <f>INDEX(DHHVal,MATCH(CtryCode&amp;".distn.bsh."&amp;M$10&amp;$E247&amp;M$9&amp;M$11,DHHKey,0),MATCH($D247,DHHVar,0))</f>
        <v>2.048623497507312</v>
      </c>
      <c r="N247" s="203">
        <f>INDEX(DHHVal,MATCH(CtryCode&amp;".distn.bsh."&amp;N$10&amp;$E247&amp;N$9&amp;N$11,DHHKey,0),MATCH($D247,DHHVar,0))</f>
        <v>1.903995904729538</v>
      </c>
      <c r="O247" s="203">
        <f>INDEX(DHHVal,MATCH(CtryCode&amp;".distn.bsh."&amp;O$10&amp;$E247&amp;O$9&amp;O$11,DHHKey,0),MATCH($D247,DHHVar,0))</f>
        <v>2.318713438994612</v>
      </c>
      <c r="P247" s="203">
        <f>INDEX(DHHVal,MATCH(CtryCode&amp;".distn.bsh."&amp;P$10&amp;$E247&amp;P$9&amp;P$11,DHHKey,0),MATCH($D247,DHHVar,0))</f>
        <v>2.295205953502223</v>
      </c>
      <c r="Q247" s="203">
        <f>INDEX(DHHVal,MATCH(CtryCode&amp;".distn.bsh."&amp;Q$10&amp;$E247&amp;Q$9&amp;Q$11,DHHKey,0),MATCH($D247,DHHVar,0))</f>
        <v>2.308500379208674</v>
      </c>
      <c r="R247" s="203">
        <f>INDEX(DHHVal,MATCH(CtryCode&amp;".distn.bsh."&amp;R$10&amp;$E247&amp;R$9&amp;R$11,DHHKey,0),MATCH($D247,DHHVar,0))</f>
        <v>2.376135531552821</v>
      </c>
      <c r="S247" s="203">
        <f>INDEX(DHHVal,MATCH(CtryCode&amp;".distn.bsh."&amp;S$10&amp;$E247&amp;S$9&amp;S$11,DHHKey,0),MATCH($D247,DHHVar,0))</f>
        <v>2.337554908235274</v>
      </c>
      <c r="T247" s="203">
        <f>INDEX(DHHVal,MATCH(CtryCode&amp;".distn.bsh."&amp;T$10&amp;$E247&amp;T$9&amp;T$11,DHHKey,0),MATCH($D247,DHHVar,0))</f>
        <v>2.346457684784487</v>
      </c>
      <c r="U247" s="203">
        <f>INDEX(DHHVal,MATCH(CtryCode&amp;".distn.bsh."&amp;U$10&amp;$E247&amp;U$9&amp;U$11,DHHKey,0),MATCH($D247,DHHVar,0))</f>
        <v>2.200882849704916</v>
      </c>
      <c r="V247" s="203">
        <f>INDEX(DHHVal,MATCH(CtryCode&amp;".distn.bsh."&amp;V$10&amp;$E247&amp;V$9&amp;V$11,DHHKey,0),MATCH($D247,DHHVar,0))</f>
        <v>2.175397421424773</v>
      </c>
      <c r="W247" s="207" t="str">
        <f>IF(X$5=K$5,SUM(Y247:AI247)-SUM(L247:V247),"")</f>
        <v/>
      </c>
      <c r="X247" s="9" t="str">
        <f>LOWER(CtryCode)&amp;".distn."&amp;$A247&amp;IF($B247="","","."&amp;$B247)&amp;IF($C247="","",".dec."&amp;$C247)&amp;"."&amp;X$5</f>
        <v>egy.distn.bsh.com.dec.rur.2</v>
      </c>
      <c r="Y247" s="208">
        <f>INDEX(DHHVal,MATCH(CtryCode&amp;".distn.bsh."&amp;Y$10&amp;$E247&amp;Y$9&amp;Y$11,DHHKey,0),MATCH($D247,DHHVar,0))</f>
        <v>2.345345361723089</v>
      </c>
      <c r="Z247" s="203">
        <f>INDEX(DHHVal,MATCH(CtryCode&amp;".distn.bsh."&amp;Z$10&amp;$E247&amp;Z$9&amp;Z$11,DHHKey,0),MATCH($D247,DHHVar,0))</f>
        <v>2.048623497507312</v>
      </c>
      <c r="AA247" s="203">
        <f>INDEX(DHHVal,MATCH(CtryCode&amp;".distn.bsh."&amp;AA$10&amp;$E247&amp;AA$9&amp;AA$11,DHHKey,0),MATCH($D247,DHHVar,0))</f>
        <v>1.903995904729538</v>
      </c>
      <c r="AB247" s="203">
        <f>INDEX(DHHVal,MATCH(CtryCode&amp;".distn.bsh."&amp;AB$10&amp;$E247&amp;AB$9&amp;AB$11,DHHKey,0),MATCH($D247,DHHVar,0))</f>
        <v>2.318713438994612</v>
      </c>
      <c r="AC247" s="203">
        <f>INDEX(DHHVal,MATCH(CtryCode&amp;".distn.bsh."&amp;AC$10&amp;$E247&amp;AC$9&amp;AC$11,DHHKey,0),MATCH($D247,DHHVar,0))</f>
        <v>2.295205953502223</v>
      </c>
      <c r="AD247" s="203">
        <f>INDEX(DHHVal,MATCH(CtryCode&amp;".distn.bsh."&amp;AD$10&amp;$E247&amp;AD$9&amp;AD$11,DHHKey,0),MATCH($D247,DHHVar,0))</f>
        <v>2.308500379208674</v>
      </c>
      <c r="AE247" s="203">
        <f>INDEX(DHHVal,MATCH(CtryCode&amp;".distn.bsh."&amp;AE$10&amp;$E247&amp;AE$9&amp;AE$11,DHHKey,0),MATCH($D247,DHHVar,0))</f>
        <v>2.376135531552821</v>
      </c>
      <c r="AF247" s="203">
        <f>INDEX(DHHVal,MATCH(CtryCode&amp;".distn.bsh."&amp;AF$10&amp;$E247&amp;AF$9&amp;AF$11,DHHKey,0),MATCH($D247,DHHVar,0))</f>
        <v>2.337554908235274</v>
      </c>
      <c r="AG247" s="203">
        <f>INDEX(DHHVal,MATCH(CtryCode&amp;".distn.bsh."&amp;AG$10&amp;$E247&amp;AG$9&amp;AG$11,DHHKey,0),MATCH($D247,DHHVar,0))</f>
        <v>2.346457684784487</v>
      </c>
      <c r="AH247" s="203">
        <f>INDEX(DHHVal,MATCH(CtryCode&amp;".distn.bsh."&amp;AH$10&amp;$E247&amp;AH$9&amp;AH$11,DHHKey,0),MATCH($D247,DHHVar,0))</f>
        <v>2.200882849704916</v>
      </c>
      <c r="AI247" s="203">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33" t="inlineStr">
        <is>
          <t>HHSurvey</t>
        </is>
      </c>
      <c r="K248" s="9" t="str">
        <f>LOWER(CtryCode)&amp;".distn."&amp;$A248&amp;IF($B248="","","."&amp;$B248)&amp;IF($C248="","",".dec."&amp;$C248)&amp;"."&amp;K$5</f>
        <v>egy.distn.bsh.edu.dec.rur.1</v>
      </c>
      <c r="L248" s="208">
        <f>INDEX(DHHVal,MATCH(CtryCode&amp;".distn.bsh."&amp;L$10&amp;$E248&amp;L$9&amp;L$11,DHHKey,0),MATCH($D248,DHHVar,0))</f>
        <v>3.051859648637858</v>
      </c>
      <c r="M248" s="203">
        <f>INDEX(DHHVal,MATCH(CtryCode&amp;".distn.bsh."&amp;M$10&amp;$E248&amp;M$9&amp;M$11,DHHKey,0),MATCH($D248,DHHVar,0))</f>
        <v>2.41891230880128</v>
      </c>
      <c r="N248" s="203">
        <f>INDEX(DHHVal,MATCH(CtryCode&amp;".distn.bsh."&amp;N$10&amp;$E248&amp;N$9&amp;N$11,DHHKey,0),MATCH($D248,DHHVar,0))</f>
        <v>3.28693528397277</v>
      </c>
      <c r="O248" s="203">
        <f>INDEX(DHHVal,MATCH(CtryCode&amp;".distn.bsh."&amp;O$10&amp;$E248&amp;O$9&amp;O$11,DHHKey,0),MATCH($D248,DHHVar,0))</f>
        <v>3.660429846781313</v>
      </c>
      <c r="P248" s="203">
        <f>INDEX(DHHVal,MATCH(CtryCode&amp;".distn.bsh."&amp;P$10&amp;$E248&amp;P$9&amp;P$11,DHHKey,0),MATCH($D248,DHHVar,0))</f>
        <v>3.859038583474999</v>
      </c>
      <c r="Q248" s="203">
        <f>INDEX(DHHVal,MATCH(CtryCode&amp;".distn.bsh."&amp;Q$10&amp;$E248&amp;Q$9&amp;Q$11,DHHKey,0),MATCH($D248,DHHVar,0))</f>
        <v>4.034506411473864</v>
      </c>
      <c r="R248" s="203">
        <f>INDEX(DHHVal,MATCH(CtryCode&amp;".distn.bsh."&amp;R$10&amp;$E248&amp;R$9&amp;R$11,DHHKey,0),MATCH($D248,DHHVar,0))</f>
        <v>4.133151786671978</v>
      </c>
      <c r="S248" s="203">
        <f>INDEX(DHHVal,MATCH(CtryCode&amp;".distn.bsh."&amp;S$10&amp;$E248&amp;S$9&amp;S$11,DHHKey,0),MATCH($D248,DHHVar,0))</f>
        <v>3.682018888181732</v>
      </c>
      <c r="T248" s="203">
        <f>INDEX(DHHVal,MATCH(CtryCode&amp;".distn.bsh."&amp;T$10&amp;$E248&amp;T$9&amp;T$11,DHHKey,0),MATCH($D248,DHHVar,0))</f>
        <v>3.410108143883336</v>
      </c>
      <c r="U248" s="203">
        <f>INDEX(DHHVal,MATCH(CtryCode&amp;".distn.bsh."&amp;U$10&amp;$E248&amp;U$9&amp;U$11,DHHKey,0),MATCH($D248,DHHVar,0))</f>
        <v>2.420834576267632</v>
      </c>
      <c r="V248" s="203">
        <f>INDEX(DHHVal,MATCH(CtryCode&amp;".distn.bsh."&amp;V$10&amp;$E248&amp;V$9&amp;V$11,DHHKey,0),MATCH($D248,DHHVar,0))</f>
        <v>1.31312030245604</v>
      </c>
      <c r="W248" s="207" t="str">
        <f>IF(X$5=K$5,SUM(Y248:AI248)-SUM(L248:V248),"")</f>
        <v/>
      </c>
      <c r="X248" s="9" t="str">
        <f>LOWER(CtryCode)&amp;".distn."&amp;$A248&amp;IF($B248="","","."&amp;$B248)&amp;IF($C248="","",".dec."&amp;$C248)&amp;"."&amp;X$5</f>
        <v>egy.distn.bsh.edu.dec.rur.2</v>
      </c>
      <c r="Y248" s="208">
        <f>INDEX(DHHVal,MATCH(CtryCode&amp;".distn.bsh."&amp;Y$10&amp;$E248&amp;Y$9&amp;Y$11,DHHKey,0),MATCH($D248,DHHVar,0))</f>
        <v>3.051859648637858</v>
      </c>
      <c r="Z248" s="203">
        <f>INDEX(DHHVal,MATCH(CtryCode&amp;".distn.bsh."&amp;Z$10&amp;$E248&amp;Z$9&amp;Z$11,DHHKey,0),MATCH($D248,DHHVar,0))</f>
        <v>2.41891230880128</v>
      </c>
      <c r="AA248" s="203">
        <f>INDEX(DHHVal,MATCH(CtryCode&amp;".distn.bsh."&amp;AA$10&amp;$E248&amp;AA$9&amp;AA$11,DHHKey,0),MATCH($D248,DHHVar,0))</f>
        <v>3.28693528397277</v>
      </c>
      <c r="AB248" s="203">
        <f>INDEX(DHHVal,MATCH(CtryCode&amp;".distn.bsh."&amp;AB$10&amp;$E248&amp;AB$9&amp;AB$11,DHHKey,0),MATCH($D248,DHHVar,0))</f>
        <v>3.660429846781313</v>
      </c>
      <c r="AC248" s="203">
        <f>INDEX(DHHVal,MATCH(CtryCode&amp;".distn.bsh."&amp;AC$10&amp;$E248&amp;AC$9&amp;AC$11,DHHKey,0),MATCH($D248,DHHVar,0))</f>
        <v>3.859038583474999</v>
      </c>
      <c r="AD248" s="203">
        <f>INDEX(DHHVal,MATCH(CtryCode&amp;".distn.bsh."&amp;AD$10&amp;$E248&amp;AD$9&amp;AD$11,DHHKey,0),MATCH($D248,DHHVar,0))</f>
        <v>4.034506411473864</v>
      </c>
      <c r="AE248" s="203">
        <f>INDEX(DHHVal,MATCH(CtryCode&amp;".distn.bsh."&amp;AE$10&amp;$E248&amp;AE$9&amp;AE$11,DHHKey,0),MATCH($D248,DHHVar,0))</f>
        <v>4.133151786671978</v>
      </c>
      <c r="AF248" s="203">
        <f>INDEX(DHHVal,MATCH(CtryCode&amp;".distn.bsh."&amp;AF$10&amp;$E248&amp;AF$9&amp;AF$11,DHHKey,0),MATCH($D248,DHHVar,0))</f>
        <v>3.682018888181732</v>
      </c>
      <c r="AG248" s="203">
        <f>INDEX(DHHVal,MATCH(CtryCode&amp;".distn.bsh."&amp;AG$10&amp;$E248&amp;AG$9&amp;AG$11,DHHKey,0),MATCH($D248,DHHVar,0))</f>
        <v>3.410108143883336</v>
      </c>
      <c r="AH248" s="203">
        <f>INDEX(DHHVal,MATCH(CtryCode&amp;".distn.bsh."&amp;AH$10&amp;$E248&amp;AH$9&amp;AH$11,DHHKey,0),MATCH($D248,DHHVar,0))</f>
        <v>2.420834576267632</v>
      </c>
      <c r="AI248" s="203">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33" t="inlineStr">
        <is>
          <t>HHSurvey</t>
        </is>
      </c>
      <c r="K249" s="9" t="str">
        <f>LOWER(CtryCode)&amp;".distn."&amp;$A249&amp;IF($B249="","","."&amp;$B249)&amp;IF($C249="","",".dec."&amp;$C249)&amp;"."&amp;K$5</f>
        <v>egy.distn.bsh.food.dec.rur.1</v>
      </c>
      <c r="L249" s="208">
        <f>INDEX(DHHVal,MATCH(CtryCode&amp;".distn.bsh."&amp;L$10&amp;$E249&amp;L$9&amp;L$11,DHHKey,0),MATCH($D249,DHHVar,0))</f>
        <v>61.13691564808116</v>
      </c>
      <c r="M249" s="203">
        <f>INDEX(DHHVal,MATCH(CtryCode&amp;".distn.bsh."&amp;M$10&amp;$E249&amp;M$9&amp;M$11,DHHKey,0),MATCH($D249,DHHVar,0))</f>
        <v>59.7173713888392</v>
      </c>
      <c r="N249" s="203">
        <f>INDEX(DHHVal,MATCH(CtryCode&amp;".distn.bsh."&amp;N$10&amp;$E249&amp;N$9&amp;N$11,DHHKey,0),MATCH($D249,DHHVar,0))</f>
        <v>61.40425629165966</v>
      </c>
      <c r="O249" s="203">
        <f>INDEX(DHHVal,MATCH(CtryCode&amp;".distn.bsh."&amp;O$10&amp;$E249&amp;O$9&amp;O$11,DHHKey,0),MATCH($D249,DHHVar,0))</f>
        <v>58.03835283622</v>
      </c>
      <c r="P249" s="203">
        <f>INDEX(DHHVal,MATCH(CtryCode&amp;".distn.bsh."&amp;P$10&amp;$E249&amp;P$9&amp;P$11,DHHKey,0),MATCH($D249,DHHVar,0))</f>
        <v>56.27791891388586</v>
      </c>
      <c r="Q249" s="203">
        <f>INDEX(DHHVal,MATCH(CtryCode&amp;".distn.bsh."&amp;Q$10&amp;$E249&amp;Q$9&amp;Q$11,DHHKey,0),MATCH($D249,DHHVar,0))</f>
        <v>55.68936536503397</v>
      </c>
      <c r="R249" s="203">
        <f>INDEX(DHHVal,MATCH(CtryCode&amp;".distn.bsh."&amp;R$10&amp;$E249&amp;R$9&amp;R$11,DHHKey,0),MATCH($D249,DHHVar,0))</f>
        <v>57.79674340917067</v>
      </c>
      <c r="S249" s="203">
        <f>INDEX(DHHVal,MATCH(CtryCode&amp;".distn.bsh."&amp;S$10&amp;$E249&amp;S$9&amp;S$11,DHHKey,0),MATCH($D249,DHHVar,0))</f>
        <v>57.0073021824801</v>
      </c>
      <c r="T249" s="203">
        <f>INDEX(DHHVal,MATCH(CtryCode&amp;".distn.bsh."&amp;T$10&amp;$E249&amp;T$9&amp;T$11,DHHKey,0),MATCH($D249,DHHVar,0))</f>
        <v>56.65880713405583</v>
      </c>
      <c r="U249" s="203">
        <f>INDEX(DHHVal,MATCH(CtryCode&amp;".distn.bsh."&amp;U$10&amp;$E249&amp;U$9&amp;U$11,DHHKey,0),MATCH($D249,DHHVar,0))</f>
        <v>53.31136897411237</v>
      </c>
      <c r="V249" s="203">
        <f>INDEX(DHHVal,MATCH(CtryCode&amp;".distn.bsh."&amp;V$10&amp;$E249&amp;V$9&amp;V$11,DHHKey,0),MATCH($D249,DHHVar,0))</f>
        <v>52.25062126102075</v>
      </c>
      <c r="W249" s="207" t="str">
        <f>IF(X$5=K$5,SUM(Y249:AI249)-SUM(L249:V249),"")</f>
        <v/>
      </c>
      <c r="X249" s="9" t="str">
        <f>LOWER(CtryCode)&amp;".distn."&amp;$A249&amp;IF($B249="","","."&amp;$B249)&amp;IF($C249="","",".dec."&amp;$C249)&amp;"."&amp;X$5</f>
        <v>egy.distn.bsh.food.dec.rur.2</v>
      </c>
      <c r="Y249" s="208">
        <f>INDEX(DHHVal,MATCH(CtryCode&amp;".distn.bsh."&amp;Y$10&amp;$E249&amp;Y$9&amp;Y$11,DHHKey,0),MATCH($D249,DHHVar,0))</f>
        <v>61.13691564808116</v>
      </c>
      <c r="Z249" s="203">
        <f>INDEX(DHHVal,MATCH(CtryCode&amp;".distn.bsh."&amp;Z$10&amp;$E249&amp;Z$9&amp;Z$11,DHHKey,0),MATCH($D249,DHHVar,0))</f>
        <v>59.7173713888392</v>
      </c>
      <c r="AA249" s="203">
        <f>INDEX(DHHVal,MATCH(CtryCode&amp;".distn.bsh."&amp;AA$10&amp;$E249&amp;AA$9&amp;AA$11,DHHKey,0),MATCH($D249,DHHVar,0))</f>
        <v>61.40425629165966</v>
      </c>
      <c r="AB249" s="203">
        <f>INDEX(DHHVal,MATCH(CtryCode&amp;".distn.bsh."&amp;AB$10&amp;$E249&amp;AB$9&amp;AB$11,DHHKey,0),MATCH($D249,DHHVar,0))</f>
        <v>58.03835283622</v>
      </c>
      <c r="AC249" s="203">
        <f>INDEX(DHHVal,MATCH(CtryCode&amp;".distn.bsh."&amp;AC$10&amp;$E249&amp;AC$9&amp;AC$11,DHHKey,0),MATCH($D249,DHHVar,0))</f>
        <v>56.27791891388586</v>
      </c>
      <c r="AD249" s="203">
        <f>INDEX(DHHVal,MATCH(CtryCode&amp;".distn.bsh."&amp;AD$10&amp;$E249&amp;AD$9&amp;AD$11,DHHKey,0),MATCH($D249,DHHVar,0))</f>
        <v>55.68936536503397</v>
      </c>
      <c r="AE249" s="203">
        <f>INDEX(DHHVal,MATCH(CtryCode&amp;".distn.bsh."&amp;AE$10&amp;$E249&amp;AE$9&amp;AE$11,DHHKey,0),MATCH($D249,DHHVar,0))</f>
        <v>57.79674340917067</v>
      </c>
      <c r="AF249" s="203">
        <f>INDEX(DHHVal,MATCH(CtryCode&amp;".distn.bsh."&amp;AF$10&amp;$E249&amp;AF$9&amp;AF$11,DHHKey,0),MATCH($D249,DHHVar,0))</f>
        <v>57.0073021824801</v>
      </c>
      <c r="AG249" s="203">
        <f>INDEX(DHHVal,MATCH(CtryCode&amp;".distn.bsh."&amp;AG$10&amp;$E249&amp;AG$9&amp;AG$11,DHHKey,0),MATCH($D249,DHHVar,0))</f>
        <v>56.65880713405583</v>
      </c>
      <c r="AH249" s="203">
        <f>INDEX(DHHVal,MATCH(CtryCode&amp;".distn.bsh."&amp;AH$10&amp;$E249&amp;AH$9&amp;AH$11,DHHKey,0),MATCH($D249,DHHVar,0))</f>
        <v>53.31136897411237</v>
      </c>
      <c r="AI249" s="203">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33" t="inlineStr">
        <is>
          <t>HHSurvey</t>
        </is>
      </c>
      <c r="K250" s="9" t="str">
        <f>LOWER(CtryCode)&amp;".distn."&amp;$A250&amp;IF($B250="","","."&amp;$B250)&amp;IF($C250="","",".dec."&amp;$C250)&amp;"."&amp;K$5</f>
        <v>egy.distn.bsh.hea.dec.rur.1</v>
      </c>
      <c r="L250" s="208">
        <f>INDEX(DHHVal,MATCH(CtryCode&amp;".distn.bsh."&amp;L$10&amp;$E250&amp;L$9&amp;L$11,DHHKey,0),MATCH($D250,DHHVar,0))</f>
        <v>4.462377393356695</v>
      </c>
      <c r="M250" s="203">
        <f>INDEX(DHHVal,MATCH(CtryCode&amp;".distn.bsh."&amp;M$10&amp;$E250&amp;M$9&amp;M$11,DHHKey,0),MATCH($D250,DHHVar,0))</f>
        <v>3.431388084858833</v>
      </c>
      <c r="N250" s="203">
        <f>INDEX(DHHVal,MATCH(CtryCode&amp;".distn.bsh."&amp;N$10&amp;$E250&amp;N$9&amp;N$11,DHHKey,0),MATCH($D250,DHHVar,0))</f>
        <v>3.483023372454314</v>
      </c>
      <c r="O250" s="203">
        <f>INDEX(DHHVal,MATCH(CtryCode&amp;".distn.bsh."&amp;O$10&amp;$E250&amp;O$9&amp;O$11,DHHKey,0),MATCH($D250,DHHVar,0))</f>
        <v>3.397351959258184</v>
      </c>
      <c r="P250" s="203">
        <f>INDEX(DHHVal,MATCH(CtryCode&amp;".distn.bsh."&amp;P$10&amp;$E250&amp;P$9&amp;P$11,DHHKey,0),MATCH($D250,DHHVar,0))</f>
        <v>4.287384923923265</v>
      </c>
      <c r="Q250" s="203">
        <f>INDEX(DHHVal,MATCH(CtryCode&amp;".distn.bsh."&amp;Q$10&amp;$E250&amp;Q$9&amp;Q$11,DHHKey,0),MATCH($D250,DHHVar,0))</f>
        <v>4.18787814018091</v>
      </c>
      <c r="R250" s="203">
        <f>INDEX(DHHVal,MATCH(CtryCode&amp;".distn.bsh."&amp;R$10&amp;$E250&amp;R$9&amp;R$11,DHHKey,0),MATCH($D250,DHHVar,0))</f>
        <v>4.057309270956786</v>
      </c>
      <c r="S250" s="203">
        <f>INDEX(DHHVal,MATCH(CtryCode&amp;".distn.bsh."&amp;S$10&amp;$E250&amp;S$9&amp;S$11,DHHKey,0),MATCH($D250,DHHVar,0))</f>
        <v>4.814392314172006</v>
      </c>
      <c r="T250" s="203">
        <f>INDEX(DHHVal,MATCH(CtryCode&amp;".distn.bsh."&amp;T$10&amp;$E250&amp;T$9&amp;T$11,DHHKey,0),MATCH($D250,DHHVar,0))</f>
        <v>5.205221063855202</v>
      </c>
      <c r="U250" s="203">
        <f>INDEX(DHHVal,MATCH(CtryCode&amp;".distn.bsh."&amp;U$10&amp;$E250&amp;U$9&amp;U$11,DHHKey,0),MATCH($D250,DHHVar,0))</f>
        <v>5.334222518458181</v>
      </c>
      <c r="V250" s="203">
        <f>INDEX(DHHVal,MATCH(CtryCode&amp;".distn.bsh."&amp;V$10&amp;$E250&amp;V$9&amp;V$11,DHHKey,0),MATCH($D250,DHHVar,0))</f>
        <v>7.059196508507379</v>
      </c>
      <c r="W250" s="207" t="str">
        <f>IF(X$5=K$5,SUM(Y250:AI250)-SUM(L250:V250),"")</f>
        <v/>
      </c>
      <c r="X250" s="9" t="str">
        <f>LOWER(CtryCode)&amp;".distn."&amp;$A250&amp;IF($B250="","","."&amp;$B250)&amp;IF($C250="","",".dec."&amp;$C250)&amp;"."&amp;X$5</f>
        <v>egy.distn.bsh.hea.dec.rur.2</v>
      </c>
      <c r="Y250" s="208">
        <f>INDEX(DHHVal,MATCH(CtryCode&amp;".distn.bsh."&amp;Y$10&amp;$E250&amp;Y$9&amp;Y$11,DHHKey,0),MATCH($D250,DHHVar,0))</f>
        <v>4.462377393356695</v>
      </c>
      <c r="Z250" s="203">
        <f>INDEX(DHHVal,MATCH(CtryCode&amp;".distn.bsh."&amp;Z$10&amp;$E250&amp;Z$9&amp;Z$11,DHHKey,0),MATCH($D250,DHHVar,0))</f>
        <v>3.431388084858833</v>
      </c>
      <c r="AA250" s="203">
        <f>INDEX(DHHVal,MATCH(CtryCode&amp;".distn.bsh."&amp;AA$10&amp;$E250&amp;AA$9&amp;AA$11,DHHKey,0),MATCH($D250,DHHVar,0))</f>
        <v>3.483023372454314</v>
      </c>
      <c r="AB250" s="203">
        <f>INDEX(DHHVal,MATCH(CtryCode&amp;".distn.bsh."&amp;AB$10&amp;$E250&amp;AB$9&amp;AB$11,DHHKey,0),MATCH($D250,DHHVar,0))</f>
        <v>3.397351959258184</v>
      </c>
      <c r="AC250" s="203">
        <f>INDEX(DHHVal,MATCH(CtryCode&amp;".distn.bsh."&amp;AC$10&amp;$E250&amp;AC$9&amp;AC$11,DHHKey,0),MATCH($D250,DHHVar,0))</f>
        <v>4.287384923923265</v>
      </c>
      <c r="AD250" s="203">
        <f>INDEX(DHHVal,MATCH(CtryCode&amp;".distn.bsh."&amp;AD$10&amp;$E250&amp;AD$9&amp;AD$11,DHHKey,0),MATCH($D250,DHHVar,0))</f>
        <v>4.18787814018091</v>
      </c>
      <c r="AE250" s="203">
        <f>INDEX(DHHVal,MATCH(CtryCode&amp;".distn.bsh."&amp;AE$10&amp;$E250&amp;AE$9&amp;AE$11,DHHKey,0),MATCH($D250,DHHVar,0))</f>
        <v>4.057309270956786</v>
      </c>
      <c r="AF250" s="203">
        <f>INDEX(DHHVal,MATCH(CtryCode&amp;".distn.bsh."&amp;AF$10&amp;$E250&amp;AF$9&amp;AF$11,DHHKey,0),MATCH($D250,DHHVar,0))</f>
        <v>4.814392314172006</v>
      </c>
      <c r="AG250" s="203">
        <f>INDEX(DHHVal,MATCH(CtryCode&amp;".distn.bsh."&amp;AG$10&amp;$E250&amp;AG$9&amp;AG$11,DHHKey,0),MATCH($D250,DHHVar,0))</f>
        <v>5.205221063855202</v>
      </c>
      <c r="AH250" s="203">
        <f>INDEX(DHHVal,MATCH(CtryCode&amp;".distn.bsh."&amp;AH$10&amp;$E250&amp;AH$9&amp;AH$11,DHHKey,0),MATCH($D250,DHHVar,0))</f>
        <v>5.334222518458181</v>
      </c>
      <c r="AI250" s="203">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33" t="inlineStr">
        <is>
          <t>HHSurvey</t>
        </is>
      </c>
      <c r="K251" s="9" t="str">
        <f>LOWER(CtryCode)&amp;".distn."&amp;$A251&amp;IF($B251="","","."&amp;$B251)&amp;IF($C251="","",".dec."&amp;$C251)&amp;"."&amp;K$5</f>
        <v>egy.distn.bsh.hou.dec.rur.1</v>
      </c>
      <c r="L251" s="208">
        <f>INDEX(DHHVal,MATCH(CtryCode&amp;".distn.bsh."&amp;L$10&amp;$E251&amp;L$9&amp;L$11,DHHKey,0),MATCH($D251,DHHVar,0))</f>
        <v>3.97280199710986</v>
      </c>
      <c r="M251" s="203">
        <f>INDEX(DHHVal,MATCH(CtryCode&amp;".distn.bsh."&amp;M$10&amp;$E251&amp;M$9&amp;M$11,DHHKey,0),MATCH($D251,DHHVar,0))</f>
        <v>4.024804284977802</v>
      </c>
      <c r="N251" s="203">
        <f>INDEX(DHHVal,MATCH(CtryCode&amp;".distn.bsh."&amp;N$10&amp;$E251&amp;N$9&amp;N$11,DHHKey,0),MATCH($D251,DHHVar,0))</f>
        <v>3.586666619203532</v>
      </c>
      <c r="O251" s="203">
        <f>INDEX(DHHVal,MATCH(CtryCode&amp;".distn.bsh."&amp;O$10&amp;$E251&amp;O$9&amp;O$11,DHHKey,0),MATCH($D251,DHHVar,0))</f>
        <v>3.954757919813015</v>
      </c>
      <c r="P251" s="203">
        <f>INDEX(DHHVal,MATCH(CtryCode&amp;".distn.bsh."&amp;P$10&amp;$E251&amp;P$9&amp;P$11,DHHKey,0),MATCH($D251,DHHVar,0))</f>
        <v>3.40782479728384</v>
      </c>
      <c r="Q251" s="203">
        <f>INDEX(DHHVal,MATCH(CtryCode&amp;".distn.bsh."&amp;Q$10&amp;$E251&amp;Q$9&amp;Q$11,DHHKey,0),MATCH($D251,DHHVar,0))</f>
        <v>3.211370059174464</v>
      </c>
      <c r="R251" s="203">
        <f>INDEX(DHHVal,MATCH(CtryCode&amp;".distn.bsh."&amp;R$10&amp;$E251&amp;R$9&amp;R$11,DHHKey,0),MATCH($D251,DHHVar,0))</f>
        <v>3.982167020077369</v>
      </c>
      <c r="S251" s="203">
        <f>INDEX(DHHVal,MATCH(CtryCode&amp;".distn.bsh."&amp;S$10&amp;$E251&amp;S$9&amp;S$11,DHHKey,0),MATCH($D251,DHHVar,0))</f>
        <v>3.48841414864956</v>
      </c>
      <c r="T251" s="203">
        <f>INDEX(DHHVal,MATCH(CtryCode&amp;".distn.bsh."&amp;T$10&amp;$E251&amp;T$9&amp;T$11,DHHKey,0),MATCH($D251,DHHVar,0))</f>
        <v>4.155881101656047</v>
      </c>
      <c r="U251" s="203">
        <f>INDEX(DHHVal,MATCH(CtryCode&amp;".distn.bsh."&amp;U$10&amp;$E251&amp;U$9&amp;U$11,DHHKey,0),MATCH($D251,DHHVar,0))</f>
        <v>4.070115807417317</v>
      </c>
      <c r="V251" s="203">
        <f>INDEX(DHHVal,MATCH(CtryCode&amp;".distn.bsh."&amp;V$10&amp;$E251&amp;V$9&amp;V$11,DHHKey,0),MATCH($D251,DHHVar,0))</f>
        <v>4.714545549566298</v>
      </c>
      <c r="W251" s="207" t="str">
        <f>IF(X$5=K$5,SUM(Y251:AI251)-SUM(L251:V251),"")</f>
        <v/>
      </c>
      <c r="X251" s="9" t="str">
        <f>LOWER(CtryCode)&amp;".distn."&amp;$A251&amp;IF($B251="","","."&amp;$B251)&amp;IF($C251="","",".dec."&amp;$C251)&amp;"."&amp;X$5</f>
        <v>egy.distn.bsh.hou.dec.rur.2</v>
      </c>
      <c r="Y251" s="208">
        <f>INDEX(DHHVal,MATCH(CtryCode&amp;".distn.bsh."&amp;Y$10&amp;$E251&amp;Y$9&amp;Y$11,DHHKey,0),MATCH($D251,DHHVar,0))</f>
        <v>3.97280199710986</v>
      </c>
      <c r="Z251" s="203">
        <f>INDEX(DHHVal,MATCH(CtryCode&amp;".distn.bsh."&amp;Z$10&amp;$E251&amp;Z$9&amp;Z$11,DHHKey,0),MATCH($D251,DHHVar,0))</f>
        <v>4.024804284977802</v>
      </c>
      <c r="AA251" s="203">
        <f>INDEX(DHHVal,MATCH(CtryCode&amp;".distn.bsh."&amp;AA$10&amp;$E251&amp;AA$9&amp;AA$11,DHHKey,0),MATCH($D251,DHHVar,0))</f>
        <v>3.586666619203532</v>
      </c>
      <c r="AB251" s="203">
        <f>INDEX(DHHVal,MATCH(CtryCode&amp;".distn.bsh."&amp;AB$10&amp;$E251&amp;AB$9&amp;AB$11,DHHKey,0),MATCH($D251,DHHVar,0))</f>
        <v>3.954757919813015</v>
      </c>
      <c r="AC251" s="203">
        <f>INDEX(DHHVal,MATCH(CtryCode&amp;".distn.bsh."&amp;AC$10&amp;$E251&amp;AC$9&amp;AC$11,DHHKey,0),MATCH($D251,DHHVar,0))</f>
        <v>3.40782479728384</v>
      </c>
      <c r="AD251" s="203">
        <f>INDEX(DHHVal,MATCH(CtryCode&amp;".distn.bsh."&amp;AD$10&amp;$E251&amp;AD$9&amp;AD$11,DHHKey,0),MATCH($D251,DHHVar,0))</f>
        <v>3.211370059174464</v>
      </c>
      <c r="AE251" s="203">
        <f>INDEX(DHHVal,MATCH(CtryCode&amp;".distn.bsh."&amp;AE$10&amp;$E251&amp;AE$9&amp;AE$11,DHHKey,0),MATCH($D251,DHHVar,0))</f>
        <v>3.982167020077369</v>
      </c>
      <c r="AF251" s="203">
        <f>INDEX(DHHVal,MATCH(CtryCode&amp;".distn.bsh."&amp;AF$10&amp;$E251&amp;AF$9&amp;AF$11,DHHKey,0),MATCH($D251,DHHVar,0))</f>
        <v>3.48841414864956</v>
      </c>
      <c r="AG251" s="203">
        <f>INDEX(DHHVal,MATCH(CtryCode&amp;".distn.bsh."&amp;AG$10&amp;$E251&amp;AG$9&amp;AG$11,DHHKey,0),MATCH($D251,DHHVar,0))</f>
        <v>4.155881101656047</v>
      </c>
      <c r="AH251" s="203">
        <f>INDEX(DHHVal,MATCH(CtryCode&amp;".distn.bsh."&amp;AH$10&amp;$E251&amp;AH$9&amp;AH$11,DHHKey,0),MATCH($D251,DHHVar,0))</f>
        <v>4.070115807417317</v>
      </c>
      <c r="AI251" s="203">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33" t="inlineStr">
        <is>
          <t>HHSurvey</t>
        </is>
      </c>
      <c r="K252" s="9" t="str">
        <f>LOWER(CtryCode)&amp;".distn."&amp;$A252&amp;IF($B252="","","."&amp;$B252)&amp;IF($C252="","",".dec."&amp;$C252)&amp;"."&amp;K$5</f>
        <v>egy.distn.bsh.oth.dec.rur.1</v>
      </c>
      <c r="L252" s="208">
        <f>INDEX(DHHVal,MATCH(CtryCode&amp;".distn.bsh."&amp;L$10&amp;$E252&amp;L$9&amp;L$11,DHHKey,0),MATCH($D252,DHHVar,0))</f>
        <v>0.01022901938872657</v>
      </c>
      <c r="M252" s="203">
        <f>INDEX(DHHVal,MATCH(CtryCode&amp;".distn.bsh."&amp;M$10&amp;$E252&amp;M$9&amp;M$11,DHHKey,0),MATCH($D252,DHHVar,0))</f>
        <v>0.01289431237415943</v>
      </c>
      <c r="N252" s="203">
        <f>INDEX(DHHVal,MATCH(CtryCode&amp;".distn.bsh."&amp;N$10&amp;$E252&amp;N$9&amp;N$11,DHHKey,0),MATCH($D252,DHHVar,0))</f>
        <v>0.003942625944753751</v>
      </c>
      <c r="O252" s="203">
        <f>INDEX(DHHVal,MATCH(CtryCode&amp;".distn.bsh."&amp;O$10&amp;$E252&amp;O$9&amp;O$11,DHHKey,0),MATCH($D252,DHHVar,0))</f>
        <v>0.009758908777375163</v>
      </c>
      <c r="P252" s="203">
        <f>INDEX(DHHVal,MATCH(CtryCode&amp;".distn.bsh."&amp;P$10&amp;$E252&amp;P$9&amp;P$11,DHHKey,0),MATCH($D252,DHHVar,0))</f>
        <v>0.007414909855426308</v>
      </c>
      <c r="Q252" s="203">
        <f>INDEX(DHHVal,MATCH(CtryCode&amp;".distn.bsh."&amp;Q$10&amp;$E252&amp;Q$9&amp;Q$11,DHHKey,0),MATCH($D252,DHHVar,0))</f>
        <v>0.01007642561026705</v>
      </c>
      <c r="R252" s="203">
        <f>INDEX(DHHVal,MATCH(CtryCode&amp;".distn.bsh."&amp;R$10&amp;$E252&amp;R$9&amp;R$11,DHHKey,0),MATCH($D252,DHHVar,0))</f>
        <v>0.01236012526043522</v>
      </c>
      <c r="S252" s="203">
        <f>INDEX(DHHVal,MATCH(CtryCode&amp;".distn.bsh."&amp;S$10&amp;$E252&amp;S$9&amp;S$11,DHHKey,0),MATCH($D252,DHHVar,0))</f>
        <v>0.01511640253168557</v>
      </c>
      <c r="T252" s="203">
        <f>INDEX(DHHVal,MATCH(CtryCode&amp;".distn.bsh."&amp;T$10&amp;$E252&amp;T$9&amp;T$11,DHHKey,0),MATCH($D252,DHHVar,0))</f>
        <v>0.01301220502111776</v>
      </c>
      <c r="U252" s="203">
        <f>INDEX(DHHVal,MATCH(CtryCode&amp;".distn.bsh."&amp;U$10&amp;$E252&amp;U$9&amp;U$11,DHHKey,0),MATCH($D252,DHHVar,0))</f>
        <v>0.007709880542540942</v>
      </c>
      <c r="V252" s="203">
        <f>INDEX(DHHVal,MATCH(CtryCode&amp;".distn.bsh."&amp;V$10&amp;$E252&amp;V$9&amp;V$11,DHHKey,0),MATCH($D252,DHHVar,0))</f>
        <v>0.01630465836091362</v>
      </c>
      <c r="W252" s="207" t="str">
        <f>IF(X$5=K$5,SUM(Y252:AI252)-SUM(L252:V252),"")</f>
        <v/>
      </c>
      <c r="X252" s="9" t="str">
        <f>LOWER(CtryCode)&amp;".distn."&amp;$A252&amp;IF($B252="","","."&amp;$B252)&amp;IF($C252="","",".dec."&amp;$C252)&amp;"."&amp;X$5</f>
        <v>egy.distn.bsh.oth.dec.rur.2</v>
      </c>
      <c r="Y252" s="208">
        <f>INDEX(DHHVal,MATCH(CtryCode&amp;".distn.bsh."&amp;Y$10&amp;$E252&amp;Y$9&amp;Y$11,DHHKey,0),MATCH($D252,DHHVar,0))</f>
        <v>0.01022901938872657</v>
      </c>
      <c r="Z252" s="203">
        <f>INDEX(DHHVal,MATCH(CtryCode&amp;".distn.bsh."&amp;Z$10&amp;$E252&amp;Z$9&amp;Z$11,DHHKey,0),MATCH($D252,DHHVar,0))</f>
        <v>0.01289431237415943</v>
      </c>
      <c r="AA252" s="203">
        <f>INDEX(DHHVal,MATCH(CtryCode&amp;".distn.bsh."&amp;AA$10&amp;$E252&amp;AA$9&amp;AA$11,DHHKey,0),MATCH($D252,DHHVar,0))</f>
        <v>0.003942625944753751</v>
      </c>
      <c r="AB252" s="203">
        <f>INDEX(DHHVal,MATCH(CtryCode&amp;".distn.bsh."&amp;AB$10&amp;$E252&amp;AB$9&amp;AB$11,DHHKey,0),MATCH($D252,DHHVar,0))</f>
        <v>0.009758908777375163</v>
      </c>
      <c r="AC252" s="203">
        <f>INDEX(DHHVal,MATCH(CtryCode&amp;".distn.bsh."&amp;AC$10&amp;$E252&amp;AC$9&amp;AC$11,DHHKey,0),MATCH($D252,DHHVar,0))</f>
        <v>0.007414909855426308</v>
      </c>
      <c r="AD252" s="203">
        <f>INDEX(DHHVal,MATCH(CtryCode&amp;".distn.bsh."&amp;AD$10&amp;$E252&amp;AD$9&amp;AD$11,DHHKey,0),MATCH($D252,DHHVar,0))</f>
        <v>0.01007642561026705</v>
      </c>
      <c r="AE252" s="203">
        <f>INDEX(DHHVal,MATCH(CtryCode&amp;".distn.bsh."&amp;AE$10&amp;$E252&amp;AE$9&amp;AE$11,DHHKey,0),MATCH($D252,DHHVar,0))</f>
        <v>0.01236012526043522</v>
      </c>
      <c r="AF252" s="203">
        <f>INDEX(DHHVal,MATCH(CtryCode&amp;".distn.bsh."&amp;AF$10&amp;$E252&amp;AF$9&amp;AF$11,DHHKey,0),MATCH($D252,DHHVar,0))</f>
        <v>0.01511640253168557</v>
      </c>
      <c r="AG252" s="203">
        <f>INDEX(DHHVal,MATCH(CtryCode&amp;".distn.bsh."&amp;AG$10&amp;$E252&amp;AG$9&amp;AG$11,DHHKey,0),MATCH($D252,DHHVar,0))</f>
        <v>0.01301220502111776</v>
      </c>
      <c r="AH252" s="203">
        <f>INDEX(DHHVal,MATCH(CtryCode&amp;".distn.bsh."&amp;AH$10&amp;$E252&amp;AH$9&amp;AH$11,DHHKey,0),MATCH($D252,DHHVar,0))</f>
        <v>0.007709880542540942</v>
      </c>
      <c r="AI252" s="203">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33" t="inlineStr">
        <is>
          <t>HHSurvey</t>
        </is>
      </c>
      <c r="K253" s="9" t="str">
        <f>LOWER(CtryCode)&amp;".distn."&amp;$A253&amp;IF($B253="","","."&amp;$B253)&amp;IF($C253="","",".dec."&amp;$C253)&amp;"."&amp;K$5</f>
        <v>egy.distn.bsh.pap.dec.rur.1</v>
      </c>
      <c r="L253" s="208">
        <f>INDEX(DHHVal,MATCH(CtryCode&amp;".distn.bsh."&amp;L$10&amp;$E253&amp;L$9&amp;L$11,DHHKey,0),MATCH($D253,DHHVar,0))</f>
        <v>1.762677043565745</v>
      </c>
      <c r="M253" s="203">
        <f>INDEX(DHHVal,MATCH(CtryCode&amp;".distn.bsh."&amp;M$10&amp;$E253&amp;M$9&amp;M$11,DHHKey,0),MATCH($D253,DHHVar,0))</f>
        <v>2.088112106016865</v>
      </c>
      <c r="N253" s="203">
        <f>INDEX(DHHVal,MATCH(CtryCode&amp;".distn.bsh."&amp;N$10&amp;$E253&amp;N$9&amp;N$11,DHHKey,0),MATCH($D253,DHHVar,0))</f>
        <v>2.220266071196562</v>
      </c>
      <c r="O253" s="203">
        <f>INDEX(DHHVal,MATCH(CtryCode&amp;".distn.bsh."&amp;O$10&amp;$E253&amp;O$9&amp;O$11,DHHKey,0),MATCH($D253,DHHVar,0))</f>
        <v>2.010146661567493</v>
      </c>
      <c r="P253" s="203">
        <f>INDEX(DHHVal,MATCH(CtryCode&amp;".distn.bsh."&amp;P$10&amp;$E253&amp;P$9&amp;P$11,DHHKey,0),MATCH($D253,DHHVar,0))</f>
        <v>2.100811436767062</v>
      </c>
      <c r="Q253" s="203">
        <f>INDEX(DHHVal,MATCH(CtryCode&amp;".distn.bsh."&amp;Q$10&amp;$E253&amp;Q$9&amp;Q$11,DHHKey,0),MATCH($D253,DHHVar,0))</f>
        <v>2.07182081560012</v>
      </c>
      <c r="R253" s="203">
        <f>INDEX(DHHVal,MATCH(CtryCode&amp;".distn.bsh."&amp;R$10&amp;$E253&amp;R$9&amp;R$11,DHHKey,0),MATCH($D253,DHHVar,0))</f>
        <v>1.976189796657425</v>
      </c>
      <c r="S253" s="203">
        <f>INDEX(DHHVal,MATCH(CtryCode&amp;".distn.bsh."&amp;S$10&amp;$E253&amp;S$9&amp;S$11,DHHKey,0),MATCH($D253,DHHVar,0))</f>
        <v>1.578141810433484</v>
      </c>
      <c r="T253" s="203">
        <f>INDEX(DHHVal,MATCH(CtryCode&amp;".distn.bsh."&amp;T$10&amp;$E253&amp;T$9&amp;T$11,DHHKey,0),MATCH($D253,DHHVar,0))</f>
        <v>1.418322482614867</v>
      </c>
      <c r="U253" s="203">
        <f>INDEX(DHHVal,MATCH(CtryCode&amp;".distn.bsh."&amp;U$10&amp;$E253&amp;U$9&amp;U$11,DHHKey,0),MATCH($D253,DHHVar,0))</f>
        <v>1.160744419774255</v>
      </c>
      <c r="V253" s="203">
        <f>INDEX(DHHVal,MATCH(CtryCode&amp;".distn.bsh."&amp;V$10&amp;$E253&amp;V$9&amp;V$11,DHHKey,0),MATCH($D253,DHHVar,0))</f>
        <v>0.6748777041496015</v>
      </c>
      <c r="W253" s="207" t="str">
        <f>IF(X$5=K$5,SUM(Y253:AI253)-SUM(L253:V253),"")</f>
        <v/>
      </c>
      <c r="X253" s="9" t="str">
        <f>LOWER(CtryCode)&amp;".distn."&amp;$A253&amp;IF($B253="","","."&amp;$B253)&amp;IF($C253="","",".dec."&amp;$C253)&amp;"."&amp;X$5</f>
        <v>egy.distn.bsh.pap.dec.rur.2</v>
      </c>
      <c r="Y253" s="208">
        <f>INDEX(DHHVal,MATCH(CtryCode&amp;".distn.bsh."&amp;Y$10&amp;$E253&amp;Y$9&amp;Y$11,DHHKey,0),MATCH($D253,DHHVar,0))</f>
        <v>1.762677043565745</v>
      </c>
      <c r="Z253" s="203">
        <f>INDEX(DHHVal,MATCH(CtryCode&amp;".distn.bsh."&amp;Z$10&amp;$E253&amp;Z$9&amp;Z$11,DHHKey,0),MATCH($D253,DHHVar,0))</f>
        <v>2.088112106016865</v>
      </c>
      <c r="AA253" s="203">
        <f>INDEX(DHHVal,MATCH(CtryCode&amp;".distn.bsh."&amp;AA$10&amp;$E253&amp;AA$9&amp;AA$11,DHHKey,0),MATCH($D253,DHHVar,0))</f>
        <v>2.220266071196562</v>
      </c>
      <c r="AB253" s="203">
        <f>INDEX(DHHVal,MATCH(CtryCode&amp;".distn.bsh."&amp;AB$10&amp;$E253&amp;AB$9&amp;AB$11,DHHKey,0),MATCH($D253,DHHVar,0))</f>
        <v>2.010146661567493</v>
      </c>
      <c r="AC253" s="203">
        <f>INDEX(DHHVal,MATCH(CtryCode&amp;".distn.bsh."&amp;AC$10&amp;$E253&amp;AC$9&amp;AC$11,DHHKey,0),MATCH($D253,DHHVar,0))</f>
        <v>2.100811436767062</v>
      </c>
      <c r="AD253" s="203">
        <f>INDEX(DHHVal,MATCH(CtryCode&amp;".distn.bsh."&amp;AD$10&amp;$E253&amp;AD$9&amp;AD$11,DHHKey,0),MATCH($D253,DHHVar,0))</f>
        <v>2.07182081560012</v>
      </c>
      <c r="AE253" s="203">
        <f>INDEX(DHHVal,MATCH(CtryCode&amp;".distn.bsh."&amp;AE$10&amp;$E253&amp;AE$9&amp;AE$11,DHHKey,0),MATCH($D253,DHHVar,0))</f>
        <v>1.976189796657425</v>
      </c>
      <c r="AF253" s="203">
        <f>INDEX(DHHVal,MATCH(CtryCode&amp;".distn.bsh."&amp;AF$10&amp;$E253&amp;AF$9&amp;AF$11,DHHKey,0),MATCH($D253,DHHVar,0))</f>
        <v>1.578141810433484</v>
      </c>
      <c r="AG253" s="203">
        <f>INDEX(DHHVal,MATCH(CtryCode&amp;".distn.bsh."&amp;AG$10&amp;$E253&amp;AG$9&amp;AG$11,DHHKey,0),MATCH($D253,DHHVar,0))</f>
        <v>1.418322482614867</v>
      </c>
      <c r="AH253" s="203">
        <f>INDEX(DHHVal,MATCH(CtryCode&amp;".distn.bsh."&amp;AH$10&amp;$E253&amp;AH$9&amp;AH$11,DHHKey,0),MATCH($D253,DHHVar,0))</f>
        <v>1.160744419774255</v>
      </c>
      <c r="AI253" s="203">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33" t="inlineStr">
        <is>
          <t>HHSurvey</t>
        </is>
      </c>
      <c r="K254" s="9" t="str">
        <f>LOWER(CtryCode)&amp;".distn."&amp;$A254&amp;IF($B254="","","."&amp;$B254)&amp;IF($C254="","",".dec."&amp;$C254)&amp;"."&amp;K$5</f>
        <v>egy.distn.bsh.pha.dec.rur.1</v>
      </c>
      <c r="L254" s="208">
        <f>INDEX(DHHVal,MATCH(CtryCode&amp;".distn.bsh."&amp;L$10&amp;$E254&amp;L$9&amp;L$11,DHHKey,0),MATCH($D254,DHHVar,0))</f>
        <v>6.280632026681984</v>
      </c>
      <c r="M254" s="203">
        <f>INDEX(DHHVal,MATCH(CtryCode&amp;".distn.bsh."&amp;M$10&amp;$E254&amp;M$9&amp;M$11,DHHKey,0),MATCH($D254,DHHVar,0))</f>
        <v>5.100439758836583</v>
      </c>
      <c r="N254" s="203">
        <f>INDEX(DHHVal,MATCH(CtryCode&amp;".distn.bsh."&amp;N$10&amp;$E254&amp;N$9&amp;N$11,DHHKey,0),MATCH($D254,DHHVar,0))</f>
        <v>4.699856806871229</v>
      </c>
      <c r="O254" s="203">
        <f>INDEX(DHHVal,MATCH(CtryCode&amp;".distn.bsh."&amp;O$10&amp;$E254&amp;O$9&amp;O$11,DHHKey,0),MATCH($D254,DHHVar,0))</f>
        <v>4.826318722368438</v>
      </c>
      <c r="P254" s="203">
        <f>INDEX(DHHVal,MATCH(CtryCode&amp;".distn.bsh."&amp;P$10&amp;$E254&amp;P$9&amp;P$11,DHHKey,0),MATCH($D254,DHHVar,0))</f>
        <v>5.372914763346531</v>
      </c>
      <c r="Q254" s="203">
        <f>INDEX(DHHVal,MATCH(CtryCode&amp;".distn.bsh."&amp;Q$10&amp;$E254&amp;Q$9&amp;Q$11,DHHKey,0),MATCH($D254,DHHVar,0))</f>
        <v>5.584145173148901</v>
      </c>
      <c r="R254" s="203">
        <f>INDEX(DHHVal,MATCH(CtryCode&amp;".distn.bsh."&amp;R$10&amp;$E254&amp;R$9&amp;R$11,DHHKey,0),MATCH($D254,DHHVar,0))</f>
        <v>5.668218452306774</v>
      </c>
      <c r="S254" s="203">
        <f>INDEX(DHHVal,MATCH(CtryCode&amp;".distn.bsh."&amp;S$10&amp;$E254&amp;S$9&amp;S$11,DHHKey,0),MATCH($D254,DHHVar,0))</f>
        <v>6.745264344575478</v>
      </c>
      <c r="T254" s="203">
        <f>INDEX(DHHVal,MATCH(CtryCode&amp;".distn.bsh."&amp;T$10&amp;$E254&amp;T$9&amp;T$11,DHHKey,0),MATCH($D254,DHHVar,0))</f>
        <v>6.874254151138824</v>
      </c>
      <c r="U254" s="203">
        <f>INDEX(DHHVal,MATCH(CtryCode&amp;".distn.bsh."&amp;U$10&amp;$E254&amp;U$9&amp;U$11,DHHKey,0),MATCH($D254,DHHVar,0))</f>
        <v>8.980371347063677</v>
      </c>
      <c r="V254" s="203">
        <f>INDEX(DHHVal,MATCH(CtryCode&amp;".distn.bsh."&amp;V$10&amp;$E254&amp;V$9&amp;V$11,DHHKey,0),MATCH($D254,DHHVar,0))</f>
        <v>11.70767223094912</v>
      </c>
      <c r="W254" s="207" t="str">
        <f>IF(X$5=K$5,SUM(Y254:AI254)-SUM(L254:V254),"")</f>
        <v/>
      </c>
      <c r="X254" s="9" t="str">
        <f>LOWER(CtryCode)&amp;".distn."&amp;$A254&amp;IF($B254="","","."&amp;$B254)&amp;IF($C254="","",".dec."&amp;$C254)&amp;"."&amp;X$5</f>
        <v>egy.distn.bsh.pha.dec.rur.2</v>
      </c>
      <c r="Y254" s="208">
        <f>INDEX(DHHVal,MATCH(CtryCode&amp;".distn.bsh."&amp;Y$10&amp;$E254&amp;Y$9&amp;Y$11,DHHKey,0),MATCH($D254,DHHVar,0))</f>
        <v>6.280632026681984</v>
      </c>
      <c r="Z254" s="203">
        <f>INDEX(DHHVal,MATCH(CtryCode&amp;".distn.bsh."&amp;Z$10&amp;$E254&amp;Z$9&amp;Z$11,DHHKey,0),MATCH($D254,DHHVar,0))</f>
        <v>5.100439758836583</v>
      </c>
      <c r="AA254" s="203">
        <f>INDEX(DHHVal,MATCH(CtryCode&amp;".distn.bsh."&amp;AA$10&amp;$E254&amp;AA$9&amp;AA$11,DHHKey,0),MATCH($D254,DHHVar,0))</f>
        <v>4.699856806871229</v>
      </c>
      <c r="AB254" s="203">
        <f>INDEX(DHHVal,MATCH(CtryCode&amp;".distn.bsh."&amp;AB$10&amp;$E254&amp;AB$9&amp;AB$11,DHHKey,0),MATCH($D254,DHHVar,0))</f>
        <v>4.826318722368438</v>
      </c>
      <c r="AC254" s="203">
        <f>INDEX(DHHVal,MATCH(CtryCode&amp;".distn.bsh."&amp;AC$10&amp;$E254&amp;AC$9&amp;AC$11,DHHKey,0),MATCH($D254,DHHVar,0))</f>
        <v>5.372914763346531</v>
      </c>
      <c r="AD254" s="203">
        <f>INDEX(DHHVal,MATCH(CtryCode&amp;".distn.bsh."&amp;AD$10&amp;$E254&amp;AD$9&amp;AD$11,DHHKey,0),MATCH($D254,DHHVar,0))</f>
        <v>5.584145173148901</v>
      </c>
      <c r="AE254" s="203">
        <f>INDEX(DHHVal,MATCH(CtryCode&amp;".distn.bsh."&amp;AE$10&amp;$E254&amp;AE$9&amp;AE$11,DHHKey,0),MATCH($D254,DHHVar,0))</f>
        <v>5.668218452306774</v>
      </c>
      <c r="AF254" s="203">
        <f>INDEX(DHHVal,MATCH(CtryCode&amp;".distn.bsh."&amp;AF$10&amp;$E254&amp;AF$9&amp;AF$11,DHHKey,0),MATCH($D254,DHHVar,0))</f>
        <v>6.745264344575478</v>
      </c>
      <c r="AG254" s="203">
        <f>INDEX(DHHVal,MATCH(CtryCode&amp;".distn.bsh."&amp;AG$10&amp;$E254&amp;AG$9&amp;AG$11,DHHKey,0),MATCH($D254,DHHVar,0))</f>
        <v>6.874254151138824</v>
      </c>
      <c r="AH254" s="203">
        <f>INDEX(DHHVal,MATCH(CtryCode&amp;".distn.bsh."&amp;AH$10&amp;$E254&amp;AH$9&amp;AH$11,DHHKey,0),MATCH($D254,DHHVar,0))</f>
        <v>8.980371347063677</v>
      </c>
      <c r="AI254" s="203">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33" t="inlineStr">
        <is>
          <t>HHSurvey</t>
        </is>
      </c>
      <c r="K255" s="9" t="str">
        <f>LOWER(CtryCode)&amp;".distn."&amp;$A255&amp;IF($B255="","","."&amp;$B255)&amp;IF($C255="","",".dec."&amp;$C255)&amp;"."&amp;K$5</f>
        <v>egy.distn.bsh.ret.dec.rur.1</v>
      </c>
      <c r="L255" s="208">
        <f>INDEX(DHHVal,MATCH(CtryCode&amp;".distn.bsh."&amp;L$10&amp;$E255&amp;L$9&amp;L$11,DHHKey,0),MATCH($D255,DHHVar,0))</f>
        <v>6.179359380470811</v>
      </c>
      <c r="M255" s="203">
        <f>INDEX(DHHVal,MATCH(CtryCode&amp;".distn.bsh."&amp;M$10&amp;$E255&amp;M$9&amp;M$11,DHHKey,0),MATCH($D255,DHHVar,0))</f>
        <v>6.22091165989878</v>
      </c>
      <c r="N255" s="203">
        <f>INDEX(DHHVal,MATCH(CtryCode&amp;".distn.bsh."&amp;N$10&amp;$E255&amp;N$9&amp;N$11,DHHKey,0),MATCH($D255,DHHVar,0))</f>
        <v>6.348151849267712</v>
      </c>
      <c r="O255" s="203">
        <f>INDEX(DHHVal,MATCH(CtryCode&amp;".distn.bsh."&amp;O$10&amp;$E255&amp;O$9&amp;O$11,DHHKey,0),MATCH($D255,DHHVar,0))</f>
        <v>6.041179202676562</v>
      </c>
      <c r="P255" s="203">
        <f>INDEX(DHHVal,MATCH(CtryCode&amp;".distn.bsh."&amp;P$10&amp;$E255&amp;P$9&amp;P$11,DHHKey,0),MATCH($D255,DHHVar,0))</f>
        <v>6.153117552337926</v>
      </c>
      <c r="Q255" s="203">
        <f>INDEX(DHHVal,MATCH(CtryCode&amp;".distn.bsh."&amp;Q$10&amp;$E255&amp;Q$9&amp;Q$11,DHHKey,0),MATCH($D255,DHHVar,0))</f>
        <v>5.96550503414085</v>
      </c>
      <c r="R255" s="203">
        <f>INDEX(DHHVal,MATCH(CtryCode&amp;".distn.bsh."&amp;R$10&amp;$E255&amp;R$9&amp;R$11,DHHKey,0),MATCH($D255,DHHVar,0))</f>
        <v>5.843944394837741</v>
      </c>
      <c r="S255" s="203">
        <f>INDEX(DHHVal,MATCH(CtryCode&amp;".distn.bsh."&amp;S$10&amp;$E255&amp;S$9&amp;S$11,DHHKey,0),MATCH($D255,DHHVar,0))</f>
        <v>5.880207343561918</v>
      </c>
      <c r="T255" s="203">
        <f>INDEX(DHHVal,MATCH(CtryCode&amp;".distn.bsh."&amp;T$10&amp;$E255&amp;T$9&amp;T$11,DHHKey,0),MATCH($D255,DHHVar,0))</f>
        <v>6.125548044964465</v>
      </c>
      <c r="U255" s="203">
        <f>INDEX(DHHVal,MATCH(CtryCode&amp;".distn.bsh."&amp;U$10&amp;$E255&amp;U$9&amp;U$11,DHHKey,0),MATCH($D255,DHHVar,0))</f>
        <v>5.452201923464813</v>
      </c>
      <c r="V255" s="203">
        <f>INDEX(DHHVal,MATCH(CtryCode&amp;".distn.bsh."&amp;V$10&amp;$E255&amp;V$9&amp;V$11,DHHKey,0),MATCH($D255,DHHVar,0))</f>
        <v>5.820002735551935</v>
      </c>
      <c r="W255" s="207" t="str">
        <f>IF(X$5=K$5,SUM(Y255:AI255)-SUM(L255:V255),"")</f>
        <v/>
      </c>
      <c r="X255" s="9" t="str">
        <f>LOWER(CtryCode)&amp;".distn."&amp;$A255&amp;IF($B255="","","."&amp;$B255)&amp;IF($C255="","",".dec."&amp;$C255)&amp;"."&amp;X$5</f>
        <v>egy.distn.bsh.ret.dec.rur.2</v>
      </c>
      <c r="Y255" s="208">
        <f>INDEX(DHHVal,MATCH(CtryCode&amp;".distn.bsh."&amp;Y$10&amp;$E255&amp;Y$9&amp;Y$11,DHHKey,0),MATCH($D255,DHHVar,0))</f>
        <v>6.179359380470811</v>
      </c>
      <c r="Z255" s="203">
        <f>INDEX(DHHVal,MATCH(CtryCode&amp;".distn.bsh."&amp;Z$10&amp;$E255&amp;Z$9&amp;Z$11,DHHKey,0),MATCH($D255,DHHVar,0))</f>
        <v>6.22091165989878</v>
      </c>
      <c r="AA255" s="203">
        <f>INDEX(DHHVal,MATCH(CtryCode&amp;".distn.bsh."&amp;AA$10&amp;$E255&amp;AA$9&amp;AA$11,DHHKey,0),MATCH($D255,DHHVar,0))</f>
        <v>6.348151849267712</v>
      </c>
      <c r="AB255" s="203">
        <f>INDEX(DHHVal,MATCH(CtryCode&amp;".distn.bsh."&amp;AB$10&amp;$E255&amp;AB$9&amp;AB$11,DHHKey,0),MATCH($D255,DHHVar,0))</f>
        <v>6.041179202676562</v>
      </c>
      <c r="AC255" s="203">
        <f>INDEX(DHHVal,MATCH(CtryCode&amp;".distn.bsh."&amp;AC$10&amp;$E255&amp;AC$9&amp;AC$11,DHHKey,0),MATCH($D255,DHHVar,0))</f>
        <v>6.153117552337926</v>
      </c>
      <c r="AD255" s="203">
        <f>INDEX(DHHVal,MATCH(CtryCode&amp;".distn.bsh."&amp;AD$10&amp;$E255&amp;AD$9&amp;AD$11,DHHKey,0),MATCH($D255,DHHVar,0))</f>
        <v>5.96550503414085</v>
      </c>
      <c r="AE255" s="203">
        <f>INDEX(DHHVal,MATCH(CtryCode&amp;".distn.bsh."&amp;AE$10&amp;$E255&amp;AE$9&amp;AE$11,DHHKey,0),MATCH($D255,DHHVar,0))</f>
        <v>5.843944394837741</v>
      </c>
      <c r="AF255" s="203">
        <f>INDEX(DHHVal,MATCH(CtryCode&amp;".distn.bsh."&amp;AF$10&amp;$E255&amp;AF$9&amp;AF$11,DHHKey,0),MATCH($D255,DHHVar,0))</f>
        <v>5.880207343561918</v>
      </c>
      <c r="AG255" s="203">
        <f>INDEX(DHHVal,MATCH(CtryCode&amp;".distn.bsh."&amp;AG$10&amp;$E255&amp;AG$9&amp;AG$11,DHHKey,0),MATCH($D255,DHHVar,0))</f>
        <v>6.125548044964465</v>
      </c>
      <c r="AH255" s="203">
        <f>INDEX(DHHVal,MATCH(CtryCode&amp;".distn.bsh."&amp;AH$10&amp;$E255&amp;AH$9&amp;AH$11,DHHKey,0),MATCH($D255,DHHVar,0))</f>
        <v>5.452201923464813</v>
      </c>
      <c r="AI255" s="203">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33" t="inlineStr">
        <is>
          <t>HHSurvey</t>
        </is>
      </c>
      <c r="K256" s="9" t="str">
        <f>LOWER(CtryCode)&amp;".distn."&amp;$A256&amp;IF($B256="","","."&amp;$B256)&amp;IF($C256="","",".dec."&amp;$C256)&amp;"."&amp;K$5</f>
        <v>egy.distn.bsh.teq.dec.rur.1</v>
      </c>
      <c r="L256" s="208">
        <f>INDEX(DHHVal,MATCH(CtryCode&amp;".distn.bsh."&amp;L$10&amp;$E256&amp;L$9&amp;L$11,DHHKey,0),MATCH($D256,DHHVar,0))</f>
        <v>0.3652197386951654</v>
      </c>
      <c r="M256" s="203">
        <f>INDEX(DHHVal,MATCH(CtryCode&amp;".distn.bsh."&amp;M$10&amp;$E256&amp;M$9&amp;M$11,DHHKey,0),MATCH($D256,DHHVar,0))</f>
        <v>0.2019064102406904</v>
      </c>
      <c r="N256" s="203">
        <f>INDEX(DHHVal,MATCH(CtryCode&amp;".distn.bsh."&amp;N$10&amp;$E256&amp;N$9&amp;N$11,DHHKey,0),MATCH($D256,DHHVar,0))</f>
        <v>0.1711079382282547</v>
      </c>
      <c r="O256" s="203">
        <f>INDEX(DHHVal,MATCH(CtryCode&amp;".distn.bsh."&amp;O$10&amp;$E256&amp;O$9&amp;O$11,DHHKey,0),MATCH($D256,DHHVar,0))</f>
        <v>0.2949496996231852</v>
      </c>
      <c r="P256" s="203">
        <f>INDEX(DHHVal,MATCH(CtryCode&amp;".distn.bsh."&amp;P$10&amp;$E256&amp;P$9&amp;P$11,DHHKey,0),MATCH($D256,DHHVar,0))</f>
        <v>0.3601410847520499</v>
      </c>
      <c r="Q256" s="203">
        <f>INDEX(DHHVal,MATCH(CtryCode&amp;".distn.bsh."&amp;Q$10&amp;$E256&amp;Q$9&amp;Q$11,DHHKey,0),MATCH($D256,DHHVar,0))</f>
        <v>0.271607315186024</v>
      </c>
      <c r="R256" s="203">
        <f>INDEX(DHHVal,MATCH(CtryCode&amp;".distn.bsh."&amp;R$10&amp;$E256&amp;R$9&amp;R$11,DHHKey,0),MATCH($D256,DHHVar,0))</f>
        <v>0.3858798464673143</v>
      </c>
      <c r="S256" s="203">
        <f>INDEX(DHHVal,MATCH(CtryCode&amp;".distn.bsh."&amp;S$10&amp;$E256&amp;S$9&amp;S$11,DHHKey,0),MATCH($D256,DHHVar,0))</f>
        <v>0.393350438975851</v>
      </c>
      <c r="T256" s="203">
        <f>INDEX(DHHVal,MATCH(CtryCode&amp;".distn.bsh."&amp;T$10&amp;$E256&amp;T$9&amp;T$11,DHHKey,0),MATCH($D256,DHHVar,0))</f>
        <v>0.4992096583927071</v>
      </c>
      <c r="U256" s="203">
        <f>INDEX(DHHVal,MATCH(CtryCode&amp;".distn.bsh."&amp;U$10&amp;$E256&amp;U$9&amp;U$11,DHHKey,0),MATCH($D256,DHHVar,0))</f>
        <v>0.5933742539988525</v>
      </c>
      <c r="V256" s="203">
        <f>INDEX(DHHVal,MATCH(CtryCode&amp;".distn.bsh."&amp;V$10&amp;$E256&amp;V$9&amp;V$11,DHHKey,0),MATCH($D256,DHHVar,0))</f>
        <v>0.5083427757699129</v>
      </c>
      <c r="W256" s="207" t="str">
        <f>IF(X$5=K$5,SUM(Y256:AI256)-SUM(L256:V256),"")</f>
        <v/>
      </c>
      <c r="X256" s="9" t="str">
        <f>LOWER(CtryCode)&amp;".distn."&amp;$A256&amp;IF($B256="","","."&amp;$B256)&amp;IF($C256="","",".dec."&amp;$C256)&amp;"."&amp;X$5</f>
        <v>egy.distn.bsh.teq.dec.rur.2</v>
      </c>
      <c r="Y256" s="208">
        <f>INDEX(DHHVal,MATCH(CtryCode&amp;".distn.bsh."&amp;Y$10&amp;$E256&amp;Y$9&amp;Y$11,DHHKey,0),MATCH($D256,DHHVar,0))</f>
        <v>0.3652197386951654</v>
      </c>
      <c r="Z256" s="203">
        <f>INDEX(DHHVal,MATCH(CtryCode&amp;".distn.bsh."&amp;Z$10&amp;$E256&amp;Z$9&amp;Z$11,DHHKey,0),MATCH($D256,DHHVar,0))</f>
        <v>0.2019064102406904</v>
      </c>
      <c r="AA256" s="203">
        <f>INDEX(DHHVal,MATCH(CtryCode&amp;".distn.bsh."&amp;AA$10&amp;$E256&amp;AA$9&amp;AA$11,DHHKey,0),MATCH($D256,DHHVar,0))</f>
        <v>0.1711079382282547</v>
      </c>
      <c r="AB256" s="203">
        <f>INDEX(DHHVal,MATCH(CtryCode&amp;".distn.bsh."&amp;AB$10&amp;$E256&amp;AB$9&amp;AB$11,DHHKey,0),MATCH($D256,DHHVar,0))</f>
        <v>0.2949496996231852</v>
      </c>
      <c r="AC256" s="203">
        <f>INDEX(DHHVal,MATCH(CtryCode&amp;".distn.bsh."&amp;AC$10&amp;$E256&amp;AC$9&amp;AC$11,DHHKey,0),MATCH($D256,DHHVar,0))</f>
        <v>0.3601410847520499</v>
      </c>
      <c r="AD256" s="203">
        <f>INDEX(DHHVal,MATCH(CtryCode&amp;".distn.bsh."&amp;AD$10&amp;$E256&amp;AD$9&amp;AD$11,DHHKey,0),MATCH($D256,DHHVar,0))</f>
        <v>0.271607315186024</v>
      </c>
      <c r="AE256" s="203">
        <f>INDEX(DHHVal,MATCH(CtryCode&amp;".distn.bsh."&amp;AE$10&amp;$E256&amp;AE$9&amp;AE$11,DHHKey,0),MATCH($D256,DHHVar,0))</f>
        <v>0.3858798464673143</v>
      </c>
      <c r="AF256" s="203">
        <f>INDEX(DHHVal,MATCH(CtryCode&amp;".distn.bsh."&amp;AF$10&amp;$E256&amp;AF$9&amp;AF$11,DHHKey,0),MATCH($D256,DHHVar,0))</f>
        <v>0.393350438975851</v>
      </c>
      <c r="AG256" s="203">
        <f>INDEX(DHHVal,MATCH(CtryCode&amp;".distn.bsh."&amp;AG$10&amp;$E256&amp;AG$9&amp;AG$11,DHHKey,0),MATCH($D256,DHHVar,0))</f>
        <v>0.4992096583927071</v>
      </c>
      <c r="AH256" s="203">
        <f>INDEX(DHHVal,MATCH(CtryCode&amp;".distn.bsh."&amp;AH$10&amp;$E256&amp;AH$9&amp;AH$11,DHHKey,0),MATCH($D256,DHHVar,0))</f>
        <v>0.5933742539988525</v>
      </c>
      <c r="AI256" s="203">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33" t="inlineStr">
        <is>
          <t>HHSurvey</t>
        </is>
      </c>
      <c r="K257" s="9" t="str">
        <f>LOWER(CtryCode)&amp;".distn."&amp;$A257&amp;IF($B257="","","."&amp;$B257)&amp;IF($C257="","",".dec."&amp;$C257)&amp;"."&amp;K$5</f>
        <v>egy.distn.bsh.tpu.dec.rur.1</v>
      </c>
      <c r="L257" s="208">
        <f>INDEX(DHHVal,MATCH(CtryCode&amp;".distn.bsh."&amp;L$10&amp;$E257&amp;L$9&amp;L$11,DHHKey,0),MATCH($D257,DHHVar,0))</f>
        <v>4.049093780438884</v>
      </c>
      <c r="M257" s="203">
        <f>INDEX(DHHVal,MATCH(CtryCode&amp;".distn.bsh."&amp;M$10&amp;$E257&amp;M$9&amp;M$11,DHHKey,0),MATCH($D257,DHHVar,0))</f>
        <v>4.269049777254065</v>
      </c>
      <c r="N257" s="203">
        <f>INDEX(DHHVal,MATCH(CtryCode&amp;".distn.bsh."&amp;N$10&amp;$E257&amp;N$9&amp;N$11,DHHKey,0),MATCH($D257,DHHVar,0))</f>
        <v>3.658068614176907</v>
      </c>
      <c r="O257" s="203">
        <f>INDEX(DHHVal,MATCH(CtryCode&amp;".distn.bsh."&amp;O$10&amp;$E257&amp;O$9&amp;O$11,DHHKey,0),MATCH($D257,DHHVar,0))</f>
        <v>3.499300191530667</v>
      </c>
      <c r="P257" s="203">
        <f>INDEX(DHHVal,MATCH(CtryCode&amp;".distn.bsh."&amp;P$10&amp;$E257&amp;P$9&amp;P$11,DHHKey,0),MATCH($D257,DHHVar,0))</f>
        <v>4.019497987712112</v>
      </c>
      <c r="Q257" s="203">
        <f>INDEX(DHHVal,MATCH(CtryCode&amp;".distn.bsh."&amp;Q$10&amp;$E257&amp;Q$9&amp;Q$11,DHHKey,0),MATCH($D257,DHHVar,0))</f>
        <v>4.365558770996815</v>
      </c>
      <c r="R257" s="203">
        <f>INDEX(DHHVal,MATCH(CtryCode&amp;".distn.bsh."&amp;R$10&amp;$E257&amp;R$9&amp;R$11,DHHKey,0),MATCH($D257,DHHVar,0))</f>
        <v>4.080851506462824</v>
      </c>
      <c r="S257" s="203">
        <f>INDEX(DHHVal,MATCH(CtryCode&amp;".distn.bsh."&amp;S$10&amp;$E257&amp;S$9&amp;S$11,DHHKey,0),MATCH($D257,DHHVar,0))</f>
        <v>4.251342473525483</v>
      </c>
      <c r="T257" s="203">
        <f>INDEX(DHHVal,MATCH(CtryCode&amp;".distn.bsh."&amp;T$10&amp;$E257&amp;T$9&amp;T$11,DHHKey,0),MATCH($D257,DHHVar,0))</f>
        <v>4.306242123956609</v>
      </c>
      <c r="U257" s="203">
        <f>INDEX(DHHVal,MATCH(CtryCode&amp;".distn.bsh."&amp;U$10&amp;$E257&amp;U$9&amp;U$11,DHHKey,0),MATCH($D257,DHHVar,0))</f>
        <v>4.065361017054762</v>
      </c>
      <c r="V257" s="203">
        <f>INDEX(DHHVal,MATCH(CtryCode&amp;".distn.bsh."&amp;V$10&amp;$E257&amp;V$9&amp;V$11,DHHKey,0),MATCH($D257,DHHVar,0))</f>
        <v>3.668249942701159</v>
      </c>
      <c r="W257" s="207" t="str">
        <f>IF(X$5=K$5,SUM(Y257:AI257)-SUM(L257:V257),"")</f>
        <v/>
      </c>
      <c r="X257" s="9" t="str">
        <f>LOWER(CtryCode)&amp;".distn."&amp;$A257&amp;IF($B257="","","."&amp;$B257)&amp;IF($C257="","",".dec."&amp;$C257)&amp;"."&amp;X$5</f>
        <v>egy.distn.bsh.tpu.dec.rur.2</v>
      </c>
      <c r="Y257" s="208">
        <f>INDEX(DHHVal,MATCH(CtryCode&amp;".distn.bsh."&amp;Y$10&amp;$E257&amp;Y$9&amp;Y$11,DHHKey,0),MATCH($D257,DHHVar,0))</f>
        <v>4.049093780438884</v>
      </c>
      <c r="Z257" s="203">
        <f>INDEX(DHHVal,MATCH(CtryCode&amp;".distn.bsh."&amp;Z$10&amp;$E257&amp;Z$9&amp;Z$11,DHHKey,0),MATCH($D257,DHHVar,0))</f>
        <v>4.269049777254065</v>
      </c>
      <c r="AA257" s="203">
        <f>INDEX(DHHVal,MATCH(CtryCode&amp;".distn.bsh."&amp;AA$10&amp;$E257&amp;AA$9&amp;AA$11,DHHKey,0),MATCH($D257,DHHVar,0))</f>
        <v>3.658068614176907</v>
      </c>
      <c r="AB257" s="203">
        <f>INDEX(DHHVal,MATCH(CtryCode&amp;".distn.bsh."&amp;AB$10&amp;$E257&amp;AB$9&amp;AB$11,DHHKey,0),MATCH($D257,DHHVar,0))</f>
        <v>3.499300191530667</v>
      </c>
      <c r="AC257" s="203">
        <f>INDEX(DHHVal,MATCH(CtryCode&amp;".distn.bsh."&amp;AC$10&amp;$E257&amp;AC$9&amp;AC$11,DHHKey,0),MATCH($D257,DHHVar,0))</f>
        <v>4.019497987712112</v>
      </c>
      <c r="AD257" s="203">
        <f>INDEX(DHHVal,MATCH(CtryCode&amp;".distn.bsh."&amp;AD$10&amp;$E257&amp;AD$9&amp;AD$11,DHHKey,0),MATCH($D257,DHHVar,0))</f>
        <v>4.365558770996815</v>
      </c>
      <c r="AE257" s="203">
        <f>INDEX(DHHVal,MATCH(CtryCode&amp;".distn.bsh."&amp;AE$10&amp;$E257&amp;AE$9&amp;AE$11,DHHKey,0),MATCH($D257,DHHVar,0))</f>
        <v>4.080851506462824</v>
      </c>
      <c r="AF257" s="203">
        <f>INDEX(DHHVal,MATCH(CtryCode&amp;".distn.bsh."&amp;AF$10&amp;$E257&amp;AF$9&amp;AF$11,DHHKey,0),MATCH($D257,DHHVar,0))</f>
        <v>4.251342473525483</v>
      </c>
      <c r="AG257" s="203">
        <f>INDEX(DHHVal,MATCH(CtryCode&amp;".distn.bsh."&amp;AG$10&amp;$E257&amp;AG$9&amp;AG$11,DHHKey,0),MATCH($D257,DHHVar,0))</f>
        <v>4.306242123956609</v>
      </c>
      <c r="AH257" s="203">
        <f>INDEX(DHHVal,MATCH(CtryCode&amp;".distn.bsh."&amp;AH$10&amp;$E257&amp;AH$9&amp;AH$11,DHHKey,0),MATCH($D257,DHHVar,0))</f>
        <v>4.065361017054762</v>
      </c>
      <c r="AI257" s="203">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33" t="inlineStr">
        <is>
          <t>Sum of the budget shares above</t>
        </is>
      </c>
      <c r="K259" s="9" t="str">
        <f>LOWER(CtryCode)&amp;".distn."&amp;$A259&amp;IF($B259="","","."&amp;$B259)&amp;IF($C259="","",".dec."&amp;$C259)&amp;"."&amp;K$5</f>
        <v>egy.distn.bsh.ene.dec.ove.1</v>
      </c>
      <c r="L259" s="215">
        <f>SUM(L185:L192)+SUM(L207:L209)</f>
        <v>6.2853337220292165</v>
      </c>
      <c r="M259" s="216">
        <f>SUM(M185:M192)+SUM(M207:M209)</f>
        <v>7.086616216422202</v>
      </c>
      <c r="N259" s="216">
        <f>SUM(N185:N192)+SUM(N207:N209)</f>
        <v>6.489248018851203</v>
      </c>
      <c r="O259" s="216">
        <f>SUM(O185:O192)+SUM(O207:O209)</f>
        <v>6.338924503991954</v>
      </c>
      <c r="P259" s="216">
        <f>SUM(P185:P192)+SUM(P207:P209)</f>
        <v>5.8983953610434545</v>
      </c>
      <c r="Q259" s="216">
        <f>SUM(Q185:Q192)+SUM(Q207:Q209)</f>
        <v>5.910818321798365</v>
      </c>
      <c r="R259" s="216">
        <f>SUM(R185:R192)+SUM(R207:R209)</f>
        <v>5.87743636224054</v>
      </c>
      <c r="S259" s="216">
        <f>SUM(S185:S192)+SUM(S207:S209)</f>
        <v>6.162787095907755</v>
      </c>
      <c r="T259" s="216">
        <f>SUM(T185:T192)+SUM(T207:T209)</f>
        <v>6.2717087757850845</v>
      </c>
      <c r="U259" s="216">
        <f>SUM(U185:U192)+SUM(U207:U209)</f>
        <v>6.036408876484296</v>
      </c>
      <c r="V259" s="216">
        <f>SUM(V185:V192)+SUM(V207:V209)</f>
        <v>6.3951810425229265</v>
      </c>
      <c r="W259" s="207" t="str">
        <f>IF(X$5=K$5,SUM(Y259:AI259)-SUM(L259:V259),"")</f>
        <v/>
      </c>
      <c r="X259" s="9" t="str">
        <f>LOWER(CtryCode)&amp;".distn."&amp;$A259&amp;IF($B259="","","."&amp;$B259)&amp;IF($C259="","",".dec."&amp;$C259)&amp;"."&amp;X$5</f>
        <v>egy.distn.bsh.ene.dec.ove.2</v>
      </c>
      <c r="Y259" s="215">
        <f>SUM(Y185:Y192)+SUM(Y207:Y209)</f>
        <v>6.2853337220292165</v>
      </c>
      <c r="Z259" s="216">
        <f>SUM(Z185:Z192)+SUM(Z207:Z209)</f>
        <v>7.086616216422202</v>
      </c>
      <c r="AA259" s="216">
        <f>SUM(AA185:AA192)+SUM(AA207:AA209)</f>
        <v>6.489248018851203</v>
      </c>
      <c r="AB259" s="216">
        <f>SUM(AB185:AB192)+SUM(AB207:AB209)</f>
        <v>6.338924503991954</v>
      </c>
      <c r="AC259" s="216">
        <f>SUM(AC185:AC192)+SUM(AC207:AC209)</f>
        <v>5.8983953610434545</v>
      </c>
      <c r="AD259" s="216">
        <f>SUM(AD185:AD192)+SUM(AD207:AD209)</f>
        <v>5.910818321798365</v>
      </c>
      <c r="AE259" s="216">
        <f>SUM(AE185:AE192)+SUM(AE207:AE209)</f>
        <v>5.87743636224054</v>
      </c>
      <c r="AF259" s="216">
        <f>SUM(AF185:AF192)+SUM(AF207:AF209)</f>
        <v>6.162787095907755</v>
      </c>
      <c r="AG259" s="216">
        <f>SUM(AG185:AG192)+SUM(AG207:AG209)</f>
        <v>6.2717087757850845</v>
      </c>
      <c r="AH259" s="216">
        <f>SUM(AH185:AH192)+SUM(AH207:AH209)</f>
        <v>6.036408876484296</v>
      </c>
      <c r="AI259" s="216">
        <f>SUM(AI185:AI192)+SUM(AI207:AI209)</f>
        <v>6.3951810425229265</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33" t="inlineStr">
        <is>
          <t>Sum of price factor x budget share</t>
        </is>
      </c>
      <c r="K264" s="9" t="str">
        <f>LOWER(CtryCode)&amp;".distn."&amp;$A264&amp;IF($B264="","","."&amp;$B264)&amp;IF($C264="","",".dec."&amp;$C264)&amp;"."&amp;K$5</f>
        <v>egy.distn.uloss.dec.ove.1</v>
      </c>
      <c r="L264" s="208">
        <f>SUMPRODUCT(L157:L178,L185:L206)</f>
        <v>0.0</v>
      </c>
      <c r="M264" s="203">
        <f>SUMPRODUCT(M157:M178,M185:M206)</f>
        <v>0.0</v>
      </c>
      <c r="N264" s="203">
        <f>SUMPRODUCT(N157:N178,N185:N206)</f>
        <v>0.0</v>
      </c>
      <c r="O264" s="203">
        <f>SUMPRODUCT(O157:O178,O185:O206)</f>
        <v>0.0</v>
      </c>
      <c r="P264" s="203">
        <f>SUMPRODUCT(P157:P178,P185:P206)</f>
        <v>0.0</v>
      </c>
      <c r="Q264" s="203">
        <f>SUMPRODUCT(Q157:Q178,Q185:Q206)</f>
        <v>0.0</v>
      </c>
      <c r="R264" s="203">
        <f>SUMPRODUCT(R157:R178,R185:R206)</f>
        <v>0.0</v>
      </c>
      <c r="S264" s="203">
        <f>SUMPRODUCT(S157:S178,S185:S206)</f>
        <v>0.0</v>
      </c>
      <c r="T264" s="203">
        <f>SUMPRODUCT(T157:T178,T185:T206)</f>
        <v>0.0</v>
      </c>
      <c r="U264" s="203">
        <f>SUMPRODUCT(U157:U178,U185:U206)</f>
        <v>0.0</v>
      </c>
      <c r="V264" s="203">
        <f>SUMPRODUCT(V157:V178,V185:V206)</f>
        <v>0.0</v>
      </c>
      <c r="W264" s="207" t="str">
        <f>IF(X$5=K$5,SUM(Y264:AI264)-SUM(L264:V264),"")</f>
        <v/>
      </c>
      <c r="X264" s="9" t="str">
        <f>LOWER(CtryCode)&amp;".distn."&amp;$A264&amp;IF($B264="","","."&amp;$B264)&amp;IF($C264="","",".dec."&amp;$C264)&amp;"."&amp;X$5</f>
        <v>egy.distn.uloss.dec.ove.2</v>
      </c>
      <c r="Y264" s="208">
        <f>SUMPRODUCT(Y157:Y178,Y185:Y206)</f>
        <v>1.501133926288359</v>
      </c>
      <c r="Z264" s="203">
        <f>SUMPRODUCT(Z157:Z178,Z185:Z206)</f>
        <v>1.7606577383339976</v>
      </c>
      <c r="AA264" s="203">
        <f>SUMPRODUCT(AA157:AA178,AA185:AA206)</f>
        <v>1.6062255044499254</v>
      </c>
      <c r="AB264" s="203">
        <f>SUMPRODUCT(AB157:AB178,AB185:AB206)</f>
        <v>1.5409041675189181</v>
      </c>
      <c r="AC264" s="203">
        <f>SUMPRODUCT(AC157:AC178,AC185:AC206)</f>
        <v>1.427657473770715</v>
      </c>
      <c r="AD264" s="203">
        <f>SUMPRODUCT(AD157:AD178,AD185:AD206)</f>
        <v>1.4321286738573002</v>
      </c>
      <c r="AE264" s="203">
        <f>SUMPRODUCT(AE157:AE178,AE185:AE206)</f>
        <v>1.416640951886269</v>
      </c>
      <c r="AF264" s="203">
        <f>SUMPRODUCT(AF157:AF178,AF185:AF206)</f>
        <v>1.463681182925772</v>
      </c>
      <c r="AG264" s="203">
        <f>SUMPRODUCT(AG157:AG178,AG185:AG206)</f>
        <v>1.4681863120765757</v>
      </c>
      <c r="AH264" s="203">
        <f>SUMPRODUCT(AH157:AH178,AH185:AH206)</f>
        <v>1.404017079157501</v>
      </c>
      <c r="AI264" s="203">
        <f>SUMPRODUCT(AI157:AI178,AI185:AI206)</f>
        <v>1.454428785580658</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33" t="inlineStr">
        <is>
          <t>Sum of price factor x budget share</t>
        </is>
      </c>
      <c r="K265" s="9" t="str">
        <f>LOWER(CtryCode)&amp;".distn."&amp;$A265&amp;IF($B265="","","."&amp;$B265)&amp;IF($C265="","",".dec."&amp;$C265)&amp;"."&amp;K$5</f>
        <v>egy.distn.uloss.dec.urb.1</v>
      </c>
      <c r="L265" s="208">
        <f>SUMPRODUCT(L157:L178,L212:L233)</f>
        <v>0.0</v>
      </c>
      <c r="M265" s="203">
        <f>SUMPRODUCT(M157:M178,M212:M233)</f>
        <v>0.0</v>
      </c>
      <c r="N265" s="203">
        <f>SUMPRODUCT(N157:N178,N212:N233)</f>
        <v>0.0</v>
      </c>
      <c r="O265" s="203">
        <f>SUMPRODUCT(O157:O178,O212:O233)</f>
        <v>0.0</v>
      </c>
      <c r="P265" s="203">
        <f>SUMPRODUCT(P157:P178,P212:P233)</f>
        <v>0.0</v>
      </c>
      <c r="Q265" s="203">
        <f>SUMPRODUCT(Q157:Q178,Q212:Q233)</f>
        <v>0.0</v>
      </c>
      <c r="R265" s="203">
        <f>SUMPRODUCT(R157:R178,R212:R233)</f>
        <v>0.0</v>
      </c>
      <c r="S265" s="203">
        <f>SUMPRODUCT(S157:S178,S212:S233)</f>
        <v>0.0</v>
      </c>
      <c r="T265" s="203">
        <f>SUMPRODUCT(T157:T178,T212:T233)</f>
        <v>0.0</v>
      </c>
      <c r="U265" s="203">
        <f>SUMPRODUCT(U157:U178,U212:U233)</f>
        <v>0.0</v>
      </c>
      <c r="V265" s="203">
        <f>SUMPRODUCT(V157:V178,V212:V233)</f>
        <v>0.0</v>
      </c>
      <c r="W265" s="207" t="str">
        <f>IF(X$5=K$5,SUM(Y265:AI265)-SUM(L265:V265),"")</f>
        <v/>
      </c>
      <c r="X265" s="9" t="str">
        <f>LOWER(CtryCode)&amp;".distn."&amp;$A265&amp;IF($B265="","","."&amp;$B265)&amp;IF($C265="","",".dec."&amp;$C265)&amp;"."&amp;X$5</f>
        <v>egy.distn.uloss.dec.urb.2</v>
      </c>
      <c r="Y265" s="208">
        <f>SUMPRODUCT(Y157:Y178,Y212:Y233)</f>
        <v>1.4162991634406756</v>
      </c>
      <c r="Z265" s="203">
        <f>SUMPRODUCT(Z157:Z178,Z212:Z233)</f>
        <v>1.5969022715221193</v>
      </c>
      <c r="AA265" s="203">
        <f>SUMPRODUCT(AA157:AA178,AA212:AA233)</f>
        <v>1.4049160516174164</v>
      </c>
      <c r="AB265" s="203">
        <f>SUMPRODUCT(AB157:AB178,AB212:AB233)</f>
        <v>1.3897858826577498</v>
      </c>
      <c r="AC265" s="203">
        <f>SUMPRODUCT(AC157:AC178,AC212:AC233)</f>
        <v>1.3236975585244408</v>
      </c>
      <c r="AD265" s="203">
        <f>SUMPRODUCT(AD157:AD178,AD212:AD233)</f>
        <v>1.297218440182433</v>
      </c>
      <c r="AE265" s="203">
        <f>SUMPRODUCT(AE157:AE178,AE212:AE233)</f>
        <v>1.3158179257600338</v>
      </c>
      <c r="AF265" s="203">
        <f>SUMPRODUCT(AF157:AF178,AF212:AF233)</f>
        <v>1.431195112653637</v>
      </c>
      <c r="AG265" s="203">
        <f>SUMPRODUCT(AG157:AG178,AG212:AG233)</f>
        <v>1.3262975077641734</v>
      </c>
      <c r="AH265" s="203">
        <f>SUMPRODUCT(AH157:AH178,AH212:AH233)</f>
        <v>1.3772560997793444</v>
      </c>
      <c r="AI265" s="203">
        <f>SUMPRODUCT(AI157:AI178,AI212:AI233)</f>
        <v>1.3924097686680508</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33" t="inlineStr">
        <is>
          <t>Sum of price factor x budget share</t>
        </is>
      </c>
      <c r="K266" s="9" t="str">
        <f>LOWER(CtryCode)&amp;".distn."&amp;$A266&amp;IF($B266="","","."&amp;$B266)&amp;IF($C266="","",".dec."&amp;$C266)&amp;"."&amp;K$5</f>
        <v>egy.distn.uloss.dec.rur.1</v>
      </c>
      <c r="L266" s="208">
        <f>SUMPRODUCT(L157:L178,L236:L257)</f>
        <v>0.0</v>
      </c>
      <c r="M266" s="203">
        <f>SUMPRODUCT(M157:M178,M236:M257)</f>
        <v>0.0</v>
      </c>
      <c r="N266" s="203">
        <f>SUMPRODUCT(N157:N178,N236:N257)</f>
        <v>0.0</v>
      </c>
      <c r="O266" s="203">
        <f>SUMPRODUCT(O157:O178,O236:O257)</f>
        <v>0.0</v>
      </c>
      <c r="P266" s="203">
        <f>SUMPRODUCT(P157:P178,P236:P257)</f>
        <v>0.0</v>
      </c>
      <c r="Q266" s="203">
        <f>SUMPRODUCT(Q157:Q178,Q236:Q257)</f>
        <v>0.0</v>
      </c>
      <c r="R266" s="203">
        <f>SUMPRODUCT(R157:R178,R236:R257)</f>
        <v>0.0</v>
      </c>
      <c r="S266" s="203">
        <f>SUMPRODUCT(S157:S178,S236:S257)</f>
        <v>0.0</v>
      </c>
      <c r="T266" s="203">
        <f>SUMPRODUCT(T157:T178,T236:T257)</f>
        <v>0.0</v>
      </c>
      <c r="U266" s="203">
        <f>SUMPRODUCT(U157:U178,U236:U257)</f>
        <v>0.0</v>
      </c>
      <c r="V266" s="203">
        <f>SUMPRODUCT(V157:V178,V236:V257)</f>
        <v>0.0</v>
      </c>
      <c r="W266" s="207" t="str">
        <f>IF(X$5=K$5,SUM(Y266:AI266)-SUM(L266:V266),"")</f>
        <v/>
      </c>
      <c r="X266" s="9" t="str">
        <f>LOWER(CtryCode)&amp;".distn."&amp;$A266&amp;IF($B266="","","."&amp;$B266)&amp;IF($C266="","",".dec."&amp;$C266)&amp;"."&amp;X$5</f>
        <v>egy.distn.uloss.dec.rur.2</v>
      </c>
      <c r="Y266" s="208">
        <f>SUMPRODUCT(Y157:Y178,Y236:Y257)</f>
        <v>1.5547040117235593</v>
      </c>
      <c r="Z266" s="203">
        <f>SUMPRODUCT(Z157:Z178,Z236:Z257)</f>
        <v>1.8080143855270034</v>
      </c>
      <c r="AA266" s="203">
        <f>SUMPRODUCT(AA157:AA178,AA236:AA257)</f>
        <v>1.6188654114347736</v>
      </c>
      <c r="AB266" s="203">
        <f>SUMPRODUCT(AB157:AB178,AB236:AB257)</f>
        <v>1.5516007972446304</v>
      </c>
      <c r="AC266" s="203">
        <f>SUMPRODUCT(AC157:AC178,AC236:AC257)</f>
        <v>1.5836077952955345</v>
      </c>
      <c r="AD266" s="203">
        <f>SUMPRODUCT(AD157:AD178,AD236:AD257)</f>
        <v>1.5358952633576377</v>
      </c>
      <c r="AE266" s="203">
        <f>SUMPRODUCT(AE157:AE178,AE236:AE257)</f>
        <v>1.485160786546722</v>
      </c>
      <c r="AF266" s="203">
        <f>SUMPRODUCT(AF157:AF178,AF236:AF257)</f>
        <v>1.4341294448576736</v>
      </c>
      <c r="AG266" s="203">
        <f>SUMPRODUCT(AG157:AG178,AG236:AG257)</f>
        <v>1.5382493376414963</v>
      </c>
      <c r="AH266" s="203">
        <f>SUMPRODUCT(AH157:AH178,AH236:AH257)</f>
        <v>1.5419539238938589</v>
      </c>
      <c r="AI266" s="203">
        <f>SUMPRODUCT(AI157:AI178,AI236:AI257)</f>
        <v>1.6116015026844823</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33" t="inlineStr">
        <is>
          <t>legacy I144</t>
        </is>
      </c>
      <c r="K269" s="9" t="str">
        <f>LOWER(CtryCode)&amp;".distn."&amp;$A269&amp;IF($B269="","","."&amp;$B269)&amp;IF($C269="","",".dec."&amp;$C269)&amp;"."&amp;K$5</f>
        <v>egy.distn.revimpl.1</v>
      </c>
      <c r="L269" s="124">
        <f>SUMPRODUCT(M264:V264,M331:V331)/PctPerUnit</f>
        <v>0.0</v>
      </c>
      <c r="M269" s="125">
        <f>L269</f>
        <v>0.0</v>
      </c>
      <c r="N269" s="125">
        <f>M269</f>
        <v>0.0</v>
      </c>
      <c r="O269" s="125">
        <f>N269</f>
        <v>0.0</v>
      </c>
      <c r="P269" s="125">
        <f>O269</f>
        <v>0.0</v>
      </c>
      <c r="Q269" s="125">
        <f>P269</f>
        <v>0.0</v>
      </c>
      <c r="R269" s="125">
        <f>Q269</f>
        <v>0.0</v>
      </c>
      <c r="S269" s="125">
        <f>R269</f>
        <v>0.0</v>
      </c>
      <c r="T269" s="125">
        <f>S269</f>
        <v>0.0</v>
      </c>
      <c r="U269" s="125">
        <f>T269</f>
        <v>0.0</v>
      </c>
      <c r="V269" s="125">
        <f>U269</f>
        <v>0.0</v>
      </c>
      <c r="W269" s="207" t="str">
        <f>IF(X$5=K$5,SUM(Y269:AI269)-SUM(L269:V269),"")</f>
        <v/>
      </c>
      <c r="X269" s="9" t="str">
        <f>LOWER(CtryCode)&amp;".distn."&amp;$A269&amp;IF($B269="","","."&amp;$B269)&amp;IF($C269="","",".dec."&amp;$C269)&amp;"."&amp;X$5</f>
        <v>egy.distn.revimpl.2</v>
      </c>
      <c r="Y269" s="124">
        <f>SUMPRODUCT(Z264:AI264,Z331:AI331)/PctPerUnit</f>
        <v>127103148771.46805</v>
      </c>
      <c r="Z269" s="125">
        <f>Y269</f>
        <v>127103148771.46805</v>
      </c>
      <c r="AA269" s="125">
        <f>Z269</f>
        <v>127103148771.46805</v>
      </c>
      <c r="AB269" s="125">
        <f>AA269</f>
        <v>127103148771.46805</v>
      </c>
      <c r="AC269" s="125">
        <f>AB269</f>
        <v>127103148771.46805</v>
      </c>
      <c r="AD269" s="125">
        <f>AC269</f>
        <v>127103148771.46805</v>
      </c>
      <c r="AE269" s="125">
        <f>AD269</f>
        <v>127103148771.46805</v>
      </c>
      <c r="AF269" s="125">
        <f>AE269</f>
        <v>127103148771.46805</v>
      </c>
      <c r="AG269" s="125">
        <f>AF269</f>
        <v>127103148771.46805</v>
      </c>
      <c r="AH269" s="125">
        <f>AG269</f>
        <v>127103148771.46805</v>
      </c>
      <c r="AI269" s="125">
        <f>AH269</f>
        <v>127103148771.46805</v>
      </c>
    </row>
    <row r="270" hidden="1" outlineLevel="1">
      <c r="A270" s="62" t="inlineStr">
        <is>
          <t>badj</t>
        </is>
      </c>
      <c r="B270" s="3" t="inlineStr"/>
      <c r="C270" s="3" t="inlineStr"/>
      <c r="D270" s="3" t="n"/>
      <c r="E270" s="3" t="n"/>
      <c r="H270" s="3" t="inlineStr">
        <is>
          <t>Behavioural adjustment factor</t>
        </is>
      </c>
      <c r="I270" s="3" t="inlineStr">
        <is>
          <t>ratio</t>
        </is>
      </c>
      <c r="J270" s="133" t="inlineStr">
        <is>
          <t>legacy I145</t>
        </is>
      </c>
      <c r="K270" s="9" t="str">
        <f>LOWER(CtryCode)&amp;".distn."&amp;$A270&amp;IF($B270="","","."&amp;$B270)&amp;IF($C270="","",".dec."&amp;$C270)&amp;"."&amp;K$5</f>
        <v>egy.distn.badj.1</v>
      </c>
      <c r="L270" s="208">
        <f>IF(LEFT(L$20,3)="Yes",MIN(1,MAX(0,L$86/L$269)),1)</f>
        <v>1.0</v>
      </c>
      <c r="M270" s="203">
        <f>L270</f>
        <v>1.0</v>
      </c>
      <c r="N270" s="203">
        <f>M270</f>
        <v>1.0</v>
      </c>
      <c r="O270" s="203">
        <f>N270</f>
        <v>1.0</v>
      </c>
      <c r="P270" s="203">
        <f>O270</f>
        <v>1.0</v>
      </c>
      <c r="Q270" s="203">
        <f>P270</f>
        <v>1.0</v>
      </c>
      <c r="R270" s="203">
        <f>Q270</f>
        <v>1.0</v>
      </c>
      <c r="S270" s="203">
        <f>R270</f>
        <v>1.0</v>
      </c>
      <c r="T270" s="203">
        <f>S270</f>
        <v>1.0</v>
      </c>
      <c r="U270" s="203">
        <f>T270</f>
        <v>1.0</v>
      </c>
      <c r="V270" s="203">
        <f>U270</f>
        <v>1.0</v>
      </c>
      <c r="W270" s="207" t="str">
        <f>IF(X$5=K$5,SUM(Y270:AI270)-SUM(L270:V270),"")</f>
        <v/>
      </c>
      <c r="X270" s="9" t="str">
        <f>LOWER(CtryCode)&amp;".distn."&amp;$A270&amp;IF($B270="","","."&amp;$B270)&amp;IF($C270="","",".dec."&amp;$C270)&amp;"."&amp;X$5</f>
        <v>egy.distn.badj.2</v>
      </c>
      <c r="Y270" s="208">
        <f>IF(LEFT(Y$20,3)="Yes",MIN(1,MAX(0,Y$86/Y$269)),1)</f>
        <v>1.0</v>
      </c>
      <c r="Z270" s="203">
        <f>Y270</f>
        <v>1.0</v>
      </c>
      <c r="AA270" s="203">
        <f>Z270</f>
        <v>1.0</v>
      </c>
      <c r="AB270" s="203">
        <f>AA270</f>
        <v>1.0</v>
      </c>
      <c r="AC270" s="203">
        <f>AB270</f>
        <v>1.0</v>
      </c>
      <c r="AD270" s="203">
        <f>AC270</f>
        <v>1.0</v>
      </c>
      <c r="AE270" s="203">
        <f>AD270</f>
        <v>1.0</v>
      </c>
      <c r="AF270" s="203">
        <f>AE270</f>
        <v>1.0</v>
      </c>
      <c r="AG270" s="203">
        <f>AF270</f>
        <v>1.0</v>
      </c>
      <c r="AH270" s="203">
        <f>AG270</f>
        <v>1.0</v>
      </c>
      <c r="AI270" s="203">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33" t="inlineStr">
        <is>
          <t>legacy rows 830-883 (units corrected)</t>
        </is>
      </c>
      <c r="K271" s="9" t="str">
        <f>LOWER(CtryCode)&amp;".distn."&amp;$A271&amp;IF($B271="","","."&amp;$B271)&amp;IF($C271="","",".dec."&amp;$C271)&amp;"."&amp;K$5</f>
        <v>egy.distn.lscale.1</v>
      </c>
      <c r="L271" s="208">
        <f>L$270+IF(LEFT(L$21,3)="Yes",DWLTri*(1-L$270),0)</f>
        <v>1.0</v>
      </c>
      <c r="M271" s="203">
        <f>L271</f>
        <v>1.0</v>
      </c>
      <c r="N271" s="203">
        <f>M271</f>
        <v>1.0</v>
      </c>
      <c r="O271" s="203">
        <f>N271</f>
        <v>1.0</v>
      </c>
      <c r="P271" s="203">
        <f>O271</f>
        <v>1.0</v>
      </c>
      <c r="Q271" s="203">
        <f>P271</f>
        <v>1.0</v>
      </c>
      <c r="R271" s="203">
        <f>Q271</f>
        <v>1.0</v>
      </c>
      <c r="S271" s="203">
        <f>R271</f>
        <v>1.0</v>
      </c>
      <c r="T271" s="203">
        <f>S271</f>
        <v>1.0</v>
      </c>
      <c r="U271" s="203">
        <f>T271</f>
        <v>1.0</v>
      </c>
      <c r="V271" s="203">
        <f>U271</f>
        <v>1.0</v>
      </c>
      <c r="W271" s="207" t="str">
        <f>IF(X$5=K$5,SUM(Y271:AI271)-SUM(L271:V271),"")</f>
        <v/>
      </c>
      <c r="X271" s="9" t="str">
        <f>LOWER(CtryCode)&amp;".distn."&amp;$A271&amp;IF($B271="","","."&amp;$B271)&amp;IF($C271="","",".dec."&amp;$C271)&amp;"."&amp;X$5</f>
        <v>egy.distn.lscale.2</v>
      </c>
      <c r="Y271" s="208">
        <f>Y$270+IF(LEFT(Y$21,3)="Yes",DWLTri*(1-Y$270),0)</f>
        <v>1.0</v>
      </c>
      <c r="Z271" s="203">
        <f>Y271</f>
        <v>1.0</v>
      </c>
      <c r="AA271" s="203">
        <f>Z271</f>
        <v>1.0</v>
      </c>
      <c r="AB271" s="203">
        <f>AA271</f>
        <v>1.0</v>
      </c>
      <c r="AC271" s="203">
        <f>AB271</f>
        <v>1.0</v>
      </c>
      <c r="AD271" s="203">
        <f>AC271</f>
        <v>1.0</v>
      </c>
      <c r="AE271" s="203">
        <f>AD271</f>
        <v>1.0</v>
      </c>
      <c r="AF271" s="203">
        <f>AE271</f>
        <v>1.0</v>
      </c>
      <c r="AG271" s="203">
        <f>AF271</f>
        <v>1.0</v>
      </c>
      <c r="AH271" s="203">
        <f>AG271</f>
        <v>1.0</v>
      </c>
      <c r="AI271" s="203">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33" t="inlineStr">
        <is>
          <t>legacy D.II 2828-2835</t>
        </is>
      </c>
      <c r="K274" s="9" t="str">
        <f>LOWER(CtryCode)&amp;".distn."&amp;$A274&amp;IF($B274="","","."&amp;$B274)&amp;IF($C274="","",".dec."&amp;$C274)&amp;"."&amp;K$5</f>
        <v>egy.distn.def.coa.dec.ove.1</v>
      </c>
      <c r="L274" s="208">
        <f>-L157*L185*L$271</f>
        <v>-0.0</v>
      </c>
      <c r="M274" s="203">
        <f>-M157*M185*M$271</f>
        <v>-0.0</v>
      </c>
      <c r="N274" s="203">
        <f>-N157*N185*N$271</f>
        <v>-0.0</v>
      </c>
      <c r="O274" s="203">
        <f>-O157*O185*O$271</f>
        <v>-0.0</v>
      </c>
      <c r="P274" s="203">
        <f>-P157*P185*P$271</f>
        <v>-0.0</v>
      </c>
      <c r="Q274" s="203">
        <f>-Q157*Q185*Q$271</f>
        <v>-0.0</v>
      </c>
      <c r="R274" s="203">
        <f>-R157*R185*R$271</f>
        <v>-0.0</v>
      </c>
      <c r="S274" s="203">
        <f>-S157*S185*S$271</f>
        <v>-0.0</v>
      </c>
      <c r="T274" s="203">
        <f>-T157*T185*T$271</f>
        <v>-0.0</v>
      </c>
      <c r="U274" s="203">
        <f>-U157*U185*U$271</f>
        <v>-0.0</v>
      </c>
      <c r="V274" s="203">
        <f>-V157*V185*V$271</f>
        <v>-0.0</v>
      </c>
      <c r="W274" s="207" t="str">
        <f>IF(X$5=K$5,SUM(Y274:AI274)-SUM(L274:V274),"")</f>
        <v/>
      </c>
      <c r="X274" s="9" t="str">
        <f>LOWER(CtryCode)&amp;".distn."&amp;$A274&amp;IF($B274="","","."&amp;$B274)&amp;IF($C274="","",".dec."&amp;$C274)&amp;"."&amp;X$5</f>
        <v>egy.distn.def.coa.dec.ove.2</v>
      </c>
      <c r="Y274" s="208">
        <f>-Y157*Y185*Y$271</f>
        <v>-0.0</v>
      </c>
      <c r="Z274" s="203">
        <f>-Z157*Z185*Z$271</f>
        <v>-0.0</v>
      </c>
      <c r="AA274" s="203">
        <f>-AA157*AA185*AA$271</f>
        <v>-0.0</v>
      </c>
      <c r="AB274" s="203">
        <f>-AB157*AB185*AB$271</f>
        <v>-0.0</v>
      </c>
      <c r="AC274" s="203">
        <f>-AC157*AC185*AC$271</f>
        <v>-0.0</v>
      </c>
      <c r="AD274" s="203">
        <f>-AD157*AD185*AD$271</f>
        <v>-0.0</v>
      </c>
      <c r="AE274" s="203">
        <f>-AE157*AE185*AE$271</f>
        <v>-0.0</v>
      </c>
      <c r="AF274" s="203">
        <f>-AF157*AF185*AF$271</f>
        <v>-0.0</v>
      </c>
      <c r="AG274" s="203">
        <f>-AG157*AG185*AG$271</f>
        <v>-0.0</v>
      </c>
      <c r="AH274" s="203">
        <f>-AH157*AH185*AH$271</f>
        <v>-0.0</v>
      </c>
      <c r="AI274" s="203">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33" t="inlineStr">
        <is>
          <t>legacy D.II 2828-2835</t>
        </is>
      </c>
      <c r="K275" s="9" t="str">
        <f>LOWER(CtryCode)&amp;".distn."&amp;$A275&amp;IF($B275="","","."&amp;$B275)&amp;IF($C275="","",".dec."&amp;$C275)&amp;"."&amp;K$5</f>
        <v>egy.distn.def.ely.dec.ove.1</v>
      </c>
      <c r="L275" s="208">
        <f>-L158*L186*L$271</f>
        <v>-0.0</v>
      </c>
      <c r="M275" s="203">
        <f>-M158*M186*M$271</f>
        <v>-0.0</v>
      </c>
      <c r="N275" s="203">
        <f>-N158*N186*N$271</f>
        <v>-0.0</v>
      </c>
      <c r="O275" s="203">
        <f>-O158*O186*O$271</f>
        <v>-0.0</v>
      </c>
      <c r="P275" s="203">
        <f>-P158*P186*P$271</f>
        <v>-0.0</v>
      </c>
      <c r="Q275" s="203">
        <f>-Q158*Q186*Q$271</f>
        <v>-0.0</v>
      </c>
      <c r="R275" s="203">
        <f>-R158*R186*R$271</f>
        <v>-0.0</v>
      </c>
      <c r="S275" s="203">
        <f>-S158*S186*S$271</f>
        <v>-0.0</v>
      </c>
      <c r="T275" s="203">
        <f>-T158*T186*T$271</f>
        <v>-0.0</v>
      </c>
      <c r="U275" s="203">
        <f>-U158*U186*U$271</f>
        <v>-0.0</v>
      </c>
      <c r="V275" s="203">
        <f>-V158*V186*V$271</f>
        <v>-0.0</v>
      </c>
      <c r="W275" s="207" t="str">
        <f>IF(X$5=K$5,SUM(Y275:AI275)-SUM(L275:V275),"")</f>
        <v/>
      </c>
      <c r="X275" s="9" t="str">
        <f>LOWER(CtryCode)&amp;".distn."&amp;$A275&amp;IF($B275="","","."&amp;$B275)&amp;IF($C275="","",".dec."&amp;$C275)&amp;"."&amp;X$5</f>
        <v>egy.distn.def.ely.dec.ove.2</v>
      </c>
      <c r="Y275" s="208">
        <f>-Y158*Y186*Y$271</f>
        <v>-0.5744862919059642</v>
      </c>
      <c r="Z275" s="203">
        <f>-Z158*Z186*Z$271</f>
        <v>-0.599934423311254</v>
      </c>
      <c r="AA275" s="203">
        <f>-AA158*AA186*AA$271</f>
        <v>-0.5582761332726206</v>
      </c>
      <c r="AB275" s="203">
        <f>-AB158*AB186*AB$271</f>
        <v>-0.5600534229611148</v>
      </c>
      <c r="AC275" s="203">
        <f>-AC158*AC186*AC$271</f>
        <v>-0.5405755454168285</v>
      </c>
      <c r="AD275" s="203">
        <f>-AD158*AD186*AD$271</f>
        <v>-0.5285893308678388</v>
      </c>
      <c r="AE275" s="203">
        <f>-AE158*AE186*AE$271</f>
        <v>-0.5358389542695736</v>
      </c>
      <c r="AF275" s="203">
        <f>-AF158*AF186*AF$271</f>
        <v>-0.5650000708668587</v>
      </c>
      <c r="AG275" s="203">
        <f>-AG158*AG186*AG$271</f>
        <v>-0.598128977466959</v>
      </c>
      <c r="AH275" s="203">
        <f>-AH158*AH186*AH$271</f>
        <v>-0.6009611810514661</v>
      </c>
      <c r="AI275" s="203">
        <f>-AI158*AI186*AI$271</f>
        <v>-0.6335052667295556</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33" t="inlineStr">
        <is>
          <t>legacy D.II 2828-2835</t>
        </is>
      </c>
      <c r="K276" s="9" t="str">
        <f>LOWER(CtryCode)&amp;".distn."&amp;$A276&amp;IF($B276="","","."&amp;$B276)&amp;IF($C276="","",".dec."&amp;$C276)&amp;"."&amp;K$5</f>
        <v>egy.distn.def.nga.dec.ove.1</v>
      </c>
      <c r="L276" s="208">
        <f>-L159*L187*L$271</f>
        <v>-0.0</v>
      </c>
      <c r="M276" s="203">
        <f>-M159*M187*M$271</f>
        <v>-0.0</v>
      </c>
      <c r="N276" s="203">
        <f>-N159*N187*N$271</f>
        <v>-0.0</v>
      </c>
      <c r="O276" s="203">
        <f>-O159*O187*O$271</f>
        <v>-0.0</v>
      </c>
      <c r="P276" s="203">
        <f>-P159*P187*P$271</f>
        <v>-0.0</v>
      </c>
      <c r="Q276" s="203">
        <f>-Q159*Q187*Q$271</f>
        <v>-0.0</v>
      </c>
      <c r="R276" s="203">
        <f>-R159*R187*R$271</f>
        <v>-0.0</v>
      </c>
      <c r="S276" s="203">
        <f>-S159*S187*S$271</f>
        <v>-0.0</v>
      </c>
      <c r="T276" s="203">
        <f>-T159*T187*T$271</f>
        <v>-0.0</v>
      </c>
      <c r="U276" s="203">
        <f>-U159*U187*U$271</f>
        <v>-0.0</v>
      </c>
      <c r="V276" s="203">
        <f>-V159*V187*V$271</f>
        <v>-0.0</v>
      </c>
      <c r="W276" s="207" t="str">
        <f>IF(X$5=K$5,SUM(Y276:AI276)-SUM(L276:V276),"")</f>
        <v/>
      </c>
      <c r="X276" s="9" t="str">
        <f>LOWER(CtryCode)&amp;".distn."&amp;$A276&amp;IF($B276="","","."&amp;$B276)&amp;IF($C276="","",".dec."&amp;$C276)&amp;"."&amp;X$5</f>
        <v>egy.distn.def.nga.dec.ove.2</v>
      </c>
      <c r="Y276" s="208">
        <f>-Y159*Y187*Y$271</f>
        <v>-0.12144663117618615</v>
      </c>
      <c r="Z276" s="203">
        <f>-Z159*Z187*Z$271</f>
        <v>-0.09812520686718902</v>
      </c>
      <c r="AA276" s="203">
        <f>-AA159*AA187*AA$271</f>
        <v>-0.09296331516535815</v>
      </c>
      <c r="AB276" s="203">
        <f>-AB159*AB187*AB$271</f>
        <v>-0.09893256918888652</v>
      </c>
      <c r="AC276" s="203">
        <f>-AC159*AC187*AC$271</f>
        <v>-0.1034348217002781</v>
      </c>
      <c r="AD276" s="203">
        <f>-AD159*AD187*AD$271</f>
        <v>-0.10648691987006302</v>
      </c>
      <c r="AE276" s="203">
        <f>-AE159*AE187*AE$271</f>
        <v>-0.11388217092200545</v>
      </c>
      <c r="AF276" s="203">
        <f>-AF159*AF187*AF$271</f>
        <v>-0.12716016565338684</v>
      </c>
      <c r="AG276" s="203">
        <f>-AG159*AG187*AG$271</f>
        <v>-0.15535178169716043</v>
      </c>
      <c r="AH276" s="203">
        <f>-AH159*AH187*AH$271</f>
        <v>-0.1522768616219035</v>
      </c>
      <c r="AI276" s="203">
        <f>-AI159*AI187*AI$271</f>
        <v>-0.2033933943375408</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33" t="inlineStr">
        <is>
          <t>legacy D.II 2828-2835</t>
        </is>
      </c>
      <c r="K277" s="9" t="str">
        <f>LOWER(CtryCode)&amp;".distn."&amp;$A277&amp;IF($B277="","","."&amp;$B277)&amp;IF($C277="","",".dec."&amp;$C277)&amp;"."&amp;K$5</f>
        <v>egy.distn.def.oil.dec.ove.1</v>
      </c>
      <c r="L277" s="208">
        <f>-L160*L188*L$271</f>
        <v>-0.0</v>
      </c>
      <c r="M277" s="203">
        <f>-M160*M188*M$271</f>
        <v>-0.0</v>
      </c>
      <c r="N277" s="203">
        <f>-N160*N188*N$271</f>
        <v>-0.0</v>
      </c>
      <c r="O277" s="203">
        <f>-O160*O188*O$271</f>
        <v>-0.0</v>
      </c>
      <c r="P277" s="203">
        <f>-P160*P188*P$271</f>
        <v>-0.0</v>
      </c>
      <c r="Q277" s="203">
        <f>-Q160*Q188*Q$271</f>
        <v>-0.0</v>
      </c>
      <c r="R277" s="203">
        <f>-R160*R188*R$271</f>
        <v>-0.0</v>
      </c>
      <c r="S277" s="203">
        <f>-S160*S188*S$271</f>
        <v>-0.0</v>
      </c>
      <c r="T277" s="203">
        <f>-T160*T188*T$271</f>
        <v>-0.0</v>
      </c>
      <c r="U277" s="203">
        <f>-U160*U188*U$271</f>
        <v>-0.0</v>
      </c>
      <c r="V277" s="203">
        <f>-V160*V188*V$271</f>
        <v>-0.0</v>
      </c>
      <c r="W277" s="207" t="str">
        <f>IF(X$5=K$5,SUM(Y277:AI277)-SUM(L277:V277),"")</f>
        <v/>
      </c>
      <c r="X277" s="9" t="str">
        <f>LOWER(CtryCode)&amp;".distn."&amp;$A277&amp;IF($B277="","","."&amp;$B277)&amp;IF($C277="","",".dec."&amp;$C277)&amp;"."&amp;X$5</f>
        <v>egy.distn.def.oil.dec.ove.2</v>
      </c>
      <c r="Y277" s="208">
        <f>-Y160*Y188*Y$271</f>
        <v>-0.04034881551992282</v>
      </c>
      <c r="Z277" s="203">
        <f>-Z160*Z188*Z$271</f>
        <v>-0.03044315885357469</v>
      </c>
      <c r="AA277" s="203">
        <f>-AA160*AA188*AA$271</f>
        <v>-0.03151308385148726</v>
      </c>
      <c r="AB277" s="203">
        <f>-AB160*AB188*AB$271</f>
        <v>-0.041225266070750305</v>
      </c>
      <c r="AC277" s="203">
        <f>-AC160*AC188*AC$271</f>
        <v>-0.030543825531596052</v>
      </c>
      <c r="AD277" s="203">
        <f>-AD160*AD188*AD$271</f>
        <v>-0.042742169964708816</v>
      </c>
      <c r="AE277" s="203">
        <f>-AE160*AE188*AE$271</f>
        <v>-0.04194766973820066</v>
      </c>
      <c r="AF277" s="203">
        <f>-AF160*AF188*AF$271</f>
        <v>-0.0428611652528101</v>
      </c>
      <c r="AG277" s="203">
        <f>-AG160*AG188*AG$271</f>
        <v>-0.04334570041367376</v>
      </c>
      <c r="AH277" s="203">
        <f>-AH160*AH188*AH$271</f>
        <v>-0.04423058940286918</v>
      </c>
      <c r="AI277" s="203">
        <f>-AI160*AI188*AI$271</f>
        <v>-0.04813427519370588</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33" t="inlineStr">
        <is>
          <t>legacy D.II 2828-2835</t>
        </is>
      </c>
      <c r="K278" s="9" t="str">
        <f>LOWER(CtryCode)&amp;".distn."&amp;$A278&amp;IF($B278="","","."&amp;$B278)&amp;IF($C278="","",".dec."&amp;$C278)&amp;"."&amp;K$5</f>
        <v>egy.distn.def.gso.dec.ove.1</v>
      </c>
      <c r="L278" s="208">
        <f>-L161*L189*L$271</f>
        <v>-0.0</v>
      </c>
      <c r="M278" s="203">
        <f>-M161*M189*M$271</f>
        <v>-0.0</v>
      </c>
      <c r="N278" s="203">
        <f>-N161*N189*N$271</f>
        <v>-0.0</v>
      </c>
      <c r="O278" s="203">
        <f>-O161*O189*O$271</f>
        <v>-0.0</v>
      </c>
      <c r="P278" s="203">
        <f>-P161*P189*P$271</f>
        <v>-0.0</v>
      </c>
      <c r="Q278" s="203">
        <f>-Q161*Q189*Q$271</f>
        <v>-0.0</v>
      </c>
      <c r="R278" s="203">
        <f>-R161*R189*R$271</f>
        <v>-0.0</v>
      </c>
      <c r="S278" s="203">
        <f>-S161*S189*S$271</f>
        <v>-0.0</v>
      </c>
      <c r="T278" s="203">
        <f>-T161*T189*T$271</f>
        <v>-0.0</v>
      </c>
      <c r="U278" s="203">
        <f>-U161*U189*U$271</f>
        <v>-0.0</v>
      </c>
      <c r="V278" s="203">
        <f>-V161*V189*V$271</f>
        <v>-0.0</v>
      </c>
      <c r="W278" s="207" t="str">
        <f>IF(X$5=K$5,SUM(Y278:AI278)-SUM(L278:V278),"")</f>
        <v/>
      </c>
      <c r="X278" s="9" t="str">
        <f>LOWER(CtryCode)&amp;".distn."&amp;$A278&amp;IF($B278="","","."&amp;$B278)&amp;IF($C278="","",".dec."&amp;$C278)&amp;"."&amp;X$5</f>
        <v>egy.distn.def.gso.dec.ove.2</v>
      </c>
      <c r="Y278" s="208">
        <f>-Y161*Y189*Y$271</f>
        <v>-0.06622260869791953</v>
      </c>
      <c r="Z278" s="203">
        <f>-Z161*Z189*Z$271</f>
        <v>-0.03716232235526885</v>
      </c>
      <c r="AA278" s="203">
        <f>-AA161*AA189*AA$271</f>
        <v>-0.04432562375314396</v>
      </c>
      <c r="AB278" s="203">
        <f>-AB161*AB189*AB$271</f>
        <v>-0.05317617651244152</v>
      </c>
      <c r="AC278" s="203">
        <f>-AC161*AC189*AC$271</f>
        <v>-0.05367314839209931</v>
      </c>
      <c r="AD278" s="203">
        <f>-AD161*AD189*AD$271</f>
        <v>-0.06358991580036606</v>
      </c>
      <c r="AE278" s="203">
        <f>-AE161*AE189*AE$271</f>
        <v>-0.06775165524539944</v>
      </c>
      <c r="AF278" s="203">
        <f>-AF161*AF189*AF$271</f>
        <v>-0.07632342358548126</v>
      </c>
      <c r="AG278" s="203">
        <f>-AG161*AG189*AG$271</f>
        <v>-0.08308256756878277</v>
      </c>
      <c r="AH278" s="203">
        <f>-AH161*AH189*AH$271</f>
        <v>-0.0757111216431788</v>
      </c>
      <c r="AI278" s="203">
        <f>-AI161*AI189*AI$271</f>
        <v>-0.09753245482095832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33" t="inlineStr">
        <is>
          <t>legacy D.II 2828-2835</t>
        </is>
      </c>
      <c r="K279" s="9" t="str">
        <f>LOWER(CtryCode)&amp;".distn."&amp;$A279&amp;IF($B279="","","."&amp;$B279)&amp;IF($C279="","",".dec."&amp;$C279)&amp;"."&amp;K$5</f>
        <v>egy.distn.def.die.dec.ove.1</v>
      </c>
      <c r="L279" s="208">
        <f>-L162*L190*L$271</f>
        <v>-0.0</v>
      </c>
      <c r="M279" s="203">
        <f>-M162*M190*M$271</f>
        <v>-0.0</v>
      </c>
      <c r="N279" s="203">
        <f>-N162*N190*N$271</f>
        <v>-0.0</v>
      </c>
      <c r="O279" s="203">
        <f>-O162*O190*O$271</f>
        <v>-0.0</v>
      </c>
      <c r="P279" s="203">
        <f>-P162*P190*P$271</f>
        <v>-0.0</v>
      </c>
      <c r="Q279" s="203">
        <f>-Q162*Q190*Q$271</f>
        <v>-0.0</v>
      </c>
      <c r="R279" s="203">
        <f>-R162*R190*R$271</f>
        <v>-0.0</v>
      </c>
      <c r="S279" s="203">
        <f>-S162*S190*S$271</f>
        <v>-0.0</v>
      </c>
      <c r="T279" s="203">
        <f>-T162*T190*T$271</f>
        <v>-0.0</v>
      </c>
      <c r="U279" s="203">
        <f>-U162*U190*U$271</f>
        <v>-0.0</v>
      </c>
      <c r="V279" s="203">
        <f>-V162*V190*V$271</f>
        <v>-0.0</v>
      </c>
      <c r="W279" s="207" t="str">
        <f>IF(X$5=K$5,SUM(Y279:AI279)-SUM(L279:V279),"")</f>
        <v/>
      </c>
      <c r="X279" s="9" t="str">
        <f>LOWER(CtryCode)&amp;".distn."&amp;$A279&amp;IF($B279="","","."&amp;$B279)&amp;IF($C279="","",".dec."&amp;$C279)&amp;"."&amp;X$5</f>
        <v>egy.distn.def.die.dec.ove.2</v>
      </c>
      <c r="Y279" s="208">
        <f>-Y162*Y190*Y$271</f>
        <v>-0.0</v>
      </c>
      <c r="Z279" s="203">
        <f>-Z162*Z190*Z$271</f>
        <v>-0.0</v>
      </c>
      <c r="AA279" s="203">
        <f>-AA162*AA190*AA$271</f>
        <v>-0.0</v>
      </c>
      <c r="AB279" s="203">
        <f>-AB162*AB190*AB$271</f>
        <v>-0.0</v>
      </c>
      <c r="AC279" s="203">
        <f>-AC162*AC190*AC$271</f>
        <v>-0.0</v>
      </c>
      <c r="AD279" s="203">
        <f>-AD162*AD190*AD$271</f>
        <v>-0.0</v>
      </c>
      <c r="AE279" s="203">
        <f>-AE162*AE190*AE$271</f>
        <v>-0.0</v>
      </c>
      <c r="AF279" s="203">
        <f>-AF162*AF190*AF$271</f>
        <v>-0.0</v>
      </c>
      <c r="AG279" s="203">
        <f>-AG162*AG190*AG$271</f>
        <v>-0.0</v>
      </c>
      <c r="AH279" s="203">
        <f>-AH162*AH190*AH$271</f>
        <v>-0.0</v>
      </c>
      <c r="AI279" s="203">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33" t="inlineStr">
        <is>
          <t>legacy D.II 2828-2835</t>
        </is>
      </c>
      <c r="K280" s="9" t="str">
        <f>LOWER(CtryCode)&amp;".distn."&amp;$A280&amp;IF($B280="","","."&amp;$B280)&amp;IF($C280="","",".dec."&amp;$C280)&amp;"."&amp;K$5</f>
        <v>egy.distn.def.ker.dec.ove.1</v>
      </c>
      <c r="L280" s="208">
        <f>-L163*L191*L$271</f>
        <v>-0.0</v>
      </c>
      <c r="M280" s="203">
        <f>-M163*M191*M$271</f>
        <v>-0.0</v>
      </c>
      <c r="N280" s="203">
        <f>-N163*N191*N$271</f>
        <v>-0.0</v>
      </c>
      <c r="O280" s="203">
        <f>-O163*O191*O$271</f>
        <v>-0.0</v>
      </c>
      <c r="P280" s="203">
        <f>-P163*P191*P$271</f>
        <v>-0.0</v>
      </c>
      <c r="Q280" s="203">
        <f>-Q163*Q191*Q$271</f>
        <v>-0.0</v>
      </c>
      <c r="R280" s="203">
        <f>-R163*R191*R$271</f>
        <v>-0.0</v>
      </c>
      <c r="S280" s="203">
        <f>-S163*S191*S$271</f>
        <v>-0.0</v>
      </c>
      <c r="T280" s="203">
        <f>-T163*T191*T$271</f>
        <v>-0.0</v>
      </c>
      <c r="U280" s="203">
        <f>-U163*U191*U$271</f>
        <v>-0.0</v>
      </c>
      <c r="V280" s="203">
        <f>-V163*V191*V$271</f>
        <v>-0.0</v>
      </c>
      <c r="W280" s="207" t="str">
        <f>IF(X$5=K$5,SUM(Y280:AI280)-SUM(L280:V280),"")</f>
        <v/>
      </c>
      <c r="X280" s="9" t="str">
        <f>LOWER(CtryCode)&amp;".distn."&amp;$A280&amp;IF($B280="","","."&amp;$B280)&amp;IF($C280="","",".dec."&amp;$C280)&amp;"."&amp;X$5</f>
        <v>egy.distn.def.ker.dec.ove.2</v>
      </c>
      <c r="Y280" s="208">
        <f>-Y163*Y191*Y$271</f>
        <v>-9.813760885044918e-06</v>
      </c>
      <c r="Z280" s="203">
        <f>-Z163*Z191*Z$271</f>
        <v>-3.598956138487565e-06</v>
      </c>
      <c r="AA280" s="203">
        <f>-AA163*AA191*AA$271</f>
        <v>-4.083911445928846e-06</v>
      </c>
      <c r="AB280" s="203">
        <f>-AB163*AB191*AB$271</f>
        <v>-1.838127737388319e-06</v>
      </c>
      <c r="AC280" s="203">
        <f>-AC163*AC191*AC$271</f>
        <v>-1.017928415595338e-05</v>
      </c>
      <c r="AD280" s="203">
        <f>-AD163*AD191*AD$271</f>
        <v>-1.0154773369296767e-05</v>
      </c>
      <c r="AE280" s="203">
        <f>-AE163*AE191*AE$271</f>
        <v>-8.338793721882775e-06</v>
      </c>
      <c r="AF280" s="203">
        <f>-AF163*AF191*AF$271</f>
        <v>-3.8310368883624465e-06</v>
      </c>
      <c r="AG280" s="203">
        <f>-AG163*AG191*AG$271</f>
        <v>-1.4668818861248517e-05</v>
      </c>
      <c r="AH280" s="203">
        <f>-AH163*AH191*AH$271</f>
        <v>-2.0632167324540567e-05</v>
      </c>
      <c r="AI280" s="203">
        <f>-AI163*AI191*AI$271</f>
        <v>-1.3874780742583553e-05</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33" t="inlineStr">
        <is>
          <t>legacy D.II 2828-2835</t>
        </is>
      </c>
      <c r="K281" s="9" t="str">
        <f>LOWER(CtryCode)&amp;".distn."&amp;$A281&amp;IF($B281="","","."&amp;$B281)&amp;IF($C281="","",".dec."&amp;$C281)&amp;"."&amp;K$5</f>
        <v>egy.distn.def.lpg.dec.ove.1</v>
      </c>
      <c r="L281" s="208">
        <f>-L164*L192*L$271</f>
        <v>-0.0</v>
      </c>
      <c r="M281" s="203">
        <f>-M164*M192*M$271</f>
        <v>-0.0</v>
      </c>
      <c r="N281" s="203">
        <f>-N164*N192*N$271</f>
        <v>-0.0</v>
      </c>
      <c r="O281" s="203">
        <f>-O164*O192*O$271</f>
        <v>-0.0</v>
      </c>
      <c r="P281" s="203">
        <f>-P164*P192*P$271</f>
        <v>-0.0</v>
      </c>
      <c r="Q281" s="203">
        <f>-Q164*Q192*Q$271</f>
        <v>-0.0</v>
      </c>
      <c r="R281" s="203">
        <f>-R164*R192*R$271</f>
        <v>-0.0</v>
      </c>
      <c r="S281" s="203">
        <f>-S164*S192*S$271</f>
        <v>-0.0</v>
      </c>
      <c r="T281" s="203">
        <f>-T164*T192*T$271</f>
        <v>-0.0</v>
      </c>
      <c r="U281" s="203">
        <f>-U164*U192*U$271</f>
        <v>-0.0</v>
      </c>
      <c r="V281" s="203">
        <f>-V164*V192*V$271</f>
        <v>-0.0</v>
      </c>
      <c r="W281" s="207" t="str">
        <f>IF(X$5=K$5,SUM(Y281:AI281)-SUM(L281:V281),"")</f>
        <v/>
      </c>
      <c r="X281" s="9" t="str">
        <f>LOWER(CtryCode)&amp;".distn."&amp;$A281&amp;IF($B281="","","."&amp;$B281)&amp;IF($C281="","",".dec."&amp;$C281)&amp;"."&amp;X$5</f>
        <v>egy.distn.def.lpg.dec.ove.2</v>
      </c>
      <c r="Y281" s="208">
        <f>-Y164*Y192*Y$271</f>
        <v>-0.5356098403791743</v>
      </c>
      <c r="Z281" s="203">
        <f>-Z164*Z192*Z$271</f>
        <v>-0.8283239487640145</v>
      </c>
      <c r="AA281" s="203">
        <f>-AA164*AA192*AA$271</f>
        <v>-0.7116202419953863</v>
      </c>
      <c r="AB281" s="203">
        <f>-AB164*AB192*AB$271</f>
        <v>-0.6262479617336209</v>
      </c>
      <c r="AC281" s="203">
        <f>-AC164*AC192*AC$271</f>
        <v>-0.538009394919496</v>
      </c>
      <c r="AD281" s="203">
        <f>-AD164*AD192*AD$271</f>
        <v>-0.5254445465964942</v>
      </c>
      <c r="AE281" s="203">
        <f>-AE164*AE192*AE$271</f>
        <v>-0.48616158113383257</v>
      </c>
      <c r="AF281" s="203">
        <f>-AF164*AF192*AF$271</f>
        <v>-0.4854269807864309</v>
      </c>
      <c r="AG281" s="203">
        <f>-AG164*AG192*AG$271</f>
        <v>-0.4153827955754851</v>
      </c>
      <c r="AH281" s="203">
        <f>-AH164*AH192*AH$271</f>
        <v>-0.3585980155416533</v>
      </c>
      <c r="AI281" s="203">
        <f>-AI164*AI192*AI$271</f>
        <v>-0.30617347145769136</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33" t="inlineStr">
        <is>
          <t>legacy D.II 2827</t>
        </is>
      </c>
      <c r="K282" s="9" t="str">
        <f>LOWER(CtryCode)&amp;".distn."&amp;$A282&amp;IF($B282="","","."&amp;$B282)&amp;IF($C282="","",".dec."&amp;$C282)&amp;"."&amp;K$5</f>
        <v>egy.distn.def.tot.dec.ove.1</v>
      </c>
      <c r="L282" s="208">
        <f>SUM(L274:L281)</f>
        <v>0.0</v>
      </c>
      <c r="M282" s="203">
        <f>SUM(M274:M281)</f>
        <v>0.0</v>
      </c>
      <c r="N282" s="203">
        <f>SUM(N274:N281)</f>
        <v>0.0</v>
      </c>
      <c r="O282" s="203">
        <f>SUM(O274:O281)</f>
        <v>0.0</v>
      </c>
      <c r="P282" s="203">
        <f>SUM(P274:P281)</f>
        <v>0.0</v>
      </c>
      <c r="Q282" s="203">
        <f>SUM(Q274:Q281)</f>
        <v>0.0</v>
      </c>
      <c r="R282" s="203">
        <f>SUM(R274:R281)</f>
        <v>0.0</v>
      </c>
      <c r="S282" s="203">
        <f>SUM(S274:S281)</f>
        <v>0.0</v>
      </c>
      <c r="T282" s="203">
        <f>SUM(T274:T281)</f>
        <v>0.0</v>
      </c>
      <c r="U282" s="203">
        <f>SUM(U274:U281)</f>
        <v>0.0</v>
      </c>
      <c r="V282" s="203">
        <f>SUM(V274:V281)</f>
        <v>0.0</v>
      </c>
      <c r="W282" s="207" t="str">
        <f>IF(X$5=K$5,SUM(Y282:AI282)-SUM(L282:V282),"")</f>
        <v/>
      </c>
      <c r="X282" s="9" t="str">
        <f>LOWER(CtryCode)&amp;".distn."&amp;$A282&amp;IF($B282="","","."&amp;$B282)&amp;IF($C282="","",".dec."&amp;$C282)&amp;"."&amp;X$5</f>
        <v>egy.distn.def.tot.dec.ove.2</v>
      </c>
      <c r="Y282" s="208">
        <f>SUM(Y274:Y281)</f>
        <v>-1.3381240014400522</v>
      </c>
      <c r="Z282" s="203">
        <f>SUM(Z274:Z281)</f>
        <v>-1.5939926591074396</v>
      </c>
      <c r="AA282" s="203">
        <f>SUM(AA274:AA281)</f>
        <v>-1.4387024819494423</v>
      </c>
      <c r="AB282" s="203">
        <f>SUM(AB274:AB281)</f>
        <v>-1.3796372345945516</v>
      </c>
      <c r="AC282" s="203">
        <f>SUM(AC274:AC281)</f>
        <v>-1.2662469152444538</v>
      </c>
      <c r="AD282" s="203">
        <f>SUM(AD274:AD281)</f>
        <v>-1.2668630378728403</v>
      </c>
      <c r="AE282" s="203">
        <f>SUM(AE274:AE281)</f>
        <v>-1.2455903701027338</v>
      </c>
      <c r="AF282" s="203">
        <f>SUM(AF274:AF281)</f>
        <v>-1.296775637181856</v>
      </c>
      <c r="AG282" s="203">
        <f>SUM(AG274:AG281)</f>
        <v>-1.2953064915409223</v>
      </c>
      <c r="AH282" s="203">
        <f>SUM(AH274:AH281)</f>
        <v>-1.2317984014283954</v>
      </c>
      <c r="AI282" s="203">
        <f>SUM(AI274:AI281)</f>
        <v>-1.2887527373201946</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33" t="inlineStr">
        <is>
          <t>legacy D.II 2846-2859</t>
        </is>
      </c>
      <c r="K285" s="9" t="str">
        <f>LOWER(CtryCode)&amp;".distn."&amp;$A285&amp;IF($B285="","","."&amp;$B285)&amp;IF($C285="","",".dec."&amp;$C285)&amp;"."&amp;K$5</f>
        <v>egy.distn.ief.app.dec.ove.1</v>
      </c>
      <c r="L285" s="208">
        <f>-L165*L193*L$271</f>
        <v>-0.0</v>
      </c>
      <c r="M285" s="203">
        <f>-M165*M193*M$271</f>
        <v>-0.0</v>
      </c>
      <c r="N285" s="203">
        <f>-N165*N193*N$271</f>
        <v>-0.0</v>
      </c>
      <c r="O285" s="203">
        <f>-O165*O193*O$271</f>
        <v>-0.0</v>
      </c>
      <c r="P285" s="203">
        <f>-P165*P193*P$271</f>
        <v>-0.0</v>
      </c>
      <c r="Q285" s="203">
        <f>-Q165*Q193*Q$271</f>
        <v>-0.0</v>
      </c>
      <c r="R285" s="203">
        <f>-R165*R193*R$271</f>
        <v>-0.0</v>
      </c>
      <c r="S285" s="203">
        <f>-S165*S193*S$271</f>
        <v>-0.0</v>
      </c>
      <c r="T285" s="203">
        <f>-T165*T193*T$271</f>
        <v>-0.0</v>
      </c>
      <c r="U285" s="203">
        <f>-U165*U193*U$271</f>
        <v>-0.0</v>
      </c>
      <c r="V285" s="203">
        <f>-V165*V193*V$271</f>
        <v>-0.0</v>
      </c>
      <c r="W285" s="207" t="str">
        <f>IF(X$5=K$5,SUM(Y285:AI285)-SUM(L285:V285),"")</f>
        <v/>
      </c>
      <c r="X285" s="9" t="str">
        <f>LOWER(CtryCode)&amp;".distn."&amp;$A285&amp;IF($B285="","","."&amp;$B285)&amp;IF($C285="","",".dec."&amp;$C285)&amp;"."&amp;X$5</f>
        <v>egy.distn.ief.app.dec.ove.2</v>
      </c>
      <c r="Y285" s="208">
        <f>-Y165*Y193*Y$271</f>
        <v>-0.004967634221700943</v>
      </c>
      <c r="Z285" s="203">
        <f>-Z165*Z193*Z$271</f>
        <v>-0.005016138489398324</v>
      </c>
      <c r="AA285" s="203">
        <f>-AA165*AA193*AA$271</f>
        <v>-0.004841947322783616</v>
      </c>
      <c r="AB285" s="203">
        <f>-AB165*AB193*AB$271</f>
        <v>-0.0047022183844292196</v>
      </c>
      <c r="AC285" s="203">
        <f>-AC165*AC193*AC$271</f>
        <v>-0.00446851775867298</v>
      </c>
      <c r="AD285" s="203">
        <f>-AD165*AD193*AD$271</f>
        <v>-0.0048709428280382695</v>
      </c>
      <c r="AE285" s="203">
        <f>-AE165*AE193*AE$271</f>
        <v>-0.00469109991284481</v>
      </c>
      <c r="AF285" s="203">
        <f>-AF165*AF193*AF$271</f>
        <v>-0.005170170198284505</v>
      </c>
      <c r="AG285" s="203">
        <f>-AG165*AG193*AG$271</f>
        <v>-0.005075384063470152</v>
      </c>
      <c r="AH285" s="203">
        <f>-AH165*AH193*AH$271</f>
        <v>-0.004611484177376855</v>
      </c>
      <c r="AI285" s="203">
        <f>-AI165*AI193*AI$271</f>
        <v>-0.0051659756342879335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33" t="inlineStr">
        <is>
          <t>legacy D.II 2846-2859</t>
        </is>
      </c>
      <c r="K286" s="9" t="str">
        <f>LOWER(CtryCode)&amp;".distn."&amp;$A286&amp;IF($B286="","","."&amp;$B286)&amp;IF($C286="","",".dec."&amp;$C286)&amp;"."&amp;K$5</f>
        <v>egy.distn.ief.che.dec.ove.1</v>
      </c>
      <c r="L286" s="208">
        <f>-L166*L194*L$271</f>
        <v>-0.0</v>
      </c>
      <c r="M286" s="203">
        <f>-M166*M194*M$271</f>
        <v>-0.0</v>
      </c>
      <c r="N286" s="203">
        <f>-N166*N194*N$271</f>
        <v>-0.0</v>
      </c>
      <c r="O286" s="203">
        <f>-O166*O194*O$271</f>
        <v>-0.0</v>
      </c>
      <c r="P286" s="203">
        <f>-P166*P194*P$271</f>
        <v>-0.0</v>
      </c>
      <c r="Q286" s="203">
        <f>-Q166*Q194*Q$271</f>
        <v>-0.0</v>
      </c>
      <c r="R286" s="203">
        <f>-R166*R194*R$271</f>
        <v>-0.0</v>
      </c>
      <c r="S286" s="203">
        <f>-S166*S194*S$271</f>
        <v>-0.0</v>
      </c>
      <c r="T286" s="203">
        <f>-T166*T194*T$271</f>
        <v>-0.0</v>
      </c>
      <c r="U286" s="203">
        <f>-U166*U194*U$271</f>
        <v>-0.0</v>
      </c>
      <c r="V286" s="203">
        <f>-V166*V194*V$271</f>
        <v>-0.0</v>
      </c>
      <c r="W286" s="207" t="str">
        <f>IF(X$5=K$5,SUM(Y286:AI286)-SUM(L286:V286),"")</f>
        <v/>
      </c>
      <c r="X286" s="9" t="str">
        <f>LOWER(CtryCode)&amp;".distn."&amp;$A286&amp;IF($B286="","","."&amp;$B286)&amp;IF($C286="","",".dec."&amp;$C286)&amp;"."&amp;X$5</f>
        <v>egy.distn.ief.che.dec.ove.2</v>
      </c>
      <c r="Y286" s="208">
        <f>-Y166*Y194*Y$271</f>
        <v>-0.023661633389504066</v>
      </c>
      <c r="Z286" s="203">
        <f>-Z166*Z194*Z$271</f>
        <v>-0.027615463749766225</v>
      </c>
      <c r="AA286" s="203">
        <f>-AA166*AA194*AA$271</f>
        <v>-0.024925373334826195</v>
      </c>
      <c r="AB286" s="203">
        <f>-AB166*AB194*AB$271</f>
        <v>-0.021892083185822937</v>
      </c>
      <c r="AC286" s="203">
        <f>-AC166*AC194*AC$271</f>
        <v>-0.023052873785984227</v>
      </c>
      <c r="AD286" s="203">
        <f>-AD166*AD194*AD$271</f>
        <v>-0.02422004061831642</v>
      </c>
      <c r="AE286" s="203">
        <f>-AE166*AE194*AE$271</f>
        <v>-0.022916008489863502</v>
      </c>
      <c r="AF286" s="203">
        <f>-AF166*AF194*AF$271</f>
        <v>-0.022204024791104525</v>
      </c>
      <c r="AG286" s="203">
        <f>-AG166*AG194*AG$271</f>
        <v>-0.02290353843985923</v>
      </c>
      <c r="AH286" s="203">
        <f>-AH166*AH194*AH$271</f>
        <v>-0.023184395342655283</v>
      </c>
      <c r="AI286" s="203">
        <f>-AI166*AI194*AI$271</f>
        <v>-0.02246116996202948</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33" t="inlineStr">
        <is>
          <t>legacy D.II 2846-2859</t>
        </is>
      </c>
      <c r="K287" s="9" t="str">
        <f>LOWER(CtryCode)&amp;".distn."&amp;$A287&amp;IF($B287="","","."&amp;$B287)&amp;IF($C287="","",".dec."&amp;$C287)&amp;"."&amp;K$5</f>
        <v>egy.distn.ief.clo.dec.ove.1</v>
      </c>
      <c r="L287" s="208">
        <f>-L167*L195*L$271</f>
        <v>-0.0</v>
      </c>
      <c r="M287" s="203">
        <f>-M167*M195*M$271</f>
        <v>-0.0</v>
      </c>
      <c r="N287" s="203">
        <f>-N167*N195*N$271</f>
        <v>-0.0</v>
      </c>
      <c r="O287" s="203">
        <f>-O167*O195*O$271</f>
        <v>-0.0</v>
      </c>
      <c r="P287" s="203">
        <f>-P167*P195*P$271</f>
        <v>-0.0</v>
      </c>
      <c r="Q287" s="203">
        <f>-Q167*Q195*Q$271</f>
        <v>-0.0</v>
      </c>
      <c r="R287" s="203">
        <f>-R167*R195*R$271</f>
        <v>-0.0</v>
      </c>
      <c r="S287" s="203">
        <f>-S167*S195*S$271</f>
        <v>-0.0</v>
      </c>
      <c r="T287" s="203">
        <f>-T167*T195*T$271</f>
        <v>-0.0</v>
      </c>
      <c r="U287" s="203">
        <f>-U167*U195*U$271</f>
        <v>-0.0</v>
      </c>
      <c r="V287" s="203">
        <f>-V167*V195*V$271</f>
        <v>-0.0</v>
      </c>
      <c r="W287" s="207" t="str">
        <f>IF(X$5=K$5,SUM(Y287:AI287)-SUM(L287:V287),"")</f>
        <v/>
      </c>
      <c r="X287" s="9" t="str">
        <f>LOWER(CtryCode)&amp;".distn."&amp;$A287&amp;IF($B287="","","."&amp;$B287)&amp;IF($C287="","",".dec."&amp;$C287)&amp;"."&amp;X$5</f>
        <v>egy.distn.ief.clo.dec.ove.2</v>
      </c>
      <c r="Y287" s="208">
        <f>-Y167*Y195*Y$271</f>
        <v>-0.006846625909523838</v>
      </c>
      <c r="Z287" s="203">
        <f>-Z167*Z195*Z$271</f>
        <v>-0.007064963426972492</v>
      </c>
      <c r="AA287" s="203">
        <f>-AA167*AA195*AA$271</f>
        <v>-0.006527997736236441</v>
      </c>
      <c r="AB287" s="203">
        <f>-AB167*AB195*AB$271</f>
        <v>-0.0075281898113949705</v>
      </c>
      <c r="AC287" s="203">
        <f>-AC167*AC195*AC$271</f>
        <v>-0.006741959713382952</v>
      </c>
      <c r="AD287" s="203">
        <f>-AD167*AD195*AD$271</f>
        <v>-0.007064207793568417</v>
      </c>
      <c r="AE287" s="203">
        <f>-AE167*AE195*AE$271</f>
        <v>-0.006756693907708079</v>
      </c>
      <c r="AF287" s="203">
        <f>-AF167*AF195*AF$271</f>
        <v>-0.007036166076892215</v>
      </c>
      <c r="AG287" s="203">
        <f>-AG167*AG195*AG$271</f>
        <v>-0.005995128814515308</v>
      </c>
      <c r="AH287" s="203">
        <f>-AH167*AH195*AH$271</f>
        <v>-0.006097186366482345</v>
      </c>
      <c r="AI287" s="203">
        <f>-AI167*AI195*AI$271</f>
        <v>-0.004988862594599584</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33" t="inlineStr">
        <is>
          <t>legacy D.II 2846-2859</t>
        </is>
      </c>
      <c r="K288" s="9" t="str">
        <f>LOWER(CtryCode)&amp;".distn."&amp;$A288&amp;IF($B288="","","."&amp;$B288)&amp;IF($C288="","",".dec."&amp;$C288)&amp;"."&amp;K$5</f>
        <v>egy.distn.ief.com.dec.ove.1</v>
      </c>
      <c r="L288" s="208">
        <f>-L168*L196*L$271</f>
        <v>-0.0</v>
      </c>
      <c r="M288" s="203">
        <f>-M168*M196*M$271</f>
        <v>-0.0</v>
      </c>
      <c r="N288" s="203">
        <f>-N168*N196*N$271</f>
        <v>-0.0</v>
      </c>
      <c r="O288" s="203">
        <f>-O168*O196*O$271</f>
        <v>-0.0</v>
      </c>
      <c r="P288" s="203">
        <f>-P168*P196*P$271</f>
        <v>-0.0</v>
      </c>
      <c r="Q288" s="203">
        <f>-Q168*Q196*Q$271</f>
        <v>-0.0</v>
      </c>
      <c r="R288" s="203">
        <f>-R168*R196*R$271</f>
        <v>-0.0</v>
      </c>
      <c r="S288" s="203">
        <f>-S168*S196*S$271</f>
        <v>-0.0</v>
      </c>
      <c r="T288" s="203">
        <f>-T168*T196*T$271</f>
        <v>-0.0</v>
      </c>
      <c r="U288" s="203">
        <f>-U168*U196*U$271</f>
        <v>-0.0</v>
      </c>
      <c r="V288" s="203">
        <f>-V168*V196*V$271</f>
        <v>-0.0</v>
      </c>
      <c r="W288" s="207" t="str">
        <f>IF(X$5=K$5,SUM(Y288:AI288)-SUM(L288:V288),"")</f>
        <v/>
      </c>
      <c r="X288" s="9" t="str">
        <f>LOWER(CtryCode)&amp;".distn."&amp;$A288&amp;IF($B288="","","."&amp;$B288)&amp;IF($C288="","",".dec."&amp;$C288)&amp;"."&amp;X$5</f>
        <v>egy.distn.ief.com.dec.ove.2</v>
      </c>
      <c r="Y288" s="208">
        <f>-Y168*Y196*Y$271</f>
        <v>-0.0011301231142827027</v>
      </c>
      <c r="Z288" s="203">
        <f>-Z168*Z196*Z$271</f>
        <v>-0.0009616808983609002</v>
      </c>
      <c r="AA288" s="203">
        <f>-AA168*AA196*AA$271</f>
        <v>-0.0010273963413535631</v>
      </c>
      <c r="AB288" s="203">
        <f>-AB168*AB196*AB$271</f>
        <v>-0.0010487769439005323</v>
      </c>
      <c r="AC288" s="203">
        <f>-AC168*AC196*AC$271</f>
        <v>-0.0012448191834148652</v>
      </c>
      <c r="AD288" s="203">
        <f>-AD168*AD196*AD$271</f>
        <v>-0.0012580499845453396</v>
      </c>
      <c r="AE288" s="203">
        <f>-AE168*AE196*AE$271</f>
        <v>-0.0012815595667475745</v>
      </c>
      <c r="AF288" s="203">
        <f>-AF168*AF196*AF$271</f>
        <v>-0.0012376088065475233</v>
      </c>
      <c r="AG288" s="203">
        <f>-AG168*AG196*AG$271</f>
        <v>-0.001295220306548328</v>
      </c>
      <c r="AH288" s="203">
        <f>-AH168*AH196*AH$271</f>
        <v>-0.0014655397504284475</v>
      </c>
      <c r="AI288" s="203">
        <f>-AI168*AI196*AI$271</f>
        <v>-0.001474687604196454</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33" t="inlineStr">
        <is>
          <t>legacy D.II 2846-2859</t>
        </is>
      </c>
      <c r="K289" s="9" t="str">
        <f>LOWER(CtryCode)&amp;".distn."&amp;$A289&amp;IF($B289="","","."&amp;$B289)&amp;IF($C289="","",".dec."&amp;$C289)&amp;"."&amp;K$5</f>
        <v>egy.distn.ief.edu.dec.ove.1</v>
      </c>
      <c r="L289" s="208">
        <f>-L169*L197*L$271</f>
        <v>-0.0</v>
      </c>
      <c r="M289" s="203">
        <f>-M169*M197*M$271</f>
        <v>-0.0</v>
      </c>
      <c r="N289" s="203">
        <f>-N169*N197*N$271</f>
        <v>-0.0</v>
      </c>
      <c r="O289" s="203">
        <f>-O169*O197*O$271</f>
        <v>-0.0</v>
      </c>
      <c r="P289" s="203">
        <f>-P169*P197*P$271</f>
        <v>-0.0</v>
      </c>
      <c r="Q289" s="203">
        <f>-Q169*Q197*Q$271</f>
        <v>-0.0</v>
      </c>
      <c r="R289" s="203">
        <f>-R169*R197*R$271</f>
        <v>-0.0</v>
      </c>
      <c r="S289" s="203">
        <f>-S169*S197*S$271</f>
        <v>-0.0</v>
      </c>
      <c r="T289" s="203">
        <f>-T169*T197*T$271</f>
        <v>-0.0</v>
      </c>
      <c r="U289" s="203">
        <f>-U169*U197*U$271</f>
        <v>-0.0</v>
      </c>
      <c r="V289" s="203">
        <f>-V169*V197*V$271</f>
        <v>-0.0</v>
      </c>
      <c r="W289" s="207" t="str">
        <f>IF(X$5=K$5,SUM(Y289:AI289)-SUM(L289:V289),"")</f>
        <v/>
      </c>
      <c r="X289" s="9" t="str">
        <f>LOWER(CtryCode)&amp;".distn."&amp;$A289&amp;IF($B289="","","."&amp;$B289)&amp;IF($C289="","",".dec."&amp;$C289)&amp;"."&amp;X$5</f>
        <v>egy.distn.ief.edu.dec.ove.2</v>
      </c>
      <c r="Y289" s="208">
        <f>-Y169*Y197*Y$271</f>
        <v>-0.0038046973095829137</v>
      </c>
      <c r="Z289" s="203">
        <f>-Z169*Z197*Z$271</f>
        <v>-0.0031537265201496785</v>
      </c>
      <c r="AA289" s="203">
        <f>-AA169*AA197*AA$271</f>
        <v>-0.0042375872228580585</v>
      </c>
      <c r="AB289" s="203">
        <f>-AB169*AB197*AB$271</f>
        <v>-0.004509764482826741</v>
      </c>
      <c r="AC289" s="203">
        <f>-AC169*AC197*AC$271</f>
        <v>-0.0043803549608670955</v>
      </c>
      <c r="AD289" s="203">
        <f>-AD169*AD197*AD$271</f>
        <v>-0.004894767211970892</v>
      </c>
      <c r="AE289" s="203">
        <f>-AE169*AE197*AE$271</f>
        <v>-0.004543710772926262</v>
      </c>
      <c r="AF289" s="203">
        <f>-AF169*AF197*AF$271</f>
        <v>-0.0046735651581787776</v>
      </c>
      <c r="AG289" s="203">
        <f>-AG169*AG197*AG$271</f>
        <v>-0.003961821847133092</v>
      </c>
      <c r="AH289" s="203">
        <f>-AH169*AH197*AH$271</f>
        <v>-0.002913816374702032</v>
      </c>
      <c r="AI289" s="203">
        <f>-AI169*AI197*AI$271</f>
        <v>-0.0015930625817059422</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33" t="inlineStr">
        <is>
          <t>legacy D.II 2846-2859</t>
        </is>
      </c>
      <c r="K290" s="9" t="str">
        <f>LOWER(CtryCode)&amp;".distn."&amp;$A290&amp;IF($B290="","","."&amp;$B290)&amp;IF($C290="","",".dec."&amp;$C290)&amp;"."&amp;K$5</f>
        <v>egy.distn.ief.food.dec.ove.1</v>
      </c>
      <c r="L290" s="208">
        <f>-L170*L198*L$271</f>
        <v>-0.0</v>
      </c>
      <c r="M290" s="203">
        <f>-M170*M198*M$271</f>
        <v>-0.0</v>
      </c>
      <c r="N290" s="203">
        <f>-N170*N198*N$271</f>
        <v>-0.0</v>
      </c>
      <c r="O290" s="203">
        <f>-O170*O198*O$271</f>
        <v>-0.0</v>
      </c>
      <c r="P290" s="203">
        <f>-P170*P198*P$271</f>
        <v>-0.0</v>
      </c>
      <c r="Q290" s="203">
        <f>-Q170*Q198*Q$271</f>
        <v>-0.0</v>
      </c>
      <c r="R290" s="203">
        <f>-R170*R198*R$271</f>
        <v>-0.0</v>
      </c>
      <c r="S290" s="203">
        <f>-S170*S198*S$271</f>
        <v>-0.0</v>
      </c>
      <c r="T290" s="203">
        <f>-T170*T198*T$271</f>
        <v>-0.0</v>
      </c>
      <c r="U290" s="203">
        <f>-U170*U198*U$271</f>
        <v>-0.0</v>
      </c>
      <c r="V290" s="203">
        <f>-V170*V198*V$271</f>
        <v>-0.0</v>
      </c>
      <c r="W290" s="207" t="str">
        <f>IF(X$5=K$5,SUM(Y290:AI290)-SUM(L290:V290),"")</f>
        <v/>
      </c>
      <c r="X290" s="9" t="str">
        <f>LOWER(CtryCode)&amp;".distn."&amp;$A290&amp;IF($B290="","","."&amp;$B290)&amp;IF($C290="","",".dec."&amp;$C290)&amp;"."&amp;X$5</f>
        <v>egy.distn.ief.food.dec.ove.2</v>
      </c>
      <c r="Y290" s="208">
        <f>-Y170*Y198*Y$271</f>
        <v>-0.06257828791854485</v>
      </c>
      <c r="Z290" s="203">
        <f>-Z170*Z198*Z$271</f>
        <v>-0.0653113346599347</v>
      </c>
      <c r="AA290" s="203">
        <f>-AA170*AA198*AA$271</f>
        <v>-0.07169826385413713</v>
      </c>
      <c r="AB290" s="203">
        <f>-AB170*AB198*AB$271</f>
        <v>-0.06611945331789522</v>
      </c>
      <c r="AC290" s="203">
        <f>-AC170*AC198*AC$271</f>
        <v>-0.06674657922215584</v>
      </c>
      <c r="AD290" s="203">
        <f>-AD170*AD198*AD$271</f>
        <v>-0.06391709884107133</v>
      </c>
      <c r="AE290" s="203">
        <f>-AE170*AE198*AE$271</f>
        <v>-0.0709029699119594</v>
      </c>
      <c r="AF290" s="203">
        <f>-AF170*AF198*AF$271</f>
        <v>-0.06338347770283834</v>
      </c>
      <c r="AG290" s="203">
        <f>-AG170*AG198*AG$271</f>
        <v>-0.06814327638142317</v>
      </c>
      <c r="AH290" s="203">
        <f>-AH170*AH198*AH$271</f>
        <v>-0.06963881435542431</v>
      </c>
      <c r="AI290" s="203">
        <f>-AI170*AI198*AI$271</f>
        <v>-0.059999360153160784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33" t="inlineStr">
        <is>
          <t>legacy D.II 2846-2859</t>
        </is>
      </c>
      <c r="K291" s="9" t="str">
        <f>LOWER(CtryCode)&amp;".distn."&amp;$A291&amp;IF($B291="","","."&amp;$B291)&amp;IF($C291="","",".dec."&amp;$C291)&amp;"."&amp;K$5</f>
        <v>egy.distn.ief.hea.dec.ove.1</v>
      </c>
      <c r="L291" s="208">
        <f>-L171*L199*L$271</f>
        <v>-0.0</v>
      </c>
      <c r="M291" s="203">
        <f>-M171*M199*M$271</f>
        <v>-0.0</v>
      </c>
      <c r="N291" s="203">
        <f>-N171*N199*N$271</f>
        <v>-0.0</v>
      </c>
      <c r="O291" s="203">
        <f>-O171*O199*O$271</f>
        <v>-0.0</v>
      </c>
      <c r="P291" s="203">
        <f>-P171*P199*P$271</f>
        <v>-0.0</v>
      </c>
      <c r="Q291" s="203">
        <f>-Q171*Q199*Q$271</f>
        <v>-0.0</v>
      </c>
      <c r="R291" s="203">
        <f>-R171*R199*R$271</f>
        <v>-0.0</v>
      </c>
      <c r="S291" s="203">
        <f>-S171*S199*S$271</f>
        <v>-0.0</v>
      </c>
      <c r="T291" s="203">
        <f>-T171*T199*T$271</f>
        <v>-0.0</v>
      </c>
      <c r="U291" s="203">
        <f>-U171*U199*U$271</f>
        <v>-0.0</v>
      </c>
      <c r="V291" s="203">
        <f>-V171*V199*V$271</f>
        <v>-0.0</v>
      </c>
      <c r="W291" s="207" t="str">
        <f>IF(X$5=K$5,SUM(Y291:AI291)-SUM(L291:V291),"")</f>
        <v/>
      </c>
      <c r="X291" s="9" t="str">
        <f>LOWER(CtryCode)&amp;".distn."&amp;$A291&amp;IF($B291="","","."&amp;$B291)&amp;IF($C291="","",".dec."&amp;$C291)&amp;"."&amp;X$5</f>
        <v>egy.distn.ief.hea.dec.ove.2</v>
      </c>
      <c r="Y291" s="208">
        <f>-Y171*Y199*Y$271</f>
        <v>-0.005142811821041635</v>
      </c>
      <c r="Z291" s="203">
        <f>-Z171*Z199*Z$271</f>
        <v>-0.003908811640143969</v>
      </c>
      <c r="AA291" s="203">
        <f>-AA171*AA199*AA$271</f>
        <v>-0.0038885781783697545</v>
      </c>
      <c r="AB291" s="203">
        <f>-AB171*AB199*AB$271</f>
        <v>-0.004776177881107424</v>
      </c>
      <c r="AC291" s="203">
        <f>-AC171*AC199*AC$271</f>
        <v>-0.004713675329063897</v>
      </c>
      <c r="AD291" s="203">
        <f>-AD171*AD199*AD$271</f>
        <v>-0.005125290329074182</v>
      </c>
      <c r="AE291" s="203">
        <f>-AE171*AE199*AE$271</f>
        <v>-0.005075762016218345</v>
      </c>
      <c r="AF291" s="203">
        <f>-AF171*AF199*AF$271</f>
        <v>-0.006186894965597646</v>
      </c>
      <c r="AG291" s="203">
        <f>-AG171*AG199*AG$271</f>
        <v>-0.005872283098304576</v>
      </c>
      <c r="AH291" s="203">
        <f>-AH171*AH199*AH$271</f>
        <v>-0.006472023928205945</v>
      </c>
      <c r="AI291" s="203">
        <f>-AI171*AI199*AI$271</f>
        <v>-0.00762478813220196</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33" t="inlineStr">
        <is>
          <t>legacy D.II 2846-2859</t>
        </is>
      </c>
      <c r="K292" s="9" t="str">
        <f>LOWER(CtryCode)&amp;".distn."&amp;$A292&amp;IF($B292="","","."&amp;$B292)&amp;IF($C292="","",".dec."&amp;$C292)&amp;"."&amp;K$5</f>
        <v>egy.distn.ief.hou.dec.ove.1</v>
      </c>
      <c r="L292" s="208">
        <f>-L172*L200*L$271</f>
        <v>-0.0</v>
      </c>
      <c r="M292" s="203">
        <f>-M172*M200*M$271</f>
        <v>-0.0</v>
      </c>
      <c r="N292" s="203">
        <f>-N172*N200*N$271</f>
        <v>-0.0</v>
      </c>
      <c r="O292" s="203">
        <f>-O172*O200*O$271</f>
        <v>-0.0</v>
      </c>
      <c r="P292" s="203">
        <f>-P172*P200*P$271</f>
        <v>-0.0</v>
      </c>
      <c r="Q292" s="203">
        <f>-Q172*Q200*Q$271</f>
        <v>-0.0</v>
      </c>
      <c r="R292" s="203">
        <f>-R172*R200*R$271</f>
        <v>-0.0</v>
      </c>
      <c r="S292" s="203">
        <f>-S172*S200*S$271</f>
        <v>-0.0</v>
      </c>
      <c r="T292" s="203">
        <f>-T172*T200*T$271</f>
        <v>-0.0</v>
      </c>
      <c r="U292" s="203">
        <f>-U172*U200*U$271</f>
        <v>-0.0</v>
      </c>
      <c r="V292" s="203">
        <f>-V172*V200*V$271</f>
        <v>-0.0</v>
      </c>
      <c r="W292" s="207" t="str">
        <f>IF(X$5=K$5,SUM(Y292:AI292)-SUM(L292:V292),"")</f>
        <v/>
      </c>
      <c r="X292" s="9" t="str">
        <f>LOWER(CtryCode)&amp;".distn."&amp;$A292&amp;IF($B292="","","."&amp;$B292)&amp;IF($C292="","",".dec."&amp;$C292)&amp;"."&amp;X$5</f>
        <v>egy.distn.ief.hou.dec.ove.2</v>
      </c>
      <c r="Y292" s="208">
        <f>-Y172*Y200*Y$271</f>
        <v>-0.004663212895970624</v>
      </c>
      <c r="Z292" s="203">
        <f>-Z172*Z200*Z$271</f>
        <v>-0.005172622925189475</v>
      </c>
      <c r="AA292" s="203">
        <f>-AA172*AA200*AA$271</f>
        <v>-0.004436993516175032</v>
      </c>
      <c r="AB292" s="203">
        <f>-AB172*AB200*AB$271</f>
        <v>-0.0047433795934065754</v>
      </c>
      <c r="AC292" s="203">
        <f>-AC172*AC200*AC$271</f>
        <v>-0.004108134631662616</v>
      </c>
      <c r="AD292" s="203">
        <f>-AD172*AD200*AD$271</f>
        <v>-0.004716999472262242</v>
      </c>
      <c r="AE292" s="203">
        <f>-AE172*AE200*AE$271</f>
        <v>-0.004571721267827429</v>
      </c>
      <c r="AF292" s="203">
        <f>-AF172*AF200*AF$271</f>
        <v>-0.004642945512357897</v>
      </c>
      <c r="AG292" s="203">
        <f>-AG172*AG200*AG$271</f>
        <v>-0.004384392824382834</v>
      </c>
      <c r="AH292" s="203">
        <f>-AH172*AH200*AH$271</f>
        <v>-0.004377400624771976</v>
      </c>
      <c r="AI292" s="203">
        <f>-AI172*AI200*AI$271</f>
        <v>-0.005940723296869824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33" t="inlineStr">
        <is>
          <t>legacy D.II 2846-2859</t>
        </is>
      </c>
      <c r="K293" s="9" t="str">
        <f>LOWER(CtryCode)&amp;".distn."&amp;$A293&amp;IF($B293="","","."&amp;$B293)&amp;IF($C293="","",".dec."&amp;$C293)&amp;"."&amp;K$5</f>
        <v>egy.distn.ief.oth.dec.ove.1</v>
      </c>
      <c r="L293" s="208">
        <f>-L173*L201*L$271</f>
        <v>-0.0</v>
      </c>
      <c r="M293" s="203">
        <f>-M173*M201*M$271</f>
        <v>-0.0</v>
      </c>
      <c r="N293" s="203">
        <f>-N173*N201*N$271</f>
        <v>-0.0</v>
      </c>
      <c r="O293" s="203">
        <f>-O173*O201*O$271</f>
        <v>-0.0</v>
      </c>
      <c r="P293" s="203">
        <f>-P173*P201*P$271</f>
        <v>-0.0</v>
      </c>
      <c r="Q293" s="203">
        <f>-Q173*Q201*Q$271</f>
        <v>-0.0</v>
      </c>
      <c r="R293" s="203">
        <f>-R173*R201*R$271</f>
        <v>-0.0</v>
      </c>
      <c r="S293" s="203">
        <f>-S173*S201*S$271</f>
        <v>-0.0</v>
      </c>
      <c r="T293" s="203">
        <f>-T173*T201*T$271</f>
        <v>-0.0</v>
      </c>
      <c r="U293" s="203">
        <f>-U173*U201*U$271</f>
        <v>-0.0</v>
      </c>
      <c r="V293" s="203">
        <f>-V173*V201*V$271</f>
        <v>-0.0</v>
      </c>
      <c r="W293" s="207" t="str">
        <f>IF(X$5=K$5,SUM(Y293:AI293)-SUM(L293:V293),"")</f>
        <v/>
      </c>
      <c r="X293" s="9" t="str">
        <f>LOWER(CtryCode)&amp;".distn."&amp;$A293&amp;IF($B293="","","."&amp;$B293)&amp;IF($C293="","",".dec."&amp;$C293)&amp;"."&amp;X$5</f>
        <v>egy.distn.ief.oth.dec.ove.2</v>
      </c>
      <c r="Y293" s="208">
        <f>-Y173*Y201*Y$271</f>
        <v>-8.039186993146193e-06</v>
      </c>
      <c r="Z293" s="203">
        <f>-Z173*Z201*Z$271</f>
        <v>-6.7760072219231506e-06</v>
      </c>
      <c r="AA293" s="203">
        <f>-AA173*AA201*AA$271</f>
        <v>-4.629279707887965e-06</v>
      </c>
      <c r="AB293" s="203">
        <f>-AB173*AB201*AB$271</f>
        <v>-3.3670452146999787e-06</v>
      </c>
      <c r="AC293" s="203">
        <f>-AC173*AC201*AC$271</f>
        <v>-4.642318760448689e-06</v>
      </c>
      <c r="AD293" s="203">
        <f>-AD173*AD201*AD$271</f>
        <v>-1.0655074970214882e-05</v>
      </c>
      <c r="AE293" s="203">
        <f>-AE173*AE201*AE$271</f>
        <v>-7.950969473891347e-06</v>
      </c>
      <c r="AF293" s="203">
        <f>-AF173*AF201*AF$271</f>
        <v>-7.325325171560833e-06</v>
      </c>
      <c r="AG293" s="203">
        <f>-AG173*AG201*AG$271</f>
        <v>-9.552064014126805e-06</v>
      </c>
      <c r="AH293" s="203">
        <f>-AH173*AH201*AH$271</f>
        <v>-8.679160988419037e-06</v>
      </c>
      <c r="AI293" s="203">
        <f>-AI173*AI201*AI$271</f>
        <v>-1.4692983645801356e-05</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33" t="inlineStr">
        <is>
          <t>legacy D.II 2846-2859</t>
        </is>
      </c>
      <c r="K294" s="9" t="str">
        <f>LOWER(CtryCode)&amp;".distn."&amp;$A294&amp;IF($B294="","","."&amp;$B294)&amp;IF($C294="","",".dec."&amp;$C294)&amp;"."&amp;K$5</f>
        <v>egy.distn.ief.pap.dec.ove.1</v>
      </c>
      <c r="L294" s="208">
        <f>-L174*L202*L$271</f>
        <v>-0.0</v>
      </c>
      <c r="M294" s="203">
        <f>-M174*M202*M$271</f>
        <v>-0.0</v>
      </c>
      <c r="N294" s="203">
        <f>-N174*N202*N$271</f>
        <v>-0.0</v>
      </c>
      <c r="O294" s="203">
        <f>-O174*O202*O$271</f>
        <v>-0.0</v>
      </c>
      <c r="P294" s="203">
        <f>-P174*P202*P$271</f>
        <v>-0.0</v>
      </c>
      <c r="Q294" s="203">
        <f>-Q174*Q202*Q$271</f>
        <v>-0.0</v>
      </c>
      <c r="R294" s="203">
        <f>-R174*R202*R$271</f>
        <v>-0.0</v>
      </c>
      <c r="S294" s="203">
        <f>-S174*S202*S$271</f>
        <v>-0.0</v>
      </c>
      <c r="T294" s="203">
        <f>-T174*T202*T$271</f>
        <v>-0.0</v>
      </c>
      <c r="U294" s="203">
        <f>-U174*U202*U$271</f>
        <v>-0.0</v>
      </c>
      <c r="V294" s="203">
        <f>-V174*V202*V$271</f>
        <v>-0.0</v>
      </c>
      <c r="W294" s="207" t="str">
        <f>IF(X$5=K$5,SUM(Y294:AI294)-SUM(L294:V294),"")</f>
        <v/>
      </c>
      <c r="X294" s="9" t="str">
        <f>LOWER(CtryCode)&amp;".distn."&amp;$A294&amp;IF($B294="","","."&amp;$B294)&amp;IF($C294="","",".dec."&amp;$C294)&amp;"."&amp;X$5</f>
        <v>egy.distn.ief.pap.dec.ove.2</v>
      </c>
      <c r="Y294" s="208">
        <f>-Y174*Y202*Y$271</f>
        <v>-0.0035339938760294305</v>
      </c>
      <c r="Z294" s="203">
        <f>-Z174*Z202*Z$271</f>
        <v>-0.004798103368713623</v>
      </c>
      <c r="AA294" s="203">
        <f>-AA174*AA202*AA$271</f>
        <v>-0.004759537272821415</v>
      </c>
      <c r="AB294" s="203">
        <f>-AB174*AB202*AB$271</f>
        <v>-0.004774265816754857</v>
      </c>
      <c r="AC294" s="203">
        <f>-AC174*AC202*AC$271</f>
        <v>-0.004329098042284812</v>
      </c>
      <c r="AD294" s="203">
        <f>-AD174*AD202*AD$271</f>
        <v>-0.004266267305766817</v>
      </c>
      <c r="AE294" s="203">
        <f>-AE174*AE202*AE$271</f>
        <v>-0.004011517730095002</v>
      </c>
      <c r="AF294" s="203">
        <f>-AF174*AF202*AF$271</f>
        <v>-0.0036184530251269944</v>
      </c>
      <c r="AG294" s="203">
        <f>-AG174*AG202*AG$271</f>
        <v>-0.0027723839686302856</v>
      </c>
      <c r="AH294" s="203">
        <f>-AH174*AH202*AH$271</f>
        <v>-0.0024949646374171027</v>
      </c>
      <c r="AI294" s="203">
        <f>-AI174*AI202*AI$271</f>
        <v>-0.0018091286188697477</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33" t="inlineStr">
        <is>
          <t>legacy D.II 2846-2859</t>
        </is>
      </c>
      <c r="K295" s="9" t="str">
        <f>LOWER(CtryCode)&amp;".distn."&amp;$A295&amp;IF($B295="","","."&amp;$B295)&amp;IF($C295="","",".dec."&amp;$C295)&amp;"."&amp;K$5</f>
        <v>egy.distn.ief.pha.dec.ove.1</v>
      </c>
      <c r="L295" s="208">
        <f>-L175*L203*L$271</f>
        <v>-0.0</v>
      </c>
      <c r="M295" s="203">
        <f>-M175*M203*M$271</f>
        <v>-0.0</v>
      </c>
      <c r="N295" s="203">
        <f>-N175*N203*N$271</f>
        <v>-0.0</v>
      </c>
      <c r="O295" s="203">
        <f>-O175*O203*O$271</f>
        <v>-0.0</v>
      </c>
      <c r="P295" s="203">
        <f>-P175*P203*P$271</f>
        <v>-0.0</v>
      </c>
      <c r="Q295" s="203">
        <f>-Q175*Q203*Q$271</f>
        <v>-0.0</v>
      </c>
      <c r="R295" s="203">
        <f>-R175*R203*R$271</f>
        <v>-0.0</v>
      </c>
      <c r="S295" s="203">
        <f>-S175*S203*S$271</f>
        <v>-0.0</v>
      </c>
      <c r="T295" s="203">
        <f>-T175*T203*T$271</f>
        <v>-0.0</v>
      </c>
      <c r="U295" s="203">
        <f>-U175*U203*U$271</f>
        <v>-0.0</v>
      </c>
      <c r="V295" s="203">
        <f>-V175*V203*V$271</f>
        <v>-0.0</v>
      </c>
      <c r="W295" s="207" t="str">
        <f>IF(X$5=K$5,SUM(Y295:AI295)-SUM(L295:V295),"")</f>
        <v/>
      </c>
      <c r="X295" s="9" t="str">
        <f>LOWER(CtryCode)&amp;".distn."&amp;$A295&amp;IF($B295="","","."&amp;$B295)&amp;IF($C295="","",".dec."&amp;$C295)&amp;"."&amp;X$5</f>
        <v>egy.distn.ief.pha.dec.ove.2</v>
      </c>
      <c r="Y295" s="208">
        <f>-Y175*Y203*Y$271</f>
        <v>-0.01595619881552518</v>
      </c>
      <c r="Z295" s="203">
        <f>-Z175*Z203*Z$271</f>
        <v>-0.011313587966976084</v>
      </c>
      <c r="AA295" s="203">
        <f>-AA175*AA203*AA$271</f>
        <v>-0.011036171471203922</v>
      </c>
      <c r="AB295" s="203">
        <f>-AB175*AB203*AB$271</f>
        <v>-0.011219410505526732</v>
      </c>
      <c r="AC295" s="203">
        <f>-AC175*AC203*AC$271</f>
        <v>-0.011800805583418665</v>
      </c>
      <c r="AD295" s="203">
        <f>-AD175*AD203*AD$271</f>
        <v>-0.013438561283358802</v>
      </c>
      <c r="AE295" s="203">
        <f>-AE175*AE203*AE$271</f>
        <v>-0.015112583900892896</v>
      </c>
      <c r="AF295" s="203">
        <f>-AF175*AF203*AF$271</f>
        <v>-0.01485674720492059</v>
      </c>
      <c r="AG295" s="203">
        <f>-AG175*AG203*AG$271</f>
        <v>-0.018938095899138425</v>
      </c>
      <c r="AH295" s="203">
        <f>-AH175*AH203*AH$271</f>
        <v>-0.019222415379925282</v>
      </c>
      <c r="AI295" s="203">
        <f>-AI175*AI203*AI$271</f>
        <v>-0.02344572971418725</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33" t="inlineStr">
        <is>
          <t>legacy D.II 2846-2859</t>
        </is>
      </c>
      <c r="K296" s="9" t="str">
        <f>LOWER(CtryCode)&amp;".distn."&amp;$A296&amp;IF($B296="","","."&amp;$B296)&amp;IF($C296="","",".dec."&amp;$C296)&amp;"."&amp;K$5</f>
        <v>egy.distn.ief.ret.dec.ove.1</v>
      </c>
      <c r="L296" s="208">
        <f>-L176*L204*L$271</f>
        <v>-0.0</v>
      </c>
      <c r="M296" s="203">
        <f>-M176*M204*M$271</f>
        <v>-0.0</v>
      </c>
      <c r="N296" s="203">
        <f>-N176*N204*N$271</f>
        <v>-0.0</v>
      </c>
      <c r="O296" s="203">
        <f>-O176*O204*O$271</f>
        <v>-0.0</v>
      </c>
      <c r="P296" s="203">
        <f>-P176*P204*P$271</f>
        <v>-0.0</v>
      </c>
      <c r="Q296" s="203">
        <f>-Q176*Q204*Q$271</f>
        <v>-0.0</v>
      </c>
      <c r="R296" s="203">
        <f>-R176*R204*R$271</f>
        <v>-0.0</v>
      </c>
      <c r="S296" s="203">
        <f>-S176*S204*S$271</f>
        <v>-0.0</v>
      </c>
      <c r="T296" s="203">
        <f>-T176*T204*T$271</f>
        <v>-0.0</v>
      </c>
      <c r="U296" s="203">
        <f>-U176*U204*U$271</f>
        <v>-0.0</v>
      </c>
      <c r="V296" s="203">
        <f>-V176*V204*V$271</f>
        <v>-0.0</v>
      </c>
      <c r="W296" s="207" t="str">
        <f>IF(X$5=K$5,SUM(Y296:AI296)-SUM(L296:V296),"")</f>
        <v/>
      </c>
      <c r="X296" s="9" t="str">
        <f>LOWER(CtryCode)&amp;".distn."&amp;$A296&amp;IF($B296="","","."&amp;$B296)&amp;IF($C296="","",".dec."&amp;$C296)&amp;"."&amp;X$5</f>
        <v>egy.distn.ief.ret.dec.ove.2</v>
      </c>
      <c r="Y296" s="208">
        <f>-Y176*Y204*Y$271</f>
        <v>-0.007064254174192932</v>
      </c>
      <c r="Z296" s="203">
        <f>-Z176*Z204*Z$271</f>
        <v>-0.006556911654985408</v>
      </c>
      <c r="AA296" s="203">
        <f>-AA176*AA204*AA$271</f>
        <v>-0.006377776590318862</v>
      </c>
      <c r="AB296" s="203">
        <f>-AB176*AB204*AB$271</f>
        <v>-0.006545482920370843</v>
      </c>
      <c r="AC296" s="203">
        <f>-AC176*AC204*AC$271</f>
        <v>-0.006101262494403234</v>
      </c>
      <c r="AD296" s="203">
        <f>-AD176*AD204*AD$271</f>
        <v>-0.006900339378538781</v>
      </c>
      <c r="AE296" s="203">
        <f>-AE176*AE204*AE$271</f>
        <v>-0.006136961982112479</v>
      </c>
      <c r="AF296" s="203">
        <f>-AF176*AF204*AF$271</f>
        <v>-0.0060035697994134715</v>
      </c>
      <c r="AG296" s="203">
        <f>-AG176*AG204*AG$271</f>
        <v>-0.0060692130584452</v>
      </c>
      <c r="AH296" s="203">
        <f>-AH176*AH204*AH$271</f>
        <v>-0.006254708515006873</v>
      </c>
      <c r="AI296" s="203">
        <f>-AI176*AI204*AI$271</f>
        <v>-0.007623653180413916</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33" t="inlineStr">
        <is>
          <t>legacy D.II 2846-2859</t>
        </is>
      </c>
      <c r="K297" s="9" t="str">
        <f>LOWER(CtryCode)&amp;".distn."&amp;$A297&amp;IF($B297="","","."&amp;$B297)&amp;IF($C297="","",".dec."&amp;$C297)&amp;"."&amp;K$5</f>
        <v>egy.distn.ief.teq.dec.ove.1</v>
      </c>
      <c r="L297" s="208">
        <f>-L177*L205*L$271</f>
        <v>-0.0</v>
      </c>
      <c r="M297" s="203">
        <f>-M177*M205*M$271</f>
        <v>-0.0</v>
      </c>
      <c r="N297" s="203">
        <f>-N177*N205*N$271</f>
        <v>-0.0</v>
      </c>
      <c r="O297" s="203">
        <f>-O177*O205*O$271</f>
        <v>-0.0</v>
      </c>
      <c r="P297" s="203">
        <f>-P177*P205*P$271</f>
        <v>-0.0</v>
      </c>
      <c r="Q297" s="203">
        <f>-Q177*Q205*Q$271</f>
        <v>-0.0</v>
      </c>
      <c r="R297" s="203">
        <f>-R177*R205*R$271</f>
        <v>-0.0</v>
      </c>
      <c r="S297" s="203">
        <f>-S177*S205*S$271</f>
        <v>-0.0</v>
      </c>
      <c r="T297" s="203">
        <f>-T177*T205*T$271</f>
        <v>-0.0</v>
      </c>
      <c r="U297" s="203">
        <f>-U177*U205*U$271</f>
        <v>-0.0</v>
      </c>
      <c r="V297" s="203">
        <f>-V177*V205*V$271</f>
        <v>-0.0</v>
      </c>
      <c r="W297" s="207" t="str">
        <f>IF(X$5=K$5,SUM(Y297:AI297)-SUM(L297:V297),"")</f>
        <v/>
      </c>
      <c r="X297" s="9" t="str">
        <f>LOWER(CtryCode)&amp;".distn."&amp;$A297&amp;IF($B297="","","."&amp;$B297)&amp;IF($C297="","",".dec."&amp;$C297)&amp;"."&amp;X$5</f>
        <v>egy.distn.ief.teq.dec.ove.2</v>
      </c>
      <c r="Y297" s="208">
        <f>-Y177*Y205*Y$271</f>
        <v>-0.00048080537272627893</v>
      </c>
      <c r="Z297" s="203">
        <f>-Z177*Z205*Z$271</f>
        <v>-0.00036239128275016605</v>
      </c>
      <c r="AA297" s="203">
        <f>-AA177*AA205*AA$271</f>
        <v>-0.000348972354111705</v>
      </c>
      <c r="AB297" s="203">
        <f>-AB177*AB205*AB$271</f>
        <v>-0.00035320512436050897</v>
      </c>
      <c r="AC297" s="203">
        <f>-AC177*AC205*AC$271</f>
        <v>-0.00032210099312140377</v>
      </c>
      <c r="AD297" s="203">
        <f>-AD177*AD205*AD$271</f>
        <v>-0.00042971813575295445</v>
      </c>
      <c r="AE297" s="203">
        <f>-AE177*AE205*AE$271</f>
        <v>-0.0005174683288588769</v>
      </c>
      <c r="AF297" s="203">
        <f>-AF177*AF205*AF$271</f>
        <v>-0.000587134407169019</v>
      </c>
      <c r="AG297" s="203">
        <f>-AG177*AG205*AG$271</f>
        <v>-0.0006877353803152988</v>
      </c>
      <c r="AH297" s="203">
        <f>-AH177*AH205*AH$271</f>
        <v>-0.0007727637439274921</v>
      </c>
      <c r="AI297" s="203">
        <f>-AI177*AI205*AI$271</f>
        <v>-0.0009977311918368025</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33" t="inlineStr">
        <is>
          <t>legacy D.II 2846-2859</t>
        </is>
      </c>
      <c r="K298" s="9" t="str">
        <f>LOWER(CtryCode)&amp;".distn."&amp;$A298&amp;IF($B298="","","."&amp;$B298)&amp;IF($C298="","",".dec."&amp;$C298)&amp;"."&amp;K$5</f>
        <v>egy.distn.ief.tpu.dec.ove.1</v>
      </c>
      <c r="L298" s="208">
        <f>-L178*L206*L$271</f>
        <v>-0.0</v>
      </c>
      <c r="M298" s="203">
        <f>-M178*M206*M$271</f>
        <v>-0.0</v>
      </c>
      <c r="N298" s="203">
        <f>-N178*N206*N$271</f>
        <v>-0.0</v>
      </c>
      <c r="O298" s="203">
        <f>-O178*O206*O$271</f>
        <v>-0.0</v>
      </c>
      <c r="P298" s="203">
        <f>-P178*P206*P$271</f>
        <v>-0.0</v>
      </c>
      <c r="Q298" s="203">
        <f>-Q178*Q206*Q$271</f>
        <v>-0.0</v>
      </c>
      <c r="R298" s="203">
        <f>-R178*R206*R$271</f>
        <v>-0.0</v>
      </c>
      <c r="S298" s="203">
        <f>-S178*S206*S$271</f>
        <v>-0.0</v>
      </c>
      <c r="T298" s="203">
        <f>-T178*T206*T$271</f>
        <v>-0.0</v>
      </c>
      <c r="U298" s="203">
        <f>-U178*U206*U$271</f>
        <v>-0.0</v>
      </c>
      <c r="V298" s="203">
        <f>-V178*V206*V$271</f>
        <v>-0.0</v>
      </c>
      <c r="W298" s="207" t="str">
        <f>IF(X$5=K$5,SUM(Y298:AI298)-SUM(L298:V298),"")</f>
        <v/>
      </c>
      <c r="X298" s="9" t="str">
        <f>LOWER(CtryCode)&amp;".distn."&amp;$A298&amp;IF($B298="","","."&amp;$B298)&amp;IF($C298="","",".dec."&amp;$C298)&amp;"."&amp;X$5</f>
        <v>egy.distn.ief.tpu.dec.ove.2</v>
      </c>
      <c r="Y298" s="208">
        <f>-Y178*Y206*Y$271</f>
        <v>-0.023171606842688413</v>
      </c>
      <c r="Z298" s="203">
        <f>-Z178*Z206*Z$271</f>
        <v>-0.025422566635995104</v>
      </c>
      <c r="AA298" s="203">
        <f>-AA178*AA206*AA$271</f>
        <v>-0.023411798025579588</v>
      </c>
      <c r="AB298" s="203">
        <f>-AB178*AB206*AB$271</f>
        <v>-0.023051157911355487</v>
      </c>
      <c r="AC298" s="203">
        <f>-AC178*AC206*AC$271</f>
        <v>-0.023395734509068074</v>
      </c>
      <c r="AD298" s="203">
        <f>-AD178*AD206*AD$271</f>
        <v>-0.02415269772722535</v>
      </c>
      <c r="AE298" s="203">
        <f>-AE178*AE206*AE$271</f>
        <v>-0.02452457302600694</v>
      </c>
      <c r="AF298" s="203">
        <f>-AF178*AF206*AF$271</f>
        <v>-0.027297462770312832</v>
      </c>
      <c r="AG298" s="203">
        <f>-AG178*AG206*AG$271</f>
        <v>-0.026771794389473327</v>
      </c>
      <c r="AH298" s="203">
        <f>-AH178*AH206*AH$271</f>
        <v>-0.024704485371793327</v>
      </c>
      <c r="AI298" s="203">
        <f>-AI178*AI206*AI$271</f>
        <v>-0.022536482612457904</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33" t="inlineStr">
        <is>
          <t>legacy D.II 2845</t>
        </is>
      </c>
      <c r="K299" s="9" t="str">
        <f>LOWER(CtryCode)&amp;".distn."&amp;$A299&amp;IF($B299="","","."&amp;$B299)&amp;IF($C299="","",".dec."&amp;$C299)&amp;"."&amp;K$5</f>
        <v>egy.distn.ief.tot.dec.ove.1</v>
      </c>
      <c r="L299" s="208">
        <f>SUM(L285:L298)</f>
        <v>0.0</v>
      </c>
      <c r="M299" s="203">
        <f>SUM(M285:M298)</f>
        <v>0.0</v>
      </c>
      <c r="N299" s="203">
        <f>SUM(N285:N298)</f>
        <v>0.0</v>
      </c>
      <c r="O299" s="203">
        <f>SUM(O285:O298)</f>
        <v>0.0</v>
      </c>
      <c r="P299" s="203">
        <f>SUM(P285:P298)</f>
        <v>0.0</v>
      </c>
      <c r="Q299" s="203">
        <f>SUM(Q285:Q298)</f>
        <v>0.0</v>
      </c>
      <c r="R299" s="203">
        <f>SUM(R285:R298)</f>
        <v>0.0</v>
      </c>
      <c r="S299" s="203">
        <f>SUM(S285:S298)</f>
        <v>0.0</v>
      </c>
      <c r="T299" s="203">
        <f>SUM(T285:T298)</f>
        <v>0.0</v>
      </c>
      <c r="U299" s="203">
        <f>SUM(U285:U298)</f>
        <v>0.0</v>
      </c>
      <c r="V299" s="203">
        <f>SUM(V285:V298)</f>
        <v>0.0</v>
      </c>
      <c r="W299" s="207" t="str">
        <f>IF(X$5=K$5,SUM(Y299:AI299)-SUM(L299:V299),"")</f>
        <v/>
      </c>
      <c r="X299" s="9" t="str">
        <f>LOWER(CtryCode)&amp;".distn."&amp;$A299&amp;IF($B299="","","."&amp;$B299)&amp;IF($C299="","",".dec."&amp;$C299)&amp;"."&amp;X$5</f>
        <v>egy.distn.ief.tot.dec.ove.2</v>
      </c>
      <c r="Y299" s="208">
        <f>SUM(Y285:Y298)</f>
        <v>-0.16300992484830693</v>
      </c>
      <c r="Z299" s="203">
        <f>SUM(Z285:Z298)</f>
        <v>-0.16666507922655807</v>
      </c>
      <c r="AA299" s="203">
        <f>SUM(AA285:AA298)</f>
        <v>-0.16752302250048318</v>
      </c>
      <c r="AB299" s="203">
        <f>SUM(AB285:AB298)</f>
        <v>-0.16126693292436675</v>
      </c>
      <c r="AC299" s="203">
        <f>SUM(AC285:AC298)</f>
        <v>-0.1614105585262611</v>
      </c>
      <c r="AD299" s="203">
        <f>SUM(AD285:AD298)</f>
        <v>-0.16526563598446004</v>
      </c>
      <c r="AE299" s="203">
        <f>SUM(AE285:AE298)</f>
        <v>-0.1710505817835355</v>
      </c>
      <c r="AF299" s="203">
        <f>SUM(AF285:AF298)</f>
        <v>-0.1669055457439159</v>
      </c>
      <c r="AG299" s="203">
        <f>SUM(AG285:AG298)</f>
        <v>-0.17287982053565337</v>
      </c>
      <c r="AH299" s="203">
        <f>SUM(AH285:AH298)</f>
        <v>-0.17221867772910568</v>
      </c>
      <c r="AI299" s="203">
        <f>SUM(AI285:AI298)</f>
        <v>-0.1656760482604634</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33" t="inlineStr">
        <is>
          <t>legacy D.II 2875, 2945, 3014</t>
        </is>
      </c>
      <c r="K302" s="9" t="str">
        <f>LOWER(CtryCode)&amp;".distn."&amp;$A302&amp;IF($B302="","","."&amp;$B302)&amp;IF($C302="","",".dec."&amp;$C302)&amp;"."&amp;K$5</f>
        <v>egy.distn.tef.tot.dec.urb.1</v>
      </c>
      <c r="L302" s="208">
        <f>-L265*L$271</f>
        <v>-0.0</v>
      </c>
      <c r="M302" s="203">
        <f>-M265*M$271</f>
        <v>-0.0</v>
      </c>
      <c r="N302" s="203">
        <f>-N265*N$271</f>
        <v>-0.0</v>
      </c>
      <c r="O302" s="203">
        <f>-O265*O$271</f>
        <v>-0.0</v>
      </c>
      <c r="P302" s="203">
        <f>-P265*P$271</f>
        <v>-0.0</v>
      </c>
      <c r="Q302" s="203">
        <f>-Q265*Q$271</f>
        <v>-0.0</v>
      </c>
      <c r="R302" s="203">
        <f>-R265*R$271</f>
        <v>-0.0</v>
      </c>
      <c r="S302" s="203">
        <f>-S265*S$271</f>
        <v>-0.0</v>
      </c>
      <c r="T302" s="203">
        <f>-T265*T$271</f>
        <v>-0.0</v>
      </c>
      <c r="U302" s="203">
        <f>-U265*U$271</f>
        <v>-0.0</v>
      </c>
      <c r="V302" s="203">
        <f>-V265*V$271</f>
        <v>-0.0</v>
      </c>
      <c r="W302" s="207" t="str">
        <f>IF(X$5=K$5,SUM(Y302:AI302)-SUM(L302:V302),"")</f>
        <v/>
      </c>
      <c r="X302" s="9" t="str">
        <f>LOWER(CtryCode)&amp;".distn."&amp;$A302&amp;IF($B302="","","."&amp;$B302)&amp;IF($C302="","",".dec."&amp;$C302)&amp;"."&amp;X$5</f>
        <v>egy.distn.tef.tot.dec.urb.2</v>
      </c>
      <c r="Y302" s="208">
        <f>-Y265*Y$271</f>
        <v>-1.4162991634406756</v>
      </c>
      <c r="Z302" s="203">
        <f>-Z265*Z$271</f>
        <v>-1.5969022715221193</v>
      </c>
      <c r="AA302" s="203">
        <f>-AA265*AA$271</f>
        <v>-1.4049160516174164</v>
      </c>
      <c r="AB302" s="203">
        <f>-AB265*AB$271</f>
        <v>-1.3897858826577498</v>
      </c>
      <c r="AC302" s="203">
        <f>-AC265*AC$271</f>
        <v>-1.3236975585244408</v>
      </c>
      <c r="AD302" s="203">
        <f>-AD265*AD$271</f>
        <v>-1.297218440182433</v>
      </c>
      <c r="AE302" s="203">
        <f>-AE265*AE$271</f>
        <v>-1.3158179257600338</v>
      </c>
      <c r="AF302" s="203">
        <f>-AF265*AF$271</f>
        <v>-1.431195112653637</v>
      </c>
      <c r="AG302" s="203">
        <f>-AG265*AG$271</f>
        <v>-1.3262975077641734</v>
      </c>
      <c r="AH302" s="203">
        <f>-AH265*AH$271</f>
        <v>-1.3772560997793444</v>
      </c>
      <c r="AI302" s="203">
        <f>-AI265*AI$271</f>
        <v>-1.3924097686680508</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33" t="inlineStr">
        <is>
          <t>legacy D.II 2875, 2945, 3014</t>
        </is>
      </c>
      <c r="K303" s="9" t="str">
        <f>LOWER(CtryCode)&amp;".distn."&amp;$A303&amp;IF($B303="","","."&amp;$B303)&amp;IF($C303="","",".dec."&amp;$C303)&amp;"."&amp;K$5</f>
        <v>egy.distn.tef.tot.dec.rur.1</v>
      </c>
      <c r="L303" s="208">
        <f>-L266*L$271</f>
        <v>-0.0</v>
      </c>
      <c r="M303" s="203">
        <f>-M266*M$271</f>
        <v>-0.0</v>
      </c>
      <c r="N303" s="203">
        <f>-N266*N$271</f>
        <v>-0.0</v>
      </c>
      <c r="O303" s="203">
        <f>-O266*O$271</f>
        <v>-0.0</v>
      </c>
      <c r="P303" s="203">
        <f>-P266*P$271</f>
        <v>-0.0</v>
      </c>
      <c r="Q303" s="203">
        <f>-Q266*Q$271</f>
        <v>-0.0</v>
      </c>
      <c r="R303" s="203">
        <f>-R266*R$271</f>
        <v>-0.0</v>
      </c>
      <c r="S303" s="203">
        <f>-S266*S$271</f>
        <v>-0.0</v>
      </c>
      <c r="T303" s="203">
        <f>-T266*T$271</f>
        <v>-0.0</v>
      </c>
      <c r="U303" s="203">
        <f>-U266*U$271</f>
        <v>-0.0</v>
      </c>
      <c r="V303" s="203">
        <f>-V266*V$271</f>
        <v>-0.0</v>
      </c>
      <c r="W303" s="207" t="str">
        <f>IF(X$5=K$5,SUM(Y303:AI303)-SUM(L303:V303),"")</f>
        <v/>
      </c>
      <c r="X303" s="9" t="str">
        <f>LOWER(CtryCode)&amp;".distn."&amp;$A303&amp;IF($B303="","","."&amp;$B303)&amp;IF($C303="","",".dec."&amp;$C303)&amp;"."&amp;X$5</f>
        <v>egy.distn.tef.tot.dec.rur.2</v>
      </c>
      <c r="Y303" s="208">
        <f>-Y266*Y$271</f>
        <v>-1.5547040117235593</v>
      </c>
      <c r="Z303" s="203">
        <f>-Z266*Z$271</f>
        <v>-1.8080143855270034</v>
      </c>
      <c r="AA303" s="203">
        <f>-AA266*AA$271</f>
        <v>-1.6188654114347736</v>
      </c>
      <c r="AB303" s="203">
        <f>-AB266*AB$271</f>
        <v>-1.5516007972446304</v>
      </c>
      <c r="AC303" s="203">
        <f>-AC266*AC$271</f>
        <v>-1.5836077952955345</v>
      </c>
      <c r="AD303" s="203">
        <f>-AD266*AD$271</f>
        <v>-1.5358952633576377</v>
      </c>
      <c r="AE303" s="203">
        <f>-AE266*AE$271</f>
        <v>-1.485160786546722</v>
      </c>
      <c r="AF303" s="203">
        <f>-AF266*AF$271</f>
        <v>-1.4341294448576736</v>
      </c>
      <c r="AG303" s="203">
        <f>-AG266*AG$271</f>
        <v>-1.5382493376414963</v>
      </c>
      <c r="AH303" s="203">
        <f>-AH266*AH$271</f>
        <v>-1.5419539238938589</v>
      </c>
      <c r="AI303" s="203">
        <f>-AI266*AI$271</f>
        <v>-1.6116015026844823</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33" t="inlineStr">
        <is>
          <t>legacy D.II 2875, 2945, 3014</t>
        </is>
      </c>
      <c r="K305" s="9" t="str">
        <f>LOWER(CtryCode)&amp;".distn."&amp;$A305&amp;IF($B305="","","."&amp;$B305)&amp;IF($C305="","",".dec."&amp;$C305)&amp;"."&amp;K$5</f>
        <v>egy.distn.tef.tot.dec.ove.1</v>
      </c>
      <c r="L305" s="215">
        <f>L282+L299</f>
        <v>0.0</v>
      </c>
      <c r="M305" s="216">
        <f>M282+M299</f>
        <v>0.0</v>
      </c>
      <c r="N305" s="216">
        <f>N282+N299</f>
        <v>0.0</v>
      </c>
      <c r="O305" s="216">
        <f>O282+O299</f>
        <v>0.0</v>
      </c>
      <c r="P305" s="216">
        <f>P282+P299</f>
        <v>0.0</v>
      </c>
      <c r="Q305" s="216">
        <f>Q282+Q299</f>
        <v>0.0</v>
      </c>
      <c r="R305" s="216">
        <f>R282+R299</f>
        <v>0.0</v>
      </c>
      <c r="S305" s="216">
        <f>S282+S299</f>
        <v>0.0</v>
      </c>
      <c r="T305" s="216">
        <f>T282+T299</f>
        <v>0.0</v>
      </c>
      <c r="U305" s="216">
        <f>U282+U299</f>
        <v>0.0</v>
      </c>
      <c r="V305" s="216">
        <f>V282+V299</f>
        <v>0.0</v>
      </c>
      <c r="W305" s="207" t="str">
        <f>IF(X$5=K$5,SUM(Y305:AI305)-SUM(L305:V305),"")</f>
        <v/>
      </c>
      <c r="X305" s="9" t="str">
        <f>LOWER(CtryCode)&amp;".distn."&amp;$A305&amp;IF($B305="","","."&amp;$B305)&amp;IF($C305="","",".dec."&amp;$C305)&amp;"."&amp;X$5</f>
        <v>egy.distn.tef.tot.dec.ove.2</v>
      </c>
      <c r="Y305" s="215">
        <f>Y282+Y299</f>
        <v>-1.5011339262883592</v>
      </c>
      <c r="Z305" s="216">
        <f>Z282+Z299</f>
        <v>-1.7606577383339976</v>
      </c>
      <c r="AA305" s="216">
        <f>AA282+AA299</f>
        <v>-1.6062255044499254</v>
      </c>
      <c r="AB305" s="216">
        <f>AB282+AB299</f>
        <v>-1.5409041675189183</v>
      </c>
      <c r="AC305" s="216">
        <f>AC282+AC299</f>
        <v>-1.4276574737707148</v>
      </c>
      <c r="AD305" s="216">
        <f>AD282+AD299</f>
        <v>-1.4321286738573002</v>
      </c>
      <c r="AE305" s="216">
        <f>AE282+AE299</f>
        <v>-1.4166409518862693</v>
      </c>
      <c r="AF305" s="216">
        <f>AF282+AF299</f>
        <v>-1.4636811829257719</v>
      </c>
      <c r="AG305" s="216">
        <f>AG282+AG299</f>
        <v>-1.4681863120765757</v>
      </c>
      <c r="AH305" s="216">
        <f>AH282+AH299</f>
        <v>-1.404017079157501</v>
      </c>
      <c r="AI305" s="216">
        <f>AI282+AI299</f>
        <v>-1.454428785580658</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33"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7"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33"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7"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33" t="inlineStr">
        <is>
          <t>legacy I248</t>
        </is>
      </c>
      <c r="K311" s="9" t="str">
        <f>LOWER(CtryCode)&amp;".distn."&amp;$A311&amp;IF($B311="","","."&amp;$B311)&amp;IF($C311="","",".dec."&amp;$C311)&amp;"."&amp;K$5</f>
        <v>egy.distn.nacons.1</v>
      </c>
      <c r="L311" s="210">
        <f>L$83*L$310/PctPerUnit</f>
        <v>9138080429470.725</v>
      </c>
      <c r="M311" s="211">
        <f>L311</f>
        <v>9138080429470.725</v>
      </c>
      <c r="N311" s="211">
        <f>M311</f>
        <v>9138080429470.725</v>
      </c>
      <c r="O311" s="211">
        <f>N311</f>
        <v>9138080429470.725</v>
      </c>
      <c r="P311" s="211">
        <f>O311</f>
        <v>9138080429470.725</v>
      </c>
      <c r="Q311" s="211">
        <f>P311</f>
        <v>9138080429470.725</v>
      </c>
      <c r="R311" s="211">
        <f>Q311</f>
        <v>9138080429470.725</v>
      </c>
      <c r="S311" s="211">
        <f>R311</f>
        <v>9138080429470.725</v>
      </c>
      <c r="T311" s="211">
        <f>S311</f>
        <v>9138080429470.725</v>
      </c>
      <c r="U311" s="211">
        <f>T311</f>
        <v>9138080429470.725</v>
      </c>
      <c r="V311" s="211">
        <f>U311</f>
        <v>9138080429470.725</v>
      </c>
      <c r="W311" s="207" t="str">
        <f>IF(X$5=K$5,SUM(Y311:AI311)-SUM(L311:V311),"")</f>
        <v/>
      </c>
      <c r="X311" s="9" t="str">
        <f>LOWER(CtryCode)&amp;".distn."&amp;$A311&amp;IF($B311="","","."&amp;$B311)&amp;IF($C311="","",".dec."&amp;$C311)&amp;"."&amp;X$5</f>
        <v>egy.distn.nacons.2</v>
      </c>
      <c r="Y311" s="210">
        <f>Y$83*Y$310/PctPerUnit</f>
        <v>9138080429470.725</v>
      </c>
      <c r="Z311" s="211">
        <f>Y311</f>
        <v>9138080429470.725</v>
      </c>
      <c r="AA311" s="211">
        <f>Z311</f>
        <v>9138080429470.725</v>
      </c>
      <c r="AB311" s="211">
        <f>AA311</f>
        <v>9138080429470.725</v>
      </c>
      <c r="AC311" s="211">
        <f>AB311</f>
        <v>9138080429470.725</v>
      </c>
      <c r="AD311" s="211">
        <f>AC311</f>
        <v>9138080429470.725</v>
      </c>
      <c r="AE311" s="211">
        <f>AD311</f>
        <v>9138080429470.725</v>
      </c>
      <c r="AF311" s="211">
        <f>AE311</f>
        <v>9138080429470.725</v>
      </c>
      <c r="AG311" s="211">
        <f>AF311</f>
        <v>9138080429470.725</v>
      </c>
      <c r="AH311" s="211">
        <f>AG311</f>
        <v>9138080429470.725</v>
      </c>
      <c r="AI311" s="211">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33" t="inlineStr">
        <is>
          <t>HHSurvey popw</t>
        </is>
      </c>
      <c r="K312" s="9" t="str">
        <f>LOWER(CtryCode)&amp;".distn."&amp;$A312&amp;IF($B312="","","."&amp;$B312)&amp;IF($C312="","",".dec."&amp;$C312)&amp;"."&amp;K$5</f>
        <v>egy.distn.popw.dec.ove.1</v>
      </c>
      <c r="L312" s="212">
        <f>INDEX(DHHVal,MATCH(CtryCode&amp;".distn.bsh."&amp;L$10&amp;$E312&amp;L$11,DHHKey,0),MATCH($D312,DHHVar,0))</f>
        <v>110589782.3240585</v>
      </c>
      <c r="M312" s="213">
        <f>INDEX(DHHVal,MATCH(CtryCode&amp;".distn.bsh."&amp;M$10&amp;$E312&amp;M$11,DHHKey,0),MATCH($D312,DHHVar,0))</f>
        <v>9942776.140414724</v>
      </c>
      <c r="N312" s="213">
        <f>INDEX(DHHVal,MATCH(CtryCode&amp;".distn.bsh."&amp;N$10&amp;$E312&amp;N$11,DHHKey,0),MATCH($D312,DHHVar,0))</f>
        <v>9769176.619459534</v>
      </c>
      <c r="O312" s="213">
        <f>INDEX(DHHVal,MATCH(CtryCode&amp;".distn.bsh."&amp;O$10&amp;$E312&amp;O$11,DHHKey,0),MATCH($D312,DHHVar,0))</f>
        <v>11107330.69828401</v>
      </c>
      <c r="P312" s="213">
        <f>INDEX(DHHVal,MATCH(CtryCode&amp;".distn.bsh."&amp;P$10&amp;$E312&amp;P$11,DHHKey,0),MATCH($D312,DHHVar,0))</f>
        <v>9991490.687151534</v>
      </c>
      <c r="Q312" s="213">
        <f>INDEX(DHHVal,MATCH(CtryCode&amp;".distn.bsh."&amp;Q$10&amp;$E312&amp;Q$11,DHHKey,0),MATCH($D312,DHHVar,0))</f>
        <v>10193105.6876218</v>
      </c>
      <c r="R312" s="213">
        <f>INDEX(DHHVal,MATCH(CtryCode&amp;".distn.bsh."&amp;R$10&amp;$E312&amp;R$11,DHHKey,0),MATCH($D312,DHHVar,0))</f>
        <v>11194230.4871516</v>
      </c>
      <c r="S312" s="213">
        <f>INDEX(DHHVal,MATCH(CtryCode&amp;".distn.bsh."&amp;S$10&amp;$E312&amp;S$11,DHHKey,0),MATCH($D312,DHHVar,0))</f>
        <v>10409614.41706669</v>
      </c>
      <c r="T312" s="213">
        <f>INDEX(DHHVal,MATCH(CtryCode&amp;".distn.bsh."&amp;T$10&amp;$E312&amp;T$11,DHHKey,0),MATCH($D312,DHHVar,0))</f>
        <v>10888960.80708582</v>
      </c>
      <c r="U312" s="213">
        <f>INDEX(DHHVal,MATCH(CtryCode&amp;".distn.bsh."&amp;U$10&amp;$E312&amp;U$11,DHHKey,0),MATCH($D312,DHHVar,0))</f>
        <v>9998899.328392392</v>
      </c>
      <c r="V312" s="213">
        <f>INDEX(DHHVal,MATCH(CtryCode&amp;".distn.bsh."&amp;V$10&amp;$E312&amp;V$11,DHHKey,0),MATCH($D312,DHHVar,0))</f>
        <v>9650051.198518392</v>
      </c>
      <c r="W312" s="207" t="str">
        <f>IF(X$5=K$5,SUM(Y312:AI312)-SUM(L312:V312),"")</f>
        <v/>
      </c>
      <c r="X312" s="9" t="str">
        <f>LOWER(CtryCode)&amp;".distn."&amp;$A312&amp;IF($B312="","","."&amp;$B312)&amp;IF($C312="","",".dec."&amp;$C312)&amp;"."&amp;X$5</f>
        <v>egy.distn.popw.dec.ove.2</v>
      </c>
      <c r="Y312" s="212">
        <f>INDEX(DHHVal,MATCH(CtryCode&amp;".distn.bsh."&amp;Y$10&amp;$E312&amp;Y$11,DHHKey,0),MATCH($D312,DHHVar,0))</f>
        <v>110589782.3240585</v>
      </c>
      <c r="Z312" s="213">
        <f>INDEX(DHHVal,MATCH(CtryCode&amp;".distn.bsh."&amp;Z$10&amp;$E312&amp;Z$11,DHHKey,0),MATCH($D312,DHHVar,0))</f>
        <v>9942776.140414724</v>
      </c>
      <c r="AA312" s="213">
        <f>INDEX(DHHVal,MATCH(CtryCode&amp;".distn.bsh."&amp;AA$10&amp;$E312&amp;AA$11,DHHKey,0),MATCH($D312,DHHVar,0))</f>
        <v>9769176.619459534</v>
      </c>
      <c r="AB312" s="213">
        <f>INDEX(DHHVal,MATCH(CtryCode&amp;".distn.bsh."&amp;AB$10&amp;$E312&amp;AB$11,DHHKey,0),MATCH($D312,DHHVar,0))</f>
        <v>11107330.69828401</v>
      </c>
      <c r="AC312" s="213">
        <f>INDEX(DHHVal,MATCH(CtryCode&amp;".distn.bsh."&amp;AC$10&amp;$E312&amp;AC$11,DHHKey,0),MATCH($D312,DHHVar,0))</f>
        <v>9991490.687151534</v>
      </c>
      <c r="AD312" s="213">
        <f>INDEX(DHHVal,MATCH(CtryCode&amp;".distn.bsh."&amp;AD$10&amp;$E312&amp;AD$11,DHHKey,0),MATCH($D312,DHHVar,0))</f>
        <v>10193105.6876218</v>
      </c>
      <c r="AE312" s="213">
        <f>INDEX(DHHVal,MATCH(CtryCode&amp;".distn.bsh."&amp;AE$10&amp;$E312&amp;AE$11,DHHKey,0),MATCH($D312,DHHVar,0))</f>
        <v>11194230.4871516</v>
      </c>
      <c r="AF312" s="213">
        <f>INDEX(DHHVal,MATCH(CtryCode&amp;".distn.bsh."&amp;AF$10&amp;$E312&amp;AF$11,DHHKey,0),MATCH($D312,DHHVar,0))</f>
        <v>10409614.41706669</v>
      </c>
      <c r="AG312" s="213">
        <f>INDEX(DHHVal,MATCH(CtryCode&amp;".distn.bsh."&amp;AG$10&amp;$E312&amp;AG$11,DHHKey,0),MATCH($D312,DHHVar,0))</f>
        <v>10888960.80708582</v>
      </c>
      <c r="AH312" s="213">
        <f>INDEX(DHHVal,MATCH(CtryCode&amp;".distn.bsh."&amp;AH$10&amp;$E312&amp;AH$11,DHHKey,0),MATCH($D312,DHHVar,0))</f>
        <v>9998899.328392392</v>
      </c>
      <c r="AI312" s="213">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33" t="inlineStr">
        <is>
          <t>HHSurvey popw</t>
        </is>
      </c>
      <c r="K313" s="9" t="str">
        <f>LOWER(CtryCode)&amp;".distn."&amp;$A313&amp;IF($B313="","","."&amp;$B313)&amp;IF($C313="","",".dec."&amp;$C313)&amp;"."&amp;K$5</f>
        <v>egy.distn.popw.dec.urb.1</v>
      </c>
      <c r="L313" s="212">
        <f>INDEX(DHHVal,MATCH(CtryCode&amp;".distn.bsh."&amp;L$10&amp;$E313&amp;L$11,DHHKey,0),MATCH($D313,DHHVar,0))</f>
        <v>44984958.9217108</v>
      </c>
      <c r="M313" s="213">
        <f>INDEX(DHHVal,MATCH(CtryCode&amp;".distn.bsh."&amp;M$10&amp;$E313&amp;M$11,DHHKey,0),MATCH($D313,DHHVar,0))</f>
        <v>4804647.213429366</v>
      </c>
      <c r="N313" s="213">
        <f>INDEX(DHHVal,MATCH(CtryCode&amp;".distn.bsh."&amp;N$10&amp;$E313&amp;N$11,DHHKey,0),MATCH($D313,DHHVar,0))</f>
        <v>4632608.017596959</v>
      </c>
      <c r="O313" s="213">
        <f>INDEX(DHHVal,MATCH(CtryCode&amp;".distn.bsh."&amp;O$10&amp;$E313&amp;O$11,DHHKey,0),MATCH($D313,DHHVar,0))</f>
        <v>4701104.627564205</v>
      </c>
      <c r="P313" s="213">
        <f>INDEX(DHHVal,MATCH(CtryCode&amp;".distn.bsh."&amp;P$10&amp;$E313&amp;P$11,DHHKey,0),MATCH($D313,DHHVar,0))</f>
        <v>4804021.089343342</v>
      </c>
      <c r="Q313" s="213">
        <f>INDEX(DHHVal,MATCH(CtryCode&amp;".distn.bsh."&amp;Q$10&amp;$E313&amp;Q$11,DHHKey,0),MATCH($D313,DHHVar,0))</f>
        <v>5105464.087593474</v>
      </c>
      <c r="R313" s="213">
        <f>INDEX(DHHVal,MATCH(CtryCode&amp;".distn.bsh."&amp;R$10&amp;$E313&amp;R$11,DHHKey,0),MATCH($D313,DHHVar,0))</f>
        <v>5004890.23761902</v>
      </c>
      <c r="S313" s="213">
        <f>INDEX(DHHVal,MATCH(CtryCode&amp;".distn.bsh."&amp;S$10&amp;$E313&amp;S$11,DHHKey,0),MATCH($D313,DHHVar,0))</f>
        <v>5145810.187492644</v>
      </c>
      <c r="T313" s="213">
        <f>INDEX(DHHVal,MATCH(CtryCode&amp;".distn.bsh."&amp;T$10&amp;$E313&amp;T$11,DHHKey,0),MATCH($D313,DHHVar,0))</f>
        <v>5047163.0168795</v>
      </c>
      <c r="U313" s="213">
        <f>INDEX(DHHVal,MATCH(CtryCode&amp;".distn.bsh."&amp;U$10&amp;$E313&amp;U$11,DHHKey,0),MATCH($D313,DHHVar,0))</f>
        <v>4779926.42192897</v>
      </c>
      <c r="V313" s="213">
        <f>INDEX(DHHVal,MATCH(CtryCode&amp;".distn.bsh."&amp;V$10&amp;$E313&amp;V$11,DHHKey,0),MATCH($D313,DHHVar,0))</f>
        <v>5116305.297096345</v>
      </c>
      <c r="W313" s="207" t="str">
        <f>IF(X$5=K$5,SUM(Y313:AI313)-SUM(L313:V313),"")</f>
        <v/>
      </c>
      <c r="X313" s="9" t="str">
        <f>LOWER(CtryCode)&amp;".distn."&amp;$A313&amp;IF($B313="","","."&amp;$B313)&amp;IF($C313="","",".dec."&amp;$C313)&amp;"."&amp;X$5</f>
        <v>egy.distn.popw.dec.urb.2</v>
      </c>
      <c r="Y313" s="212">
        <f>INDEX(DHHVal,MATCH(CtryCode&amp;".distn.bsh."&amp;Y$10&amp;$E313&amp;Y$11,DHHKey,0),MATCH($D313,DHHVar,0))</f>
        <v>44984958.9217108</v>
      </c>
      <c r="Z313" s="213">
        <f>INDEX(DHHVal,MATCH(CtryCode&amp;".distn.bsh."&amp;Z$10&amp;$E313&amp;Z$11,DHHKey,0),MATCH($D313,DHHVar,0))</f>
        <v>4804647.213429366</v>
      </c>
      <c r="AA313" s="213">
        <f>INDEX(DHHVal,MATCH(CtryCode&amp;".distn.bsh."&amp;AA$10&amp;$E313&amp;AA$11,DHHKey,0),MATCH($D313,DHHVar,0))</f>
        <v>4632608.017596959</v>
      </c>
      <c r="AB313" s="213">
        <f>INDEX(DHHVal,MATCH(CtryCode&amp;".distn.bsh."&amp;AB$10&amp;$E313&amp;AB$11,DHHKey,0),MATCH($D313,DHHVar,0))</f>
        <v>4701104.627564205</v>
      </c>
      <c r="AC313" s="213">
        <f>INDEX(DHHVal,MATCH(CtryCode&amp;".distn.bsh."&amp;AC$10&amp;$E313&amp;AC$11,DHHKey,0),MATCH($D313,DHHVar,0))</f>
        <v>4804021.089343342</v>
      </c>
      <c r="AD313" s="213">
        <f>INDEX(DHHVal,MATCH(CtryCode&amp;".distn.bsh."&amp;AD$10&amp;$E313&amp;AD$11,DHHKey,0),MATCH($D313,DHHVar,0))</f>
        <v>5105464.087593474</v>
      </c>
      <c r="AE313" s="213">
        <f>INDEX(DHHVal,MATCH(CtryCode&amp;".distn.bsh."&amp;AE$10&amp;$E313&amp;AE$11,DHHKey,0),MATCH($D313,DHHVar,0))</f>
        <v>5004890.23761902</v>
      </c>
      <c r="AF313" s="213">
        <f>INDEX(DHHVal,MATCH(CtryCode&amp;".distn.bsh."&amp;AF$10&amp;$E313&amp;AF$11,DHHKey,0),MATCH($D313,DHHVar,0))</f>
        <v>5145810.187492644</v>
      </c>
      <c r="AG313" s="213">
        <f>INDEX(DHHVal,MATCH(CtryCode&amp;".distn.bsh."&amp;AG$10&amp;$E313&amp;AG$11,DHHKey,0),MATCH($D313,DHHVar,0))</f>
        <v>5047163.0168795</v>
      </c>
      <c r="AH313" s="213">
        <f>INDEX(DHHVal,MATCH(CtryCode&amp;".distn.bsh."&amp;AH$10&amp;$E313&amp;AH$11,DHHKey,0),MATCH($D313,DHHVar,0))</f>
        <v>4779926.42192897</v>
      </c>
      <c r="AI313" s="213">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33" t="inlineStr">
        <is>
          <t>HHSurvey popw</t>
        </is>
      </c>
      <c r="K314" s="9" t="str">
        <f>LOWER(CtryCode)&amp;".distn."&amp;$A314&amp;IF($B314="","","."&amp;$B314)&amp;IF($C314="","",".dec."&amp;$C314)&amp;"."&amp;K$5</f>
        <v>egy.distn.popw.dec.rur.1</v>
      </c>
      <c r="L314" s="212">
        <f>INDEX(DHHVal,MATCH(CtryCode&amp;".distn.bsh."&amp;L$10&amp;$E314&amp;L$11,DHHKey,0),MATCH($D314,DHHVar,0))</f>
        <v>59152759.9640594</v>
      </c>
      <c r="M314" s="213">
        <f>INDEX(DHHVal,MATCH(CtryCode&amp;".distn.bsh."&amp;M$10&amp;$E314&amp;M$11,DHHKey,0),MATCH($D314,DHHVar,0))</f>
        <v>5531028.913329842</v>
      </c>
      <c r="N314" s="213">
        <f>INDEX(DHHVal,MATCH(CtryCode&amp;".distn.bsh."&amp;N$10&amp;$E314&amp;N$11,DHHKey,0),MATCH($D314,DHHVar,0))</f>
        <v>5373461.080507564</v>
      </c>
      <c r="O314" s="213">
        <f>INDEX(DHHVal,MATCH(CtryCode&amp;".distn.bsh."&amp;O$10&amp;$E314&amp;O$11,DHHKey,0),MATCH($D314,DHHVar,0))</f>
        <v>5958812.296091651</v>
      </c>
      <c r="P314" s="213">
        <f>INDEX(DHHVal,MATCH(CtryCode&amp;".distn.bsh."&amp;P$10&amp;$E314&amp;P$11,DHHKey,0),MATCH($D314,DHHVar,0))</f>
        <v>5424420.971399494</v>
      </c>
      <c r="Q314" s="213">
        <f>INDEX(DHHVal,MATCH(CtryCode&amp;".distn.bsh."&amp;Q$10&amp;$E314&amp;Q$11,DHHKey,0),MATCH($D314,DHHVar,0))</f>
        <v>5383592.535296551</v>
      </c>
      <c r="R314" s="213">
        <f>INDEX(DHHVal,MATCH(CtryCode&amp;".distn.bsh."&amp;R$10&amp;$E314&amp;R$11,DHHKey,0),MATCH($D314,DHHVar,0))</f>
        <v>5826738.869068671</v>
      </c>
      <c r="S314" s="213">
        <f>INDEX(DHHVal,MATCH(CtryCode&amp;".distn.bsh."&amp;S$10&amp;$E314&amp;S$11,DHHKey,0),MATCH($D314,DHHVar,0))</f>
        <v>5969547.813807904</v>
      </c>
      <c r="T314" s="213">
        <f>INDEX(DHHVal,MATCH(CtryCode&amp;".distn.bsh."&amp;T$10&amp;$E314&amp;T$11,DHHKey,0),MATCH($D314,DHHVar,0))</f>
        <v>5741980.680666356</v>
      </c>
      <c r="U314" s="213">
        <f>INDEX(DHHVal,MATCH(CtryCode&amp;".distn.bsh."&amp;U$10&amp;$E314&amp;U$11,DHHKey,0),MATCH($D314,DHHVar,0))</f>
        <v>5486256.412544841</v>
      </c>
      <c r="V314" s="213">
        <f>INDEX(DHHVal,MATCH(CtryCode&amp;".distn.bsh."&amp;V$10&amp;$E314&amp;V$11,DHHKey,0),MATCH($D314,DHHVar,0))</f>
        <v>6066465.167678175</v>
      </c>
      <c r="W314" s="207" t="str">
        <f>IF(X$5=K$5,SUM(Y314:AI314)-SUM(L314:V314),"")</f>
        <v/>
      </c>
      <c r="X314" s="9" t="str">
        <f>LOWER(CtryCode)&amp;".distn."&amp;$A314&amp;IF($B314="","","."&amp;$B314)&amp;IF($C314="","",".dec."&amp;$C314)&amp;"."&amp;X$5</f>
        <v>egy.distn.popw.dec.rur.2</v>
      </c>
      <c r="Y314" s="212">
        <f>INDEX(DHHVal,MATCH(CtryCode&amp;".distn.bsh."&amp;Y$10&amp;$E314&amp;Y$11,DHHKey,0),MATCH($D314,DHHVar,0))</f>
        <v>59152759.9640594</v>
      </c>
      <c r="Z314" s="213">
        <f>INDEX(DHHVal,MATCH(CtryCode&amp;".distn.bsh."&amp;Z$10&amp;$E314&amp;Z$11,DHHKey,0),MATCH($D314,DHHVar,0))</f>
        <v>5531028.913329842</v>
      </c>
      <c r="AA314" s="213">
        <f>INDEX(DHHVal,MATCH(CtryCode&amp;".distn.bsh."&amp;AA$10&amp;$E314&amp;AA$11,DHHKey,0),MATCH($D314,DHHVar,0))</f>
        <v>5373461.080507564</v>
      </c>
      <c r="AB314" s="213">
        <f>INDEX(DHHVal,MATCH(CtryCode&amp;".distn.bsh."&amp;AB$10&amp;$E314&amp;AB$11,DHHKey,0),MATCH($D314,DHHVar,0))</f>
        <v>5958812.296091651</v>
      </c>
      <c r="AC314" s="213">
        <f>INDEX(DHHVal,MATCH(CtryCode&amp;".distn.bsh."&amp;AC$10&amp;$E314&amp;AC$11,DHHKey,0),MATCH($D314,DHHVar,0))</f>
        <v>5424420.971399494</v>
      </c>
      <c r="AD314" s="213">
        <f>INDEX(DHHVal,MATCH(CtryCode&amp;".distn.bsh."&amp;AD$10&amp;$E314&amp;AD$11,DHHKey,0),MATCH($D314,DHHVar,0))</f>
        <v>5383592.535296551</v>
      </c>
      <c r="AE314" s="213">
        <f>INDEX(DHHVal,MATCH(CtryCode&amp;".distn.bsh."&amp;AE$10&amp;$E314&amp;AE$11,DHHKey,0),MATCH($D314,DHHVar,0))</f>
        <v>5826738.869068671</v>
      </c>
      <c r="AF314" s="213">
        <f>INDEX(DHHVal,MATCH(CtryCode&amp;".distn.bsh."&amp;AF$10&amp;$E314&amp;AF$11,DHHKey,0),MATCH($D314,DHHVar,0))</f>
        <v>5969547.813807904</v>
      </c>
      <c r="AG314" s="213">
        <f>INDEX(DHHVal,MATCH(CtryCode&amp;".distn.bsh."&amp;AG$10&amp;$E314&amp;AG$11,DHHKey,0),MATCH($D314,DHHVar,0))</f>
        <v>5741980.680666356</v>
      </c>
      <c r="AH314" s="213">
        <f>INDEX(DHHVal,MATCH(CtryCode&amp;".distn.bsh."&amp;AH$10&amp;$E314&amp;AH$11,DHHKey,0),MATCH($D314,DHHVar,0))</f>
        <v>5486256.412544841</v>
      </c>
      <c r="AI314" s="213">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33" t="inlineStr">
        <is>
          <t>HHSurvey cons_pc_acrent</t>
        </is>
      </c>
      <c r="K315" s="9" t="str">
        <f>LOWER(CtryCode)&amp;".distn."&amp;$A315&amp;IF($B315="","","."&amp;$B315)&amp;IF($C315="","",".dec."&amp;$C315)&amp;"."&amp;K$5</f>
        <v>egy.distn.cons_pc_svy.dec.ove.1</v>
      </c>
      <c r="L315" s="124">
        <f>INDEX(DHHVal,MATCH(CtryCode&amp;".distn.bsh."&amp;L$10&amp;$E315&amp;L$11,DHHKey,0),MATCH($D315,DHHVar,0))</f>
        <v>12565.63265605558</v>
      </c>
      <c r="M315" s="125">
        <f>INDEX(DHHVal,MATCH(CtryCode&amp;".distn.bsh."&amp;M$10&amp;$E315&amp;M$11,DHHKey,0),MATCH($D315,DHHVar,0))</f>
        <v>5316.450441728693</v>
      </c>
      <c r="N315" s="125">
        <f>INDEX(DHHVal,MATCH(CtryCode&amp;".distn.bsh."&amp;N$10&amp;$E315&amp;N$11,DHHKey,0),MATCH($D315,DHHVar,0))</f>
        <v>6774.641488347366</v>
      </c>
      <c r="O315" s="125">
        <f>INDEX(DHHVal,MATCH(CtryCode&amp;".distn.bsh."&amp;O$10&amp;$E315&amp;O$11,DHHKey,0),MATCH($D315,DHHVar,0))</f>
        <v>8368.166384666636</v>
      </c>
      <c r="P315" s="125">
        <f>INDEX(DHHVal,MATCH(CtryCode&amp;".distn.bsh."&amp;P$10&amp;$E315&amp;P$11,DHHKey,0),MATCH($D315,DHHVar,0))</f>
        <v>9974.527581536568</v>
      </c>
      <c r="Q315" s="125">
        <f>INDEX(DHHVal,MATCH(CtryCode&amp;".distn.bsh."&amp;Q$10&amp;$E315&amp;Q$11,DHHKey,0),MATCH($D315,DHHVar,0))</f>
        <v>10520.12234342251</v>
      </c>
      <c r="R315" s="125">
        <f>INDEX(DHHVal,MATCH(CtryCode&amp;".distn.bsh."&amp;R$10&amp;$E315&amp;R$11,DHHKey,0),MATCH($D315,DHHVar,0))</f>
        <v>11195.96720261516</v>
      </c>
      <c r="S315" s="125">
        <f>INDEX(DHHVal,MATCH(CtryCode&amp;".distn.bsh."&amp;S$10&amp;$E315&amp;S$11,DHHKey,0),MATCH($D315,DHHVar,0))</f>
        <v>14051.5989372174</v>
      </c>
      <c r="T315" s="125">
        <f>INDEX(DHHVal,MATCH(CtryCode&amp;".distn.bsh."&amp;T$10&amp;$E315&amp;T$11,DHHKey,0),MATCH($D315,DHHVar,0))</f>
        <v>16133.79964390557</v>
      </c>
      <c r="U315" s="125">
        <f>INDEX(DHHVal,MATCH(CtryCode&amp;".distn.bsh."&amp;U$10&amp;$E315&amp;U$11,DHHKey,0),MATCH($D315,DHHVar,0))</f>
        <v>19214.42845852649</v>
      </c>
      <c r="V315" s="125">
        <f>INDEX(DHHVal,MATCH(CtryCode&amp;".distn.bsh."&amp;V$10&amp;$E315&amp;V$11,DHHKey,0),MATCH($D315,DHHVar,0))</f>
        <v>26724.98793139221</v>
      </c>
      <c r="W315" s="207" t="str">
        <f>IF(X$5=K$5,SUM(Y315:AI315)-SUM(L315:V315),"")</f>
        <v/>
      </c>
      <c r="X315" s="9" t="str">
        <f>LOWER(CtryCode)&amp;".distn."&amp;$A315&amp;IF($B315="","","."&amp;$B315)&amp;IF($C315="","",".dec."&amp;$C315)&amp;"."&amp;X$5</f>
        <v>egy.distn.cons_pc_svy.dec.ove.2</v>
      </c>
      <c r="Y315" s="124">
        <f>INDEX(DHHVal,MATCH(CtryCode&amp;".distn.bsh."&amp;Y$10&amp;$E315&amp;Y$11,DHHKey,0),MATCH($D315,DHHVar,0))</f>
        <v>12565.63265605558</v>
      </c>
      <c r="Z315" s="125">
        <f>INDEX(DHHVal,MATCH(CtryCode&amp;".distn.bsh."&amp;Z$10&amp;$E315&amp;Z$11,DHHKey,0),MATCH($D315,DHHVar,0))</f>
        <v>5316.450441728693</v>
      </c>
      <c r="AA315" s="125">
        <f>INDEX(DHHVal,MATCH(CtryCode&amp;".distn.bsh."&amp;AA$10&amp;$E315&amp;AA$11,DHHKey,0),MATCH($D315,DHHVar,0))</f>
        <v>6774.641488347366</v>
      </c>
      <c r="AB315" s="125">
        <f>INDEX(DHHVal,MATCH(CtryCode&amp;".distn.bsh."&amp;AB$10&amp;$E315&amp;AB$11,DHHKey,0),MATCH($D315,DHHVar,0))</f>
        <v>8368.166384666636</v>
      </c>
      <c r="AC315" s="125">
        <f>INDEX(DHHVal,MATCH(CtryCode&amp;".distn.bsh."&amp;AC$10&amp;$E315&amp;AC$11,DHHKey,0),MATCH($D315,DHHVar,0))</f>
        <v>9974.527581536568</v>
      </c>
      <c r="AD315" s="125">
        <f>INDEX(DHHVal,MATCH(CtryCode&amp;".distn.bsh."&amp;AD$10&amp;$E315&amp;AD$11,DHHKey,0),MATCH($D315,DHHVar,0))</f>
        <v>10520.12234342251</v>
      </c>
      <c r="AE315" s="125">
        <f>INDEX(DHHVal,MATCH(CtryCode&amp;".distn.bsh."&amp;AE$10&amp;$E315&amp;AE$11,DHHKey,0),MATCH($D315,DHHVar,0))</f>
        <v>11195.96720261516</v>
      </c>
      <c r="AF315" s="125">
        <f>INDEX(DHHVal,MATCH(CtryCode&amp;".distn.bsh."&amp;AF$10&amp;$E315&amp;AF$11,DHHKey,0),MATCH($D315,DHHVar,0))</f>
        <v>14051.5989372174</v>
      </c>
      <c r="AG315" s="125">
        <f>INDEX(DHHVal,MATCH(CtryCode&amp;".distn.bsh."&amp;AG$10&amp;$E315&amp;AG$11,DHHKey,0),MATCH($D315,DHHVar,0))</f>
        <v>16133.79964390557</v>
      </c>
      <c r="AH315" s="125">
        <f>INDEX(DHHVal,MATCH(CtryCode&amp;".distn.bsh."&amp;AH$10&amp;$E315&amp;AH$11,DHHKey,0),MATCH($D315,DHHVar,0))</f>
        <v>19214.42845852649</v>
      </c>
      <c r="AI315" s="125">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33" t="inlineStr">
        <is>
          <t>HHSurvey cons_pc_acrent</t>
        </is>
      </c>
      <c r="K316" s="9" t="str">
        <f>LOWER(CtryCode)&amp;".distn."&amp;$A316&amp;IF($B316="","","."&amp;$B316)&amp;IF($C316="","",".dec."&amp;$C316)&amp;"."&amp;K$5</f>
        <v>egy.distn.cons_pc_svy.dec.urb.1</v>
      </c>
      <c r="L316" s="124">
        <f>INDEX(DHHVal,MATCH(CtryCode&amp;".distn.bsh."&amp;L$10&amp;$E316&amp;L$11,DHHKey,0),MATCH($D316,DHHVar,0))</f>
        <v>13687.95828829528</v>
      </c>
      <c r="M316" s="125">
        <f>INDEX(DHHVal,MATCH(CtryCode&amp;".distn.bsh."&amp;M$10&amp;$E316&amp;M$11,DHHKey,0),MATCH($D316,DHHVar,0))</f>
        <v>5668.803021029756</v>
      </c>
      <c r="N316" s="125">
        <f>INDEX(DHHVal,MATCH(CtryCode&amp;".distn.bsh."&amp;N$10&amp;$E316&amp;N$11,DHHKey,0),MATCH($D316,DHHVar,0))</f>
        <v>7985.570340507707</v>
      </c>
      <c r="O316" s="125">
        <f>INDEX(DHHVal,MATCH(CtryCode&amp;".distn.bsh."&amp;O$10&amp;$E316&amp;O$11,DHHKey,0),MATCH($D316,DHHVar,0))</f>
        <v>9214.238978583247</v>
      </c>
      <c r="P316" s="125">
        <f>INDEX(DHHVal,MATCH(CtryCode&amp;".distn.bsh."&amp;P$10&amp;$E316&amp;P$11,DHHKey,0),MATCH($D316,DHHVar,0))</f>
        <v>9828.767330654764</v>
      </c>
      <c r="Q316" s="125">
        <f>INDEX(DHHVal,MATCH(CtryCode&amp;".distn.bsh."&amp;Q$10&amp;$E316&amp;Q$11,DHHKey,0),MATCH($D316,DHHVar,0))</f>
        <v>12510.72497537535</v>
      </c>
      <c r="R316" s="125">
        <f>INDEX(DHHVal,MATCH(CtryCode&amp;".distn.bsh."&amp;R$10&amp;$E316&amp;R$11,DHHKey,0),MATCH($D316,DHHVar,0))</f>
        <v>12380.26433479147</v>
      </c>
      <c r="S316" s="125">
        <f>INDEX(DHHVal,MATCH(CtryCode&amp;".distn.bsh."&amp;S$10&amp;$E316&amp;S$11,DHHKey,0),MATCH($D316,DHHVar,0))</f>
        <v>13852.73420594676</v>
      </c>
      <c r="T316" s="125">
        <f>INDEX(DHHVal,MATCH(CtryCode&amp;".distn.bsh."&amp;T$10&amp;$E316&amp;T$11,DHHKey,0),MATCH($D316,DHHVar,0))</f>
        <v>16438.20859044712</v>
      </c>
      <c r="U316" s="125">
        <f>INDEX(DHHVal,MATCH(CtryCode&amp;".distn.bsh."&amp;U$10&amp;$E316&amp;U$11,DHHKey,0),MATCH($D316,DHHVar,0))</f>
        <v>20805.20255106409</v>
      </c>
      <c r="V316" s="125">
        <f>INDEX(DHHVal,MATCH(CtryCode&amp;".distn.bsh."&amp;V$10&amp;$E316&amp;V$11,DHHKey,0),MATCH($D316,DHHVar,0))</f>
        <v>30139.9389241929</v>
      </c>
      <c r="W316" s="207" t="str">
        <f>IF(X$5=K$5,SUM(Y316:AI316)-SUM(L316:V316),"")</f>
        <v/>
      </c>
      <c r="X316" s="9" t="str">
        <f>LOWER(CtryCode)&amp;".distn."&amp;$A316&amp;IF($B316="","","."&amp;$B316)&amp;IF($C316="","",".dec."&amp;$C316)&amp;"."&amp;X$5</f>
        <v>egy.distn.cons_pc_svy.dec.urb.2</v>
      </c>
      <c r="Y316" s="124">
        <f>INDEX(DHHVal,MATCH(CtryCode&amp;".distn.bsh."&amp;Y$10&amp;$E316&amp;Y$11,DHHKey,0),MATCH($D316,DHHVar,0))</f>
        <v>13687.95828829528</v>
      </c>
      <c r="Z316" s="125">
        <f>INDEX(DHHVal,MATCH(CtryCode&amp;".distn.bsh."&amp;Z$10&amp;$E316&amp;Z$11,DHHKey,0),MATCH($D316,DHHVar,0))</f>
        <v>5668.803021029756</v>
      </c>
      <c r="AA316" s="125">
        <f>INDEX(DHHVal,MATCH(CtryCode&amp;".distn.bsh."&amp;AA$10&amp;$E316&amp;AA$11,DHHKey,0),MATCH($D316,DHHVar,0))</f>
        <v>7985.570340507707</v>
      </c>
      <c r="AB316" s="125">
        <f>INDEX(DHHVal,MATCH(CtryCode&amp;".distn.bsh."&amp;AB$10&amp;$E316&amp;AB$11,DHHKey,0),MATCH($D316,DHHVar,0))</f>
        <v>9214.238978583247</v>
      </c>
      <c r="AC316" s="125">
        <f>INDEX(DHHVal,MATCH(CtryCode&amp;".distn.bsh."&amp;AC$10&amp;$E316&amp;AC$11,DHHKey,0),MATCH($D316,DHHVar,0))</f>
        <v>9828.767330654764</v>
      </c>
      <c r="AD316" s="125">
        <f>INDEX(DHHVal,MATCH(CtryCode&amp;".distn.bsh."&amp;AD$10&amp;$E316&amp;AD$11,DHHKey,0),MATCH($D316,DHHVar,0))</f>
        <v>12510.72497537535</v>
      </c>
      <c r="AE316" s="125">
        <f>INDEX(DHHVal,MATCH(CtryCode&amp;".distn.bsh."&amp;AE$10&amp;$E316&amp;AE$11,DHHKey,0),MATCH($D316,DHHVar,0))</f>
        <v>12380.26433479147</v>
      </c>
      <c r="AF316" s="125">
        <f>INDEX(DHHVal,MATCH(CtryCode&amp;".distn.bsh."&amp;AF$10&amp;$E316&amp;AF$11,DHHKey,0),MATCH($D316,DHHVar,0))</f>
        <v>13852.73420594676</v>
      </c>
      <c r="AG316" s="125">
        <f>INDEX(DHHVal,MATCH(CtryCode&amp;".distn.bsh."&amp;AG$10&amp;$E316&amp;AG$11,DHHKey,0),MATCH($D316,DHHVar,0))</f>
        <v>16438.20859044712</v>
      </c>
      <c r="AH316" s="125">
        <f>INDEX(DHHVal,MATCH(CtryCode&amp;".distn.bsh."&amp;AH$10&amp;$E316&amp;AH$11,DHHKey,0),MATCH($D316,DHHVar,0))</f>
        <v>20805.20255106409</v>
      </c>
      <c r="AI316" s="125">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33" t="inlineStr">
        <is>
          <t>HHSurvey cons_pc_acrent</t>
        </is>
      </c>
      <c r="K317" s="9" t="str">
        <f>LOWER(CtryCode)&amp;".distn."&amp;$A317&amp;IF($B317="","","."&amp;$B317)&amp;IF($C317="","",".dec."&amp;$C317)&amp;"."&amp;K$5</f>
        <v>egy.distn.cons_pc_svy.dec.rur.1</v>
      </c>
      <c r="L317" s="124">
        <f>INDEX(DHHVal,MATCH(CtryCode&amp;".distn.bsh."&amp;L$10&amp;$E317&amp;L$11,DHHKey,0),MATCH($D317,DHHVar,0))</f>
        <v>11736.0393292089</v>
      </c>
      <c r="M317" s="125">
        <f>INDEX(DHHVal,MATCH(CtryCode&amp;".distn.bsh."&amp;M$10&amp;$E317&amp;M$11,DHHKey,0),MATCH($D317,DHHVar,0))</f>
        <v>5015.267704224895</v>
      </c>
      <c r="N317" s="125">
        <f>INDEX(DHHVal,MATCH(CtryCode&amp;".distn.bsh."&amp;N$10&amp;$E317&amp;N$11,DHHKey,0),MATCH($D317,DHHVar,0))</f>
        <v>6160.171241458876</v>
      </c>
      <c r="O317" s="125">
        <f>INDEX(DHHVal,MATCH(CtryCode&amp;".distn.bsh."&amp;O$10&amp;$E317&amp;O$11,DHHKey,0),MATCH($D317,DHHVar,0))</f>
        <v>7152.735699748392</v>
      </c>
      <c r="P317" s="125">
        <f>INDEX(DHHVal,MATCH(CtryCode&amp;".distn.bsh."&amp;P$10&amp;$E317&amp;P$11,DHHKey,0),MATCH($D317,DHHVar,0))</f>
        <v>8304.893256796044</v>
      </c>
      <c r="Q317" s="125">
        <f>INDEX(DHHVal,MATCH(CtryCode&amp;".distn.bsh."&amp;Q$10&amp;$E317&amp;Q$11,DHHKey,0),MATCH($D317,DHHVar,0))</f>
        <v>9451.977401815595</v>
      </c>
      <c r="R317" s="125">
        <f>INDEX(DHHVal,MATCH(CtryCode&amp;".distn.bsh."&amp;R$10&amp;$E317&amp;R$11,DHHKey,0),MATCH($D317,DHHVar,0))</f>
        <v>10071.21767298583</v>
      </c>
      <c r="S317" s="125">
        <f>INDEX(DHHVal,MATCH(CtryCode&amp;".distn.bsh."&amp;S$10&amp;$E317&amp;S$11,DHHKey,0),MATCH($D317,DHHVar,0))</f>
        <v>11793.1782084545</v>
      </c>
      <c r="T317" s="125">
        <f>INDEX(DHHVal,MATCH(CtryCode&amp;".distn.bsh."&amp;T$10&amp;$E317&amp;T$11,DHHKey,0),MATCH($D317,DHHVar,0))</f>
        <v>12612.86447521864</v>
      </c>
      <c r="U317" s="125">
        <f>INDEX(DHHVal,MATCH(CtryCode&amp;".distn.bsh."&amp;U$10&amp;$E317&amp;U$11,DHHKey,0),MATCH($D317,DHHVar,0))</f>
        <v>14724.33936656696</v>
      </c>
      <c r="V317" s="125">
        <f>INDEX(DHHVal,MATCH(CtryCode&amp;".distn.bsh."&amp;V$10&amp;$E317&amp;V$11,DHHKey,0),MATCH($D317,DHHVar,0))</f>
        <v>22157.78064774588</v>
      </c>
      <c r="W317" s="207" t="str">
        <f>IF(X$5=K$5,SUM(Y317:AI317)-SUM(L317:V317),"")</f>
        <v/>
      </c>
      <c r="X317" s="9" t="str">
        <f>LOWER(CtryCode)&amp;".distn."&amp;$A317&amp;IF($B317="","","."&amp;$B317)&amp;IF($C317="","",".dec."&amp;$C317)&amp;"."&amp;X$5</f>
        <v>egy.distn.cons_pc_svy.dec.rur.2</v>
      </c>
      <c r="Y317" s="124">
        <f>INDEX(DHHVal,MATCH(CtryCode&amp;".distn.bsh."&amp;Y$10&amp;$E317&amp;Y$11,DHHKey,0),MATCH($D317,DHHVar,0))</f>
        <v>11736.0393292089</v>
      </c>
      <c r="Z317" s="125">
        <f>INDEX(DHHVal,MATCH(CtryCode&amp;".distn.bsh."&amp;Z$10&amp;$E317&amp;Z$11,DHHKey,0),MATCH($D317,DHHVar,0))</f>
        <v>5015.267704224895</v>
      </c>
      <c r="AA317" s="125">
        <f>INDEX(DHHVal,MATCH(CtryCode&amp;".distn.bsh."&amp;AA$10&amp;$E317&amp;AA$11,DHHKey,0),MATCH($D317,DHHVar,0))</f>
        <v>6160.171241458876</v>
      </c>
      <c r="AB317" s="125">
        <f>INDEX(DHHVal,MATCH(CtryCode&amp;".distn.bsh."&amp;AB$10&amp;$E317&amp;AB$11,DHHKey,0),MATCH($D317,DHHVar,0))</f>
        <v>7152.735699748392</v>
      </c>
      <c r="AC317" s="125">
        <f>INDEX(DHHVal,MATCH(CtryCode&amp;".distn.bsh."&amp;AC$10&amp;$E317&amp;AC$11,DHHKey,0),MATCH($D317,DHHVar,0))</f>
        <v>8304.893256796044</v>
      </c>
      <c r="AD317" s="125">
        <f>INDEX(DHHVal,MATCH(CtryCode&amp;".distn.bsh."&amp;AD$10&amp;$E317&amp;AD$11,DHHKey,0),MATCH($D317,DHHVar,0))</f>
        <v>9451.977401815595</v>
      </c>
      <c r="AE317" s="125">
        <f>INDEX(DHHVal,MATCH(CtryCode&amp;".distn.bsh."&amp;AE$10&amp;$E317&amp;AE$11,DHHKey,0),MATCH($D317,DHHVar,0))</f>
        <v>10071.21767298583</v>
      </c>
      <c r="AF317" s="125">
        <f>INDEX(DHHVal,MATCH(CtryCode&amp;".distn.bsh."&amp;AF$10&amp;$E317&amp;AF$11,DHHKey,0),MATCH($D317,DHHVar,0))</f>
        <v>11793.1782084545</v>
      </c>
      <c r="AG317" s="125">
        <f>INDEX(DHHVal,MATCH(CtryCode&amp;".distn.bsh."&amp;AG$10&amp;$E317&amp;AG$11,DHHKey,0),MATCH($D317,DHHVar,0))</f>
        <v>12612.86447521864</v>
      </c>
      <c r="AH317" s="125">
        <f>INDEX(DHHVal,MATCH(CtryCode&amp;".distn.bsh."&amp;AH$10&amp;$E317&amp;AH$11,DHHKey,0),MATCH($D317,DHHVar,0))</f>
        <v>14724.33936656696</v>
      </c>
      <c r="AI317" s="125">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33"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7"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33"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7"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33" t="inlineStr">
        <is>
          <t>HHSurvey popw x adjustment</t>
        </is>
      </c>
      <c r="K322" s="9" t="str">
        <f>LOWER(CtryCode)&amp;".distn."&amp;$A322&amp;IF($B322="","","."&amp;$B322)&amp;IF($C322="","",".dec."&amp;$C322)&amp;"."&amp;K$5</f>
        <v>egy.distn.pop_tot_adj.dec.ove.1</v>
      </c>
      <c r="L322" s="212">
        <f>L312*L$319</f>
        <v>127139320.99999999</v>
      </c>
      <c r="M322" s="213">
        <f>M312*M$319</f>
        <v>11430692.608139109</v>
      </c>
      <c r="N322" s="213">
        <f>N312*N$319</f>
        <v>11231114.267750544</v>
      </c>
      <c r="O322" s="213">
        <f>O312*O$319</f>
        <v>12769520.415224375</v>
      </c>
      <c r="P322" s="213">
        <f>P312*P$319</f>
        <v>11486697.18889497</v>
      </c>
      <c r="Q322" s="213">
        <f>Q312*Q$319</f>
        <v>11718483.469006201</v>
      </c>
      <c r="R322" s="213">
        <f>R312*R$319</f>
        <v>12869424.582856191</v>
      </c>
      <c r="S322" s="213">
        <f>S312*S$319</f>
        <v>11967392.294701641</v>
      </c>
      <c r="T322" s="213">
        <f>T312*T$319</f>
        <v>12518471.90865957</v>
      </c>
      <c r="U322" s="213">
        <f>U312*U$319</f>
        <v>11495214.518408606</v>
      </c>
      <c r="V322" s="213">
        <f>V312*V$319</f>
        <v>11094161.966968222</v>
      </c>
      <c r="W322" s="207" t="str">
        <f>IF(X$5=K$5,SUM(Y322:AI322)-SUM(L322:V322),"")</f>
        <v/>
      </c>
      <c r="X322" s="9" t="str">
        <f>LOWER(CtryCode)&amp;".distn."&amp;$A322&amp;IF($B322="","","."&amp;$B322)&amp;IF($C322="","",".dec."&amp;$C322)&amp;"."&amp;X$5</f>
        <v>egy.distn.pop_tot_adj.dec.ove.2</v>
      </c>
      <c r="Y322" s="212">
        <f>Y312*Y$319</f>
        <v>127139320.99999999</v>
      </c>
      <c r="Z322" s="213">
        <f>Z312*Z$319</f>
        <v>11430692.608139109</v>
      </c>
      <c r="AA322" s="213">
        <f>AA312*AA$319</f>
        <v>11231114.267750544</v>
      </c>
      <c r="AB322" s="213">
        <f>AB312*AB$319</f>
        <v>12769520.415224375</v>
      </c>
      <c r="AC322" s="213">
        <f>AC312*AC$319</f>
        <v>11486697.18889497</v>
      </c>
      <c r="AD322" s="213">
        <f>AD312*AD$319</f>
        <v>11718483.469006201</v>
      </c>
      <c r="AE322" s="213">
        <f>AE312*AE$319</f>
        <v>12869424.582856191</v>
      </c>
      <c r="AF322" s="213">
        <f>AF312*AF$319</f>
        <v>11967392.294701641</v>
      </c>
      <c r="AG322" s="213">
        <f>AG312*AG$319</f>
        <v>12518471.90865957</v>
      </c>
      <c r="AH322" s="213">
        <f>AH312*AH$319</f>
        <v>11495214.518408606</v>
      </c>
      <c r="AI322" s="213">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33" t="inlineStr">
        <is>
          <t>HHSurvey popw x adjustment</t>
        </is>
      </c>
      <c r="K323" s="9" t="str">
        <f>LOWER(CtryCode)&amp;".distn."&amp;$A323&amp;IF($B323="","","."&amp;$B323)&amp;IF($C323="","",".dec."&amp;$C323)&amp;"."&amp;K$5</f>
        <v>egy.distn.pop_tot_adj.dec.urb.1</v>
      </c>
      <c r="L323" s="212">
        <f>L313*L$319</f>
        <v>51716867.619468786</v>
      </c>
      <c r="M323" s="213">
        <f>M313*M$319</f>
        <v>5523653.013168657</v>
      </c>
      <c r="N323" s="213">
        <f>N313*N$319</f>
        <v>5325868.497421764</v>
      </c>
      <c r="O323" s="213">
        <f>O313*O$319</f>
        <v>5404615.487415096</v>
      </c>
      <c r="P323" s="213">
        <f>P313*P$319</f>
        <v>5522933.190871461</v>
      </c>
      <c r="Q323" s="213">
        <f>Q313*Q$319</f>
        <v>5869486.528009087</v>
      </c>
      <c r="R323" s="213">
        <f>R313*R$319</f>
        <v>5753862.003506101</v>
      </c>
      <c r="S323" s="213">
        <f>S313*S$319</f>
        <v>5915870.3406758625</v>
      </c>
      <c r="T323" s="213">
        <f>T313*T$319</f>
        <v>5802460.819228618</v>
      </c>
      <c r="U323" s="213">
        <f>U313*U$319</f>
        <v>5495232.804900834</v>
      </c>
      <c r="V323" s="213">
        <f>V313*V$319</f>
        <v>5881950.102726819</v>
      </c>
      <c r="W323" s="207" t="str">
        <f>IF(X$5=K$5,SUM(Y323:AI323)-SUM(L323:V323),"")</f>
        <v/>
      </c>
      <c r="X323" s="9" t="str">
        <f>LOWER(CtryCode)&amp;".distn."&amp;$A323&amp;IF($B323="","","."&amp;$B323)&amp;IF($C323="","",".dec."&amp;$C323)&amp;"."&amp;X$5</f>
        <v>egy.distn.pop_tot_adj.dec.urb.2</v>
      </c>
      <c r="Y323" s="212">
        <f>Y313*Y$319</f>
        <v>51716867.619468786</v>
      </c>
      <c r="Z323" s="213">
        <f>Z313*Z$319</f>
        <v>5523653.013168657</v>
      </c>
      <c r="AA323" s="213">
        <f>AA313*AA$319</f>
        <v>5325868.497421764</v>
      </c>
      <c r="AB323" s="213">
        <f>AB313*AB$319</f>
        <v>5404615.487415096</v>
      </c>
      <c r="AC323" s="213">
        <f>AC313*AC$319</f>
        <v>5522933.190871461</v>
      </c>
      <c r="AD323" s="213">
        <f>AD313*AD$319</f>
        <v>5869486.528009087</v>
      </c>
      <c r="AE323" s="213">
        <f>AE313*AE$319</f>
        <v>5753862.003506101</v>
      </c>
      <c r="AF323" s="213">
        <f>AF313*AF$319</f>
        <v>5915870.3406758625</v>
      </c>
      <c r="AG323" s="213">
        <f>AG313*AG$319</f>
        <v>5802460.819228618</v>
      </c>
      <c r="AH323" s="213">
        <f>AH313*AH$319</f>
        <v>5495232.804900834</v>
      </c>
      <c r="AI323" s="213">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33" t="inlineStr">
        <is>
          <t>HHSurvey popw x adjustment</t>
        </is>
      </c>
      <c r="K324" s="9" t="str">
        <f>LOWER(CtryCode)&amp;".distn."&amp;$A324&amp;IF($B324="","","."&amp;$B324)&amp;IF($C324="","",".dec."&amp;$C324)&amp;"."&amp;K$5</f>
        <v>egy.distn.pop_tot_adj.dec.rur.1</v>
      </c>
      <c r="L324" s="212">
        <f>L314*L$319</f>
        <v>68004851.61521474</v>
      </c>
      <c r="M324" s="213">
        <f>M314*M$319</f>
        <v>6358736.274672477</v>
      </c>
      <c r="N324" s="213">
        <f>N314*N$319</f>
        <v>6177588.732327529</v>
      </c>
      <c r="O324" s="213">
        <f>O314*O$319</f>
        <v>6850536.5809616</v>
      </c>
      <c r="P324" s="213">
        <f>P314*P$319</f>
        <v>6236174.668478926</v>
      </c>
      <c r="Q324" s="213">
        <f>Q314*Q$319</f>
        <v>6189236.338964818</v>
      </c>
      <c r="R324" s="213">
        <f>R314*R$319</f>
        <v>6698698.631008499</v>
      </c>
      <c r="S324" s="213">
        <f>S314*S$319</f>
        <v>6862878.647329254</v>
      </c>
      <c r="T324" s="213">
        <f>T314*T$319</f>
        <v>6601256.55004768</v>
      </c>
      <c r="U324" s="213">
        <f>U314*U$319</f>
        <v>6307263.659122906</v>
      </c>
      <c r="V324" s="213">
        <f>V314*V$319</f>
        <v>6974299.488434412</v>
      </c>
      <c r="W324" s="207" t="str">
        <f>IF(X$5=K$5,SUM(Y324:AI324)-SUM(L324:V324),"")</f>
        <v/>
      </c>
      <c r="X324" s="9" t="str">
        <f>LOWER(CtryCode)&amp;".distn."&amp;$A324&amp;IF($B324="","","."&amp;$B324)&amp;IF($C324="","",".dec."&amp;$C324)&amp;"."&amp;X$5</f>
        <v>egy.distn.pop_tot_adj.dec.rur.2</v>
      </c>
      <c r="Y324" s="212">
        <f>Y314*Y$319</f>
        <v>68004851.61521474</v>
      </c>
      <c r="Z324" s="213">
        <f>Z314*Z$319</f>
        <v>6358736.274672477</v>
      </c>
      <c r="AA324" s="213">
        <f>AA314*AA$319</f>
        <v>6177588.732327529</v>
      </c>
      <c r="AB324" s="213">
        <f>AB314*AB$319</f>
        <v>6850536.5809616</v>
      </c>
      <c r="AC324" s="213">
        <f>AC314*AC$319</f>
        <v>6236174.668478926</v>
      </c>
      <c r="AD324" s="213">
        <f>AD314*AD$319</f>
        <v>6189236.338964818</v>
      </c>
      <c r="AE324" s="213">
        <f>AE314*AE$319</f>
        <v>6698698.631008499</v>
      </c>
      <c r="AF324" s="213">
        <f>AF314*AF$319</f>
        <v>6862878.647329254</v>
      </c>
      <c r="AG324" s="213">
        <f>AG314*AG$319</f>
        <v>6601256.55004768</v>
      </c>
      <c r="AH324" s="213">
        <f>AH314*AH$319</f>
        <v>6307263.659122906</v>
      </c>
      <c r="AI324" s="213">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33" t="inlineStr">
        <is>
          <t>HHSurvey cons_pc_acrent x adjustment</t>
        </is>
      </c>
      <c r="K325" s="9" t="str">
        <f>LOWER(CtryCode)&amp;".distn."&amp;$A325&amp;IF($B325="","","."&amp;$B325)&amp;IF($C325="","",".dec."&amp;$C325)&amp;"."&amp;K$5</f>
        <v>egy.distn.cons_pc_na.dec.ove.1</v>
      </c>
      <c r="L325" s="124">
        <f>L315*L$320</f>
        <v>71874.54170429874</v>
      </c>
      <c r="M325" s="125">
        <f>M315*M$320</f>
        <v>30409.72543540956</v>
      </c>
      <c r="N325" s="125">
        <f>N315*N$320</f>
        <v>38750.47643950013</v>
      </c>
      <c r="O325" s="125">
        <f>O315*O$320</f>
        <v>47865.327617498086</v>
      </c>
      <c r="P325" s="125">
        <f>P315*P$320</f>
        <v>57053.601538664705</v>
      </c>
      <c r="Q325" s="125">
        <f>Q315*Q$320</f>
        <v>60174.365493826175</v>
      </c>
      <c r="R325" s="125">
        <f>R315*R$320</f>
        <v>64040.15091405079</v>
      </c>
      <c r="S325" s="125">
        <f>S315*S$320</f>
        <v>80374.16511124888</v>
      </c>
      <c r="T325" s="125">
        <f>T315*T$320</f>
        <v>92284.20781470614</v>
      </c>
      <c r="U325" s="125">
        <f>U315*U$320</f>
        <v>109905.18960468633</v>
      </c>
      <c r="V325" s="125">
        <f>V315*V$320</f>
        <v>152865.06554813564</v>
      </c>
      <c r="W325" s="207" t="str">
        <f>IF(X$5=K$5,SUM(Y325:AI325)-SUM(L325:V325),"")</f>
        <v/>
      </c>
      <c r="X325" s="9" t="str">
        <f>LOWER(CtryCode)&amp;".distn."&amp;$A325&amp;IF($B325="","","."&amp;$B325)&amp;IF($C325="","",".dec."&amp;$C325)&amp;"."&amp;X$5</f>
        <v>egy.distn.cons_pc_na.dec.ove.2</v>
      </c>
      <c r="Y325" s="124">
        <f>Y315*Y$320</f>
        <v>71874.54170429874</v>
      </c>
      <c r="Z325" s="125">
        <f>Z315*Z$320</f>
        <v>30409.72543540956</v>
      </c>
      <c r="AA325" s="125">
        <f>AA315*AA$320</f>
        <v>38750.47643950013</v>
      </c>
      <c r="AB325" s="125">
        <f>AB315*AB$320</f>
        <v>47865.327617498086</v>
      </c>
      <c r="AC325" s="125">
        <f>AC315*AC$320</f>
        <v>57053.601538664705</v>
      </c>
      <c r="AD325" s="125">
        <f>AD315*AD$320</f>
        <v>60174.365493826175</v>
      </c>
      <c r="AE325" s="125">
        <f>AE315*AE$320</f>
        <v>64040.15091405079</v>
      </c>
      <c r="AF325" s="125">
        <f>AF315*AF$320</f>
        <v>80374.16511124888</v>
      </c>
      <c r="AG325" s="125">
        <f>AG315*AG$320</f>
        <v>92284.20781470614</v>
      </c>
      <c r="AH325" s="125">
        <f>AH315*AH$320</f>
        <v>109905.18960468633</v>
      </c>
      <c r="AI325" s="125">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33" t="inlineStr">
        <is>
          <t>HHSurvey cons_pc_acrent x adjustment</t>
        </is>
      </c>
      <c r="K326" s="9" t="str">
        <f>LOWER(CtryCode)&amp;".distn."&amp;$A326&amp;IF($B326="","","."&amp;$B326)&amp;IF($C326="","",".dec."&amp;$C326)&amp;"."&amp;K$5</f>
        <v>egy.distn.cons_pc_na.dec.urb.1</v>
      </c>
      <c r="L326" s="124">
        <f>L316*L$320</f>
        <v>78294.16598173941</v>
      </c>
      <c r="M326" s="125">
        <f>M316*M$320</f>
        <v>32425.157594600278</v>
      </c>
      <c r="N326" s="125">
        <f>N316*N$320</f>
        <v>45676.904950331504</v>
      </c>
      <c r="O326" s="125">
        <f>O316*O$320</f>
        <v>52704.803798350615</v>
      </c>
      <c r="P326" s="125">
        <f>P316*P$320</f>
        <v>56219.86307776958</v>
      </c>
      <c r="Q326" s="125">
        <f>Q316*Q$320</f>
        <v>71560.47360339531</v>
      </c>
      <c r="R326" s="125">
        <f>R316*R$320</f>
        <v>70814.24784548278</v>
      </c>
      <c r="S326" s="125">
        <f>S316*S$320</f>
        <v>79236.67272925268</v>
      </c>
      <c r="T326" s="125">
        <f>T316*T$320</f>
        <v>94025.40574100541</v>
      </c>
      <c r="U326" s="125">
        <f>U316*U$320</f>
        <v>119004.3063770608</v>
      </c>
      <c r="V326" s="125">
        <f>V316*V$320</f>
        <v>172398.34686142503</v>
      </c>
      <c r="W326" s="207" t="str">
        <f>IF(X$5=K$5,SUM(Y326:AI326)-SUM(L326:V326),"")</f>
        <v/>
      </c>
      <c r="X326" s="9" t="str">
        <f>LOWER(CtryCode)&amp;".distn."&amp;$A326&amp;IF($B326="","","."&amp;$B326)&amp;IF($C326="","",".dec."&amp;$C326)&amp;"."&amp;X$5</f>
        <v>egy.distn.cons_pc_na.dec.urb.2</v>
      </c>
      <c r="Y326" s="124">
        <f>Y316*Y$320</f>
        <v>78294.16598173941</v>
      </c>
      <c r="Z326" s="125">
        <f>Z316*Z$320</f>
        <v>32425.157594600278</v>
      </c>
      <c r="AA326" s="125">
        <f>AA316*AA$320</f>
        <v>45676.904950331504</v>
      </c>
      <c r="AB326" s="125">
        <f>AB316*AB$320</f>
        <v>52704.803798350615</v>
      </c>
      <c r="AC326" s="125">
        <f>AC316*AC$320</f>
        <v>56219.86307776958</v>
      </c>
      <c r="AD326" s="125">
        <f>AD316*AD$320</f>
        <v>71560.47360339531</v>
      </c>
      <c r="AE326" s="125">
        <f>AE316*AE$320</f>
        <v>70814.24784548278</v>
      </c>
      <c r="AF326" s="125">
        <f>AF316*AF$320</f>
        <v>79236.67272925268</v>
      </c>
      <c r="AG326" s="125">
        <f>AG316*AG$320</f>
        <v>94025.40574100541</v>
      </c>
      <c r="AH326" s="125">
        <f>AH316*AH$320</f>
        <v>119004.3063770608</v>
      </c>
      <c r="AI326" s="125">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33" t="inlineStr">
        <is>
          <t>HHSurvey cons_pc_acrent x adjustment</t>
        </is>
      </c>
      <c r="K327" s="9" t="str">
        <f>LOWER(CtryCode)&amp;".distn."&amp;$A327&amp;IF($B327="","","."&amp;$B327)&amp;IF($C327="","",".dec."&amp;$C327)&amp;"."&amp;K$5</f>
        <v>egy.distn.cons_pc_na.dec.rur.1</v>
      </c>
      <c r="L327" s="124">
        <f>L317*L$320</f>
        <v>67129.32578082396</v>
      </c>
      <c r="M327" s="125">
        <f>M317*M$320</f>
        <v>28686.98119961501</v>
      </c>
      <c r="N327" s="125">
        <f>N317*N$320</f>
        <v>35235.7495176723</v>
      </c>
      <c r="O327" s="125">
        <f>O317*O$320</f>
        <v>40913.14893752201</v>
      </c>
      <c r="P327" s="125">
        <f>P317*P$320</f>
        <v>47503.40974257878</v>
      </c>
      <c r="Q327" s="125">
        <f>Q317*Q$320</f>
        <v>54064.65098496186</v>
      </c>
      <c r="R327" s="125">
        <f>R317*R$320</f>
        <v>57606.66211273085</v>
      </c>
      <c r="S327" s="125">
        <f>S317*S$320</f>
        <v>67456.15618178237</v>
      </c>
      <c r="T327" s="125">
        <f>T317*T$320</f>
        <v>72144.70441310348</v>
      </c>
      <c r="U327" s="125">
        <f>U317*U$320</f>
        <v>84222.193409462</v>
      </c>
      <c r="V327" s="125">
        <f>V317*V$320</f>
        <v>126740.95867935666</v>
      </c>
      <c r="W327" s="207" t="str">
        <f>IF(X$5=K$5,SUM(Y327:AI327)-SUM(L327:V327),"")</f>
        <v/>
      </c>
      <c r="X327" s="9" t="str">
        <f>LOWER(CtryCode)&amp;".distn."&amp;$A327&amp;IF($B327="","","."&amp;$B327)&amp;IF($C327="","",".dec."&amp;$C327)&amp;"."&amp;X$5</f>
        <v>egy.distn.cons_pc_na.dec.rur.2</v>
      </c>
      <c r="Y327" s="124">
        <f>Y317*Y$320</f>
        <v>67129.32578082396</v>
      </c>
      <c r="Z327" s="125">
        <f>Z317*Z$320</f>
        <v>28686.98119961501</v>
      </c>
      <c r="AA327" s="125">
        <f>AA317*AA$320</f>
        <v>35235.7495176723</v>
      </c>
      <c r="AB327" s="125">
        <f>AB317*AB$320</f>
        <v>40913.14893752201</v>
      </c>
      <c r="AC327" s="125">
        <f>AC317*AC$320</f>
        <v>47503.40974257878</v>
      </c>
      <c r="AD327" s="125">
        <f>AD317*AD$320</f>
        <v>54064.65098496186</v>
      </c>
      <c r="AE327" s="125">
        <f>AE317*AE$320</f>
        <v>57606.66211273085</v>
      </c>
      <c r="AF327" s="125">
        <f>AF317*AF$320</f>
        <v>67456.15618178237</v>
      </c>
      <c r="AG327" s="125">
        <f>AG317*AG$320</f>
        <v>72144.70441310348</v>
      </c>
      <c r="AH327" s="125">
        <f>AH317*AH$320</f>
        <v>84222.193409462</v>
      </c>
      <c r="AI327" s="125">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33" t="inlineStr">
        <is>
          <t>per capita x population</t>
        </is>
      </c>
      <c r="K328" s="9" t="str">
        <f>LOWER(CtryCode)&amp;".distn."&amp;$A328&amp;IF($B328="","","."&amp;$B328)&amp;IF($C328="","",".dec."&amp;$C328)&amp;"."&amp;K$5</f>
        <v>egy.distn.tot_cons_na.dec.urb.1</v>
      </c>
      <c r="L328" s="217">
        <f>L326*L323</f>
        <v>4049129017454.3335</v>
      </c>
      <c r="M328" s="218">
        <f>M326*M323</f>
        <v>179105319449.8824</v>
      </c>
      <c r="N328" s="218">
        <f>N326*N323</f>
        <v>243269189134.69876</v>
      </c>
      <c r="O328" s="218">
        <f>O326*O323</f>
        <v>284849198869.7397</v>
      </c>
      <c r="P328" s="218">
        <f>P326*P323</f>
        <v>310498547778.4626</v>
      </c>
      <c r="Q328" s="218">
        <f>Q326*Q323</f>
        <v>420023235753.0786</v>
      </c>
      <c r="R328" s="218">
        <f>R326*R323</f>
        <v>407455409984.9871</v>
      </c>
      <c r="S328" s="218">
        <f>S326*S323</f>
        <v>468753882092.82587</v>
      </c>
      <c r="T328" s="218">
        <f>T326*T323</f>
        <v>545578732824.2575</v>
      </c>
      <c r="U328" s="218">
        <f>U326*U323</f>
        <v>653956368327.6941</v>
      </c>
      <c r="V328" s="218">
        <f>V326*V323</f>
        <v>1014038474031.4927</v>
      </c>
      <c r="W328" s="207" t="str">
        <f>IF(X$5=K$5,SUM(Y328:AI328)-SUM(L328:V328),"")</f>
        <v/>
      </c>
      <c r="X328" s="9" t="str">
        <f>LOWER(CtryCode)&amp;".distn."&amp;$A328&amp;IF($B328="","","."&amp;$B328)&amp;IF($C328="","",".dec."&amp;$C328)&amp;"."&amp;X$5</f>
        <v>egy.distn.tot_cons_na.dec.urb.2</v>
      </c>
      <c r="Y328" s="217">
        <f>Y326*Y323</f>
        <v>4049129017454.3335</v>
      </c>
      <c r="Z328" s="218">
        <f>Z326*Z323</f>
        <v>179105319449.8824</v>
      </c>
      <c r="AA328" s="218">
        <f>AA326*AA323</f>
        <v>243269189134.69876</v>
      </c>
      <c r="AB328" s="218">
        <f>AB326*AB323</f>
        <v>284849198869.7397</v>
      </c>
      <c r="AC328" s="218">
        <f>AC326*AC323</f>
        <v>310498547778.4626</v>
      </c>
      <c r="AD328" s="218">
        <f>AD326*AD323</f>
        <v>420023235753.0786</v>
      </c>
      <c r="AE328" s="218">
        <f>AE326*AE323</f>
        <v>407455409984.9871</v>
      </c>
      <c r="AF328" s="218">
        <f>AF326*AF323</f>
        <v>468753882092.82587</v>
      </c>
      <c r="AG328" s="218">
        <f>AG326*AG323</f>
        <v>545578732824.2575</v>
      </c>
      <c r="AH328" s="218">
        <f>AH326*AH323</f>
        <v>653956368327.6941</v>
      </c>
      <c r="AI328" s="218">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33" t="inlineStr">
        <is>
          <t>per capita x population</t>
        </is>
      </c>
      <c r="K329" s="9" t="str">
        <f>LOWER(CtryCode)&amp;".distn."&amp;$A329&amp;IF($B329="","","."&amp;$B329)&amp;IF($C329="","",".dec."&amp;$C329)&amp;"."&amp;K$5</f>
        <v>egy.distn.tot_cons_na.dec.rur.1</v>
      </c>
      <c r="L329" s="217">
        <f>L327*L324</f>
        <v>4565119838754.343</v>
      </c>
      <c r="M329" s="218">
        <f>M327*M324</f>
        <v>182412947964.83932</v>
      </c>
      <c r="N329" s="218">
        <f>N327*N324</f>
        <v>217671969195.48758</v>
      </c>
      <c r="O329" s="218">
        <f>O327*O324</f>
        <v>280277023438.82477</v>
      </c>
      <c r="P329" s="218">
        <f>P327*P324</f>
        <v>296239560503.0448</v>
      </c>
      <c r="Q329" s="218">
        <f>Q327*Q324</f>
        <v>334618902529.576</v>
      </c>
      <c r="R329" s="218">
        <f>R327*R324</f>
        <v>385889668631.51935</v>
      </c>
      <c r="S329" s="218">
        <f>S327*S324</f>
        <v>462943413890.86145</v>
      </c>
      <c r="T329" s="218">
        <f>T327*T324</f>
        <v>476245702558.2531</v>
      </c>
      <c r="U329" s="218">
        <f>U327*U324</f>
        <v>531211579783.1203</v>
      </c>
      <c r="V329" s="218">
        <f>V327*V324</f>
        <v>883929403281.124</v>
      </c>
      <c r="W329" s="207" t="str">
        <f>IF(X$5=K$5,SUM(Y329:AI329)-SUM(L329:V329),"")</f>
        <v/>
      </c>
      <c r="X329" s="9" t="str">
        <f>LOWER(CtryCode)&amp;".distn."&amp;$A329&amp;IF($B329="","","."&amp;$B329)&amp;IF($C329="","",".dec."&amp;$C329)&amp;"."&amp;X$5</f>
        <v>egy.distn.tot_cons_na.dec.rur.2</v>
      </c>
      <c r="Y329" s="217">
        <f>Y327*Y324</f>
        <v>4565119838754.343</v>
      </c>
      <c r="Z329" s="218">
        <f>Z327*Z324</f>
        <v>182412947964.83932</v>
      </c>
      <c r="AA329" s="218">
        <f>AA327*AA324</f>
        <v>217671969195.48758</v>
      </c>
      <c r="AB329" s="218">
        <f>AB327*AB324</f>
        <v>280277023438.82477</v>
      </c>
      <c r="AC329" s="218">
        <f>AC327*AC324</f>
        <v>296239560503.0448</v>
      </c>
      <c r="AD329" s="218">
        <f>AD327*AD324</f>
        <v>334618902529.576</v>
      </c>
      <c r="AE329" s="218">
        <f>AE327*AE324</f>
        <v>385889668631.51935</v>
      </c>
      <c r="AF329" s="218">
        <f>AF327*AF324</f>
        <v>462943413890.86145</v>
      </c>
      <c r="AG329" s="218">
        <f>AG327*AG324</f>
        <v>476245702558.2531</v>
      </c>
      <c r="AH329" s="218">
        <f>AH327*AH324</f>
        <v>531211579783.1203</v>
      </c>
      <c r="AI329" s="218">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33" t="inlineStr">
        <is>
          <t>per capita x population</t>
        </is>
      </c>
      <c r="K331" s="9" t="str">
        <f>LOWER(CtryCode)&amp;".distn."&amp;$A331&amp;IF($B331="","","."&amp;$B331)&amp;IF($C331="","",".dec."&amp;$C331)&amp;"."&amp;K$5</f>
        <v>egy.distn.tot_cons_na.dec.ove.1</v>
      </c>
      <c r="L331" s="219">
        <f>L325*L322</f>
        <v>9138080429470.723</v>
      </c>
      <c r="M331" s="220">
        <f>M325*M322</f>
        <v>347604223750.0759</v>
      </c>
      <c r="N331" s="220">
        <f>N325*N322</f>
        <v>435211028821.8013</v>
      </c>
      <c r="O331" s="220">
        <f>O325*O322</f>
        <v>611217278193.0449</v>
      </c>
      <c r="P331" s="220">
        <f>P325*P322</f>
        <v>655357444410.5137</v>
      </c>
      <c r="Q331" s="220">
        <f>Q325*Q322</f>
        <v>705152307297.3392</v>
      </c>
      <c r="R331" s="220">
        <f>R325*R322</f>
        <v>824159892463.1056</v>
      </c>
      <c r="S331" s="220">
        <f>S325*S322</f>
        <v>961869164245.4373</v>
      </c>
      <c r="T331" s="220">
        <f>T325*T322</f>
        <v>1155257263141.3008</v>
      </c>
      <c r="U331" s="220">
        <f>U325*U322</f>
        <v>1263383731192.2407</v>
      </c>
      <c r="V331" s="220">
        <f>V325*V322</f>
        <v>1695909796282.2305</v>
      </c>
      <c r="W331" s="207" t="str">
        <f>IF(X$5=K$5,SUM(Y331:AI331)-SUM(L331:V331),"")</f>
        <v/>
      </c>
      <c r="X331" s="9" t="str">
        <f>LOWER(CtryCode)&amp;".distn."&amp;$A331&amp;IF($B331="","","."&amp;$B331)&amp;IF($C331="","",".dec."&amp;$C331)&amp;"."&amp;X$5</f>
        <v>egy.distn.tot_cons_na.dec.ove.2</v>
      </c>
      <c r="Y331" s="219">
        <f>Y325*Y322</f>
        <v>9138080429470.723</v>
      </c>
      <c r="Z331" s="220">
        <f>Z325*Z322</f>
        <v>347604223750.0759</v>
      </c>
      <c r="AA331" s="220">
        <f>AA325*AA322</f>
        <v>435211028821.8013</v>
      </c>
      <c r="AB331" s="220">
        <f>AB325*AB322</f>
        <v>611217278193.0449</v>
      </c>
      <c r="AC331" s="220">
        <f>AC325*AC322</f>
        <v>655357444410.5137</v>
      </c>
      <c r="AD331" s="220">
        <f>AD325*AD322</f>
        <v>705152307297.3392</v>
      </c>
      <c r="AE331" s="220">
        <f>AE325*AE322</f>
        <v>824159892463.1056</v>
      </c>
      <c r="AF331" s="220">
        <f>AF325*AF322</f>
        <v>961869164245.4373</v>
      </c>
      <c r="AG331" s="220">
        <f>AG325*AG322</f>
        <v>1155257263141.3008</v>
      </c>
      <c r="AH331" s="220">
        <f>AH325*AH322</f>
        <v>1263383731192.2407</v>
      </c>
      <c r="AI331" s="220">
        <f>AI325*AI322</f>
        <v>1695909796282.2305</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33" t="inlineStr">
        <is>
          <t>MTInputs EXPLabortax x revenue</t>
        </is>
      </c>
      <c r="K335" s="9" t="str">
        <f>LOWER(CtryCode)&amp;".distn."&amp;$A335&amp;IF($B335="","","."&amp;$B335)&amp;IF($C335="","",".dec."&amp;$C335)&amp;"."&amp;K$5</f>
        <v>egy.distn.rpit.1</v>
      </c>
      <c r="L335" s="124">
        <f>L$86*L$24/PctPerUnit</f>
        <v>0.0</v>
      </c>
      <c r="M335" s="125">
        <f>L335</f>
        <v>0.0</v>
      </c>
      <c r="N335" s="125">
        <f>M335</f>
        <v>0.0</v>
      </c>
      <c r="O335" s="125">
        <f>N335</f>
        <v>0.0</v>
      </c>
      <c r="P335" s="125">
        <f>O335</f>
        <v>0.0</v>
      </c>
      <c r="Q335" s="125">
        <f>P335</f>
        <v>0.0</v>
      </c>
      <c r="R335" s="125">
        <f>Q335</f>
        <v>0.0</v>
      </c>
      <c r="S335" s="125">
        <f>R335</f>
        <v>0.0</v>
      </c>
      <c r="T335" s="125">
        <f>S335</f>
        <v>0.0</v>
      </c>
      <c r="U335" s="125">
        <f>T335</f>
        <v>0.0</v>
      </c>
      <c r="V335" s="125">
        <f>U335</f>
        <v>0.0</v>
      </c>
      <c r="W335" s="207" t="str">
        <f>IF(X$5=K$5,SUM(Y335:AI335)-SUM(L335:V335),"")</f>
        <v/>
      </c>
      <c r="X335" s="9" t="str">
        <f>LOWER(CtryCode)&amp;".distn."&amp;$A335&amp;IF($B335="","","."&amp;$B335)&amp;IF($C335="","",".dec."&amp;$C335)&amp;"."&amp;X$5</f>
        <v>egy.distn.rpit.2</v>
      </c>
      <c r="Y335" s="124">
        <f>Y$86*Y$24/PctPerUnit</f>
        <v>22669375835.236874</v>
      </c>
      <c r="Z335" s="125">
        <f>Y335</f>
        <v>22669375835.236874</v>
      </c>
      <c r="AA335" s="125">
        <f>Z335</f>
        <v>22669375835.236874</v>
      </c>
      <c r="AB335" s="125">
        <f>AA335</f>
        <v>22669375835.236874</v>
      </c>
      <c r="AC335" s="125">
        <f>AB335</f>
        <v>22669375835.236874</v>
      </c>
      <c r="AD335" s="125">
        <f>AC335</f>
        <v>22669375835.236874</v>
      </c>
      <c r="AE335" s="125">
        <f>AD335</f>
        <v>22669375835.236874</v>
      </c>
      <c r="AF335" s="125">
        <f>AE335</f>
        <v>22669375835.236874</v>
      </c>
      <c r="AG335" s="125">
        <f>AF335</f>
        <v>22669375835.236874</v>
      </c>
      <c r="AH335" s="125">
        <f>AG335</f>
        <v>22669375835.236874</v>
      </c>
      <c r="AI335" s="125">
        <f>AH335</f>
        <v>22669375835.236874</v>
      </c>
    </row>
    <row r="336" hidden="1" outlineLevel="1">
      <c r="A336" s="62" t="inlineStr">
        <is>
          <t>rpui</t>
        </is>
      </c>
      <c r="B336" s="3" t="inlineStr"/>
      <c r="C336" s="3" t="inlineStr"/>
      <c r="D336" s="3" t="n"/>
      <c r="E336" s="3" t="n"/>
      <c r="H336" s="3" t="inlineStr">
        <is>
          <t>Revenue to public investment</t>
        </is>
      </c>
      <c r="I336" s="3" t="inlineStr">
        <is>
          <t>LCU</t>
        </is>
      </c>
      <c r="J336" s="133" t="inlineStr">
        <is>
          <t>MTInputs EXPCapex x revenue</t>
        </is>
      </c>
      <c r="K336" s="9" t="str">
        <f>LOWER(CtryCode)&amp;".distn."&amp;$A336&amp;IF($B336="","","."&amp;$B336)&amp;IF($C336="","",".dec."&amp;$C336)&amp;"."&amp;K$5</f>
        <v>egy.distn.rpui.1</v>
      </c>
      <c r="L336" s="124">
        <f>L$86*L$25/PctPerUnit</f>
        <v>0.0</v>
      </c>
      <c r="M336" s="125">
        <f>L336</f>
        <v>0.0</v>
      </c>
      <c r="N336" s="125">
        <f>M336</f>
        <v>0.0</v>
      </c>
      <c r="O336" s="125">
        <f>N336</f>
        <v>0.0</v>
      </c>
      <c r="P336" s="125">
        <f>O336</f>
        <v>0.0</v>
      </c>
      <c r="Q336" s="125">
        <f>P336</f>
        <v>0.0</v>
      </c>
      <c r="R336" s="125">
        <f>Q336</f>
        <v>0.0</v>
      </c>
      <c r="S336" s="125">
        <f>R336</f>
        <v>0.0</v>
      </c>
      <c r="T336" s="125">
        <f>S336</f>
        <v>0.0</v>
      </c>
      <c r="U336" s="125">
        <f>T336</f>
        <v>0.0</v>
      </c>
      <c r="V336" s="125">
        <f>U336</f>
        <v>0.0</v>
      </c>
      <c r="W336" s="207" t="str">
        <f>IF(X$5=K$5,SUM(Y336:AI336)-SUM(L336:V336),"")</f>
        <v/>
      </c>
      <c r="X336" s="9" t="str">
        <f>LOWER(CtryCode)&amp;".distn."&amp;$A336&amp;IF($B336="","","."&amp;$B336)&amp;IF($C336="","",".dec."&amp;$C336)&amp;"."&amp;X$5</f>
        <v>egy.distn.rpui.2</v>
      </c>
      <c r="Y336" s="124">
        <f>Y$86*Y$25/PctPerUnit</f>
        <v>37782293058.72813</v>
      </c>
      <c r="Z336" s="125">
        <f>Y336</f>
        <v>37782293058.72813</v>
      </c>
      <c r="AA336" s="125">
        <f>Z336</f>
        <v>37782293058.72813</v>
      </c>
      <c r="AB336" s="125">
        <f>AA336</f>
        <v>37782293058.72813</v>
      </c>
      <c r="AC336" s="125">
        <f>AB336</f>
        <v>37782293058.72813</v>
      </c>
      <c r="AD336" s="125">
        <f>AC336</f>
        <v>37782293058.72813</v>
      </c>
      <c r="AE336" s="125">
        <f>AD336</f>
        <v>37782293058.72813</v>
      </c>
      <c r="AF336" s="125">
        <f>AE336</f>
        <v>37782293058.72813</v>
      </c>
      <c r="AG336" s="125">
        <f>AF336</f>
        <v>37782293058.72813</v>
      </c>
      <c r="AH336" s="125">
        <f>AG336</f>
        <v>37782293058.72813</v>
      </c>
      <c r="AI336" s="125">
        <f>AH336</f>
        <v>37782293058.72813</v>
      </c>
    </row>
    <row r="337" hidden="1" outlineLevel="1">
      <c r="A337" s="62" t="inlineStr">
        <is>
          <t>rcts</t>
        </is>
      </c>
      <c r="B337" s="3" t="inlineStr"/>
      <c r="C337" s="3" t="inlineStr"/>
      <c r="D337" s="3" t="n"/>
      <c r="E337" s="3" t="n"/>
      <c r="H337" s="3" t="inlineStr">
        <is>
          <t>Revenue to current spending</t>
        </is>
      </c>
      <c r="I337" s="3" t="inlineStr">
        <is>
          <t>LCU</t>
        </is>
      </c>
      <c r="J337" s="133" t="inlineStr">
        <is>
          <t>MTInputs EXPGoodsandserv x revenue</t>
        </is>
      </c>
      <c r="K337" s="9" t="str">
        <f>LOWER(CtryCode)&amp;".distn."&amp;$A337&amp;IF($B337="","","."&amp;$B337)&amp;IF($C337="","",".dec."&amp;$C337)&amp;"."&amp;K$5</f>
        <v>egy.distn.rcts.1</v>
      </c>
      <c r="L337" s="124">
        <f>L$86*L$26/PctPerUnit</f>
        <v>0.0</v>
      </c>
      <c r="M337" s="125">
        <f>L337</f>
        <v>0.0</v>
      </c>
      <c r="N337" s="125">
        <f>M337</f>
        <v>0.0</v>
      </c>
      <c r="O337" s="125">
        <f>N337</f>
        <v>0.0</v>
      </c>
      <c r="P337" s="125">
        <f>O337</f>
        <v>0.0</v>
      </c>
      <c r="Q337" s="125">
        <f>P337</f>
        <v>0.0</v>
      </c>
      <c r="R337" s="125">
        <f>Q337</f>
        <v>0.0</v>
      </c>
      <c r="S337" s="125">
        <f>R337</f>
        <v>0.0</v>
      </c>
      <c r="T337" s="125">
        <f>S337</f>
        <v>0.0</v>
      </c>
      <c r="U337" s="125">
        <f>T337</f>
        <v>0.0</v>
      </c>
      <c r="V337" s="125">
        <f>U337</f>
        <v>0.0</v>
      </c>
      <c r="W337" s="207" t="str">
        <f>IF(X$5=K$5,SUM(Y337:AI337)-SUM(L337:V337),"")</f>
        <v/>
      </c>
      <c r="X337" s="9" t="str">
        <f>LOWER(CtryCode)&amp;".distn."&amp;$A337&amp;IF($B337="","","."&amp;$B337)&amp;IF($C337="","",".dec."&amp;$C337)&amp;"."&amp;X$5</f>
        <v>egy.distn.rcts.2</v>
      </c>
      <c r="Y337" s="124">
        <f>Y$86*Y$26/PctPerUnit</f>
        <v>0.0</v>
      </c>
      <c r="Z337" s="125">
        <f>Y337</f>
        <v>0.0</v>
      </c>
      <c r="AA337" s="125">
        <f>Z337</f>
        <v>0.0</v>
      </c>
      <c r="AB337" s="125">
        <f>AA337</f>
        <v>0.0</v>
      </c>
      <c r="AC337" s="125">
        <f>AB337</f>
        <v>0.0</v>
      </c>
      <c r="AD337" s="125">
        <f>AC337</f>
        <v>0.0</v>
      </c>
      <c r="AE337" s="125">
        <f>AD337</f>
        <v>0.0</v>
      </c>
      <c r="AF337" s="125">
        <f>AE337</f>
        <v>0.0</v>
      </c>
      <c r="AG337" s="125">
        <f>AF337</f>
        <v>0.0</v>
      </c>
      <c r="AH337" s="125">
        <f>AG337</f>
        <v>0.0</v>
      </c>
      <c r="AI337" s="125">
        <f>AH337</f>
        <v>0.0</v>
      </c>
    </row>
    <row r="338" hidden="1" outlineLevel="1">
      <c r="A338" s="62" t="inlineStr">
        <is>
          <t>rtgt</t>
        </is>
      </c>
      <c r="B338" s="3" t="inlineStr"/>
      <c r="C338" s="3" t="inlineStr"/>
      <c r="D338" s="3" t="n"/>
      <c r="E338" s="3" t="n"/>
      <c r="H338" s="3" t="inlineStr">
        <is>
          <t>Revenue to targeted transfers</t>
        </is>
      </c>
      <c r="I338" s="3" t="inlineStr">
        <is>
          <t>LCU</t>
        </is>
      </c>
      <c r="J338" s="133" t="inlineStr">
        <is>
          <t>MTInputs EXPTransfers x revenue</t>
        </is>
      </c>
      <c r="K338" s="9" t="str">
        <f>LOWER(CtryCode)&amp;".distn."&amp;$A338&amp;IF($B338="","","."&amp;$B338)&amp;IF($C338="","",".dec."&amp;$C338)&amp;"."&amp;K$5</f>
        <v>egy.distn.rtgt.1</v>
      </c>
      <c r="L338" s="124">
        <f>L$86*L$27/PctPerUnit</f>
        <v>0.0</v>
      </c>
      <c r="M338" s="125">
        <f>L338</f>
        <v>0.0</v>
      </c>
      <c r="N338" s="125">
        <f>M338</f>
        <v>0.0</v>
      </c>
      <c r="O338" s="125">
        <f>N338</f>
        <v>0.0</v>
      </c>
      <c r="P338" s="125">
        <f>O338</f>
        <v>0.0</v>
      </c>
      <c r="Q338" s="125">
        <f>P338</f>
        <v>0.0</v>
      </c>
      <c r="R338" s="125">
        <f>Q338</f>
        <v>0.0</v>
      </c>
      <c r="S338" s="125">
        <f>R338</f>
        <v>0.0</v>
      </c>
      <c r="T338" s="125">
        <f>S338</f>
        <v>0.0</v>
      </c>
      <c r="U338" s="125">
        <f>T338</f>
        <v>0.0</v>
      </c>
      <c r="V338" s="125">
        <f>U338</f>
        <v>0.0</v>
      </c>
      <c r="W338" s="207" t="str">
        <f>IF(X$5=K$5,SUM(Y338:AI338)-SUM(L338:V338),"")</f>
        <v/>
      </c>
      <c r="X338" s="9" t="str">
        <f>LOWER(CtryCode)&amp;".distn."&amp;$A338&amp;IF($B338="","","."&amp;$B338)&amp;IF($C338="","",".dec."&amp;$C338)&amp;"."&amp;X$5</f>
        <v>egy.distn.rtgt.2</v>
      </c>
      <c r="Y338" s="124">
        <f>Y$86*Y$27/PctPerUnit</f>
        <v>15112917223.49125</v>
      </c>
      <c r="Z338" s="125">
        <f>Y338</f>
        <v>15112917223.49125</v>
      </c>
      <c r="AA338" s="125">
        <f>Z338</f>
        <v>15112917223.49125</v>
      </c>
      <c r="AB338" s="125">
        <f>AA338</f>
        <v>15112917223.49125</v>
      </c>
      <c r="AC338" s="125">
        <f>AB338</f>
        <v>15112917223.49125</v>
      </c>
      <c r="AD338" s="125">
        <f>AC338</f>
        <v>15112917223.49125</v>
      </c>
      <c r="AE338" s="125">
        <f>AD338</f>
        <v>15112917223.49125</v>
      </c>
      <c r="AF338" s="125">
        <f>AE338</f>
        <v>15112917223.49125</v>
      </c>
      <c r="AG338" s="125">
        <f>AF338</f>
        <v>15112917223.49125</v>
      </c>
      <c r="AH338" s="125">
        <f>AG338</f>
        <v>15112917223.49125</v>
      </c>
      <c r="AI338" s="125">
        <f>AH338</f>
        <v>15112917223.49125</v>
      </c>
    </row>
    <row r="339" hidden="1" outlineLevel="1">
      <c r="A339" s="62" t="inlineStr">
        <is>
          <t>poptot</t>
        </is>
      </c>
      <c r="B339" s="3" t="inlineStr"/>
      <c r="C339" s="3" t="inlineStr"/>
      <c r="D339" s="3" t="n"/>
      <c r="E339" s="3" t="n"/>
      <c r="H339" s="3" t="inlineStr">
        <is>
          <t>Population, sum of the deciles</t>
        </is>
      </c>
      <c r="I339" s="3" t="inlineStr">
        <is>
          <t>persons m</t>
        </is>
      </c>
      <c r="J339" s="133" t="inlineStr">
        <is>
          <t>Section 7</t>
        </is>
      </c>
      <c r="K339" s="9" t="str">
        <f>LOWER(CtryCode)&amp;".distn."&amp;$A339&amp;IF($B339="","","."&amp;$B339)&amp;IF($C339="","",".dec."&amp;$C339)&amp;"."&amp;K$5</f>
        <v>egy.distn.poptot.1</v>
      </c>
      <c r="L339" s="212">
        <f>SUM(M322:V322)</f>
        <v>118581173.22060943</v>
      </c>
      <c r="M339" s="213">
        <f>L339</f>
        <v>118581173.22060943</v>
      </c>
      <c r="N339" s="213">
        <f>M339</f>
        <v>118581173.22060943</v>
      </c>
      <c r="O339" s="213">
        <f>N339</f>
        <v>118581173.22060943</v>
      </c>
      <c r="P339" s="213">
        <f>O339</f>
        <v>118581173.22060943</v>
      </c>
      <c r="Q339" s="213">
        <f>P339</f>
        <v>118581173.22060943</v>
      </c>
      <c r="R339" s="213">
        <f>Q339</f>
        <v>118581173.22060943</v>
      </c>
      <c r="S339" s="213">
        <f>R339</f>
        <v>118581173.22060943</v>
      </c>
      <c r="T339" s="213">
        <f>S339</f>
        <v>118581173.22060943</v>
      </c>
      <c r="U339" s="213">
        <f>T339</f>
        <v>118581173.22060943</v>
      </c>
      <c r="V339" s="213">
        <f>U339</f>
        <v>118581173.22060943</v>
      </c>
      <c r="W339" s="207" t="str">
        <f>IF(X$5=K$5,SUM(Y339:AI339)-SUM(L339:V339),"")</f>
        <v/>
      </c>
      <c r="X339" s="9" t="str">
        <f>LOWER(CtryCode)&amp;".distn."&amp;$A339&amp;IF($B339="","","."&amp;$B339)&amp;IF($C339="","",".dec."&amp;$C339)&amp;"."&amp;X$5</f>
        <v>egy.distn.poptot.2</v>
      </c>
      <c r="Y339" s="212">
        <f>SUM(Z322:AI322)</f>
        <v>118581173.22060943</v>
      </c>
      <c r="Z339" s="213">
        <f>Y339</f>
        <v>118581173.22060943</v>
      </c>
      <c r="AA339" s="213">
        <f>Z339</f>
        <v>118581173.22060943</v>
      </c>
      <c r="AB339" s="213">
        <f>AA339</f>
        <v>118581173.22060943</v>
      </c>
      <c r="AC339" s="213">
        <f>AB339</f>
        <v>118581173.22060943</v>
      </c>
      <c r="AD339" s="213">
        <f>AC339</f>
        <v>118581173.22060943</v>
      </c>
      <c r="AE339" s="213">
        <f>AD339</f>
        <v>118581173.22060943</v>
      </c>
      <c r="AF339" s="213">
        <f>AE339</f>
        <v>118581173.22060943</v>
      </c>
      <c r="AG339" s="213">
        <f>AF339</f>
        <v>118581173.22060943</v>
      </c>
      <c r="AH339" s="213">
        <f>AG339</f>
        <v>118581173.22060943</v>
      </c>
      <c r="AI339" s="213">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33" t="inlineStr">
        <is>
          <t>HHSurvey indv (legacy I164)</t>
        </is>
      </c>
      <c r="K342" s="9" t="str">
        <f>LOWER(CtryCode)&amp;".distn."&amp;$A342&amp;IF($B342="","","."&amp;$B342)&amp;IF($C342="","",".dec."&amp;$C342)&amp;"."&amp;K$5</f>
        <v>egy.distn.pitind.1</v>
      </c>
      <c r="L342" s="208">
        <f>INDEX(DHHVal,MATCH(CtryCode&amp;".distn.bsh.dec.ove."&amp;L$9&amp;".1",DHHKey,0),MATCH("indv",DHHVar,0))</f>
        <v>1.569999477391376</v>
      </c>
      <c r="M342" s="203">
        <f>L342</f>
        <v>1.569999477391376</v>
      </c>
      <c r="N342" s="203">
        <f>M342</f>
        <v>1.569999477391376</v>
      </c>
      <c r="O342" s="203">
        <f>N342</f>
        <v>1.569999477391376</v>
      </c>
      <c r="P342" s="203">
        <f>O342</f>
        <v>1.569999477391376</v>
      </c>
      <c r="Q342" s="203">
        <f>P342</f>
        <v>1.569999477391376</v>
      </c>
      <c r="R342" s="203">
        <f>Q342</f>
        <v>1.569999477391376</v>
      </c>
      <c r="S342" s="203">
        <f>R342</f>
        <v>1.569999477391376</v>
      </c>
      <c r="T342" s="203">
        <f>S342</f>
        <v>1.569999477391376</v>
      </c>
      <c r="U342" s="203">
        <f>T342</f>
        <v>1.569999477391376</v>
      </c>
      <c r="V342" s="203">
        <f>U342</f>
        <v>1.569999477391376</v>
      </c>
      <c r="W342" s="207" t="str">
        <f>IF(X$5=K$5,SUM(Y342:AI342)-SUM(L342:V342),"")</f>
        <v/>
      </c>
      <c r="X342" s="9" t="str">
        <f>LOWER(CtryCode)&amp;".distn."&amp;$A342&amp;IF($B342="","","."&amp;$B342)&amp;IF($C342="","",".dec."&amp;$C342)&amp;"."&amp;X$5</f>
        <v>egy.distn.pitind.2</v>
      </c>
      <c r="Y342" s="208">
        <f>INDEX(DHHVal,MATCH(CtryCode&amp;".distn.bsh.dec.ove."&amp;Y$9&amp;".1",DHHKey,0),MATCH("indv",DHHVar,0))</f>
        <v>1.569999477391376</v>
      </c>
      <c r="Z342" s="203">
        <f>Y342</f>
        <v>1.569999477391376</v>
      </c>
      <c r="AA342" s="203">
        <f>Z342</f>
        <v>1.569999477391376</v>
      </c>
      <c r="AB342" s="203">
        <f>AA342</f>
        <v>1.569999477391376</v>
      </c>
      <c r="AC342" s="203">
        <f>AB342</f>
        <v>1.569999477391376</v>
      </c>
      <c r="AD342" s="203">
        <f>AC342</f>
        <v>1.569999477391376</v>
      </c>
      <c r="AE342" s="203">
        <f>AD342</f>
        <v>1.569999477391376</v>
      </c>
      <c r="AF342" s="203">
        <f>AE342</f>
        <v>1.569999477391376</v>
      </c>
      <c r="AG342" s="203">
        <f>AF342</f>
        <v>1.569999477391376</v>
      </c>
      <c r="AH342" s="203">
        <f>AG342</f>
        <v>1.569999477391376</v>
      </c>
      <c r="AI342" s="203">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33" t="inlineStr">
        <is>
          <t>legacy I165</t>
        </is>
      </c>
      <c r="K343" s="9" t="str">
        <f>LOWER(CtryCode)&amp;".distn."&amp;$A343&amp;IF($B343="","","."&amp;$B343)&amp;IF($C343="","",".dec."&amp;$C343)&amp;"."&amp;K$5</f>
        <v>egy.distn.pitbase.1</v>
      </c>
      <c r="L343" s="217">
        <f>L$83*L$342/PctPerUnit</f>
        <v>173749096453.61755</v>
      </c>
      <c r="M343" s="218">
        <f>L343</f>
        <v>173749096453.61755</v>
      </c>
      <c r="N343" s="218">
        <f>M343</f>
        <v>173749096453.61755</v>
      </c>
      <c r="O343" s="218">
        <f>N343</f>
        <v>173749096453.61755</v>
      </c>
      <c r="P343" s="218">
        <f>O343</f>
        <v>173749096453.61755</v>
      </c>
      <c r="Q343" s="218">
        <f>P343</f>
        <v>173749096453.61755</v>
      </c>
      <c r="R343" s="218">
        <f>Q343</f>
        <v>173749096453.61755</v>
      </c>
      <c r="S343" s="218">
        <f>R343</f>
        <v>173749096453.61755</v>
      </c>
      <c r="T343" s="218">
        <f>S343</f>
        <v>173749096453.61755</v>
      </c>
      <c r="U343" s="218">
        <f>T343</f>
        <v>173749096453.61755</v>
      </c>
      <c r="V343" s="218">
        <f>U343</f>
        <v>173749096453.61755</v>
      </c>
      <c r="W343" s="207" t="str">
        <f>IF(X$5=K$5,SUM(Y343:AI343)-SUM(L343:V343),"")</f>
        <v/>
      </c>
      <c r="X343" s="9" t="str">
        <f>LOWER(CtryCode)&amp;".distn."&amp;$A343&amp;IF($B343="","","."&amp;$B343)&amp;IF($C343="","",".dec."&amp;$C343)&amp;"."&amp;X$5</f>
        <v>egy.distn.pitbase.2</v>
      </c>
      <c r="Y343" s="217">
        <f>Y$83*Y$342/PctPerUnit</f>
        <v>173749096453.61755</v>
      </c>
      <c r="Z343" s="218">
        <f>Y343</f>
        <v>173749096453.61755</v>
      </c>
      <c r="AA343" s="218">
        <f>Z343</f>
        <v>173749096453.61755</v>
      </c>
      <c r="AB343" s="218">
        <f>AA343</f>
        <v>173749096453.61755</v>
      </c>
      <c r="AC343" s="218">
        <f>AB343</f>
        <v>173749096453.61755</v>
      </c>
      <c r="AD343" s="218">
        <f>AC343</f>
        <v>173749096453.61755</v>
      </c>
      <c r="AE343" s="218">
        <f>AD343</f>
        <v>173749096453.61755</v>
      </c>
      <c r="AF343" s="218">
        <f>AE343</f>
        <v>173749096453.61755</v>
      </c>
      <c r="AG343" s="218">
        <f>AF343</f>
        <v>173749096453.61755</v>
      </c>
      <c r="AH343" s="218">
        <f>AG343</f>
        <v>173749096453.61755</v>
      </c>
      <c r="AI343" s="218">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33"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7"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33" t="inlineStr">
        <is>
          <t>HHSurvey pit_share_*</t>
        </is>
      </c>
      <c r="K345" s="9" t="str">
        <f>LOWER(CtryCode)&amp;".distn."&amp;$A345&amp;IF($B345="","","."&amp;$B345)&amp;IF($C345="","",".dec."&amp;$C345)&amp;"."&amp;K$5</f>
        <v>egy.distn.pitsh.dec.ove.1</v>
      </c>
      <c r="M345" s="203">
        <f>INDEX(DHHVal,MATCH(CtryCode&amp;".distn.bsh."&amp;M$10&amp;"ove."&amp;M$9&amp;M$11,DHHKey,0),MATCH(M$344,DHHVar,0))</f>
        <v>0.8108662071532077</v>
      </c>
      <c r="N345" s="203">
        <f>INDEX(DHHVal,MATCH(CtryCode&amp;".distn.bsh."&amp;N$10&amp;"ove."&amp;N$9&amp;N$11,DHHKey,0),MATCH(N$344,DHHVar,0))</f>
        <v>2.133190162369108</v>
      </c>
      <c r="O345" s="203">
        <f>INDEX(DHHVal,MATCH(CtryCode&amp;".distn.bsh."&amp;O$10&amp;"ove."&amp;O$9&amp;O$11,DHHKey,0),MATCH(O$344,DHHVar,0))</f>
        <v>2.7818909842869</v>
      </c>
      <c r="P345" s="203">
        <f>INDEX(DHHVal,MATCH(CtryCode&amp;".distn.bsh."&amp;P$10&amp;"ove."&amp;P$9&amp;P$11,DHHKey,0),MATCH(P$344,DHHVar,0))</f>
        <v>3.920200006865426</v>
      </c>
      <c r="Q345" s="203">
        <f>INDEX(DHHVal,MATCH(CtryCode&amp;".distn.bsh."&amp;Q$10&amp;"ove."&amp;Q$9&amp;Q$11,DHHKey,0),MATCH(Q$344,DHHVar,0))</f>
        <v>4.84792142443234</v>
      </c>
      <c r="R345" s="203">
        <f>INDEX(DHHVal,MATCH(CtryCode&amp;".distn.bsh."&amp;R$10&amp;"ove."&amp;R$9&amp;R$11,DHHKey,0),MATCH(R$344,DHHVar,0))</f>
        <v>6.786554669451694</v>
      </c>
      <c r="S345" s="203">
        <f>INDEX(DHHVal,MATCH(CtryCode&amp;".distn.bsh."&amp;S$10&amp;"ove."&amp;S$9&amp;S$11,DHHKey,0),MATCH(S$344,DHHVar,0))</f>
        <v>7.980679048785937</v>
      </c>
      <c r="T345" s="203">
        <f>INDEX(DHHVal,MATCH(CtryCode&amp;".distn.bsh."&amp;T$10&amp;"ove."&amp;T$9&amp;T$11,DHHKey,0),MATCH(T$344,DHHVar,0))</f>
        <v>10.0775307091063</v>
      </c>
      <c r="U345" s="203">
        <f>INDEX(DHHVal,MATCH(CtryCode&amp;".distn.bsh."&amp;U$10&amp;"ove."&amp;U$9&amp;U$11,DHHKey,0),MATCH(U$344,DHHVar,0))</f>
        <v>14.40506356886309</v>
      </c>
      <c r="V345" s="203">
        <f>INDEX(DHHVal,MATCH(CtryCode&amp;".distn.bsh."&amp;V$10&amp;"ove."&amp;V$9&amp;V$11,DHHKey,0),MATCH(V$344,DHHVar,0))</f>
        <v>55.49076775269468</v>
      </c>
      <c r="W345" s="207" t="str">
        <f>IF(X$5=K$5,SUM(Y345:AI345)-SUM(L345:V345),"")</f>
        <v/>
      </c>
      <c r="X345" s="9" t="str">
        <f>LOWER(CtryCode)&amp;".distn."&amp;$A345&amp;IF($B345="","","."&amp;$B345)&amp;IF($C345="","",".dec."&amp;$C345)&amp;"."&amp;X$5</f>
        <v>egy.distn.pitsh.dec.ove.2</v>
      </c>
      <c r="Z345" s="203">
        <f>INDEX(DHHVal,MATCH(CtryCode&amp;".distn.bsh."&amp;Z$10&amp;"ove."&amp;Z$9&amp;Z$11,DHHKey,0),MATCH(Z$344,DHHVar,0))</f>
        <v>0.8108662071532077</v>
      </c>
      <c r="AA345" s="203">
        <f>INDEX(DHHVal,MATCH(CtryCode&amp;".distn.bsh."&amp;AA$10&amp;"ove."&amp;AA$9&amp;AA$11,DHHKey,0),MATCH(AA$344,DHHVar,0))</f>
        <v>2.133190162369108</v>
      </c>
      <c r="AB345" s="203">
        <f>INDEX(DHHVal,MATCH(CtryCode&amp;".distn.bsh."&amp;AB$10&amp;"ove."&amp;AB$9&amp;AB$11,DHHKey,0),MATCH(AB$344,DHHVar,0))</f>
        <v>2.7818909842869</v>
      </c>
      <c r="AC345" s="203">
        <f>INDEX(DHHVal,MATCH(CtryCode&amp;".distn.bsh."&amp;AC$10&amp;"ove."&amp;AC$9&amp;AC$11,DHHKey,0),MATCH(AC$344,DHHVar,0))</f>
        <v>3.920200006865426</v>
      </c>
      <c r="AD345" s="203">
        <f>INDEX(DHHVal,MATCH(CtryCode&amp;".distn.bsh."&amp;AD$10&amp;"ove."&amp;AD$9&amp;AD$11,DHHKey,0),MATCH(AD$344,DHHVar,0))</f>
        <v>4.84792142443234</v>
      </c>
      <c r="AE345" s="203">
        <f>INDEX(DHHVal,MATCH(CtryCode&amp;".distn.bsh."&amp;AE$10&amp;"ove."&amp;AE$9&amp;AE$11,DHHKey,0),MATCH(AE$344,DHHVar,0))</f>
        <v>6.786554669451694</v>
      </c>
      <c r="AF345" s="203">
        <f>INDEX(DHHVal,MATCH(CtryCode&amp;".distn.bsh."&amp;AF$10&amp;"ove."&amp;AF$9&amp;AF$11,DHHKey,0),MATCH(AF$344,DHHVar,0))</f>
        <v>7.980679048785937</v>
      </c>
      <c r="AG345" s="203">
        <f>INDEX(DHHVal,MATCH(CtryCode&amp;".distn.bsh."&amp;AG$10&amp;"ove."&amp;AG$9&amp;AG$11,DHHKey,0),MATCH(AG$344,DHHVar,0))</f>
        <v>10.0775307091063</v>
      </c>
      <c r="AH345" s="203">
        <f>INDEX(DHHVal,MATCH(CtryCode&amp;".distn.bsh."&amp;AH$10&amp;"ove."&amp;AH$9&amp;AH$11,DHHKey,0),MATCH(AH$344,DHHVar,0))</f>
        <v>14.40506356886309</v>
      </c>
      <c r="AI345" s="203">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33" t="inlineStr">
        <is>
          <t>legacy row 2731</t>
        </is>
      </c>
      <c r="K346" s="9" t="str">
        <f>LOWER(CtryCode)&amp;".distn."&amp;$A346&amp;IF($B346="","","."&amp;$B346)&amp;IF($C346="","",".dec."&amp;$C346)&amp;"."&amp;K$5</f>
        <v>egy.distn.pitshtot.1</v>
      </c>
      <c r="L346" s="208">
        <f>SUM(M345:V345)</f>
        <v>109.23466453400869</v>
      </c>
      <c r="M346" s="203">
        <f>L346</f>
        <v>109.23466453400869</v>
      </c>
      <c r="N346" s="203">
        <f>M346</f>
        <v>109.23466453400869</v>
      </c>
      <c r="O346" s="203">
        <f>N346</f>
        <v>109.23466453400869</v>
      </c>
      <c r="P346" s="203">
        <f>O346</f>
        <v>109.23466453400869</v>
      </c>
      <c r="Q346" s="203">
        <f>P346</f>
        <v>109.23466453400869</v>
      </c>
      <c r="R346" s="203">
        <f>Q346</f>
        <v>109.23466453400869</v>
      </c>
      <c r="S346" s="203">
        <f>R346</f>
        <v>109.23466453400869</v>
      </c>
      <c r="T346" s="203">
        <f>S346</f>
        <v>109.23466453400869</v>
      </c>
      <c r="U346" s="203">
        <f>T346</f>
        <v>109.23466453400869</v>
      </c>
      <c r="V346" s="203">
        <f>U346</f>
        <v>109.23466453400869</v>
      </c>
      <c r="W346" s="207" t="str">
        <f>IF(X$5=K$5,SUM(Y346:AI346)-SUM(L346:V346),"")</f>
        <v/>
      </c>
      <c r="X346" s="9" t="str">
        <f>LOWER(CtryCode)&amp;".distn."&amp;$A346&amp;IF($B346="","","."&amp;$B346)&amp;IF($C346="","",".dec."&amp;$C346)&amp;"."&amp;X$5</f>
        <v>egy.distn.pitshtot.2</v>
      </c>
      <c r="Y346" s="208">
        <f>SUM(Z345:AI345)</f>
        <v>109.23466453400869</v>
      </c>
      <c r="Z346" s="203">
        <f>Y346</f>
        <v>109.23466453400869</v>
      </c>
      <c r="AA346" s="203">
        <f>Z346</f>
        <v>109.23466453400869</v>
      </c>
      <c r="AB346" s="203">
        <f>AA346</f>
        <v>109.23466453400869</v>
      </c>
      <c r="AC346" s="203">
        <f>AB346</f>
        <v>109.23466453400869</v>
      </c>
      <c r="AD346" s="203">
        <f>AC346</f>
        <v>109.23466453400869</v>
      </c>
      <c r="AE346" s="203">
        <f>AD346</f>
        <v>109.23466453400869</v>
      </c>
      <c r="AF346" s="203">
        <f>AE346</f>
        <v>109.23466453400869</v>
      </c>
      <c r="AG346" s="203">
        <f>AF346</f>
        <v>109.23466453400869</v>
      </c>
      <c r="AH346" s="203">
        <f>AG346</f>
        <v>109.23466453400869</v>
      </c>
      <c r="AI346" s="203">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33" t="inlineStr">
        <is>
          <t>legacy rows 2732-2733</t>
        </is>
      </c>
      <c r="K347" s="9" t="str">
        <f>LOWER(CtryCode)&amp;".distn."&amp;$A347&amp;IF($B347="","","."&amp;$B347)&amp;IF($C347="","",".dec."&amp;$C347)&amp;"."&amp;K$5</f>
        <v>egy.distn.pitpc.dec.ove.1</v>
      </c>
      <c r="M347" s="125">
        <f>M$343*M345/M$346/M322</f>
        <v>112.83367442548285</v>
      </c>
      <c r="N347" s="125">
        <f>N$343*N345/N$346/N322</f>
        <v>302.11257452145367</v>
      </c>
      <c r="O347" s="125">
        <f>O$343*O345/O$346/O322</f>
        <v>346.51943353789096</v>
      </c>
      <c r="P347" s="125">
        <f>P$343*P345/P$346/P322</f>
        <v>542.8441078232789</v>
      </c>
      <c r="Q347" s="125">
        <f>Q$343*Q345/Q$346/Q322</f>
        <v>658.030821419881</v>
      </c>
      <c r="R347" s="125">
        <f>R$343*R345/R$346/R322</f>
        <v>838.7881730736415</v>
      </c>
      <c r="S347" s="125">
        <f>S$343*S345/S$346/S322</f>
        <v>1060.7239955929736</v>
      </c>
      <c r="T347" s="125">
        <f>T$343*T345/T$346/T322</f>
        <v>1280.45666974236</v>
      </c>
      <c r="U347" s="125">
        <f>U$343*U345/U$346/U322</f>
        <v>1993.2426640731692</v>
      </c>
      <c r="V347" s="125">
        <f>V$343*V345/V$346/V322</f>
        <v>7955.881524331038</v>
      </c>
      <c r="W347" s="207" t="str">
        <f>IF(X$5=K$5,SUM(Y347:AI347)-SUM(L347:V347),"")</f>
        <v/>
      </c>
      <c r="X347" s="9" t="str">
        <f>LOWER(CtryCode)&amp;".distn."&amp;$A347&amp;IF($B347="","","."&amp;$B347)&amp;IF($C347="","",".dec."&amp;$C347)&amp;"."&amp;X$5</f>
        <v>egy.distn.pitpc.dec.ove.2</v>
      </c>
      <c r="Z347" s="125">
        <f>Z$343*Z345/Z$346/Z322</f>
        <v>112.83367442548285</v>
      </c>
      <c r="AA347" s="125">
        <f>AA$343*AA345/AA$346/AA322</f>
        <v>302.11257452145367</v>
      </c>
      <c r="AB347" s="125">
        <f>AB$343*AB345/AB$346/AB322</f>
        <v>346.51943353789096</v>
      </c>
      <c r="AC347" s="125">
        <f>AC$343*AC345/AC$346/AC322</f>
        <v>542.8441078232789</v>
      </c>
      <c r="AD347" s="125">
        <f>AD$343*AD345/AD$346/AD322</f>
        <v>658.030821419881</v>
      </c>
      <c r="AE347" s="125">
        <f>AE$343*AE345/AE$346/AE322</f>
        <v>838.7881730736415</v>
      </c>
      <c r="AF347" s="125">
        <f>AF$343*AF345/AF$346/AF322</f>
        <v>1060.7239955929736</v>
      </c>
      <c r="AG347" s="125">
        <f>AG$343*AG345/AG$346/AG322</f>
        <v>1280.45666974236</v>
      </c>
      <c r="AH347" s="125">
        <f>AH$343*AH345/AH$346/AH322</f>
        <v>1993.2426640731692</v>
      </c>
      <c r="AI347" s="125">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33" t="inlineStr">
        <is>
          <t>legacy P2736</t>
        </is>
      </c>
      <c r="K348" s="9" t="str">
        <f>LOWER(CtryCode)&amp;".distn."&amp;$A348&amp;IF($B348="","","."&amp;$B348)&amp;IF($C348="","",".dec."&amp;$C348)&amp;"."&amp;K$5</f>
        <v>egy.distn.pitmax.1</v>
      </c>
      <c r="L348" s="124">
        <f>L$335/L$339</f>
        <v>0.0</v>
      </c>
      <c r="M348" s="125">
        <f>L348</f>
        <v>0.0</v>
      </c>
      <c r="N348" s="125">
        <f>M348</f>
        <v>0.0</v>
      </c>
      <c r="O348" s="125">
        <f>N348</f>
        <v>0.0</v>
      </c>
      <c r="P348" s="125">
        <f>O348</f>
        <v>0.0</v>
      </c>
      <c r="Q348" s="125">
        <f>P348</f>
        <v>0.0</v>
      </c>
      <c r="R348" s="125">
        <f>Q348</f>
        <v>0.0</v>
      </c>
      <c r="S348" s="125">
        <f>R348</f>
        <v>0.0</v>
      </c>
      <c r="T348" s="125">
        <f>S348</f>
        <v>0.0</v>
      </c>
      <c r="U348" s="125">
        <f>T348</f>
        <v>0.0</v>
      </c>
      <c r="V348" s="125">
        <f>U348</f>
        <v>0.0</v>
      </c>
      <c r="W348" s="207" t="str">
        <f>IF(X$5=K$5,SUM(Y348:AI348)-SUM(L348:V348),"")</f>
        <v/>
      </c>
      <c r="X348" s="9" t="str">
        <f>LOWER(CtryCode)&amp;".distn."&amp;$A348&amp;IF($B348="","","."&amp;$B348)&amp;IF($C348="","",".dec."&amp;$C348)&amp;"."&amp;X$5</f>
        <v>egy.distn.pitmax.2</v>
      </c>
      <c r="Y348" s="124">
        <f>Y$335/Y$339</f>
        <v>191.17179582177496</v>
      </c>
      <c r="Z348" s="125">
        <f>Y348</f>
        <v>191.17179582177496</v>
      </c>
      <c r="AA348" s="125">
        <f>Z348</f>
        <v>191.17179582177496</v>
      </c>
      <c r="AB348" s="125">
        <f>AA348</f>
        <v>191.17179582177496</v>
      </c>
      <c r="AC348" s="125">
        <f>AB348</f>
        <v>191.17179582177496</v>
      </c>
      <c r="AD348" s="125">
        <f>AC348</f>
        <v>191.17179582177496</v>
      </c>
      <c r="AE348" s="125">
        <f>AD348</f>
        <v>191.17179582177496</v>
      </c>
      <c r="AF348" s="125">
        <f>AE348</f>
        <v>191.17179582177496</v>
      </c>
      <c r="AG348" s="125">
        <f>AF348</f>
        <v>191.17179582177496</v>
      </c>
      <c r="AH348" s="125">
        <f>AG348</f>
        <v>191.17179582177496</v>
      </c>
      <c r="AI348" s="125">
        <f>AH348</f>
        <v>191.17179582177496</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33" t="inlineStr">
        <is>
          <t>legacy row 2738</t>
        </is>
      </c>
      <c r="K349" s="9" t="str">
        <f>LOWER(CtryCode)&amp;".distn."&amp;$A349&amp;IF($B349="","","."&amp;$B349)&amp;IF($C349="","",".dec."&amp;$C349)&amp;"."&amp;K$5</f>
        <v>egy.distn.pitgap.dec.ove.1</v>
      </c>
      <c r="M349" s="125">
        <f>MAX(M$348-M347,0)</f>
        <v>0.0</v>
      </c>
      <c r="N349" s="125">
        <f>MAX(N$348-N347,0)</f>
        <v>0.0</v>
      </c>
      <c r="O349" s="125">
        <f>MAX(O$348-O347,0)</f>
        <v>0.0</v>
      </c>
      <c r="P349" s="125">
        <f>MAX(P$348-P347,0)</f>
        <v>0.0</v>
      </c>
      <c r="Q349" s="125">
        <f>MAX(Q$348-Q347,0)</f>
        <v>0.0</v>
      </c>
      <c r="R349" s="125">
        <f>MAX(R$348-R347,0)</f>
        <v>0.0</v>
      </c>
      <c r="S349" s="125">
        <f>MAX(S$348-S347,0)</f>
        <v>0.0</v>
      </c>
      <c r="T349" s="125">
        <f>MAX(T$348-T347,0)</f>
        <v>0.0</v>
      </c>
      <c r="U349" s="125">
        <f>MAX(U$348-U347,0)</f>
        <v>0.0</v>
      </c>
      <c r="V349" s="125">
        <f>MAX(V$348-V347,0)</f>
        <v>0.0</v>
      </c>
      <c r="W349" s="207" t="str">
        <f>IF(X$5=K$5,SUM(Y349:AI349)-SUM(L349:V349),"")</f>
        <v/>
      </c>
      <c r="X349" s="9" t="str">
        <f>LOWER(CtryCode)&amp;".distn."&amp;$A349&amp;IF($B349="","","."&amp;$B349)&amp;IF($C349="","",".dec."&amp;$C349)&amp;"."&amp;X$5</f>
        <v>egy.distn.pitgap.dec.ove.2</v>
      </c>
      <c r="Z349" s="125">
        <f>MAX(Z$348-Z347,0)</f>
        <v>78.33812139629211</v>
      </c>
      <c r="AA349" s="125">
        <f>MAX(AA$348-AA347,0)</f>
        <v>0.0</v>
      </c>
      <c r="AB349" s="125">
        <f>MAX(AB$348-AB347,0)</f>
        <v>0.0</v>
      </c>
      <c r="AC349" s="125">
        <f>MAX(AC$348-AC347,0)</f>
        <v>0.0</v>
      </c>
      <c r="AD349" s="125">
        <f>MAX(AD$348-AD347,0)</f>
        <v>0.0</v>
      </c>
      <c r="AE349" s="125">
        <f>MAX(AE$348-AE347,0)</f>
        <v>0.0</v>
      </c>
      <c r="AF349" s="125">
        <f>MAX(AF$348-AF347,0)</f>
        <v>0.0</v>
      </c>
      <c r="AG349" s="125">
        <f>MAX(AG$348-AG347,0)</f>
        <v>0.0</v>
      </c>
      <c r="AH349" s="125">
        <f>MAX(AH$348-AH347,0)</f>
        <v>0.0</v>
      </c>
      <c r="AI349" s="125">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33" t="inlineStr">
        <is>
          <t>legacy P2740</t>
        </is>
      </c>
      <c r="K350" s="9" t="str">
        <f>LOWER(CtryCode)&amp;".distn."&amp;$A350&amp;IF($B350="","","."&amp;$B350)&amp;IF($C350="","",".dec."&amp;$C350)&amp;"."&amp;K$5</f>
        <v>egy.distn.pitextra.1</v>
      </c>
      <c r="L350" s="124">
        <f>SUMPRODUCT(M349:V349,M322:V322)/L$339</f>
        <v>0.0</v>
      </c>
      <c r="M350" s="125">
        <f>L350</f>
        <v>0.0</v>
      </c>
      <c r="N350" s="125">
        <f>M350</f>
        <v>0.0</v>
      </c>
      <c r="O350" s="125">
        <f>N350</f>
        <v>0.0</v>
      </c>
      <c r="P350" s="125">
        <f>O350</f>
        <v>0.0</v>
      </c>
      <c r="Q350" s="125">
        <f>P350</f>
        <v>0.0</v>
      </c>
      <c r="R350" s="125">
        <f>Q350</f>
        <v>0.0</v>
      </c>
      <c r="S350" s="125">
        <f>R350</f>
        <v>0.0</v>
      </c>
      <c r="T350" s="125">
        <f>S350</f>
        <v>0.0</v>
      </c>
      <c r="U350" s="125">
        <f>T350</f>
        <v>0.0</v>
      </c>
      <c r="V350" s="125">
        <f>U350</f>
        <v>0.0</v>
      </c>
      <c r="W350" s="207" t="str">
        <f>IF(X$5=K$5,SUM(Y350:AI350)-SUM(L350:V350),"")</f>
        <v/>
      </c>
      <c r="X350" s="9" t="str">
        <f>LOWER(CtryCode)&amp;".distn."&amp;$A350&amp;IF($B350="","","."&amp;$B350)&amp;IF($C350="","",".dec."&amp;$C350)&amp;"."&amp;X$5</f>
        <v>egy.distn.pitextra.2</v>
      </c>
      <c r="Y350" s="124">
        <f>SUMPRODUCT(Z349:AI349,Z322:AI322)/Y$339</f>
        <v>7.55144312423171</v>
      </c>
      <c r="Z350" s="125">
        <f>Y350</f>
        <v>7.55144312423171</v>
      </c>
      <c r="AA350" s="125">
        <f>Z350</f>
        <v>7.55144312423171</v>
      </c>
      <c r="AB350" s="125">
        <f>AA350</f>
        <v>7.55144312423171</v>
      </c>
      <c r="AC350" s="125">
        <f>AB350</f>
        <v>7.55144312423171</v>
      </c>
      <c r="AD350" s="125">
        <f>AC350</f>
        <v>7.55144312423171</v>
      </c>
      <c r="AE350" s="125">
        <f>AD350</f>
        <v>7.55144312423171</v>
      </c>
      <c r="AF350" s="125">
        <f>AE350</f>
        <v>7.55144312423171</v>
      </c>
      <c r="AG350" s="125">
        <f>AF350</f>
        <v>7.55144312423171</v>
      </c>
      <c r="AH350" s="125">
        <f>AG350</f>
        <v>7.55144312423171</v>
      </c>
      <c r="AI350" s="125">
        <f>AH350</f>
        <v>7.55144312423171</v>
      </c>
    </row>
    <row r="351" hidden="1" outlineLevel="1">
      <c r="A351" s="62" t="inlineStr">
        <is>
          <t>pitpa</t>
        </is>
      </c>
      <c r="B351" s="3" t="inlineStr"/>
      <c r="C351" s="3" t="inlineStr">
        <is>
          <t>ove</t>
        </is>
      </c>
      <c r="D351" s="3" t="n"/>
      <c r="E351" s="3" t="n"/>
      <c r="H351" s="3" t="inlineStr">
        <is>
          <t>Personal allowance</t>
        </is>
      </c>
      <c r="I351" s="3" t="inlineStr">
        <is>
          <t>LCU</t>
        </is>
      </c>
      <c r="J351" s="133" t="inlineStr">
        <is>
          <t>legacy row 2741</t>
        </is>
      </c>
      <c r="K351" s="9" t="str">
        <f>LOWER(CtryCode)&amp;".distn."&amp;$A351&amp;IF($B351="","","."&amp;$B351)&amp;IF($C351="","",".dec."&amp;$C351)&amp;"."&amp;K$5</f>
        <v>egy.distn.pitpa.dec.ove.1</v>
      </c>
      <c r="M351" s="125">
        <f>MIN(M$348,M347)+M$350</f>
        <v>0.0</v>
      </c>
      <c r="N351" s="125">
        <f>MIN(N$348,N347)+N$350</f>
        <v>0.0</v>
      </c>
      <c r="O351" s="125">
        <f>MIN(O$348,O347)+O$350</f>
        <v>0.0</v>
      </c>
      <c r="P351" s="125">
        <f>MIN(P$348,P347)+P$350</f>
        <v>0.0</v>
      </c>
      <c r="Q351" s="125">
        <f>MIN(Q$348,Q347)+Q$350</f>
        <v>0.0</v>
      </c>
      <c r="R351" s="125">
        <f>MIN(R$348,R347)+R$350</f>
        <v>0.0</v>
      </c>
      <c r="S351" s="125">
        <f>MIN(S$348,S347)+S$350</f>
        <v>0.0</v>
      </c>
      <c r="T351" s="125">
        <f>MIN(T$348,T347)+T$350</f>
        <v>0.0</v>
      </c>
      <c r="U351" s="125">
        <f>MIN(U$348,U347)+U$350</f>
        <v>0.0</v>
      </c>
      <c r="V351" s="125">
        <f>MIN(V$348,V347)+V$350</f>
        <v>0.0</v>
      </c>
      <c r="W351" s="207" t="str">
        <f>IF(X$5=K$5,SUM(Y351:AI351)-SUM(L351:V351),"")</f>
        <v/>
      </c>
      <c r="X351" s="9" t="str">
        <f>LOWER(CtryCode)&amp;".distn."&amp;$A351&amp;IF($B351="","","."&amp;$B351)&amp;IF($C351="","",".dec."&amp;$C351)&amp;"."&amp;X$5</f>
        <v>egy.distn.pitpa.dec.ove.2</v>
      </c>
      <c r="Z351" s="125">
        <f>MIN(Z$348,Z347)+Z$350</f>
        <v>120.38511754971456</v>
      </c>
      <c r="AA351" s="125">
        <f>MIN(AA$348,AA347)+AA$350</f>
        <v>198.7232389460067</v>
      </c>
      <c r="AB351" s="125">
        <f>MIN(AB$348,AB347)+AB$350</f>
        <v>198.7232389460067</v>
      </c>
      <c r="AC351" s="125">
        <f>MIN(AC$348,AC347)+AC$350</f>
        <v>198.7232389460067</v>
      </c>
      <c r="AD351" s="125">
        <f>MIN(AD$348,AD347)+AD$350</f>
        <v>198.7232389460067</v>
      </c>
      <c r="AE351" s="125">
        <f>MIN(AE$348,AE347)+AE$350</f>
        <v>198.7232389460067</v>
      </c>
      <c r="AF351" s="125">
        <f>MIN(AF$348,AF347)+AF$350</f>
        <v>198.7232389460067</v>
      </c>
      <c r="AG351" s="125">
        <f>MIN(AG$348,AG347)+AG$350</f>
        <v>198.7232389460067</v>
      </c>
      <c r="AH351" s="125">
        <f>MIN(AH$348,AH347)+AH$350</f>
        <v>198.7232389460067</v>
      </c>
      <c r="AI351" s="125">
        <f>MIN(AI$348,AI347)+AI$350</f>
        <v>198.7232389460067</v>
      </c>
    </row>
    <row r="352" hidden="1" outlineLevel="1">
      <c r="A352" s="62" t="inlineStr">
        <is>
          <t>pitprop</t>
        </is>
      </c>
      <c r="B352" s="3" t="inlineStr"/>
      <c r="C352" s="3" t="inlineStr">
        <is>
          <t>ove</t>
        </is>
      </c>
      <c r="D352" s="3" t="n"/>
      <c r="E352" s="3" t="n"/>
      <c r="H352" s="3" t="inlineStr">
        <is>
          <t>Proportional compensation</t>
        </is>
      </c>
      <c r="I352" s="3" t="inlineStr">
        <is>
          <t>LCU</t>
        </is>
      </c>
      <c r="J352" s="133" t="inlineStr">
        <is>
          <t>legacy row 2758</t>
        </is>
      </c>
      <c r="K352" s="9" t="str">
        <f>LOWER(CtryCode)&amp;".distn."&amp;$A352&amp;IF($B352="","","."&amp;$B352)&amp;IF($C352="","",".dec."&amp;$C352)&amp;"."&amp;K$5</f>
        <v>egy.distn.pitprop.dec.ove.1</v>
      </c>
      <c r="M352" s="125">
        <f>M347*M$335/M$343</f>
        <v>0.0</v>
      </c>
      <c r="N352" s="125">
        <f>N347*N$335/N$343</f>
        <v>0.0</v>
      </c>
      <c r="O352" s="125">
        <f>O347*O$335/O$343</f>
        <v>0.0</v>
      </c>
      <c r="P352" s="125">
        <f>P347*P$335/P$343</f>
        <v>0.0</v>
      </c>
      <c r="Q352" s="125">
        <f>Q347*Q$335/Q$343</f>
        <v>0.0</v>
      </c>
      <c r="R352" s="125">
        <f>R347*R$335/R$343</f>
        <v>0.0</v>
      </c>
      <c r="S352" s="125">
        <f>S347*S$335/S$343</f>
        <v>0.0</v>
      </c>
      <c r="T352" s="125">
        <f>T347*T$335/T$343</f>
        <v>0.0</v>
      </c>
      <c r="U352" s="125">
        <f>U347*U$335/U$343</f>
        <v>0.0</v>
      </c>
      <c r="V352" s="125">
        <f>V347*V$335/V$343</f>
        <v>0.0</v>
      </c>
      <c r="W352" s="207" t="str">
        <f>IF(X$5=K$5,SUM(Y352:AI352)-SUM(L352:V352),"")</f>
        <v/>
      </c>
      <c r="X352" s="9" t="str">
        <f>LOWER(CtryCode)&amp;".distn."&amp;$A352&amp;IF($B352="","","."&amp;$B352)&amp;IF($C352="","",".dec."&amp;$C352)&amp;"."&amp;X$5</f>
        <v>egy.distn.pitprop.dec.ove.2</v>
      </c>
      <c r="Z352" s="125">
        <f>Z347*Z$335/Z$343</f>
        <v>14.72162459909454</v>
      </c>
      <c r="AA352" s="125">
        <f>AA347*AA$335/AA$343</f>
        <v>39.41720352028482</v>
      </c>
      <c r="AB352" s="125">
        <f>AB347*AB$335/AB$343</f>
        <v>45.21105106972936</v>
      </c>
      <c r="AC352" s="125">
        <f>AC347*AC$335/AC$343</f>
        <v>70.82590558089514</v>
      </c>
      <c r="AD352" s="125">
        <f>AD347*AD$335/AD$343</f>
        <v>85.85453568628523</v>
      </c>
      <c r="AE352" s="125">
        <f>AE347*AE$335/AE$343</f>
        <v>109.43829193744388</v>
      </c>
      <c r="AF352" s="125">
        <f>AF347*AF$335/AF$343</f>
        <v>138.39468178167098</v>
      </c>
      <c r="AG352" s="125">
        <f>AG347*AG$335/AG$343</f>
        <v>167.06362265817108</v>
      </c>
      <c r="AH352" s="125">
        <f>AH347*AH$335/AH$343</f>
        <v>260.06217013488634</v>
      </c>
      <c r="AI352" s="125">
        <f>AI347*AI$335/AI$343</f>
        <v>1038.0190289152001</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33" t="inlineStr">
        <is>
          <t>legacy row 2749</t>
        </is>
      </c>
      <c r="K353" s="9" t="str">
        <f>LOWER(CtryCode)&amp;".distn."&amp;$A353&amp;IF($B353="","","."&amp;$B353)&amp;IF($C353="","",".dec."&amp;$C353)&amp;"."&amp;K$5</f>
        <v>egy.distn.pitcum.dec.ove.1</v>
      </c>
      <c r="M353" s="218">
        <f>L353+M347*M322</f>
        <v>1289767048.2045417</v>
      </c>
      <c r="N353" s="218">
        <f>M353+N347*N322</f>
        <v>4682827894.37929</v>
      </c>
      <c r="O353" s="218">
        <f>N353+O347*O322</f>
        <v>9107714875.213375</v>
      </c>
      <c r="P353" s="218">
        <f>O353+P347*P322</f>
        <v>15343200762.555231</v>
      </c>
      <c r="Q353" s="218">
        <f>P353+Q347*Q322</f>
        <v>23054324065.46068</v>
      </c>
      <c r="R353" s="218">
        <f>Q353+R347*R322</f>
        <v>33849045199.82363</v>
      </c>
      <c r="S353" s="218">
        <f>R353+S347*S322</f>
        <v>46543145371.48812</v>
      </c>
      <c r="T353" s="218">
        <f>S353+T347*T322</f>
        <v>62572506221.913635</v>
      </c>
      <c r="U353" s="218">
        <f>T353+U347*U322</f>
        <v>85485258232.67899</v>
      </c>
      <c r="V353" s="218">
        <f>U353+V347*V322</f>
        <v>173749096453.61755</v>
      </c>
      <c r="W353" s="207" t="str">
        <f>IF(X$5=K$5,SUM(Y353:AI353)-SUM(L353:V353),"")</f>
        <v/>
      </c>
      <c r="X353" s="9" t="str">
        <f>LOWER(CtryCode)&amp;".distn."&amp;$A353&amp;IF($B353="","","."&amp;$B353)&amp;IF($C353="","",".dec."&amp;$C353)&amp;"."&amp;X$5</f>
        <v>egy.distn.pitcum.dec.ove.2</v>
      </c>
      <c r="Z353" s="218">
        <f>Y353+Z347*Z322</f>
        <v>1289767048.2045417</v>
      </c>
      <c r="AA353" s="218">
        <f>Z353+AA347*AA322</f>
        <v>4682827894.37929</v>
      </c>
      <c r="AB353" s="218">
        <f>AA353+AB347*AB322</f>
        <v>9107714875.213375</v>
      </c>
      <c r="AC353" s="218">
        <f>AB353+AC347*AC322</f>
        <v>15343200762.555231</v>
      </c>
      <c r="AD353" s="218">
        <f>AC353+AD347*AD322</f>
        <v>23054324065.46068</v>
      </c>
      <c r="AE353" s="218">
        <f>AD353+AE347*AE322</f>
        <v>33849045199.82363</v>
      </c>
      <c r="AF353" s="218">
        <f>AE353+AF347*AF322</f>
        <v>46543145371.48812</v>
      </c>
      <c r="AG353" s="218">
        <f>AF353+AG347*AG322</f>
        <v>62572506221.913635</v>
      </c>
      <c r="AH353" s="218">
        <f>AG353+AH347*AH322</f>
        <v>85485258232.67899</v>
      </c>
      <c r="AI353" s="218">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33" t="inlineStr">
        <is>
          <t>legacy rows 2747-2752 (cap: PIT revenue)</t>
        </is>
      </c>
      <c r="K354" s="9" t="str">
        <f>LOWER(CtryCode)&amp;".distn."&amp;$A354&amp;IF($B354="","","."&amp;$B354)&amp;IF($C354="","",".dec."&amp;$C354)&amp;"."&amp;K$5</f>
        <v>egy.distn.pitte.dec.ove.1</v>
      </c>
      <c r="M354" s="125">
        <f>IF(M$1&lt;=M$29,MIN(M347,MAX(M$335-L353,0)/M322),0)</f>
        <v>0.0</v>
      </c>
      <c r="N354" s="125">
        <f>IF(N$1&lt;=N$29,MIN(N347,MAX(N$335-M353,0)/N322),0)</f>
        <v>0.0</v>
      </c>
      <c r="O354" s="125">
        <f>IF(O$1&lt;=O$29,MIN(O347,MAX(O$335-N353,0)/O322),0)</f>
        <v>0.0</v>
      </c>
      <c r="P354" s="125">
        <f>IF(P$1&lt;=P$29,MIN(P347,MAX(P$335-O353,0)/P322),0)</f>
        <v>0.0</v>
      </c>
      <c r="Q354" s="125">
        <f>IF(Q$1&lt;=Q$29,MIN(Q347,MAX(Q$335-P353,0)/Q322),0)</f>
        <v>0.0</v>
      </c>
      <c r="R354" s="125">
        <f>IF(R$1&lt;=R$29,MIN(R347,MAX(R$335-Q353,0)/R322),0)</f>
        <v>0.0</v>
      </c>
      <c r="S354" s="125">
        <f>IF(S$1&lt;=S$29,MIN(S347,MAX(S$335-R353,0)/S322),0)</f>
        <v>0.0</v>
      </c>
      <c r="T354" s="125">
        <f>IF(T$1&lt;=T$29,MIN(T347,MAX(T$335-S353,0)/T322),0)</f>
        <v>0.0</v>
      </c>
      <c r="U354" s="125">
        <f>IF(U$1&lt;=U$29,MIN(U347,MAX(U$335-T353,0)/U322),0)</f>
        <v>0.0</v>
      </c>
      <c r="V354" s="125">
        <f>IF(V$1&lt;=V$29,MIN(V347,MAX(V$335-U353,0)/V322),0)</f>
        <v>0.0</v>
      </c>
      <c r="W354" s="207" t="str">
        <f>IF(X$5=K$5,SUM(Y354:AI354)-SUM(L354:V354),"")</f>
        <v/>
      </c>
      <c r="X354" s="9" t="str">
        <f>LOWER(CtryCode)&amp;".distn."&amp;$A354&amp;IF($B354="","","."&amp;$B354)&amp;IF($C354="","",".dec."&amp;$C354)&amp;"."&amp;X$5</f>
        <v>egy.distn.pitte.dec.ove.2</v>
      </c>
      <c r="Z354" s="125">
        <f>IF(Z$1&lt;=Z$29,MIN(Z347,MAX(Z$335-Y353,0)/Z322),0)</f>
        <v>112.83367442548285</v>
      </c>
      <c r="AA354" s="125">
        <f>IF(AA$1&lt;=AA$29,MIN(AA347,MAX(AA$335-Z353,0)/AA322),0)</f>
        <v>302.11257452145367</v>
      </c>
      <c r="AB354" s="125">
        <f>IF(AB$1&lt;=AB$29,MIN(AB347,MAX(AB$335-AA353,0)/AB322),0)</f>
        <v>346.51943353789096</v>
      </c>
      <c r="AC354" s="125">
        <f>IF(AC$1&lt;=AC$29,MIN(AC347,MAX(AC$335-AB353,0)/AC322),0)</f>
        <v>542.8441078232789</v>
      </c>
      <c r="AD354" s="125">
        <f>IF(AD$1&lt;=AD$29,MIN(AD347,MAX(AD$335-AC353,0)/AD322),0)</f>
        <v>0.0</v>
      </c>
      <c r="AE354" s="125">
        <f>IF(AE$1&lt;=AE$29,MIN(AE347,MAX(AE$335-AD353,0)/AE322),0)</f>
        <v>0.0</v>
      </c>
      <c r="AF354" s="125">
        <f>IF(AF$1&lt;=AF$29,MIN(AF347,MAX(AF$335-AE353,0)/AF322),0)</f>
        <v>0.0</v>
      </c>
      <c r="AG354" s="125">
        <f>IF(AG$1&lt;=AG$29,MIN(AG347,MAX(AG$335-AF353,0)/AG322),0)</f>
        <v>0.0</v>
      </c>
      <c r="AH354" s="125">
        <f>IF(AH$1&lt;=AH$29,MIN(AH347,MAX(AH$335-AG353,0)/AH322),0)</f>
        <v>0.0</v>
      </c>
      <c r="AI354" s="125">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33" t="inlineStr">
        <is>
          <t>legacy row 2763</t>
        </is>
      </c>
      <c r="K355" s="9" t="str">
        <f>LOWER(CtryCode)&amp;".distn."&amp;$A355&amp;IF($B355="","","."&amp;$B355)&amp;IF($C355="","",".dec."&amp;$C355)&amp;"."&amp;K$5</f>
        <v>egy.distn.pit.dec.ove.1</v>
      </c>
      <c r="M355" s="125">
        <f>IF(M$28="Personal Allowance",M351,IF(M$28="Proportional Compensation",M352,M354))</f>
        <v>0.0</v>
      </c>
      <c r="N355" s="125">
        <f>IF(N$28="Personal Allowance",N351,IF(N$28="Proportional Compensation",N352,N354))</f>
        <v>0.0</v>
      </c>
      <c r="O355" s="125">
        <f>IF(O$28="Personal Allowance",O351,IF(O$28="Proportional Compensation",O352,O354))</f>
        <v>0.0</v>
      </c>
      <c r="P355" s="125">
        <f>IF(P$28="Personal Allowance",P351,IF(P$28="Proportional Compensation",P352,P354))</f>
        <v>0.0</v>
      </c>
      <c r="Q355" s="125">
        <f>IF(Q$28="Personal Allowance",Q351,IF(Q$28="Proportional Compensation",Q352,Q354))</f>
        <v>0.0</v>
      </c>
      <c r="R355" s="125">
        <f>IF(R$28="Personal Allowance",R351,IF(R$28="Proportional Compensation",R352,R354))</f>
        <v>0.0</v>
      </c>
      <c r="S355" s="125">
        <f>IF(S$28="Personal Allowance",S351,IF(S$28="Proportional Compensation",S352,S354))</f>
        <v>0.0</v>
      </c>
      <c r="T355" s="125">
        <f>IF(T$28="Personal Allowance",T351,IF(T$28="Proportional Compensation",T352,T354))</f>
        <v>0.0</v>
      </c>
      <c r="U355" s="125">
        <f>IF(U$28="Personal Allowance",U351,IF(U$28="Proportional Compensation",U352,U354))</f>
        <v>0.0</v>
      </c>
      <c r="V355" s="125">
        <f>IF(V$28="Personal Allowance",V351,IF(V$28="Proportional Compensation",V352,V354))</f>
        <v>0.0</v>
      </c>
      <c r="W355" s="207" t="str">
        <f>IF(X$5=K$5,SUM(Y355:AI355)-SUM(L355:V355),"")</f>
        <v/>
      </c>
      <c r="X355" s="9" t="str">
        <f>LOWER(CtryCode)&amp;".distn."&amp;$A355&amp;IF($B355="","","."&amp;$B355)&amp;IF($C355="","",".dec."&amp;$C355)&amp;"."&amp;X$5</f>
        <v>egy.distn.pit.dec.ove.2</v>
      </c>
      <c r="Z355" s="85">
        <f>DPITPICK(Z$28,Z351,Z352,Z354)</f>
        <v>120.38511754971456</v>
      </c>
      <c r="AA355" s="85">
        <f>DPITPICK(AA$28,AA351,AA352,AA354)</f>
        <v>198.7232389460067</v>
      </c>
      <c r="AB355" s="85">
        <f>DPITPICK(AB$28,AB351,AB352,AB354)</f>
        <v>198.7232389460067</v>
      </c>
      <c r="AC355" s="85">
        <f>DPITPICK(AC$28,AC351,AC352,AC354)</f>
        <v>198.7232389460067</v>
      </c>
      <c r="AD355" s="85">
        <f>DPITPICK(AD$28,AD351,AD352,AD354)</f>
        <v>198.7232389460067</v>
      </c>
      <c r="AE355" s="85">
        <f>DPITPICK(AE$28,AE351,AE352,AE354)</f>
        <v>198.7232389460067</v>
      </c>
      <c r="AF355" s="85">
        <f>DPITPICK(AF$28,AF351,AF352,AF354)</f>
        <v>198.7232389460067</v>
      </c>
      <c r="AG355" s="85">
        <f>DPITPICK(AG$28,AG351,AG352,AG354)</f>
        <v>198.7232389460067</v>
      </c>
      <c r="AH355" s="85">
        <f>DPITPICK(AH$28,AH351,AH352,AH354)</f>
        <v>198.7232389460067</v>
      </c>
      <c r="AI355" s="85">
        <f>DPITPICK(AI$28,AI351,AI352,AI354)</f>
        <v>198.7232389460067</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33" t="inlineStr">
        <is>
          <t>legacy row 2560</t>
        </is>
      </c>
      <c r="K358" s="9" t="str">
        <f>LOWER(CtryCode)&amp;".distn."&amp;$A358&amp;IF($B358="","","."&amp;$B358)&amp;IF($C358="","",".dec."&amp;$C358)&amp;"."&amp;K$5</f>
        <v>egy.distn.popsh.dec.ove.1</v>
      </c>
      <c r="M358" s="203">
        <f>M322/M$339</f>
        <v>0.09639550948676609</v>
      </c>
      <c r="N358" s="203">
        <f>N322/N$339</f>
        <v>0.09471245698384248</v>
      </c>
      <c r="O358" s="203">
        <f>O322/O$339</f>
        <v>0.10768590045460126</v>
      </c>
      <c r="P358" s="203">
        <f>P322/P$339</f>
        <v>0.09686779846177623</v>
      </c>
      <c r="Q358" s="203">
        <f>Q322/Q$339</f>
        <v>0.09882246186926347</v>
      </c>
      <c r="R358" s="203">
        <f>R322/R$339</f>
        <v>0.10852839648426993</v>
      </c>
      <c r="S358" s="203">
        <f>S322/S$339</f>
        <v>0.10092152042076193</v>
      </c>
      <c r="T358" s="203">
        <f>T322/T$339</f>
        <v>0.10556879788472069</v>
      </c>
      <c r="U358" s="203">
        <f>U322/U$339</f>
        <v>0.09693962545827414</v>
      </c>
      <c r="V358" s="203">
        <f>V322/V$339</f>
        <v>0.09355753249572382</v>
      </c>
      <c r="W358" s="207" t="str">
        <f>IF(X$5=K$5,SUM(Y358:AI358)-SUM(L358:V358),"")</f>
        <v/>
      </c>
      <c r="X358" s="9" t="str">
        <f>LOWER(CtryCode)&amp;".distn."&amp;$A358&amp;IF($B358="","","."&amp;$B358)&amp;IF($C358="","",".dec."&amp;$C358)&amp;"."&amp;X$5</f>
        <v>egy.distn.popsh.dec.ove.2</v>
      </c>
      <c r="Z358" s="203">
        <f>Z322/Z$339</f>
        <v>0.09639550948676609</v>
      </c>
      <c r="AA358" s="203">
        <f>AA322/AA$339</f>
        <v>0.09471245698384248</v>
      </c>
      <c r="AB358" s="203">
        <f>AB322/AB$339</f>
        <v>0.10768590045460126</v>
      </c>
      <c r="AC358" s="203">
        <f>AC322/AC$339</f>
        <v>0.09686779846177623</v>
      </c>
      <c r="AD358" s="203">
        <f>AD322/AD$339</f>
        <v>0.09882246186926347</v>
      </c>
      <c r="AE358" s="203">
        <f>AE322/AE$339</f>
        <v>0.10852839648426993</v>
      </c>
      <c r="AF358" s="203">
        <f>AF322/AF$339</f>
        <v>0.10092152042076193</v>
      </c>
      <c r="AG358" s="203">
        <f>AG322/AG$339</f>
        <v>0.10556879788472069</v>
      </c>
      <c r="AH358" s="203">
        <f>AH322/AH$339</f>
        <v>0.09693962545827414</v>
      </c>
      <c r="AI358" s="203">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33" t="inlineStr">
        <is>
          <t>legacy row 2561</t>
        </is>
      </c>
      <c r="K359" s="9" t="str">
        <f>LOWER(CtryCode)&amp;".distn."&amp;$A359&amp;IF($B359="","","."&amp;$B359)&amp;IF($C359="","",".dec."&amp;$C359)&amp;"."&amp;K$5</f>
        <v>egy.distn.popcum.dec.ove.1</v>
      </c>
      <c r="M359" s="203">
        <f>L359+M358</f>
        <v>0.09639550948676609</v>
      </c>
      <c r="N359" s="203">
        <f>M359+N358</f>
        <v>0.19110796647060857</v>
      </c>
      <c r="O359" s="203">
        <f>N359+O358</f>
        <v>0.2987938669252098</v>
      </c>
      <c r="P359" s="203">
        <f>O359+P358</f>
        <v>0.39566166538698605</v>
      </c>
      <c r="Q359" s="203">
        <f>P359+Q358</f>
        <v>0.4944841272562495</v>
      </c>
      <c r="R359" s="203">
        <f>Q359+R358</f>
        <v>0.6030125237405195</v>
      </c>
      <c r="S359" s="203">
        <f>R359+S358</f>
        <v>0.7039340441612815</v>
      </c>
      <c r="T359" s="203">
        <f>S359+T358</f>
        <v>0.8095028420460022</v>
      </c>
      <c r="U359" s="203">
        <f>T359+U358</f>
        <v>0.9064424675042764</v>
      </c>
      <c r="V359" s="203">
        <f>U359+V358</f>
        <v>1.0000000000000002</v>
      </c>
      <c r="W359" s="207" t="str">
        <f>IF(X$5=K$5,SUM(Y359:AI359)-SUM(L359:V359),"")</f>
        <v/>
      </c>
      <c r="X359" s="9" t="str">
        <f>LOWER(CtryCode)&amp;".distn."&amp;$A359&amp;IF($B359="","","."&amp;$B359)&amp;IF($C359="","",".dec."&amp;$C359)&amp;"."&amp;X$5</f>
        <v>egy.distn.popcum.dec.ove.2</v>
      </c>
      <c r="Z359" s="203">
        <f>Y359+Z358</f>
        <v>0.09639550948676609</v>
      </c>
      <c r="AA359" s="203">
        <f>Z359+AA358</f>
        <v>0.19110796647060857</v>
      </c>
      <c r="AB359" s="203">
        <f>AA359+AB358</f>
        <v>0.2987938669252098</v>
      </c>
      <c r="AC359" s="203">
        <f>AB359+AC358</f>
        <v>0.39566166538698605</v>
      </c>
      <c r="AD359" s="203">
        <f>AC359+AD358</f>
        <v>0.4944841272562495</v>
      </c>
      <c r="AE359" s="203">
        <f>AD359+AE358</f>
        <v>0.6030125237405195</v>
      </c>
      <c r="AF359" s="203">
        <f>AE359+AF358</f>
        <v>0.7039340441612815</v>
      </c>
      <c r="AG359" s="203">
        <f>AF359+AG358</f>
        <v>0.8095028420460022</v>
      </c>
      <c r="AH359" s="203">
        <f>AG359+AH358</f>
        <v>0.9064424675042764</v>
      </c>
      <c r="AI359" s="203">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33" t="inlineStr">
        <is>
          <t>legacy row 2562 (cap: the decile share)</t>
        </is>
      </c>
      <c r="K360" s="9" t="str">
        <f>LOWER(CtryCode)&amp;".distn."&amp;$A360&amp;IF($B360="","","."&amp;$B360)&amp;IF($C360="","",".dec."&amp;$C360)&amp;"."&amp;K$5</f>
        <v>egy.distn.tgtsh.dec.ove.1</v>
      </c>
      <c r="M360" s="203">
        <f>MAX(0,MIN(M358,M$33/PctPerUnit-M359+M358))</f>
        <v>0.09639550948676609</v>
      </c>
      <c r="N360" s="203">
        <f>MAX(0,MIN(N358,N$33/PctPerUnit-N359+N358))</f>
        <v>0.09471245698384248</v>
      </c>
      <c r="O360" s="203">
        <f>MAX(0,MIN(O358,O$33/PctPerUnit-O359+O358))</f>
        <v>0.10768590045460126</v>
      </c>
      <c r="P360" s="203">
        <f>MAX(0,MIN(P358,P$33/PctPerUnit-P359+P358))</f>
        <v>0.09686779846177623</v>
      </c>
      <c r="Q360" s="203">
        <f>MAX(0,MIN(Q358,Q$33/PctPerUnit-Q359+Q358))</f>
        <v>0.004338334613013972</v>
      </c>
      <c r="R360" s="203">
        <f>MAX(0,MIN(R358,R$33/PctPerUnit-R359+R358))</f>
        <v>0.0</v>
      </c>
      <c r="S360" s="203">
        <f>MAX(0,MIN(S358,S$33/PctPerUnit-S359+S358))</f>
        <v>0.0</v>
      </c>
      <c r="T360" s="203">
        <f>MAX(0,MIN(T358,T$33/PctPerUnit-T359+T358))</f>
        <v>0.0</v>
      </c>
      <c r="U360" s="203">
        <f>MAX(0,MIN(U358,U$33/PctPerUnit-U359+U358))</f>
        <v>0.0</v>
      </c>
      <c r="V360" s="203">
        <f>MAX(0,MIN(V358,V$33/PctPerUnit-V359+V358))</f>
        <v>0.0</v>
      </c>
      <c r="W360" s="207" t="str">
        <f>IF(X$5=K$5,SUM(Y360:AI360)-SUM(L360:V360),"")</f>
        <v/>
      </c>
      <c r="X360" s="9" t="str">
        <f>LOWER(CtryCode)&amp;".distn."&amp;$A360&amp;IF($B360="","","."&amp;$B360)&amp;IF($C360="","",".dec."&amp;$C360)&amp;"."&amp;X$5</f>
        <v>egy.distn.tgtsh.dec.ove.2</v>
      </c>
      <c r="Z360" s="209">
        <f>DTARGET(Z358,Z359,Z$33/PctPerUnit)</f>
        <v>0.09639550948676609</v>
      </c>
      <c r="AA360" s="209">
        <f>DTARGET(AA358,AA359,AA$33/PctPerUnit)</f>
        <v>0.09471245698384248</v>
      </c>
      <c r="AB360" s="209">
        <f>DTARGET(AB358,AB359,AB$33/PctPerUnit)</f>
        <v>0.10768590045460126</v>
      </c>
      <c r="AC360" s="209">
        <f>DTARGET(AC358,AC359,AC$33/PctPerUnit)</f>
        <v>0.09686779846177623</v>
      </c>
      <c r="AD360" s="209">
        <f>DTARGET(AD358,AD359,AD$33/PctPerUnit)</f>
        <v>0.004338334613013972</v>
      </c>
      <c r="AE360" s="209">
        <f>DTARGET(AE358,AE359,AE$33/PctPerUnit)</f>
        <v>0.0</v>
      </c>
      <c r="AF360" s="209">
        <f>DTARGET(AF358,AF359,AF$33/PctPerUnit)</f>
        <v>0.0</v>
      </c>
      <c r="AG360" s="209">
        <f>DTARGET(AG358,AG359,AG$33/PctPerUnit)</f>
        <v>0.0</v>
      </c>
      <c r="AH360" s="209">
        <f>DTARGET(AH358,AH359,AH$33/PctPerUnit)</f>
        <v>0.0</v>
      </c>
      <c r="AI360" s="209">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33" t="inlineStr">
        <is>
          <t>legacy row 2568</t>
        </is>
      </c>
      <c r="K361" s="9" t="str">
        <f>LOWER(CtryCode)&amp;".distn."&amp;$A361&amp;IF($B361="","","."&amp;$B361)&amp;IF($C361="","",".dec."&amp;$C361)&amp;"."&amp;K$5</f>
        <v>egy.distn.recv.dec.ove.1</v>
      </c>
      <c r="M361" s="203">
        <f>(M360*M$34+(M358-M360)*M$35)/PctPerUnit/M358</f>
        <v>1.0</v>
      </c>
      <c r="N361" s="203">
        <f>(N360*N$34+(N358-N360)*N$35)/PctPerUnit/N358</f>
        <v>1.0</v>
      </c>
      <c r="O361" s="203">
        <f>(O360*O$34+(O358-O360)*O$35)/PctPerUnit/O358</f>
        <v>1.0</v>
      </c>
      <c r="P361" s="203">
        <f>(P360*P$34+(P358-P360)*P$35)/PctPerUnit/P358</f>
        <v>1.0</v>
      </c>
      <c r="Q361" s="203">
        <f>(Q360*Q$34+(Q358-Q360)*Q$35)/PctPerUnit/Q358</f>
        <v>0.04390028876990885</v>
      </c>
      <c r="R361" s="203">
        <f>(R360*R$34+(R358-R360)*R$35)/PctPerUnit/R358</f>
        <v>0.0</v>
      </c>
      <c r="S361" s="203">
        <f>(S360*S$34+(S358-S360)*S$35)/PctPerUnit/S358</f>
        <v>0.0</v>
      </c>
      <c r="T361" s="203">
        <f>(T360*T$34+(T358-T360)*T$35)/PctPerUnit/T358</f>
        <v>0.0</v>
      </c>
      <c r="U361" s="203">
        <f>(U360*U$34+(U358-U360)*U$35)/PctPerUnit/U358</f>
        <v>0.0</v>
      </c>
      <c r="V361" s="203">
        <f>(V360*V$34+(V358-V360)*V$35)/PctPerUnit/V358</f>
        <v>0.0</v>
      </c>
      <c r="W361" s="207" t="str">
        <f>IF(X$5=K$5,SUM(Y361:AI361)-SUM(L361:V361),"")</f>
        <v/>
      </c>
      <c r="X361" s="9" t="str">
        <f>LOWER(CtryCode)&amp;".distn."&amp;$A361&amp;IF($B361="","","."&amp;$B361)&amp;IF($C361="","",".dec."&amp;$C361)&amp;"."&amp;X$5</f>
        <v>egy.distn.recv.dec.ove.2</v>
      </c>
      <c r="Z361" s="203">
        <f>(Z360*Z$34+(Z358-Z360)*Z$35)/PctPerUnit/Z358</f>
        <v>1.0</v>
      </c>
      <c r="AA361" s="203">
        <f>(AA360*AA$34+(AA358-AA360)*AA$35)/PctPerUnit/AA358</f>
        <v>1.0</v>
      </c>
      <c r="AB361" s="203">
        <f>(AB360*AB$34+(AB358-AB360)*AB$35)/PctPerUnit/AB358</f>
        <v>1.0</v>
      </c>
      <c r="AC361" s="203">
        <f>(AC360*AC$34+(AC358-AC360)*AC$35)/PctPerUnit/AC358</f>
        <v>1.0</v>
      </c>
      <c r="AD361" s="203">
        <f>(AD360*AD$34+(AD358-AD360)*AD$35)/PctPerUnit/AD358</f>
        <v>0.04390028876990885</v>
      </c>
      <c r="AE361" s="203">
        <f>(AE360*AE$34+(AE358-AE360)*AE$35)/PctPerUnit/AE358</f>
        <v>0.0</v>
      </c>
      <c r="AF361" s="203">
        <f>(AF360*AF$34+(AF358-AF360)*AF$35)/PctPerUnit/AF358</f>
        <v>0.0</v>
      </c>
      <c r="AG361" s="203">
        <f>(AG360*AG$34+(AG358-AG360)*AG$35)/PctPerUnit/AG358</f>
        <v>0.0</v>
      </c>
      <c r="AH361" s="203">
        <f>(AH360*AH$34+(AH358-AH360)*AH$35)/PctPerUnit/AH358</f>
        <v>0.0</v>
      </c>
      <c r="AI361" s="203">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33"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7"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33" t="inlineStr">
        <is>
          <t>ASPIRE (legacy row 2617; v0.6.0)</t>
        </is>
      </c>
      <c r="K363" s="9" t="str">
        <f>LOWER(CtryCode)&amp;".distn."&amp;$A363&amp;IF($B363="","","."&amp;$B363)&amp;IF($C363="","",".dec."&amp;$C363)&amp;"."&amp;K$5</f>
        <v>egy.distn.aspt.dec.ove.1</v>
      </c>
      <c r="M363" s="203">
        <f>IFERROR(INDEX(DAspVal,MATCH(CtryCode&amp;"."&amp;M$45&amp;M362&amp;"_preT_tot",DAspKey,0)),0)</f>
        <v>0.0</v>
      </c>
      <c r="N363" s="203">
        <f>IFERROR(INDEX(DAspVal,MATCH(CtryCode&amp;"."&amp;N$45&amp;N362&amp;"_preT_tot",DAspKey,0)),0)</f>
        <v>0.0</v>
      </c>
      <c r="O363" s="203">
        <f>IFERROR(INDEX(DAspVal,MATCH(CtryCode&amp;"."&amp;O$45&amp;O362&amp;"_preT_tot",DAspKey,0)),0)</f>
        <v>0.0</v>
      </c>
      <c r="P363" s="203">
        <f>IFERROR(INDEX(DAspVal,MATCH(CtryCode&amp;"."&amp;P$45&amp;P362&amp;"_preT_tot",DAspKey,0)),0)</f>
        <v>0.0</v>
      </c>
      <c r="Q363" s="203">
        <f>IFERROR(INDEX(DAspVal,MATCH(CtryCode&amp;"."&amp;Q$45&amp;Q362&amp;"_preT_tot",DAspKey,0)),0)</f>
        <v>0.0</v>
      </c>
      <c r="R363" s="203">
        <f>IFERROR(INDEX(DAspVal,MATCH(CtryCode&amp;"."&amp;R$45&amp;R362&amp;"_preT_tot",DAspKey,0)),0)</f>
        <v>0.0</v>
      </c>
      <c r="S363" s="203">
        <f>IFERROR(INDEX(DAspVal,MATCH(CtryCode&amp;"."&amp;S$45&amp;S362&amp;"_preT_tot",DAspKey,0)),0)</f>
        <v>0.0</v>
      </c>
      <c r="T363" s="203">
        <f>IFERROR(INDEX(DAspVal,MATCH(CtryCode&amp;"."&amp;T$45&amp;T362&amp;"_preT_tot",DAspKey,0)),0)</f>
        <v>0.0</v>
      </c>
      <c r="U363" s="203">
        <f>IFERROR(INDEX(DAspVal,MATCH(CtryCode&amp;"."&amp;U$45&amp;U362&amp;"_preT_tot",DAspKey,0)),0)</f>
        <v>0.0</v>
      </c>
      <c r="V363" s="203">
        <f>IFERROR(INDEX(DAspVal,MATCH(CtryCode&amp;"."&amp;V$45&amp;V362&amp;"_preT_tot",DAspKey,0)),0)</f>
        <v>0.0</v>
      </c>
      <c r="W363" s="207" t="str">
        <f>IF(X$5=K$5,SUM(Y363:AI363)-SUM(L363:V363),"")</f>
        <v/>
      </c>
      <c r="X363" s="9" t="str">
        <f>LOWER(CtryCode)&amp;".distn."&amp;$A363&amp;IF($B363="","","."&amp;$B363)&amp;IF($C363="","",".dec."&amp;$C363)&amp;"."&amp;X$5</f>
        <v>egy.distn.aspt.dec.ove.2</v>
      </c>
      <c r="Z363" s="203">
        <f>IFERROR(INDEX(DAspVal,MATCH(CtryCode&amp;"."&amp;Z$45&amp;Z362&amp;"_preT_tot",DAspKey,0)),0)</f>
        <v>0.0</v>
      </c>
      <c r="AA363" s="203">
        <f>IFERROR(INDEX(DAspVal,MATCH(CtryCode&amp;"."&amp;AA$45&amp;AA362&amp;"_preT_tot",DAspKey,0)),0)</f>
        <v>0.0</v>
      </c>
      <c r="AB363" s="203">
        <f>IFERROR(INDEX(DAspVal,MATCH(CtryCode&amp;"."&amp;AB$45&amp;AB362&amp;"_preT_tot",DAspKey,0)),0)</f>
        <v>0.0</v>
      </c>
      <c r="AC363" s="203">
        <f>IFERROR(INDEX(DAspVal,MATCH(CtryCode&amp;"."&amp;AC$45&amp;AC362&amp;"_preT_tot",DAspKey,0)),0)</f>
        <v>0.0</v>
      </c>
      <c r="AD363" s="203">
        <f>IFERROR(INDEX(DAspVal,MATCH(CtryCode&amp;"."&amp;AD$45&amp;AD362&amp;"_preT_tot",DAspKey,0)),0)</f>
        <v>0.0</v>
      </c>
      <c r="AE363" s="203">
        <f>IFERROR(INDEX(DAspVal,MATCH(CtryCode&amp;"."&amp;AE$45&amp;AE362&amp;"_preT_tot",DAspKey,0)),0)</f>
        <v>0.0</v>
      </c>
      <c r="AF363" s="203">
        <f>IFERROR(INDEX(DAspVal,MATCH(CtryCode&amp;"."&amp;AF$45&amp;AF362&amp;"_preT_tot",DAspKey,0)),0)</f>
        <v>0.0</v>
      </c>
      <c r="AG363" s="203">
        <f>IFERROR(INDEX(DAspVal,MATCH(CtryCode&amp;"."&amp;AG$45&amp;AG362&amp;"_preT_tot",DAspKey,0)),0)</f>
        <v>0.0</v>
      </c>
      <c r="AH363" s="203">
        <f>IFERROR(INDEX(DAspVal,MATCH(CtryCode&amp;"."&amp;AH$45&amp;AH362&amp;"_preT_tot",DAspKey,0)),0)</f>
        <v>0.0</v>
      </c>
      <c r="AI363" s="203">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33" t="inlineStr">
        <is>
          <t>HHSurvey pct_belowpl_* (legacy row 2649; mean as legacy)</t>
        </is>
      </c>
      <c r="K364" s="9" t="str">
        <f>LOWER(CtryCode)&amp;".distn."&amp;$A364&amp;IF($B364="","","."&amp;$B364)&amp;IF($C364="","",".dec."&amp;$C364)&amp;"."&amp;K$5</f>
        <v>egy.distn.plraw.dec.ove.1</v>
      </c>
      <c r="M364" s="203">
        <f>INDEX(DHHVal,MATCH(CtryCode&amp;".distn.bsh."&amp;M$10&amp;$E364&amp;M$11,DHHKey,0),MATCH(M$47,DHHVar,0))</f>
        <v>9942776.140414724</v>
      </c>
      <c r="N364" s="203">
        <f>INDEX(DHHVal,MATCH(CtryCode&amp;".distn.bsh."&amp;N$10&amp;$E364&amp;N$11,DHHKey,0),MATCH(N$47,DHHVar,0))</f>
        <v>9769176.619459534</v>
      </c>
      <c r="O364" s="203">
        <f>INDEX(DHHVal,MATCH(CtryCode&amp;".distn.bsh."&amp;O$10&amp;$E364&amp;O$11,DHHKey,0),MATCH(O$47,DHHVar,0))</f>
        <v>11107330.69828401</v>
      </c>
      <c r="P364" s="203">
        <f>INDEX(DHHVal,MATCH(CtryCode&amp;".distn.bsh."&amp;P$10&amp;$E364&amp;P$11,DHHKey,0),MATCH(P$47,DHHVar,0))</f>
        <v>9991490.687151534</v>
      </c>
      <c r="Q364" s="203">
        <f>INDEX(DHHVal,MATCH(CtryCode&amp;".distn.bsh."&amp;Q$10&amp;$E364&amp;Q$11,DHHKey,0),MATCH(Q$47,DHHVar,0))</f>
        <v>10193105.6876218</v>
      </c>
      <c r="R364" s="203">
        <f>INDEX(DHHVal,MATCH(CtryCode&amp;".distn.bsh."&amp;R$10&amp;$E364&amp;R$11,DHHKey,0),MATCH(R$47,DHHVar,0))</f>
        <v>11194230.4871516</v>
      </c>
      <c r="S364" s="203">
        <f>INDEX(DHHVal,MATCH(CtryCode&amp;".distn.bsh."&amp;S$10&amp;$E364&amp;S$11,DHHKey,0),MATCH(S$47,DHHVar,0))</f>
        <v>10409614.41706669</v>
      </c>
      <c r="T364" s="203">
        <f>INDEX(DHHVal,MATCH(CtryCode&amp;".distn.bsh."&amp;T$10&amp;$E364&amp;T$11,DHHKey,0),MATCH(T$47,DHHVar,0))</f>
        <v>10888960.80708582</v>
      </c>
      <c r="U364" s="203">
        <f>INDEX(DHHVal,MATCH(CtryCode&amp;".distn.bsh."&amp;U$10&amp;$E364&amp;U$11,DHHKey,0),MATCH(U$47,DHHVar,0))</f>
        <v>9998899.328392392</v>
      </c>
      <c r="V364" s="203">
        <f>INDEX(DHHVal,MATCH(CtryCode&amp;".distn.bsh."&amp;V$10&amp;$E364&amp;V$11,DHHKey,0),MATCH(V$47,DHHVar,0))</f>
        <v>9650051.198518392</v>
      </c>
      <c r="W364" s="207" t="str">
        <f>IF(X$5=K$5,SUM(Y364:AI364)-SUM(L364:V364),"")</f>
        <v/>
      </c>
      <c r="X364" s="9" t="str">
        <f>LOWER(CtryCode)&amp;".distn."&amp;$A364&amp;IF($B364="","","."&amp;$B364)&amp;IF($C364="","",".dec."&amp;$C364)&amp;"."&amp;X$5</f>
        <v>egy.distn.plraw.dec.ove.2</v>
      </c>
      <c r="Z364" s="203">
        <f>INDEX(DHHVal,MATCH(CtryCode&amp;".distn.bsh."&amp;Z$10&amp;$E364&amp;Z$11,DHHKey,0),MATCH(Z$47,DHHVar,0))</f>
        <v>9942776.140414724</v>
      </c>
      <c r="AA364" s="203">
        <f>INDEX(DHHVal,MATCH(CtryCode&amp;".distn.bsh."&amp;AA$10&amp;$E364&amp;AA$11,DHHKey,0),MATCH(AA$47,DHHVar,0))</f>
        <v>9769176.619459534</v>
      </c>
      <c r="AB364" s="203">
        <f>INDEX(DHHVal,MATCH(CtryCode&amp;".distn.bsh."&amp;AB$10&amp;$E364&amp;AB$11,DHHKey,0),MATCH(AB$47,DHHVar,0))</f>
        <v>11107330.69828401</v>
      </c>
      <c r="AC364" s="203">
        <f>INDEX(DHHVal,MATCH(CtryCode&amp;".distn.bsh."&amp;AC$10&amp;$E364&amp;AC$11,DHHKey,0),MATCH(AC$47,DHHVar,0))</f>
        <v>9991490.687151534</v>
      </c>
      <c r="AD364" s="203">
        <f>INDEX(DHHVal,MATCH(CtryCode&amp;".distn.bsh."&amp;AD$10&amp;$E364&amp;AD$11,DHHKey,0),MATCH(AD$47,DHHVar,0))</f>
        <v>10193105.6876218</v>
      </c>
      <c r="AE364" s="203">
        <f>INDEX(DHHVal,MATCH(CtryCode&amp;".distn.bsh."&amp;AE$10&amp;$E364&amp;AE$11,DHHKey,0),MATCH(AE$47,DHHVar,0))</f>
        <v>11194230.4871516</v>
      </c>
      <c r="AF364" s="203">
        <f>INDEX(DHHVal,MATCH(CtryCode&amp;".distn.bsh."&amp;AF$10&amp;$E364&amp;AF$11,DHHKey,0),MATCH(AF$47,DHHVar,0))</f>
        <v>10409614.41706669</v>
      </c>
      <c r="AG364" s="203">
        <f>INDEX(DHHVal,MATCH(CtryCode&amp;".distn.bsh."&amp;AG$10&amp;$E364&amp;AG$11,DHHKey,0),MATCH(AG$47,DHHVar,0))</f>
        <v>10888960.80708582</v>
      </c>
      <c r="AH364" s="203">
        <f>INDEX(DHHVal,MATCH(CtryCode&amp;".distn.bsh."&amp;AH$10&amp;$E364&amp;AH$11,DHHKey,0),MATCH(AH$47,DHHVar,0))</f>
        <v>9998899.328392392</v>
      </c>
      <c r="AI364" s="203">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33" t="inlineStr">
        <is>
          <t>legacy row 2649 (x 10, at most 100%)</t>
        </is>
      </c>
      <c r="K365" s="9" t="str">
        <f>LOWER(CtryCode)&amp;".distn."&amp;$A365&amp;IF($B365="","","."&amp;$B365)&amp;IF($C365="","",".dec."&amp;$C365)&amp;"."&amp;K$5</f>
        <v>egy.distn.plsh.dec.ove.1</v>
      </c>
      <c r="M365" s="203">
        <f>IF(M$48="PL",MIN(PlDecScale*N(M364),PctPerUnit)/PctPerUnit,1)</f>
        <v>1.0</v>
      </c>
      <c r="N365" s="203">
        <f>IF(N$48="PL",MIN(PlDecScale*N(N364),PctPerUnit)/PctPerUnit,1)</f>
        <v>1.0</v>
      </c>
      <c r="O365" s="203">
        <f>IF(O$48="PL",MIN(PlDecScale*N(O364),PctPerUnit)/PctPerUnit,1)</f>
        <v>1.0</v>
      </c>
      <c r="P365" s="203">
        <f>IF(P$48="PL",MIN(PlDecScale*N(P364),PctPerUnit)/PctPerUnit,1)</f>
        <v>1.0</v>
      </c>
      <c r="Q365" s="203">
        <f>IF(Q$48="PL",MIN(PlDecScale*N(Q364),PctPerUnit)/PctPerUnit,1)</f>
        <v>1.0</v>
      </c>
      <c r="R365" s="203">
        <f>IF(R$48="PL",MIN(PlDecScale*N(R364),PctPerUnit)/PctPerUnit,1)</f>
        <v>1.0</v>
      </c>
      <c r="S365" s="203">
        <f>IF(S$48="PL",MIN(PlDecScale*N(S364),PctPerUnit)/PctPerUnit,1)</f>
        <v>1.0</v>
      </c>
      <c r="T365" s="203">
        <f>IF(T$48="PL",MIN(PlDecScale*N(T364),PctPerUnit)/PctPerUnit,1)</f>
        <v>1.0</v>
      </c>
      <c r="U365" s="203">
        <f>IF(U$48="PL",MIN(PlDecScale*N(U364),PctPerUnit)/PctPerUnit,1)</f>
        <v>1.0</v>
      </c>
      <c r="V365" s="203">
        <f>IF(V$48="PL",MIN(PlDecScale*N(V364),PctPerUnit)/PctPerUnit,1)</f>
        <v>1.0</v>
      </c>
      <c r="W365" s="207" t="str">
        <f>IF(X$5=K$5,SUM(Y365:AI365)-SUM(L365:V365),"")</f>
        <v/>
      </c>
      <c r="X365" s="9" t="str">
        <f>LOWER(CtryCode)&amp;".distn."&amp;$A365&amp;IF($B365="","","."&amp;$B365)&amp;IF($C365="","",".dec."&amp;$C365)&amp;"."&amp;X$5</f>
        <v>egy.distn.plsh.dec.ove.2</v>
      </c>
      <c r="Z365" s="203">
        <f>IF(Z$48="PL",MIN(PlDecScale*N(Z364),PctPerUnit)/PctPerUnit,1)</f>
        <v>1.0</v>
      </c>
      <c r="AA365" s="203">
        <f>IF(AA$48="PL",MIN(PlDecScale*N(AA364),PctPerUnit)/PctPerUnit,1)</f>
        <v>1.0</v>
      </c>
      <c r="AB365" s="203">
        <f>IF(AB$48="PL",MIN(PlDecScale*N(AB364),PctPerUnit)/PctPerUnit,1)</f>
        <v>1.0</v>
      </c>
      <c r="AC365" s="203">
        <f>IF(AC$48="PL",MIN(PlDecScale*N(AC364),PctPerUnit)/PctPerUnit,1)</f>
        <v>1.0</v>
      </c>
      <c r="AD365" s="203">
        <f>IF(AD$48="PL",MIN(PlDecScale*N(AD364),PctPerUnit)/PctPerUnit,1)</f>
        <v>1.0</v>
      </c>
      <c r="AE365" s="203">
        <f>IF(AE$48="PL",MIN(PlDecScale*N(AE364),PctPerUnit)/PctPerUnit,1)</f>
        <v>1.0</v>
      </c>
      <c r="AF365" s="203">
        <f>IF(AF$48="PL",MIN(PlDecScale*N(AF364),PctPerUnit)/PctPerUnit,1)</f>
        <v>1.0</v>
      </c>
      <c r="AG365" s="203">
        <f>IF(AG$48="PL",MIN(PlDecScale*N(AG364),PctPerUnit)/PctPerUnit,1)</f>
        <v>1.0</v>
      </c>
      <c r="AH365" s="203">
        <f>IF(AH$48="PL",MIN(PlDecScale*N(AH364),PctPerUnit)/PctPerUnit,1)</f>
        <v>1.0</v>
      </c>
      <c r="AI365" s="203">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33" t="inlineStr">
        <is>
          <t>legacy rows 2617-2629, 2649-2674 (v0.6.0, fixes D10, D14, D15)</t>
        </is>
      </c>
      <c r="K366" s="9" t="str">
        <f>LOWER(CtryCode)&amp;".distn."&amp;$A366&amp;IF($B366="","","."&amp;$B366)&amp;IF($C366="","",".dec."&amp;$C366)&amp;"."&amp;K$5</f>
        <v>egy.distn.tgtw.dec.ove.1</v>
      </c>
      <c r="M366" s="203">
        <f>IF(M$48="ASPIRE",M363,M365)</f>
        <v>1.0</v>
      </c>
      <c r="N366" s="203">
        <f>IF(N$48="ASPIRE",N363,N365)</f>
        <v>1.0</v>
      </c>
      <c r="O366" s="203">
        <f>IF(O$48="ASPIRE",O363,O365)</f>
        <v>1.0</v>
      </c>
      <c r="P366" s="203">
        <f>IF(P$48="ASPIRE",P363,P365)</f>
        <v>1.0</v>
      </c>
      <c r="Q366" s="203">
        <f>IF(Q$48="ASPIRE",Q363,Q365)</f>
        <v>1.0</v>
      </c>
      <c r="R366" s="203">
        <f>IF(R$48="ASPIRE",R363,R365)</f>
        <v>1.0</v>
      </c>
      <c r="S366" s="203">
        <f>IF(S$48="ASPIRE",S363,S365)</f>
        <v>1.0</v>
      </c>
      <c r="T366" s="203">
        <f>IF(T$48="ASPIRE",T363,T365)</f>
        <v>1.0</v>
      </c>
      <c r="U366" s="203">
        <f>IF(U$48="ASPIRE",U363,U365)</f>
        <v>1.0</v>
      </c>
      <c r="V366" s="203">
        <f>IF(V$48="ASPIRE",V363,V365)</f>
        <v>1.0</v>
      </c>
      <c r="W366" s="207" t="str">
        <f>IF(X$5=K$5,SUM(Y366:AI366)-SUM(L366:V366),"")</f>
        <v/>
      </c>
      <c r="X366" s="9" t="str">
        <f>LOWER(CtryCode)&amp;".distn."&amp;$A366&amp;IF($B366="","","."&amp;$B366)&amp;IF($C366="","",".dec."&amp;$C366)&amp;"."&amp;X$5</f>
        <v>egy.distn.tgtw.dec.ove.2</v>
      </c>
      <c r="Z366" s="203">
        <f>IF(Z$48="ASPIRE",Z363,Z365)</f>
        <v>1.0</v>
      </c>
      <c r="AA366" s="203">
        <f>IF(AA$48="ASPIRE",AA363,AA365)</f>
        <v>1.0</v>
      </c>
      <c r="AB366" s="203">
        <f>IF(AB$48="ASPIRE",AB363,AB365)</f>
        <v>1.0</v>
      </c>
      <c r="AC366" s="203">
        <f>IF(AC$48="ASPIRE",AC363,AC365)</f>
        <v>1.0</v>
      </c>
      <c r="AD366" s="203">
        <f>IF(AD$48="ASPIRE",AD363,AD365)</f>
        <v>1.0</v>
      </c>
      <c r="AE366" s="203">
        <f>IF(AE$48="ASPIRE",AE363,AE365)</f>
        <v>1.0</v>
      </c>
      <c r="AF366" s="203">
        <f>IF(AF$48="ASPIRE",AF363,AF365)</f>
        <v>1.0</v>
      </c>
      <c r="AG366" s="203">
        <f>IF(AG$48="ASPIRE",AG363,AG365)</f>
        <v>1.0</v>
      </c>
      <c r="AH366" s="203">
        <f>IF(AH$48="ASPIRE",AH363,AH365)</f>
        <v>1.0</v>
      </c>
      <c r="AI366" s="203">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33" t="inlineStr">
        <is>
          <t>legacy row 2679 (fix D14)</t>
        </is>
      </c>
      <c r="K367" s="9" t="str">
        <f>LOWER(CtryCode)&amp;".distn."&amp;$A367&amp;IF($B367="","","."&amp;$B367)&amp;IF($C367="","",".dec."&amp;$C367)&amp;"."&amp;K$5</f>
        <v>egy.distn.rshare.dec.ove.1</v>
      </c>
      <c r="M367" s="203">
        <f>M361*M365</f>
        <v>1.0</v>
      </c>
      <c r="N367" s="203">
        <f>N361*N365</f>
        <v>1.0</v>
      </c>
      <c r="O367" s="203">
        <f>O361*O365</f>
        <v>1.0</v>
      </c>
      <c r="P367" s="203">
        <f>P361*P365</f>
        <v>1.0</v>
      </c>
      <c r="Q367" s="203">
        <f>Q361*Q365</f>
        <v>0.04390028876990885</v>
      </c>
      <c r="R367" s="203">
        <f>R361*R365</f>
        <v>0.0</v>
      </c>
      <c r="S367" s="203">
        <f>S361*S365</f>
        <v>0.0</v>
      </c>
      <c r="T367" s="203">
        <f>T361*T365</f>
        <v>0.0</v>
      </c>
      <c r="U367" s="203">
        <f>U361*U365</f>
        <v>0.0</v>
      </c>
      <c r="V367" s="203">
        <f>V361*V365</f>
        <v>0.0</v>
      </c>
      <c r="W367" s="207" t="str">
        <f>IF(X$5=K$5,SUM(Y367:AI367)-SUM(L367:V367),"")</f>
        <v/>
      </c>
      <c r="X367" s="9" t="str">
        <f>LOWER(CtryCode)&amp;".distn."&amp;$A367&amp;IF($B367="","","."&amp;$B367)&amp;IF($C367="","",".dec."&amp;$C367)&amp;"."&amp;X$5</f>
        <v>egy.distn.rshare.dec.ove.2</v>
      </c>
      <c r="Z367" s="203">
        <f>Z361*Z365</f>
        <v>1.0</v>
      </c>
      <c r="AA367" s="203">
        <f>AA361*AA365</f>
        <v>1.0</v>
      </c>
      <c r="AB367" s="203">
        <f>AB361*AB365</f>
        <v>1.0</v>
      </c>
      <c r="AC367" s="203">
        <f>AC361*AC365</f>
        <v>1.0</v>
      </c>
      <c r="AD367" s="203">
        <f>AD361*AD365</f>
        <v>0.04390028876990885</v>
      </c>
      <c r="AE367" s="203">
        <f>AE361*AE365</f>
        <v>0.0</v>
      </c>
      <c r="AF367" s="203">
        <f>AF361*AF365</f>
        <v>0.0</v>
      </c>
      <c r="AG367" s="203">
        <f>AG361*AG365</f>
        <v>0.0</v>
      </c>
      <c r="AH367" s="203">
        <f>AH361*AH365</f>
        <v>0.0</v>
      </c>
      <c r="AI367" s="203">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33"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7"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33" t="inlineStr">
        <is>
          <t>legacy P2593, P2626, P2666 (v0.6.0: revenue conserved, fix D10)</t>
        </is>
      </c>
      <c r="K369" s="9" t="str">
        <f>LOWER(CtryCode)&amp;".distn."&amp;$A369&amp;IF($B369="","","."&amp;$B369)&amp;IF($C369="","",".dec."&amp;$C369)&amp;"."&amp;K$5</f>
        <v>egy.distn.tgtamt.1</v>
      </c>
      <c r="L369" s="221">
        <f>IFERROR(L$338/SUMPRODUCT(M361:V361,M366:V366,M322:V322),0)</f>
        <v>0.0</v>
      </c>
      <c r="M369" s="222">
        <f>L369</f>
        <v>0.0</v>
      </c>
      <c r="N369" s="222">
        <f>M369</f>
        <v>0.0</v>
      </c>
      <c r="O369" s="222">
        <f>N369</f>
        <v>0.0</v>
      </c>
      <c r="P369" s="222">
        <f>O369</f>
        <v>0.0</v>
      </c>
      <c r="Q369" s="222">
        <f>P369</f>
        <v>0.0</v>
      </c>
      <c r="R369" s="222">
        <f>Q369</f>
        <v>0.0</v>
      </c>
      <c r="S369" s="222">
        <f>R369</f>
        <v>0.0</v>
      </c>
      <c r="T369" s="222">
        <f>S369</f>
        <v>0.0</v>
      </c>
      <c r="U369" s="222">
        <f>T369</f>
        <v>0.0</v>
      </c>
      <c r="V369" s="222">
        <f>U369</f>
        <v>0.0</v>
      </c>
      <c r="W369" s="207" t="str">
        <f>IF(X$5=K$5,SUM(Y369:AI369)-SUM(L369:V369),"")</f>
        <v/>
      </c>
      <c r="X369" s="9" t="str">
        <f>LOWER(CtryCode)&amp;".distn."&amp;$A369&amp;IF($B369="","","."&amp;$B369)&amp;IF($C369="","",".dec."&amp;$C369)&amp;"."&amp;X$5</f>
        <v>egy.distn.tgtamt.2</v>
      </c>
      <c r="Y369" s="221">
        <f>IFERROR(Y$338/SUMPRODUCT(Z361:AI361,Z366:AI366,Z322:AI322),0)</f>
        <v>318.61965970295824</v>
      </c>
      <c r="Z369" s="222">
        <f>Y369</f>
        <v>318.61965970295824</v>
      </c>
      <c r="AA369" s="222">
        <f>Z369</f>
        <v>318.61965970295824</v>
      </c>
      <c r="AB369" s="222">
        <f>AA369</f>
        <v>318.61965970295824</v>
      </c>
      <c r="AC369" s="222">
        <f>AB369</f>
        <v>318.61965970295824</v>
      </c>
      <c r="AD369" s="222">
        <f>AC369</f>
        <v>318.61965970295824</v>
      </c>
      <c r="AE369" s="222">
        <f>AD369</f>
        <v>318.61965970295824</v>
      </c>
      <c r="AF369" s="222">
        <f>AE369</f>
        <v>318.61965970295824</v>
      </c>
      <c r="AG369" s="222">
        <f>AF369</f>
        <v>318.61965970295824</v>
      </c>
      <c r="AH369" s="222">
        <f>AG369</f>
        <v>318.61965970295824</v>
      </c>
      <c r="AI369" s="222">
        <f>AH369</f>
        <v>318.61965970295824</v>
      </c>
    </row>
    <row r="370" hidden="1" outlineLevel="1">
      <c r="A370" s="62" t="inlineStr">
        <is>
          <t>tgt</t>
        </is>
      </c>
      <c r="B370" s="3" t="inlineStr"/>
      <c r="C370" s="3" t="inlineStr">
        <is>
          <t>ove</t>
        </is>
      </c>
      <c r="D370" s="3" t="n"/>
      <c r="E370" s="3" t="n"/>
      <c r="H370" s="3" t="inlineStr">
        <is>
          <t>Targeted transfer per capita</t>
        </is>
      </c>
      <c r="I370" s="3" t="inlineStr">
        <is>
          <t>LCU</t>
        </is>
      </c>
      <c r="J370" s="133" t="inlineStr">
        <is>
          <t>legacy rows 2603, 2629, 2672, 2697</t>
        </is>
      </c>
      <c r="K370" s="9" t="str">
        <f>LOWER(CtryCode)&amp;".distn."&amp;$A370&amp;IF($B370="","","."&amp;$B370)&amp;IF($C370="","",".dec."&amp;$C370)&amp;"."&amp;K$5</f>
        <v>egy.distn.tgt.dec.ove.1</v>
      </c>
      <c r="M370" s="125">
        <f>M$369*M361*M366*M368</f>
        <v>0.0</v>
      </c>
      <c r="N370" s="125">
        <f>N$369*N361*N366*N368</f>
        <v>0.0</v>
      </c>
      <c r="O370" s="125">
        <f>O$369*O361*O366*O368</f>
        <v>0.0</v>
      </c>
      <c r="P370" s="125">
        <f>P$369*P361*P366*P368</f>
        <v>0.0</v>
      </c>
      <c r="Q370" s="125">
        <f>Q$369*Q361*Q366*Q368</f>
        <v>0.0</v>
      </c>
      <c r="R370" s="125">
        <f>R$369*R361*R366*R368</f>
        <v>0.0</v>
      </c>
      <c r="S370" s="125">
        <f>S$369*S361*S366*S368</f>
        <v>0.0</v>
      </c>
      <c r="T370" s="125">
        <f>T$369*T361*T366*T368</f>
        <v>0.0</v>
      </c>
      <c r="U370" s="125">
        <f>U$369*U361*U366*U368</f>
        <v>0.0</v>
      </c>
      <c r="V370" s="125">
        <f>V$369*V361*V366*V368</f>
        <v>0.0</v>
      </c>
      <c r="W370" s="207" t="str">
        <f>IF(X$5=K$5,SUM(Y370:AI370)-SUM(L370:V370),"")</f>
        <v/>
      </c>
      <c r="X370" s="9" t="str">
        <f>LOWER(CtryCode)&amp;".distn."&amp;$A370&amp;IF($B370="","","."&amp;$B370)&amp;IF($C370="","",".dec."&amp;$C370)&amp;"."&amp;X$5</f>
        <v>egy.distn.tgt.dec.ove.2</v>
      </c>
      <c r="Z370" s="125">
        <f>Z$369*Z361*Z366*Z368</f>
        <v>318.61965970295824</v>
      </c>
      <c r="AA370" s="125">
        <f>AA$369*AA361*AA366*AA368</f>
        <v>318.61965970295824</v>
      </c>
      <c r="AB370" s="125">
        <f>AB$369*AB361*AB366*AB368</f>
        <v>318.61965970295824</v>
      </c>
      <c r="AC370" s="125">
        <f>AC$369*AC361*AC366*AC368</f>
        <v>318.61965970295824</v>
      </c>
      <c r="AD370" s="125">
        <f>AD$369*AD361*AD366*AD368</f>
        <v>13.987495068729956</v>
      </c>
      <c r="AE370" s="125">
        <f>AE$369*AE361*AE366*AE368</f>
        <v>0.0</v>
      </c>
      <c r="AF370" s="125">
        <f>AF$369*AF361*AF366*AF368</f>
        <v>0.0</v>
      </c>
      <c r="AG370" s="125">
        <f>AG$369*AG361*AG366*AG368</f>
        <v>0.0</v>
      </c>
      <c r="AH370" s="125">
        <f>AH$369*AH361*AH366*AH368</f>
        <v>0.0</v>
      </c>
      <c r="AI370" s="125">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33" t="inlineStr">
        <is>
          <t>HHSurvey *_acs_share</t>
        </is>
      </c>
      <c r="K373" s="9" t="str">
        <f>LOWER(CtryCode)&amp;".distn."&amp;$A373&amp;IF($B373="","","."&amp;$B373)&amp;IF($C373="","",".dec."&amp;$C373)&amp;"."&amp;K$5</f>
        <v>egy.distn.acs.dec.ove.1</v>
      </c>
      <c r="M373" s="203">
        <f>INDEX(DHHVal,MATCH(CtryCode&amp;".distn.bsh."&amp;M$10&amp;$E373&amp;M$11,DHHKey,0),MATCH(M$41,DHHVar,0))</f>
        <v>71.29878391490028</v>
      </c>
      <c r="N373" s="203">
        <f>INDEX(DHHVal,MATCH(CtryCode&amp;".distn.bsh."&amp;N$10&amp;$E373&amp;N$11,DHHKey,0),MATCH(N$41,DHHVar,0))</f>
        <v>78.24350216102414</v>
      </c>
      <c r="O373" s="203">
        <f>INDEX(DHHVal,MATCH(CtryCode&amp;".distn.bsh."&amp;O$10&amp;$E373&amp;O$11,DHHKey,0),MATCH(O$41,DHHVar,0))</f>
        <v>87.00327799095476</v>
      </c>
      <c r="P373" s="203">
        <f>INDEX(DHHVal,MATCH(CtryCode&amp;".distn.bsh."&amp;P$10&amp;$E373&amp;P$11,DHHKey,0),MATCH(P$41,DHHVar,0))</f>
        <v>88.5869722696272</v>
      </c>
      <c r="Q373" s="203">
        <f>INDEX(DHHVal,MATCH(CtryCode&amp;".distn.bsh."&amp;Q$10&amp;$E373&amp;Q$11,DHHKey,0),MATCH(Q$41,DHHVar,0))</f>
        <v>86.15323716189877</v>
      </c>
      <c r="R373" s="203">
        <f>INDEX(DHHVal,MATCH(CtryCode&amp;".distn.bsh."&amp;R$10&amp;$E373&amp;R$11,DHHKey,0),MATCH(R$41,DHHVar,0))</f>
        <v>93.45911356745215</v>
      </c>
      <c r="S373" s="203">
        <f>INDEX(DHHVal,MATCH(CtryCode&amp;".distn.bsh."&amp;S$10&amp;$E373&amp;S$11,DHHKey,0),MATCH(S$41,DHHVar,0))</f>
        <v>95.68734627793103</v>
      </c>
      <c r="T373" s="203">
        <f>INDEX(DHHVal,MATCH(CtryCode&amp;".distn.bsh."&amp;T$10&amp;$E373&amp;T$11,DHHKey,0),MATCH(T$41,DHHVar,0))</f>
        <v>97.01333243906407</v>
      </c>
      <c r="U373" s="203">
        <f>INDEX(DHHVal,MATCH(CtryCode&amp;".distn.bsh."&amp;U$10&amp;$E373&amp;U$11,DHHKey,0),MATCH(U$41,DHHVar,0))</f>
        <v>93.23378600908025</v>
      </c>
      <c r="V373" s="203">
        <f>INDEX(DHHVal,MATCH(CtryCode&amp;".distn.bsh."&amp;V$10&amp;$E373&amp;V$11,DHHKey,0),MATCH(V$41,DHHVar,0))</f>
        <v>99.19404541709329</v>
      </c>
      <c r="W373" s="207" t="str">
        <f>IF(X$5=K$5,SUM(Y373:AI373)-SUM(L373:V373),"")</f>
        <v/>
      </c>
      <c r="X373" s="9" t="str">
        <f>LOWER(CtryCode)&amp;".distn."&amp;$A373&amp;IF($B373="","","."&amp;$B373)&amp;IF($C373="","",".dec."&amp;$C373)&amp;"."&amp;X$5</f>
        <v>egy.distn.acs.dec.ove.2</v>
      </c>
      <c r="Z373" s="203">
        <f>INDEX(DHHVal,MATCH(CtryCode&amp;".distn.bsh."&amp;Z$10&amp;$E373&amp;Z$11,DHHKey,0),MATCH(Z$41,DHHVar,0))</f>
        <v>71.29878391490028</v>
      </c>
      <c r="AA373" s="203">
        <f>INDEX(DHHVal,MATCH(CtryCode&amp;".distn.bsh."&amp;AA$10&amp;$E373&amp;AA$11,DHHKey,0),MATCH(AA$41,DHHVar,0))</f>
        <v>78.24350216102414</v>
      </c>
      <c r="AB373" s="203">
        <f>INDEX(DHHVal,MATCH(CtryCode&amp;".distn.bsh."&amp;AB$10&amp;$E373&amp;AB$11,DHHKey,0),MATCH(AB$41,DHHVar,0))</f>
        <v>87.00327799095476</v>
      </c>
      <c r="AC373" s="203">
        <f>INDEX(DHHVal,MATCH(CtryCode&amp;".distn.bsh."&amp;AC$10&amp;$E373&amp;AC$11,DHHKey,0),MATCH(AC$41,DHHVar,0))</f>
        <v>88.5869722696272</v>
      </c>
      <c r="AD373" s="203">
        <f>INDEX(DHHVal,MATCH(CtryCode&amp;".distn.bsh."&amp;AD$10&amp;$E373&amp;AD$11,DHHKey,0),MATCH(AD$41,DHHVar,0))</f>
        <v>86.15323716189877</v>
      </c>
      <c r="AE373" s="203">
        <f>INDEX(DHHVal,MATCH(CtryCode&amp;".distn.bsh."&amp;AE$10&amp;$E373&amp;AE$11,DHHKey,0),MATCH(AE$41,DHHVar,0))</f>
        <v>93.45911356745215</v>
      </c>
      <c r="AF373" s="203">
        <f>INDEX(DHHVal,MATCH(CtryCode&amp;".distn.bsh."&amp;AF$10&amp;$E373&amp;AF$11,DHHKey,0),MATCH(AF$41,DHHVar,0))</f>
        <v>95.68734627793103</v>
      </c>
      <c r="AG373" s="203">
        <f>INDEX(DHHVal,MATCH(CtryCode&amp;".distn.bsh."&amp;AG$10&amp;$E373&amp;AG$11,DHHKey,0),MATCH(AG$41,DHHVar,0))</f>
        <v>97.01333243906407</v>
      </c>
      <c r="AH373" s="203">
        <f>INDEX(DHHVal,MATCH(CtryCode&amp;".distn.bsh."&amp;AH$10&amp;$E373&amp;AH$11,DHHKey,0),MATCH(AH$41,DHHVar,0))</f>
        <v>93.23378600908025</v>
      </c>
      <c r="AI373" s="203">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33" t="inlineStr">
        <is>
          <t>HHSurvey *_acs_share</t>
        </is>
      </c>
      <c r="K374" s="9" t="str">
        <f>LOWER(CtryCode)&amp;".distn."&amp;$A374&amp;IF($B374="","","."&amp;$B374)&amp;IF($C374="","",".dec."&amp;$C374)&amp;"."&amp;K$5</f>
        <v>egy.distn.acs.dec.urb.1</v>
      </c>
      <c r="M374" s="203">
        <f>INDEX(DHHVal,MATCH(CtryCode&amp;".distn.bsh."&amp;M$10&amp;$E374&amp;M$11,DHHKey,0),MATCH(M$41,DHHVar,0))</f>
        <v>84.19190461242752</v>
      </c>
      <c r="N374" s="203">
        <f>INDEX(DHHVal,MATCH(CtryCode&amp;".distn.bsh."&amp;N$10&amp;$E374&amp;N$11,DHHKey,0),MATCH(N$41,DHHVar,0))</f>
        <v>92.29044636690251</v>
      </c>
      <c r="O374" s="203">
        <f>INDEX(DHHVal,MATCH(CtryCode&amp;".distn.bsh."&amp;O$10&amp;$E374&amp;O$11,DHHKey,0),MATCH(O$41,DHHVar,0))</f>
        <v>101.8560086588796</v>
      </c>
      <c r="P374" s="203">
        <f>INDEX(DHHVal,MATCH(CtryCode&amp;".distn.bsh."&amp;P$10&amp;$E374&amp;P$11,DHHKey,0),MATCH(P$41,DHHVar,0))</f>
        <v>91.41842033730077</v>
      </c>
      <c r="Q374" s="203">
        <f>INDEX(DHHVal,MATCH(CtryCode&amp;".distn.bsh."&amp;Q$10&amp;$E374&amp;Q$11,DHHKey,0),MATCH(Q$41,DHHVar,0))</f>
        <v>97.98841451990307</v>
      </c>
      <c r="R374" s="203">
        <f>INDEX(DHHVal,MATCH(CtryCode&amp;".distn.bsh."&amp;R$10&amp;$E374&amp;R$11,DHHKey,0),MATCH(R$41,DHHVar,0))</f>
        <v>92.83828010615788</v>
      </c>
      <c r="S374" s="203">
        <f>INDEX(DHHVal,MATCH(CtryCode&amp;".distn.bsh."&amp;S$10&amp;$E374&amp;S$11,DHHKey,0),MATCH(S$41,DHHVar,0))</f>
        <v>97.02739693999654</v>
      </c>
      <c r="T374" s="203">
        <f>INDEX(DHHVal,MATCH(CtryCode&amp;".distn.bsh."&amp;T$10&amp;$E374&amp;T$11,DHHKey,0),MATCH(T$41,DHHVar,0))</f>
        <v>99.38353243071336</v>
      </c>
      <c r="U374" s="203">
        <f>INDEX(DHHVal,MATCH(CtryCode&amp;".distn.bsh."&amp;U$10&amp;$E374&amp;U$11,DHHKey,0),MATCH(U$41,DHHVar,0))</f>
        <v>100.6182417236196</v>
      </c>
      <c r="V374" s="203">
        <f>INDEX(DHHVal,MATCH(CtryCode&amp;".distn.bsh."&amp;V$10&amp;$E374&amp;V$11,DHHKey,0),MATCH(V$41,DHHVar,0))</f>
        <v>99.82044204070733</v>
      </c>
      <c r="W374" s="207" t="str">
        <f>IF(X$5=K$5,SUM(Y374:AI374)-SUM(L374:V374),"")</f>
        <v/>
      </c>
      <c r="X374" s="9" t="str">
        <f>LOWER(CtryCode)&amp;".distn."&amp;$A374&amp;IF($B374="","","."&amp;$B374)&amp;IF($C374="","",".dec."&amp;$C374)&amp;"."&amp;X$5</f>
        <v>egy.distn.acs.dec.urb.2</v>
      </c>
      <c r="Z374" s="203">
        <f>INDEX(DHHVal,MATCH(CtryCode&amp;".distn.bsh."&amp;Z$10&amp;$E374&amp;Z$11,DHHKey,0),MATCH(Z$41,DHHVar,0))</f>
        <v>84.19190461242752</v>
      </c>
      <c r="AA374" s="203">
        <f>INDEX(DHHVal,MATCH(CtryCode&amp;".distn.bsh."&amp;AA$10&amp;$E374&amp;AA$11,DHHKey,0),MATCH(AA$41,DHHVar,0))</f>
        <v>92.29044636690251</v>
      </c>
      <c r="AB374" s="203">
        <f>INDEX(DHHVal,MATCH(CtryCode&amp;".distn.bsh."&amp;AB$10&amp;$E374&amp;AB$11,DHHKey,0),MATCH(AB$41,DHHVar,0))</f>
        <v>101.8560086588796</v>
      </c>
      <c r="AC374" s="203">
        <f>INDEX(DHHVal,MATCH(CtryCode&amp;".distn.bsh."&amp;AC$10&amp;$E374&amp;AC$11,DHHKey,0),MATCH(AC$41,DHHVar,0))</f>
        <v>91.41842033730077</v>
      </c>
      <c r="AD374" s="203">
        <f>INDEX(DHHVal,MATCH(CtryCode&amp;".distn.bsh."&amp;AD$10&amp;$E374&amp;AD$11,DHHKey,0),MATCH(AD$41,DHHVar,0))</f>
        <v>97.98841451990307</v>
      </c>
      <c r="AE374" s="203">
        <f>INDEX(DHHVal,MATCH(CtryCode&amp;".distn.bsh."&amp;AE$10&amp;$E374&amp;AE$11,DHHKey,0),MATCH(AE$41,DHHVar,0))</f>
        <v>92.83828010615788</v>
      </c>
      <c r="AF374" s="203">
        <f>INDEX(DHHVal,MATCH(CtryCode&amp;".distn.bsh."&amp;AF$10&amp;$E374&amp;AF$11,DHHKey,0),MATCH(AF$41,DHHVar,0))</f>
        <v>97.02739693999654</v>
      </c>
      <c r="AG374" s="203">
        <f>INDEX(DHHVal,MATCH(CtryCode&amp;".distn.bsh."&amp;AG$10&amp;$E374&amp;AG$11,DHHKey,0),MATCH(AG$41,DHHVar,0))</f>
        <v>99.38353243071336</v>
      </c>
      <c r="AH374" s="203">
        <f>INDEX(DHHVal,MATCH(CtryCode&amp;".distn.bsh."&amp;AH$10&amp;$E374&amp;AH$11,DHHKey,0),MATCH(AH$41,DHHVar,0))</f>
        <v>100.6182417236196</v>
      </c>
      <c r="AI374" s="203">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33" t="inlineStr">
        <is>
          <t>HHSurvey *_acs_share</t>
        </is>
      </c>
      <c r="K375" s="9" t="str">
        <f>LOWER(CtryCode)&amp;".distn."&amp;$A375&amp;IF($B375="","","."&amp;$B375)&amp;IF($C375="","",".dec."&amp;$C375)&amp;"."&amp;K$5</f>
        <v>egy.distn.acs.dec.rur.1</v>
      </c>
      <c r="M375" s="203">
        <f>INDEX(DHHVal,MATCH(CtryCode&amp;".distn.bsh."&amp;M$10&amp;$E375&amp;M$11,DHHKey,0),MATCH(M$41,DHHVar,0))</f>
        <v>67.1912897831007</v>
      </c>
      <c r="N375" s="203">
        <f>INDEX(DHHVal,MATCH(CtryCode&amp;".distn.bsh."&amp;N$10&amp;$E375&amp;N$11,DHHKey,0),MATCH(N$41,DHHVar,0))</f>
        <v>72.37817544519412</v>
      </c>
      <c r="O375" s="203">
        <f>INDEX(DHHVal,MATCH(CtryCode&amp;".distn.bsh."&amp;O$10&amp;$E375&amp;O$11,DHHKey,0),MATCH(O$41,DHHVar,0))</f>
        <v>77.77341196665624</v>
      </c>
      <c r="P375" s="203">
        <f>INDEX(DHHVal,MATCH(CtryCode&amp;".distn.bsh."&amp;P$10&amp;$E375&amp;P$11,DHHKey,0),MATCH(P$41,DHHVar,0))</f>
        <v>85.76676760404452</v>
      </c>
      <c r="Q375" s="203">
        <f>INDEX(DHHVal,MATCH(CtryCode&amp;".distn.bsh."&amp;Q$10&amp;$E375&amp;Q$11,DHHKey,0),MATCH(Q$41,DHHVar,0))</f>
        <v>87.63436050006804</v>
      </c>
      <c r="R375" s="203">
        <f>INDEX(DHHVal,MATCH(CtryCode&amp;".distn.bsh."&amp;R$10&amp;$E375&amp;R$11,DHHKey,0),MATCH(R$41,DHHVar,0))</f>
        <v>83.6741104127299</v>
      </c>
      <c r="S375" s="203">
        <f>INDEX(DHHVal,MATCH(CtryCode&amp;".distn.bsh."&amp;S$10&amp;$E375&amp;S$11,DHHKey,0),MATCH(S$41,DHHVar,0))</f>
        <v>86.90813835314009</v>
      </c>
      <c r="T375" s="203">
        <f>INDEX(DHHVal,MATCH(CtryCode&amp;".distn.bsh."&amp;T$10&amp;$E375&amp;T$11,DHHKey,0),MATCH(T$41,DHHVar,0))</f>
        <v>84.6428243815963</v>
      </c>
      <c r="U375" s="203">
        <f>INDEX(DHHVal,MATCH(CtryCode&amp;".distn.bsh."&amp;U$10&amp;$E375&amp;U$11,DHHKey,0),MATCH(U$41,DHHVar,0))</f>
        <v>83.05785850397274</v>
      </c>
      <c r="V375" s="203">
        <f>INDEX(DHHVal,MATCH(CtryCode&amp;".distn.bsh."&amp;V$10&amp;$E375&amp;V$11,DHHKey,0),MATCH(V$41,DHHVar,0))</f>
        <v>79.13164891486207</v>
      </c>
      <c r="W375" s="207" t="str">
        <f>IF(X$5=K$5,SUM(Y375:AI375)-SUM(L375:V375),"")</f>
        <v/>
      </c>
      <c r="X375" s="9" t="str">
        <f>LOWER(CtryCode)&amp;".distn."&amp;$A375&amp;IF($B375="","","."&amp;$B375)&amp;IF($C375="","",".dec."&amp;$C375)&amp;"."&amp;X$5</f>
        <v>egy.distn.acs.dec.rur.2</v>
      </c>
      <c r="Z375" s="203">
        <f>INDEX(DHHVal,MATCH(CtryCode&amp;".distn.bsh."&amp;Z$10&amp;$E375&amp;Z$11,DHHKey,0),MATCH(Z$41,DHHVar,0))</f>
        <v>67.1912897831007</v>
      </c>
      <c r="AA375" s="203">
        <f>INDEX(DHHVal,MATCH(CtryCode&amp;".distn.bsh."&amp;AA$10&amp;$E375&amp;AA$11,DHHKey,0),MATCH(AA$41,DHHVar,0))</f>
        <v>72.37817544519412</v>
      </c>
      <c r="AB375" s="203">
        <f>INDEX(DHHVal,MATCH(CtryCode&amp;".distn.bsh."&amp;AB$10&amp;$E375&amp;AB$11,DHHKey,0),MATCH(AB$41,DHHVar,0))</f>
        <v>77.77341196665624</v>
      </c>
      <c r="AC375" s="203">
        <f>INDEX(DHHVal,MATCH(CtryCode&amp;".distn.bsh."&amp;AC$10&amp;$E375&amp;AC$11,DHHKey,0),MATCH(AC$41,DHHVar,0))</f>
        <v>85.76676760404452</v>
      </c>
      <c r="AD375" s="203">
        <f>INDEX(DHHVal,MATCH(CtryCode&amp;".distn.bsh."&amp;AD$10&amp;$E375&amp;AD$11,DHHKey,0),MATCH(AD$41,DHHVar,0))</f>
        <v>87.63436050006804</v>
      </c>
      <c r="AE375" s="203">
        <f>INDEX(DHHVal,MATCH(CtryCode&amp;".distn.bsh."&amp;AE$10&amp;$E375&amp;AE$11,DHHKey,0),MATCH(AE$41,DHHVar,0))</f>
        <v>83.6741104127299</v>
      </c>
      <c r="AF375" s="203">
        <f>INDEX(DHHVal,MATCH(CtryCode&amp;".distn.bsh."&amp;AF$10&amp;$E375&amp;AF$11,DHHKey,0),MATCH(AF$41,DHHVar,0))</f>
        <v>86.90813835314009</v>
      </c>
      <c r="AG375" s="203">
        <f>INDEX(DHHVal,MATCH(CtryCode&amp;".distn.bsh."&amp;AG$10&amp;$E375&amp;AG$11,DHHKey,0),MATCH(AG$41,DHHVar,0))</f>
        <v>84.6428243815963</v>
      </c>
      <c r="AH375" s="203">
        <f>INDEX(DHHVal,MATCH(CtryCode&amp;".distn.bsh."&amp;AH$10&amp;$E375&amp;AH$11,DHHKey,0),MATCH(AH$41,DHHVar,0))</f>
        <v>83.05785850397274</v>
      </c>
      <c r="AI375" s="203">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33" t="inlineStr">
        <is>
          <t>legacy rows 2569-2571</t>
        </is>
      </c>
      <c r="K376" s="9" t="str">
        <f>LOWER(CtryCode)&amp;".distn."&amp;$A376&amp;IF($B376="","","."&amp;$B376)&amp;IF($C376="","",".dec."&amp;$C376)&amp;"."&amp;K$5</f>
        <v>egy.distn.noacc.dec.ove.1</v>
      </c>
      <c r="M376" s="203">
        <f>1-M373/PctPerUnit</f>
        <v>0.2870121608509971</v>
      </c>
      <c r="N376" s="203">
        <f>1-N373/PctPerUnit</f>
        <v>0.21756497838975863</v>
      </c>
      <c r="O376" s="203">
        <f>1-O373/PctPerUnit</f>
        <v>0.12996722009045247</v>
      </c>
      <c r="P376" s="203">
        <f>1-P373/PctPerUnit</f>
        <v>0.11413027730372804</v>
      </c>
      <c r="Q376" s="203">
        <f>1-Q373/PctPerUnit</f>
        <v>0.13846762838101223</v>
      </c>
      <c r="R376" s="203">
        <f>1-R373/PctPerUnit</f>
        <v>0.06540886432547854</v>
      </c>
      <c r="S376" s="203">
        <f>1-S373/PctPerUnit</f>
        <v>0.04312653722068971</v>
      </c>
      <c r="T376" s="203">
        <f>1-T373/PctPerUnit</f>
        <v>0.029866675609359294</v>
      </c>
      <c r="U376" s="203">
        <f>1-U373/PctPerUnit</f>
        <v>0.06766213990919756</v>
      </c>
      <c r="V376" s="203">
        <f>1-V373/PctPerUnit</f>
        <v>0.008059545829067094</v>
      </c>
      <c r="W376" s="207" t="str">
        <f>IF(X$5=K$5,SUM(Y376:AI376)-SUM(L376:V376),"")</f>
        <v/>
      </c>
      <c r="X376" s="9" t="str">
        <f>LOWER(CtryCode)&amp;".distn."&amp;$A376&amp;IF($B376="","","."&amp;$B376)&amp;IF($C376="","",".dec."&amp;$C376)&amp;"."&amp;X$5</f>
        <v>egy.distn.noacc.dec.ove.2</v>
      </c>
      <c r="Z376" s="203">
        <f>1-Z373/PctPerUnit</f>
        <v>0.2870121608509971</v>
      </c>
      <c r="AA376" s="203">
        <f>1-AA373/PctPerUnit</f>
        <v>0.21756497838975863</v>
      </c>
      <c r="AB376" s="203">
        <f>1-AB373/PctPerUnit</f>
        <v>0.12996722009045247</v>
      </c>
      <c r="AC376" s="203">
        <f>1-AC373/PctPerUnit</f>
        <v>0.11413027730372804</v>
      </c>
      <c r="AD376" s="203">
        <f>1-AD373/PctPerUnit</f>
        <v>0.13846762838101223</v>
      </c>
      <c r="AE376" s="203">
        <f>1-AE373/PctPerUnit</f>
        <v>0.06540886432547854</v>
      </c>
      <c r="AF376" s="203">
        <f>1-AF373/PctPerUnit</f>
        <v>0.04312653722068971</v>
      </c>
      <c r="AG376" s="203">
        <f>1-AG373/PctPerUnit</f>
        <v>0.029866675609359294</v>
      </c>
      <c r="AH376" s="203">
        <f>1-AH373/PctPerUnit</f>
        <v>0.06766213990919756</v>
      </c>
      <c r="AI376" s="203">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33" t="inlineStr">
        <is>
          <t>legacy rows 2569-2571</t>
        </is>
      </c>
      <c r="K377" s="9" t="str">
        <f>LOWER(CtryCode)&amp;".distn."&amp;$A377&amp;IF($B377="","","."&amp;$B377)&amp;IF($C377="","",".dec."&amp;$C377)&amp;"."&amp;K$5</f>
        <v>egy.distn.noacc.dec.urb.1</v>
      </c>
      <c r="M377" s="203">
        <f>1-M374/PctPerUnit</f>
        <v>0.15808095387572474</v>
      </c>
      <c r="N377" s="203">
        <f>1-N374/PctPerUnit</f>
        <v>0.07709553633097488</v>
      </c>
      <c r="O377" s="203">
        <f>1-O374/PctPerUnit</f>
        <v>-0.018560086588796043</v>
      </c>
      <c r="P377" s="203">
        <f>1-P374/PctPerUnit</f>
        <v>0.08581579662699224</v>
      </c>
      <c r="Q377" s="203">
        <f>1-Q374/PctPerUnit</f>
        <v>0.020115854800969224</v>
      </c>
      <c r="R377" s="203">
        <f>1-R374/PctPerUnit</f>
        <v>0.07161719893842122</v>
      </c>
      <c r="S377" s="203">
        <f>1-S374/PctPerUnit</f>
        <v>0.029726030600034647</v>
      </c>
      <c r="T377" s="203">
        <f>1-T374/PctPerUnit</f>
        <v>0.006164675692866384</v>
      </c>
      <c r="U377" s="203">
        <f>1-U374/PctPerUnit</f>
        <v>-0.006182417236195947</v>
      </c>
      <c r="V377" s="203">
        <f>1-V374/PctPerUnit</f>
        <v>0.0017955795929266438</v>
      </c>
      <c r="W377" s="207" t="str">
        <f>IF(X$5=K$5,SUM(Y377:AI377)-SUM(L377:V377),"")</f>
        <v/>
      </c>
      <c r="X377" s="9" t="str">
        <f>LOWER(CtryCode)&amp;".distn."&amp;$A377&amp;IF($B377="","","."&amp;$B377)&amp;IF($C377="","",".dec."&amp;$C377)&amp;"."&amp;X$5</f>
        <v>egy.distn.noacc.dec.urb.2</v>
      </c>
      <c r="Z377" s="203">
        <f>1-Z374/PctPerUnit</f>
        <v>0.15808095387572474</v>
      </c>
      <c r="AA377" s="203">
        <f>1-AA374/PctPerUnit</f>
        <v>0.07709553633097488</v>
      </c>
      <c r="AB377" s="203">
        <f>1-AB374/PctPerUnit</f>
        <v>-0.018560086588796043</v>
      </c>
      <c r="AC377" s="203">
        <f>1-AC374/PctPerUnit</f>
        <v>0.08581579662699224</v>
      </c>
      <c r="AD377" s="203">
        <f>1-AD374/PctPerUnit</f>
        <v>0.020115854800969224</v>
      </c>
      <c r="AE377" s="203">
        <f>1-AE374/PctPerUnit</f>
        <v>0.07161719893842122</v>
      </c>
      <c r="AF377" s="203">
        <f>1-AF374/PctPerUnit</f>
        <v>0.029726030600034647</v>
      </c>
      <c r="AG377" s="203">
        <f>1-AG374/PctPerUnit</f>
        <v>0.006164675692866384</v>
      </c>
      <c r="AH377" s="203">
        <f>1-AH374/PctPerUnit</f>
        <v>-0.006182417236195947</v>
      </c>
      <c r="AI377" s="203">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33" t="inlineStr">
        <is>
          <t>legacy rows 2569-2571</t>
        </is>
      </c>
      <c r="K378" s="9" t="str">
        <f>LOWER(CtryCode)&amp;".distn."&amp;$A378&amp;IF($B378="","","."&amp;$B378)&amp;IF($C378="","",".dec."&amp;$C378)&amp;"."&amp;K$5</f>
        <v>egy.distn.noacc.dec.rur.1</v>
      </c>
      <c r="M378" s="203">
        <f>1-M375/PctPerUnit</f>
        <v>0.32808710216899295</v>
      </c>
      <c r="N378" s="203">
        <f>1-N375/PctPerUnit</f>
        <v>0.27621824554805885</v>
      </c>
      <c r="O378" s="203">
        <f>1-O375/PctPerUnit</f>
        <v>0.22226588033343764</v>
      </c>
      <c r="P378" s="203">
        <f>1-P375/PctPerUnit</f>
        <v>0.14233232395955486</v>
      </c>
      <c r="Q378" s="203">
        <f>1-Q375/PctPerUnit</f>
        <v>0.12365639499931957</v>
      </c>
      <c r="R378" s="203">
        <f>1-R375/PctPerUnit</f>
        <v>0.16325889587270093</v>
      </c>
      <c r="S378" s="203">
        <f>1-S375/PctPerUnit</f>
        <v>0.13091861646859915</v>
      </c>
      <c r="T378" s="203">
        <f>1-T375/PctPerUnit</f>
        <v>0.15357175618403707</v>
      </c>
      <c r="U378" s="203">
        <f>1-U375/PctPerUnit</f>
        <v>0.16942141496027263</v>
      </c>
      <c r="V378" s="203">
        <f>1-V375/PctPerUnit</f>
        <v>0.20868351085137926</v>
      </c>
      <c r="W378" s="207" t="str">
        <f>IF(X$5=K$5,SUM(Y378:AI378)-SUM(L378:V378),"")</f>
        <v/>
      </c>
      <c r="X378" s="9" t="str">
        <f>LOWER(CtryCode)&amp;".distn."&amp;$A378&amp;IF($B378="","","."&amp;$B378)&amp;IF($C378="","",".dec."&amp;$C378)&amp;"."&amp;X$5</f>
        <v>egy.distn.noacc.dec.rur.2</v>
      </c>
      <c r="Z378" s="203">
        <f>1-Z375/PctPerUnit</f>
        <v>0.32808710216899295</v>
      </c>
      <c r="AA378" s="203">
        <f>1-AA375/PctPerUnit</f>
        <v>0.27621824554805885</v>
      </c>
      <c r="AB378" s="203">
        <f>1-AB375/PctPerUnit</f>
        <v>0.22226588033343764</v>
      </c>
      <c r="AC378" s="203">
        <f>1-AC375/PctPerUnit</f>
        <v>0.14233232395955486</v>
      </c>
      <c r="AD378" s="203">
        <f>1-AD375/PctPerUnit</f>
        <v>0.12365639499931957</v>
      </c>
      <c r="AE378" s="203">
        <f>1-AE375/PctPerUnit</f>
        <v>0.16325889587270093</v>
      </c>
      <c r="AF378" s="203">
        <f>1-AF375/PctPerUnit</f>
        <v>0.13091861646859915</v>
      </c>
      <c r="AG378" s="203">
        <f>1-AG375/PctPerUnit</f>
        <v>0.15357175618403707</v>
      </c>
      <c r="AH378" s="203">
        <f>1-AH375/PctPerUnit</f>
        <v>0.16942141496027263</v>
      </c>
      <c r="AI378" s="203">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33" t="inlineStr">
        <is>
          <t>legacy P2594</t>
        </is>
      </c>
      <c r="K379" s="9" t="str">
        <f>LOWER(CtryCode)&amp;".distn."&amp;$A379&amp;IF($B379="","","."&amp;$B379)&amp;IF($C379="","",".dec."&amp;$C379)&amp;"."&amp;K$5</f>
        <v>egy.distn.puiamt.1</v>
      </c>
      <c r="L379" s="124">
        <f>IFERROR(L$336/SUMPRODUCT(M376:V376,M322:V322),0)</f>
        <v>0.0</v>
      </c>
      <c r="M379" s="125">
        <f>L379</f>
        <v>0.0</v>
      </c>
      <c r="N379" s="125">
        <f>M379</f>
        <v>0.0</v>
      </c>
      <c r="O379" s="125">
        <f>N379</f>
        <v>0.0</v>
      </c>
      <c r="P379" s="125">
        <f>O379</f>
        <v>0.0</v>
      </c>
      <c r="Q379" s="125">
        <f>P379</f>
        <v>0.0</v>
      </c>
      <c r="R379" s="125">
        <f>Q379</f>
        <v>0.0</v>
      </c>
      <c r="S379" s="125">
        <f>R379</f>
        <v>0.0</v>
      </c>
      <c r="T379" s="125">
        <f>S379</f>
        <v>0.0</v>
      </c>
      <c r="U379" s="125">
        <f>T379</f>
        <v>0.0</v>
      </c>
      <c r="V379" s="125">
        <f>U379</f>
        <v>0.0</v>
      </c>
      <c r="W379" s="207" t="str">
        <f>IF(X$5=K$5,SUM(Y379:AI379)-SUM(L379:V379),"")</f>
        <v/>
      </c>
      <c r="X379" s="9" t="str">
        <f>LOWER(CtryCode)&amp;".distn."&amp;$A379&amp;IF($B379="","","."&amp;$B379)&amp;IF($C379="","",".dec."&amp;$C379)&amp;"."&amp;X$5</f>
        <v>egy.distn.puiamt.2</v>
      </c>
      <c r="Y379" s="124">
        <f>IFERROR(Y$336/SUMPRODUCT(Z376:AI376,Z322:AI322),0)</f>
        <v>2925.129585570283</v>
      </c>
      <c r="Z379" s="125">
        <f>Y379</f>
        <v>2925.129585570283</v>
      </c>
      <c r="AA379" s="125">
        <f>Z379</f>
        <v>2925.129585570283</v>
      </c>
      <c r="AB379" s="125">
        <f>AA379</f>
        <v>2925.129585570283</v>
      </c>
      <c r="AC379" s="125">
        <f>AB379</f>
        <v>2925.129585570283</v>
      </c>
      <c r="AD379" s="125">
        <f>AC379</f>
        <v>2925.129585570283</v>
      </c>
      <c r="AE379" s="125">
        <f>AD379</f>
        <v>2925.129585570283</v>
      </c>
      <c r="AF379" s="125">
        <f>AE379</f>
        <v>2925.129585570283</v>
      </c>
      <c r="AG379" s="125">
        <f>AF379</f>
        <v>2925.129585570283</v>
      </c>
      <c r="AH379" s="125">
        <f>AG379</f>
        <v>2925.129585570283</v>
      </c>
      <c r="AI379" s="125">
        <f>AH379</f>
        <v>2925.129585570283</v>
      </c>
    </row>
    <row r="380" hidden="1" outlineLevel="1">
      <c r="A380" s="62" t="inlineStr">
        <is>
          <t>pui</t>
        </is>
      </c>
      <c r="B380" s="3" t="inlineStr"/>
      <c r="C380" s="3" t="inlineStr">
        <is>
          <t>ove</t>
        </is>
      </c>
      <c r="D380" s="3" t="n"/>
      <c r="E380" s="3" t="n"/>
      <c r="H380" s="3" t="inlineStr">
        <is>
          <t>Public investment per capita, overall</t>
        </is>
      </c>
      <c r="I380" s="3" t="inlineStr">
        <is>
          <t>LCU</t>
        </is>
      </c>
      <c r="J380" s="133" t="inlineStr">
        <is>
          <t>legacy rows 2610-2612</t>
        </is>
      </c>
      <c r="K380" s="9" t="str">
        <f>LOWER(CtryCode)&amp;".distn."&amp;$A380&amp;IF($B380="","","."&amp;$B380)&amp;IF($C380="","",".dec."&amp;$C380)&amp;"."&amp;K$5</f>
        <v>egy.distn.pui.dec.ove.1</v>
      </c>
      <c r="M380" s="125">
        <f>M$379*M376</f>
        <v>0.0</v>
      </c>
      <c r="N380" s="125">
        <f>N$379*N376</f>
        <v>0.0</v>
      </c>
      <c r="O380" s="125">
        <f>O$379*O376</f>
        <v>0.0</v>
      </c>
      <c r="P380" s="125">
        <f>P$379*P376</f>
        <v>0.0</v>
      </c>
      <c r="Q380" s="125">
        <f>Q$379*Q376</f>
        <v>0.0</v>
      </c>
      <c r="R380" s="125">
        <f>R$379*R376</f>
        <v>0.0</v>
      </c>
      <c r="S380" s="125">
        <f>S$379*S376</f>
        <v>0.0</v>
      </c>
      <c r="T380" s="125">
        <f>T$379*T376</f>
        <v>0.0</v>
      </c>
      <c r="U380" s="125">
        <f>U$379*U376</f>
        <v>0.0</v>
      </c>
      <c r="V380" s="125">
        <f>V$379*V376</f>
        <v>0.0</v>
      </c>
      <c r="W380" s="207" t="str">
        <f>IF(X$5=K$5,SUM(Y380:AI380)-SUM(L380:V380),"")</f>
        <v/>
      </c>
      <c r="X380" s="9" t="str">
        <f>LOWER(CtryCode)&amp;".distn."&amp;$A380&amp;IF($B380="","","."&amp;$B380)&amp;IF($C380="","",".dec."&amp;$C380)&amp;"."&amp;X$5</f>
        <v>egy.distn.pui.dec.ove.2</v>
      </c>
      <c r="Z380" s="125">
        <f>Z$379*Z376</f>
        <v>839.5477631237086</v>
      </c>
      <c r="AA380" s="125">
        <f>AA$379*AA376</f>
        <v>636.4057550718422</v>
      </c>
      <c r="AB380" s="125">
        <f>AB$379*AB376</f>
        <v>380.17096064090697</v>
      </c>
      <c r="AC380" s="125">
        <f>AC$379*AC376</f>
        <v>333.84585075047545</v>
      </c>
      <c r="AD380" s="125">
        <f>AD$379*AD376</f>
        <v>405.0357564210502</v>
      </c>
      <c r="AE380" s="125">
        <f>AE$379*AE376</f>
        <v>191.32940419700992</v>
      </c>
      <c r="AF380" s="125">
        <f>AF$379*AF376</f>
        <v>126.15070994743746</v>
      </c>
      <c r="AG380" s="125">
        <f>AG$379*AG376</f>
        <v>87.36389644756723</v>
      </c>
      <c r="AH380" s="125">
        <f>AH$379*AH376</f>
        <v>197.92052727138955</v>
      </c>
      <c r="AI380" s="125">
        <f>AI$379*AI376</f>
        <v>23.57521595086373</v>
      </c>
    </row>
    <row r="381" hidden="1" outlineLevel="1">
      <c r="A381" s="62" t="inlineStr">
        <is>
          <t>pui</t>
        </is>
      </c>
      <c r="B381" s="3" t="inlineStr"/>
      <c r="C381" s="3" t="inlineStr">
        <is>
          <t>urb</t>
        </is>
      </c>
      <c r="D381" s="3" t="n"/>
      <c r="E381" s="3" t="n"/>
      <c r="H381" s="3" t="inlineStr">
        <is>
          <t>Public investment per capita, urban</t>
        </is>
      </c>
      <c r="I381" s="3" t="inlineStr">
        <is>
          <t>LCU</t>
        </is>
      </c>
      <c r="J381" s="133" t="inlineStr">
        <is>
          <t>legacy rows 2610-2612</t>
        </is>
      </c>
      <c r="K381" s="9" t="str">
        <f>LOWER(CtryCode)&amp;".distn."&amp;$A381&amp;IF($B381="","","."&amp;$B381)&amp;IF($C381="","",".dec."&amp;$C381)&amp;"."&amp;K$5</f>
        <v>egy.distn.pui.dec.urb.1</v>
      </c>
      <c r="M381" s="125">
        <f>M$379*M377</f>
        <v>0.0</v>
      </c>
      <c r="N381" s="125">
        <f>N$379*N377</f>
        <v>0.0</v>
      </c>
      <c r="O381" s="125">
        <f>O$379*O377</f>
        <v>-0.0</v>
      </c>
      <c r="P381" s="125">
        <f>P$379*P377</f>
        <v>0.0</v>
      </c>
      <c r="Q381" s="125">
        <f>Q$379*Q377</f>
        <v>0.0</v>
      </c>
      <c r="R381" s="125">
        <f>R$379*R377</f>
        <v>0.0</v>
      </c>
      <c r="S381" s="125">
        <f>S$379*S377</f>
        <v>0.0</v>
      </c>
      <c r="T381" s="125">
        <f>T$379*T377</f>
        <v>0.0</v>
      </c>
      <c r="U381" s="125">
        <f>U$379*U377</f>
        <v>-0.0</v>
      </c>
      <c r="V381" s="125">
        <f>V$379*V377</f>
        <v>0.0</v>
      </c>
      <c r="W381" s="207" t="str">
        <f>IF(X$5=K$5,SUM(Y381:AI381)-SUM(L381:V381),"")</f>
        <v/>
      </c>
      <c r="X381" s="9" t="str">
        <f>LOWER(CtryCode)&amp;".distn."&amp;$A381&amp;IF($B381="","","."&amp;$B381)&amp;IF($C381="","",".dec."&amp;$C381)&amp;"."&amp;X$5</f>
        <v>egy.distn.pui.dec.urb.2</v>
      </c>
      <c r="Z381" s="125">
        <f>Z$379*Z377</f>
        <v>462.4072750970537</v>
      </c>
      <c r="AA381" s="125">
        <f>AA$379*AA377</f>
        <v>225.51443423714323</v>
      </c>
      <c r="AB381" s="125">
        <f>AB$379*AB377</f>
        <v>-54.290658391633535</v>
      </c>
      <c r="AC381" s="125">
        <f>AC$379*AC377</f>
        <v>251.02232562289748</v>
      </c>
      <c r="AD381" s="125">
        <f>AD$379*AD377</f>
        <v>58.84148201735109</v>
      </c>
      <c r="AE381" s="125">
        <f>AE$379*AE377</f>
        <v>209.48958745044857</v>
      </c>
      <c r="AF381" s="125">
        <f>AF$379*AF377</f>
        <v>86.95249156972889</v>
      </c>
      <c r="AG381" s="125">
        <f>AG$379*AG377</f>
        <v>18.03247525464944</v>
      </c>
      <c r="AH381" s="125">
        <f>AH$379*AH377</f>
        <v>-18.084371567936426</v>
      </c>
      <c r="AI381" s="125">
        <f>AI$379*AI377</f>
        <v>5.252302990515971</v>
      </c>
    </row>
    <row r="382" hidden="1" outlineLevel="1">
      <c r="A382" s="62" t="inlineStr">
        <is>
          <t>pui</t>
        </is>
      </c>
      <c r="B382" s="3" t="inlineStr"/>
      <c r="C382" s="3" t="inlineStr">
        <is>
          <t>rur</t>
        </is>
      </c>
      <c r="D382" s="3" t="n"/>
      <c r="E382" s="3" t="n"/>
      <c r="H382" s="3" t="inlineStr">
        <is>
          <t>Public investment per capita, rural</t>
        </is>
      </c>
      <c r="I382" s="3" t="inlineStr">
        <is>
          <t>LCU</t>
        </is>
      </c>
      <c r="J382" s="133" t="inlineStr">
        <is>
          <t>legacy rows 2610-2612</t>
        </is>
      </c>
      <c r="K382" s="9" t="str">
        <f>LOWER(CtryCode)&amp;".distn."&amp;$A382&amp;IF($B382="","","."&amp;$B382)&amp;IF($C382="","",".dec."&amp;$C382)&amp;"."&amp;K$5</f>
        <v>egy.distn.pui.dec.rur.1</v>
      </c>
      <c r="M382" s="125">
        <f>M$379*M378</f>
        <v>0.0</v>
      </c>
      <c r="N382" s="125">
        <f>N$379*N378</f>
        <v>0.0</v>
      </c>
      <c r="O382" s="125">
        <f>O$379*O378</f>
        <v>0.0</v>
      </c>
      <c r="P382" s="125">
        <f>P$379*P378</f>
        <v>0.0</v>
      </c>
      <c r="Q382" s="125">
        <f>Q$379*Q378</f>
        <v>0.0</v>
      </c>
      <c r="R382" s="125">
        <f>R$379*R378</f>
        <v>0.0</v>
      </c>
      <c r="S382" s="125">
        <f>S$379*S378</f>
        <v>0.0</v>
      </c>
      <c r="T382" s="125">
        <f>T$379*T378</f>
        <v>0.0</v>
      </c>
      <c r="U382" s="125">
        <f>U$379*U378</f>
        <v>0.0</v>
      </c>
      <c r="V382" s="125">
        <f>V$379*V378</f>
        <v>0.0</v>
      </c>
      <c r="W382" s="207" t="str">
        <f>IF(X$5=K$5,SUM(Y382:AI382)-SUM(L382:V382),"")</f>
        <v/>
      </c>
      <c r="X382" s="9" t="str">
        <f>LOWER(CtryCode)&amp;".distn."&amp;$A382&amp;IF($B382="","","."&amp;$B382)&amp;IF($C382="","",".dec."&amp;$C382)&amp;"."&amp;X$5</f>
        <v>egy.distn.pui.dec.rur.2</v>
      </c>
      <c r="Z382" s="125">
        <f>Z$379*Z378</f>
        <v>959.6972891985414</v>
      </c>
      <c r="AA382" s="125">
        <f>AA$379*AA378</f>
        <v>807.9741621269441</v>
      </c>
      <c r="AB382" s="125">
        <f>AB$379*AB378</f>
        <v>650.1565024261625</v>
      </c>
      <c r="AC382" s="125">
        <f>AC$379*AC378</f>
        <v>416.34049179706795</v>
      </c>
      <c r="AD382" s="125">
        <f>AD$379*AD378</f>
        <v>361.7109794574749</v>
      </c>
      <c r="AE382" s="125">
        <f>AE$379*AE378</f>
        <v>477.55342642477564</v>
      </c>
      <c r="AF382" s="125">
        <f>AF$379*AF378</f>
        <v>382.9539183342282</v>
      </c>
      <c r="AG382" s="125">
        <f>AG$379*AG378</f>
        <v>449.21728752191285</v>
      </c>
      <c r="AH382" s="125">
        <f>AH$379*AH378</f>
        <v>495.5795933294732</v>
      </c>
      <c r="AI382" s="125">
        <f>AI$379*AI378</f>
        <v>610.4263116120467</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33" t="inlineStr">
        <is>
          <t>ASPIRE (legacy row 2633)</t>
        </is>
      </c>
      <c r="K385" s="9" t="str">
        <f>LOWER(CtryCode)&amp;".distn."&amp;$A385&amp;IF($B385="","","."&amp;$B385)&amp;IF($C385="","",".dec."&amp;$C385)&amp;"."&amp;K$5</f>
        <v>egy.distn.aspbase.dec.ove.1</v>
      </c>
      <c r="M385" s="203">
        <f>IFERROR(INDEX(DAspVal,MATCH(CtryCode&amp;"."&amp;M$42&amp;M362&amp;"_preT_tot",DAspKey,0)),0)</f>
        <v>1.701829075813293</v>
      </c>
      <c r="N385" s="203">
        <f>IFERROR(INDEX(DAspVal,MATCH(CtryCode&amp;"."&amp;N$42&amp;N362&amp;"_preT_tot",DAspKey,0)),0)</f>
        <v>1.701829075813293</v>
      </c>
      <c r="O385" s="203">
        <f>IFERROR(INDEX(DAspVal,MATCH(CtryCode&amp;"."&amp;O$42&amp;O362&amp;"_preT_tot",DAspKey,0)),0)</f>
        <v>1.4042809009552</v>
      </c>
      <c r="P385" s="203">
        <f>IFERROR(INDEX(DAspVal,MATCH(CtryCode&amp;"."&amp;P$42&amp;P362&amp;"_preT_tot",DAspKey,0)),0)</f>
        <v>1.4042809009552</v>
      </c>
      <c r="Q385" s="203">
        <f>IFERROR(INDEX(DAspVal,MATCH(CtryCode&amp;"."&amp;Q$42&amp;Q362&amp;"_preT_tot",DAspKey,0)),0)</f>
        <v>1.858706116676331</v>
      </c>
      <c r="R385" s="203">
        <f>IFERROR(INDEX(DAspVal,MATCH(CtryCode&amp;"."&amp;R$42&amp;R362&amp;"_preT_tot",DAspKey,0)),0)</f>
        <v>1.858706116676331</v>
      </c>
      <c r="S385" s="203">
        <f>IFERROR(INDEX(DAspVal,MATCH(CtryCode&amp;"."&amp;S$42&amp;S362&amp;"_preT_tot",DAspKey,0)),0)</f>
        <v>1.829251289367676</v>
      </c>
      <c r="T385" s="203">
        <f>IFERROR(INDEX(DAspVal,MATCH(CtryCode&amp;"."&amp;T$42&amp;T362&amp;"_preT_tot",DAspKey,0)),0)</f>
        <v>1.829251289367676</v>
      </c>
      <c r="U385" s="203">
        <f>IFERROR(INDEX(DAspVal,MATCH(CtryCode&amp;"."&amp;U$42&amp;U362&amp;"_preT_tot",DAspKey,0)),0)</f>
        <v>4.406506061553955</v>
      </c>
      <c r="V385" s="203">
        <f>IFERROR(INDEX(DAspVal,MATCH(CtryCode&amp;"."&amp;V$42&amp;V362&amp;"_preT_tot",DAspKey,0)),0)</f>
        <v>4.406506061553955</v>
      </c>
      <c r="W385" s="207" t="str">
        <f>IF(X$5=K$5,SUM(Y385:AI385)-SUM(L385:V385),"")</f>
        <v/>
      </c>
      <c r="X385" s="9" t="str">
        <f>LOWER(CtryCode)&amp;".distn."&amp;$A385&amp;IF($B385="","","."&amp;$B385)&amp;IF($C385="","",".dec."&amp;$C385)&amp;"."&amp;X$5</f>
        <v>egy.distn.aspbase.dec.ove.2</v>
      </c>
      <c r="Z385" s="203">
        <f>IFERROR(INDEX(DAspVal,MATCH(CtryCode&amp;"."&amp;Z$42&amp;Z362&amp;"_preT_tot",DAspKey,0)),0)</f>
        <v>1.701829075813293</v>
      </c>
      <c r="AA385" s="203">
        <f>IFERROR(INDEX(DAspVal,MATCH(CtryCode&amp;"."&amp;AA$42&amp;AA362&amp;"_preT_tot",DAspKey,0)),0)</f>
        <v>1.701829075813293</v>
      </c>
      <c r="AB385" s="203">
        <f>IFERROR(INDEX(DAspVal,MATCH(CtryCode&amp;"."&amp;AB$42&amp;AB362&amp;"_preT_tot",DAspKey,0)),0)</f>
        <v>1.4042809009552</v>
      </c>
      <c r="AC385" s="203">
        <f>IFERROR(INDEX(DAspVal,MATCH(CtryCode&amp;"."&amp;AC$42&amp;AC362&amp;"_preT_tot",DAspKey,0)),0)</f>
        <v>1.4042809009552</v>
      </c>
      <c r="AD385" s="203">
        <f>IFERROR(INDEX(DAspVal,MATCH(CtryCode&amp;"."&amp;AD$42&amp;AD362&amp;"_preT_tot",DAspKey,0)),0)</f>
        <v>1.858706116676331</v>
      </c>
      <c r="AE385" s="203">
        <f>IFERROR(INDEX(DAspVal,MATCH(CtryCode&amp;"."&amp;AE$42&amp;AE362&amp;"_preT_tot",DAspKey,0)),0)</f>
        <v>1.858706116676331</v>
      </c>
      <c r="AF385" s="203">
        <f>IFERROR(INDEX(DAspVal,MATCH(CtryCode&amp;"."&amp;AF$42&amp;AF362&amp;"_preT_tot",DAspKey,0)),0)</f>
        <v>1.829251289367676</v>
      </c>
      <c r="AG385" s="203">
        <f>IFERROR(INDEX(DAspVal,MATCH(CtryCode&amp;"."&amp;AG$42&amp;AG362&amp;"_preT_tot",DAspKey,0)),0)</f>
        <v>1.829251289367676</v>
      </c>
      <c r="AH385" s="203">
        <f>IFERROR(INDEX(DAspVal,MATCH(CtryCode&amp;"."&amp;AH$42&amp;AH362&amp;"_preT_tot",DAspKey,0)),0)</f>
        <v>4.406506061553955</v>
      </c>
      <c r="AI385" s="203">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33" t="inlineStr">
        <is>
          <t>legacy P2642</t>
        </is>
      </c>
      <c r="K386" s="9" t="str">
        <f>LOWER(CtryCode)&amp;".distn."&amp;$A386&amp;IF($B386="","","."&amp;$B386)&amp;IF($C386="","",".dec."&amp;$C386)&amp;"."&amp;K$5</f>
        <v>egy.distn.ctsamt.1</v>
      </c>
      <c r="L386" s="223">
        <f>IFERROR(L$337/SUMPRODUCT(M385:V385,M322:V322),0)</f>
        <v>0.0</v>
      </c>
      <c r="M386" s="224">
        <f>L386</f>
        <v>0.0</v>
      </c>
      <c r="N386" s="224">
        <f>M386</f>
        <v>0.0</v>
      </c>
      <c r="O386" s="224">
        <f>N386</f>
        <v>0.0</v>
      </c>
      <c r="P386" s="224">
        <f>O386</f>
        <v>0.0</v>
      </c>
      <c r="Q386" s="224">
        <f>P386</f>
        <v>0.0</v>
      </c>
      <c r="R386" s="224">
        <f>Q386</f>
        <v>0.0</v>
      </c>
      <c r="S386" s="224">
        <f>R386</f>
        <v>0.0</v>
      </c>
      <c r="T386" s="224">
        <f>S386</f>
        <v>0.0</v>
      </c>
      <c r="U386" s="224">
        <f>T386</f>
        <v>0.0</v>
      </c>
      <c r="V386" s="224">
        <f>U386</f>
        <v>0.0</v>
      </c>
      <c r="W386" s="207" t="str">
        <f>IF(X$5=K$5,SUM(Y386:AI386)-SUM(L386:V386),"")</f>
        <v/>
      </c>
      <c r="X386" s="9" t="str">
        <f>LOWER(CtryCode)&amp;".distn."&amp;$A386&amp;IF($B386="","","."&amp;$B386)&amp;IF($C386="","",".dec."&amp;$C386)&amp;"."&amp;X$5</f>
        <v>egy.distn.ctsamt.2</v>
      </c>
      <c r="Y386" s="223">
        <f>IFERROR(Y$337/SUMPRODUCT(Z385:AI385,Z322:AI322),0)</f>
        <v>0.0</v>
      </c>
      <c r="Z386" s="224">
        <f>Y386</f>
        <v>0.0</v>
      </c>
      <c r="AA386" s="224">
        <f>Z386</f>
        <v>0.0</v>
      </c>
      <c r="AB386" s="224">
        <f>AA386</f>
        <v>0.0</v>
      </c>
      <c r="AC386" s="224">
        <f>AB386</f>
        <v>0.0</v>
      </c>
      <c r="AD386" s="224">
        <f>AC386</f>
        <v>0.0</v>
      </c>
      <c r="AE386" s="224">
        <f>AD386</f>
        <v>0.0</v>
      </c>
      <c r="AF386" s="224">
        <f>AE386</f>
        <v>0.0</v>
      </c>
      <c r="AG386" s="224">
        <f>AF386</f>
        <v>0.0</v>
      </c>
      <c r="AH386" s="224">
        <f>AG386</f>
        <v>0.0</v>
      </c>
      <c r="AI386" s="224">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33" t="inlineStr">
        <is>
          <t>legacy row 2645</t>
        </is>
      </c>
      <c r="K387" s="9" t="str">
        <f>LOWER(CtryCode)&amp;".distn."&amp;$A387&amp;IF($B387="","","."&amp;$B387)&amp;IF($C387="","",".dec."&amp;$C387)&amp;"."&amp;K$5</f>
        <v>egy.distn.cts.dec.ove.1</v>
      </c>
      <c r="M387" s="125">
        <f>M$386*M385</f>
        <v>0.0</v>
      </c>
      <c r="N387" s="125">
        <f>N$386*N385</f>
        <v>0.0</v>
      </c>
      <c r="O387" s="125">
        <f>O$386*O385</f>
        <v>0.0</v>
      </c>
      <c r="P387" s="125">
        <f>P$386*P385</f>
        <v>0.0</v>
      </c>
      <c r="Q387" s="125">
        <f>Q$386*Q385</f>
        <v>0.0</v>
      </c>
      <c r="R387" s="125">
        <f>R$386*R385</f>
        <v>0.0</v>
      </c>
      <c r="S387" s="125">
        <f>S$386*S385</f>
        <v>0.0</v>
      </c>
      <c r="T387" s="125">
        <f>T$386*T385</f>
        <v>0.0</v>
      </c>
      <c r="U387" s="125">
        <f>U$386*U385</f>
        <v>0.0</v>
      </c>
      <c r="V387" s="125">
        <f>V$386*V385</f>
        <v>0.0</v>
      </c>
      <c r="W387" s="207" t="str">
        <f>IF(X$5=K$5,SUM(Y387:AI387)-SUM(L387:V387),"")</f>
        <v/>
      </c>
      <c r="X387" s="9" t="str">
        <f>LOWER(CtryCode)&amp;".distn."&amp;$A387&amp;IF($B387="","","."&amp;$B387)&amp;IF($C387="","",".dec."&amp;$C387)&amp;"."&amp;X$5</f>
        <v>egy.distn.cts.dec.ove.2</v>
      </c>
      <c r="Z387" s="125">
        <f>Z$386*Z385</f>
        <v>0.0</v>
      </c>
      <c r="AA387" s="125">
        <f>AA$386*AA385</f>
        <v>0.0</v>
      </c>
      <c r="AB387" s="125">
        <f>AB$386*AB385</f>
        <v>0.0</v>
      </c>
      <c r="AC387" s="125">
        <f>AC$386*AC385</f>
        <v>0.0</v>
      </c>
      <c r="AD387" s="125">
        <f>AD$386*AD385</f>
        <v>0.0</v>
      </c>
      <c r="AE387" s="125">
        <f>AE$386*AE385</f>
        <v>0.0</v>
      </c>
      <c r="AF387" s="125">
        <f>AF$386*AF385</f>
        <v>0.0</v>
      </c>
      <c r="AG387" s="125">
        <f>AG$386*AG385</f>
        <v>0.0</v>
      </c>
      <c r="AH387" s="125">
        <f>AH$386*AH385</f>
        <v>0.0</v>
      </c>
      <c r="AI387" s="125">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33" t="inlineStr">
        <is>
          <t>legacy D.II 2878-2881</t>
        </is>
      </c>
      <c r="K390" s="9" t="str">
        <f>LOWER(CtryCode)&amp;".distn."&amp;$A390&amp;IF($B390="","","."&amp;$B390)&amp;IF($C390="","",".dec."&amp;$C390)&amp;"."&amp;K$5</f>
        <v>egy.distn.pit.tot.dec.urb.1</v>
      </c>
      <c r="M390" s="203">
        <f>M355/M326*PctPerUnit</f>
        <v>0.0</v>
      </c>
      <c r="N390" s="203">
        <f>N355/N326*PctPerUnit</f>
        <v>0.0</v>
      </c>
      <c r="O390" s="203">
        <f>O355/O326*PctPerUnit</f>
        <v>0.0</v>
      </c>
      <c r="P390" s="203">
        <f>P355/P326*PctPerUnit</f>
        <v>0.0</v>
      </c>
      <c r="Q390" s="203">
        <f>Q355/Q326*PctPerUnit</f>
        <v>0.0</v>
      </c>
      <c r="R390" s="203">
        <f>R355/R326*PctPerUnit</f>
        <v>0.0</v>
      </c>
      <c r="S390" s="203">
        <f>S355/S326*PctPerUnit</f>
        <v>0.0</v>
      </c>
      <c r="T390" s="203">
        <f>T355/T326*PctPerUnit</f>
        <v>0.0</v>
      </c>
      <c r="U390" s="203">
        <f>U355/U326*PctPerUnit</f>
        <v>0.0</v>
      </c>
      <c r="V390" s="203">
        <f>V355/V326*PctPerUnit</f>
        <v>0.0</v>
      </c>
      <c r="W390" s="207" t="str">
        <f>IF(X$5=K$5,SUM(Y390:AI390)-SUM(L390:V390),"")</f>
        <v/>
      </c>
      <c r="X390" s="9" t="str">
        <f>LOWER(CtryCode)&amp;".distn."&amp;$A390&amp;IF($B390="","","."&amp;$B390)&amp;IF($C390="","",".dec."&amp;$C390)&amp;"."&amp;X$5</f>
        <v>egy.distn.pit.tot.dec.urb.2</v>
      </c>
      <c r="Z390" s="203">
        <f>Z355/Z326*PctPerUnit</f>
        <v>0.37127072458627663</v>
      </c>
      <c r="AA390" s="203">
        <f>AA355/AA326*PctPerUnit</f>
        <v>0.43506283790921446</v>
      </c>
      <c r="AB390" s="203">
        <f>AB355/AB326*PctPerUnit</f>
        <v>0.3770495754169294</v>
      </c>
      <c r="AC390" s="203">
        <f>AC355/AC326*PctPerUnit</f>
        <v>0.35347513861979807</v>
      </c>
      <c r="AD390" s="203">
        <f>AD355/AD326*PctPerUnit</f>
        <v>0.27769972575555724</v>
      </c>
      <c r="AE390" s="203">
        <f>AE355/AE326*PctPerUnit</f>
        <v>0.28062606748238333</v>
      </c>
      <c r="AF390" s="203">
        <f>AF355/AF326*PctPerUnit</f>
        <v>0.250797051543334</v>
      </c>
      <c r="AG390" s="203">
        <f>AG355/AG326*PctPerUnit</f>
        <v>0.21135057847385766</v>
      </c>
      <c r="AH390" s="203">
        <f>AH355/AH326*PctPerUnit</f>
        <v>0.16698827546320832</v>
      </c>
      <c r="AI390" s="203">
        <f>AI355/AI326*PctPerUnit</f>
        <v>0.11526980540349484</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33" t="inlineStr">
        <is>
          <t>legacy D.II 2878-2881</t>
        </is>
      </c>
      <c r="K391" s="9" t="str">
        <f>LOWER(CtryCode)&amp;".distn."&amp;$A391&amp;IF($B391="","","."&amp;$B391)&amp;IF($C391="","",".dec."&amp;$C391)&amp;"."&amp;K$5</f>
        <v>egy.distn.pui.tot.dec.urb.1</v>
      </c>
      <c r="M391" s="203">
        <f>M381/M326*PctPerUnit</f>
        <v>0.0</v>
      </c>
      <c r="N391" s="203">
        <f>N381/N326*PctPerUnit</f>
        <v>0.0</v>
      </c>
      <c r="O391" s="203">
        <f>O381/O326*PctPerUnit</f>
        <v>-0.0</v>
      </c>
      <c r="P391" s="203">
        <f>P381/P326*PctPerUnit</f>
        <v>0.0</v>
      </c>
      <c r="Q391" s="203">
        <f>Q381/Q326*PctPerUnit</f>
        <v>0.0</v>
      </c>
      <c r="R391" s="203">
        <f>R381/R326*PctPerUnit</f>
        <v>0.0</v>
      </c>
      <c r="S391" s="203">
        <f>S381/S326*PctPerUnit</f>
        <v>0.0</v>
      </c>
      <c r="T391" s="203">
        <f>T381/T326*PctPerUnit</f>
        <v>0.0</v>
      </c>
      <c r="U391" s="203">
        <f>U381/U326*PctPerUnit</f>
        <v>-0.0</v>
      </c>
      <c r="V391" s="203">
        <f>V381/V326*PctPerUnit</f>
        <v>0.0</v>
      </c>
      <c r="W391" s="207" t="str">
        <f>IF(X$5=K$5,SUM(Y391:AI391)-SUM(L391:V391),"")</f>
        <v/>
      </c>
      <c r="X391" s="9" t="str">
        <f>LOWER(CtryCode)&amp;".distn."&amp;$A391&amp;IF($B391="","","."&amp;$B391)&amp;IF($C391="","",".dec."&amp;$C391)&amp;"."&amp;X$5</f>
        <v>egy.distn.pui.tot.dec.urb.2</v>
      </c>
      <c r="Z391" s="203">
        <f>Z381/Z326*PctPerUnit</f>
        <v>1.4260756443449263</v>
      </c>
      <c r="AA391" s="203">
        <f>AA381/AA326*PctPerUnit</f>
        <v>0.4937165389869669</v>
      </c>
      <c r="AB391" s="203">
        <f>AB381/AB326*PctPerUnit</f>
        <v>-0.10300893747626957</v>
      </c>
      <c r="AC391" s="203">
        <f>AC381/AC326*PctPerUnit</f>
        <v>0.4465011330170894</v>
      </c>
      <c r="AD391" s="203">
        <f>AD381/AD326*PctPerUnit</f>
        <v>0.08222623335818624</v>
      </c>
      <c r="AE391" s="203">
        <f>AE381/AE326*PctPerUnit</f>
        <v>0.2958297148160868</v>
      </c>
      <c r="AF391" s="203">
        <f>AF381/AF326*PctPerUnit</f>
        <v>0.10973768657202548</v>
      </c>
      <c r="AG391" s="203">
        <f>AG381/AG326*PctPerUnit</f>
        <v>0.01917830092041315</v>
      </c>
      <c r="AH391" s="203">
        <f>AH381/AH326*PctPerUnit</f>
        <v>-0.015196400969421018</v>
      </c>
      <c r="AI391" s="203">
        <f>AI381/AI326*PctPerUnit</f>
        <v>0.0030466086746979123</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33" t="inlineStr">
        <is>
          <t>legacy D.II 2878-2881</t>
        </is>
      </c>
      <c r="K392" s="9" t="str">
        <f>LOWER(CtryCode)&amp;".distn."&amp;$A392&amp;IF($B392="","","."&amp;$B392)&amp;IF($C392="","",".dec."&amp;$C392)&amp;"."&amp;K$5</f>
        <v>egy.distn.cts.tot.dec.urb.1</v>
      </c>
      <c r="M392" s="203">
        <f>M387/M326*PctPerUnit</f>
        <v>0.0</v>
      </c>
      <c r="N392" s="203">
        <f>N387/N326*PctPerUnit</f>
        <v>0.0</v>
      </c>
      <c r="O392" s="203">
        <f>O387/O326*PctPerUnit</f>
        <v>0.0</v>
      </c>
      <c r="P392" s="203">
        <f>P387/P326*PctPerUnit</f>
        <v>0.0</v>
      </c>
      <c r="Q392" s="203">
        <f>Q387/Q326*PctPerUnit</f>
        <v>0.0</v>
      </c>
      <c r="R392" s="203">
        <f>R387/R326*PctPerUnit</f>
        <v>0.0</v>
      </c>
      <c r="S392" s="203">
        <f>S387/S326*PctPerUnit</f>
        <v>0.0</v>
      </c>
      <c r="T392" s="203">
        <f>T387/T326*PctPerUnit</f>
        <v>0.0</v>
      </c>
      <c r="U392" s="203">
        <f>U387/U326*PctPerUnit</f>
        <v>0.0</v>
      </c>
      <c r="V392" s="203">
        <f>V387/V326*PctPerUnit</f>
        <v>0.0</v>
      </c>
      <c r="W392" s="207" t="str">
        <f>IF(X$5=K$5,SUM(Y392:AI392)-SUM(L392:V392),"")</f>
        <v/>
      </c>
      <c r="X392" s="9" t="str">
        <f>LOWER(CtryCode)&amp;".distn."&amp;$A392&amp;IF($B392="","","."&amp;$B392)&amp;IF($C392="","",".dec."&amp;$C392)&amp;"."&amp;X$5</f>
        <v>egy.distn.cts.tot.dec.urb.2</v>
      </c>
      <c r="Z392" s="203">
        <f>Z387/Z326*PctPerUnit</f>
        <v>0.0</v>
      </c>
      <c r="AA392" s="203">
        <f>AA387/AA326*PctPerUnit</f>
        <v>0.0</v>
      </c>
      <c r="AB392" s="203">
        <f>AB387/AB326*PctPerUnit</f>
        <v>0.0</v>
      </c>
      <c r="AC392" s="203">
        <f>AC387/AC326*PctPerUnit</f>
        <v>0.0</v>
      </c>
      <c r="AD392" s="203">
        <f>AD387/AD326*PctPerUnit</f>
        <v>0.0</v>
      </c>
      <c r="AE392" s="203">
        <f>AE387/AE326*PctPerUnit</f>
        <v>0.0</v>
      </c>
      <c r="AF392" s="203">
        <f>AF387/AF326*PctPerUnit</f>
        <v>0.0</v>
      </c>
      <c r="AG392" s="203">
        <f>AG387/AG326*PctPerUnit</f>
        <v>0.0</v>
      </c>
      <c r="AH392" s="203">
        <f>AH387/AH326*PctPerUnit</f>
        <v>0.0</v>
      </c>
      <c r="AI392" s="203">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33" t="inlineStr">
        <is>
          <t>legacy D.II 2878-2881</t>
        </is>
      </c>
      <c r="K393" s="9" t="str">
        <f>LOWER(CtryCode)&amp;".distn."&amp;$A393&amp;IF($B393="","","."&amp;$B393)&amp;IF($C393="","",".dec."&amp;$C393)&amp;"."&amp;K$5</f>
        <v>egy.distn.tgt.tot.dec.urb.1</v>
      </c>
      <c r="M393" s="203">
        <f>M370/M326*PctPerUnit</f>
        <v>0.0</v>
      </c>
      <c r="N393" s="203">
        <f>N370/N326*PctPerUnit</f>
        <v>0.0</v>
      </c>
      <c r="O393" s="203">
        <f>O370/O326*PctPerUnit</f>
        <v>0.0</v>
      </c>
      <c r="P393" s="203">
        <f>P370/P326*PctPerUnit</f>
        <v>0.0</v>
      </c>
      <c r="Q393" s="203">
        <f>Q370/Q326*PctPerUnit</f>
        <v>0.0</v>
      </c>
      <c r="R393" s="203">
        <f>R370/R326*PctPerUnit</f>
        <v>0.0</v>
      </c>
      <c r="S393" s="203">
        <f>S370/S326*PctPerUnit</f>
        <v>0.0</v>
      </c>
      <c r="T393" s="203">
        <f>T370/T326*PctPerUnit</f>
        <v>0.0</v>
      </c>
      <c r="U393" s="203">
        <f>U370/U326*PctPerUnit</f>
        <v>0.0</v>
      </c>
      <c r="V393" s="203">
        <f>V370/V326*PctPerUnit</f>
        <v>0.0</v>
      </c>
      <c r="W393" s="207" t="str">
        <f>IF(X$5=K$5,SUM(Y393:AI393)-SUM(L393:V393),"")</f>
        <v/>
      </c>
      <c r="X393" s="9" t="str">
        <f>LOWER(CtryCode)&amp;".distn."&amp;$A393&amp;IF($B393="","","."&amp;$B393)&amp;IF($C393="","",".dec."&amp;$C393)&amp;"."&amp;X$5</f>
        <v>egy.distn.tgt.tot.dec.urb.2</v>
      </c>
      <c r="Z393" s="203">
        <f>Z370/Z326*PctPerUnit</f>
        <v>0.9826310289268034</v>
      </c>
      <c r="AA393" s="203">
        <f>AA370/AA326*PctPerUnit</f>
        <v>0.6975508959055376</v>
      </c>
      <c r="AB393" s="203">
        <f>AB370/AB326*PctPerUnit</f>
        <v>0.604536278935791</v>
      </c>
      <c r="AC393" s="203">
        <f>AC370/AC326*PctPerUnit</f>
        <v>0.5667385907045132</v>
      </c>
      <c r="AD393" s="203">
        <f>AD370/AD326*PctPerUnit</f>
        <v>0.01954639812230965</v>
      </c>
      <c r="AE393" s="203">
        <f>AE370/AE326*PctPerUnit</f>
        <v>0.0</v>
      </c>
      <c r="AF393" s="203">
        <f>AF370/AF326*PctPerUnit</f>
        <v>0.0</v>
      </c>
      <c r="AG393" s="203">
        <f>AG370/AG326*PctPerUnit</f>
        <v>0.0</v>
      </c>
      <c r="AH393" s="203">
        <f>AH370/AH326*PctPerUnit</f>
        <v>0.0</v>
      </c>
      <c r="AI393" s="203">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33" t="inlineStr">
        <is>
          <t>legacy D.II 2882</t>
        </is>
      </c>
      <c r="K394" s="9" t="str">
        <f>LOWER(CtryCode)&amp;".distn."&amp;$A394&amp;IF($B394="","","."&amp;$B394)&amp;IF($C394="","",".dec."&amp;$C394)&amp;"."&amp;K$5</f>
        <v>egy.distn.rec.tot.dec.urb.1</v>
      </c>
      <c r="M394" s="203">
        <f>SUM(M390:M393)</f>
        <v>0.0</v>
      </c>
      <c r="N394" s="203">
        <f>SUM(N390:N393)</f>
        <v>0.0</v>
      </c>
      <c r="O394" s="203">
        <f>SUM(O390:O393)</f>
        <v>0.0</v>
      </c>
      <c r="P394" s="203">
        <f>SUM(P390:P393)</f>
        <v>0.0</v>
      </c>
      <c r="Q394" s="203">
        <f>SUM(Q390:Q393)</f>
        <v>0.0</v>
      </c>
      <c r="R394" s="203">
        <f>SUM(R390:R393)</f>
        <v>0.0</v>
      </c>
      <c r="S394" s="203">
        <f>SUM(S390:S393)</f>
        <v>0.0</v>
      </c>
      <c r="T394" s="203">
        <f>SUM(T390:T393)</f>
        <v>0.0</v>
      </c>
      <c r="U394" s="203">
        <f>SUM(U390:U393)</f>
        <v>0.0</v>
      </c>
      <c r="V394" s="203">
        <f>SUM(V390:V393)</f>
        <v>0.0</v>
      </c>
      <c r="W394" s="207" t="str">
        <f>IF(X$5=K$5,SUM(Y394:AI394)-SUM(L394:V394),"")</f>
        <v/>
      </c>
      <c r="X394" s="9" t="str">
        <f>LOWER(CtryCode)&amp;".distn."&amp;$A394&amp;IF($B394="","","."&amp;$B394)&amp;IF($C394="","",".dec."&amp;$C394)&amp;"."&amp;X$5</f>
        <v>egy.distn.rec.tot.dec.urb.2</v>
      </c>
      <c r="Z394" s="203">
        <f>SUM(Z390:Z393)</f>
        <v>2.7799773978580067</v>
      </c>
      <c r="AA394" s="203">
        <f>SUM(AA390:AA393)</f>
        <v>1.626330272801719</v>
      </c>
      <c r="AB394" s="203">
        <f>SUM(AB390:AB393)</f>
        <v>0.8785769168764508</v>
      </c>
      <c r="AC394" s="203">
        <f>SUM(AC390:AC393)</f>
        <v>1.3667148623414005</v>
      </c>
      <c r="AD394" s="203">
        <f>SUM(AD390:AD393)</f>
        <v>0.3794723572360531</v>
      </c>
      <c r="AE394" s="203">
        <f>SUM(AE390:AE393)</f>
        <v>0.5764557822984702</v>
      </c>
      <c r="AF394" s="203">
        <f>SUM(AF390:AF393)</f>
        <v>0.36053473811535947</v>
      </c>
      <c r="AG394" s="203">
        <f>SUM(AG390:AG393)</f>
        <v>0.2305288793942708</v>
      </c>
      <c r="AH394" s="203">
        <f>SUM(AH390:AH393)</f>
        <v>0.1517918744937873</v>
      </c>
      <c r="AI394" s="203">
        <f>SUM(AI390:AI393)</f>
        <v>0.11831641407819275</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33" t="inlineStr">
        <is>
          <t>legacy D.II 2878-2881</t>
        </is>
      </c>
      <c r="K396" s="9" t="str">
        <f>LOWER(CtryCode)&amp;".distn."&amp;$A396&amp;IF($B396="","","."&amp;$B396)&amp;IF($C396="","",".dec."&amp;$C396)&amp;"."&amp;K$5</f>
        <v>egy.distn.pit.tot.dec.rur.1</v>
      </c>
      <c r="M396" s="203">
        <f>M355/M327*PctPerUnit</f>
        <v>0.0</v>
      </c>
      <c r="N396" s="203">
        <f>N355/N327*PctPerUnit</f>
        <v>0.0</v>
      </c>
      <c r="O396" s="203">
        <f>O355/O327*PctPerUnit</f>
        <v>0.0</v>
      </c>
      <c r="P396" s="203">
        <f>P355/P327*PctPerUnit</f>
        <v>0.0</v>
      </c>
      <c r="Q396" s="203">
        <f>Q355/Q327*PctPerUnit</f>
        <v>0.0</v>
      </c>
      <c r="R396" s="203">
        <f>R355/R327*PctPerUnit</f>
        <v>0.0</v>
      </c>
      <c r="S396" s="203">
        <f>S355/S327*PctPerUnit</f>
        <v>0.0</v>
      </c>
      <c r="T396" s="203">
        <f>T355/T327*PctPerUnit</f>
        <v>0.0</v>
      </c>
      <c r="U396" s="203">
        <f>U355/U327*PctPerUnit</f>
        <v>0.0</v>
      </c>
      <c r="V396" s="203">
        <f>V355/V327*PctPerUnit</f>
        <v>0.0</v>
      </c>
      <c r="W396" s="207" t="str">
        <f>IF(X$5=K$5,SUM(Y396:AI396)-SUM(L396:V396),"")</f>
        <v/>
      </c>
      <c r="X396" s="9" t="str">
        <f>LOWER(CtryCode)&amp;".distn."&amp;$A396&amp;IF($B396="","","."&amp;$B396)&amp;IF($C396="","",".dec."&amp;$C396)&amp;"."&amp;X$5</f>
        <v>egy.distn.pit.tot.dec.rur.2</v>
      </c>
      <c r="Z396" s="203">
        <f>Z355/Z327*PctPerUnit</f>
        <v>0.4196507004763895</v>
      </c>
      <c r="AA396" s="203">
        <f>AA355/AA327*PctPerUnit</f>
        <v>0.5639818697381138</v>
      </c>
      <c r="AB396" s="203">
        <f>AB355/AB327*PctPerUnit</f>
        <v>0.48571973584696354</v>
      </c>
      <c r="AC396" s="203">
        <f>AC355/AC327*PctPerUnit</f>
        <v>0.4183346838108863</v>
      </c>
      <c r="AD396" s="203">
        <f>AD355/AD327*PctPerUnit</f>
        <v>0.3675659332403381</v>
      </c>
      <c r="AE396" s="203">
        <f>AE355/AE327*PctPerUnit</f>
        <v>0.34496572385520946</v>
      </c>
      <c r="AF396" s="203">
        <f>AF355/AF327*PctPerUnit</f>
        <v>0.29459614984655047</v>
      </c>
      <c r="AG396" s="203">
        <f>AG355/AG327*PctPerUnit</f>
        <v>0.27545090185429194</v>
      </c>
      <c r="AH396" s="203">
        <f>AH355/AH327*PctPerUnit</f>
        <v>0.23595115598554453</v>
      </c>
      <c r="AI396" s="203">
        <f>AI355/AI327*PctPerUnit</f>
        <v>0.15679480494443693</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33" t="inlineStr">
        <is>
          <t>legacy D.II 2878-2881</t>
        </is>
      </c>
      <c r="K397" s="9" t="str">
        <f>LOWER(CtryCode)&amp;".distn."&amp;$A397&amp;IF($B397="","","."&amp;$B397)&amp;IF($C397="","",".dec."&amp;$C397)&amp;"."&amp;K$5</f>
        <v>egy.distn.pui.tot.dec.rur.1</v>
      </c>
      <c r="M397" s="203">
        <f>M382/M327*PctPerUnit</f>
        <v>0.0</v>
      </c>
      <c r="N397" s="203">
        <f>N382/N327*PctPerUnit</f>
        <v>0.0</v>
      </c>
      <c r="O397" s="203">
        <f>O382/O327*PctPerUnit</f>
        <v>0.0</v>
      </c>
      <c r="P397" s="203">
        <f>P382/P327*PctPerUnit</f>
        <v>0.0</v>
      </c>
      <c r="Q397" s="203">
        <f>Q382/Q327*PctPerUnit</f>
        <v>0.0</v>
      </c>
      <c r="R397" s="203">
        <f>R382/R327*PctPerUnit</f>
        <v>0.0</v>
      </c>
      <c r="S397" s="203">
        <f>S382/S327*PctPerUnit</f>
        <v>0.0</v>
      </c>
      <c r="T397" s="203">
        <f>T382/T327*PctPerUnit</f>
        <v>0.0</v>
      </c>
      <c r="U397" s="203">
        <f>U382/U327*PctPerUnit</f>
        <v>0.0</v>
      </c>
      <c r="V397" s="203">
        <f>V382/V327*PctPerUnit</f>
        <v>0.0</v>
      </c>
      <c r="W397" s="207" t="str">
        <f>IF(X$5=K$5,SUM(Y397:AI397)-SUM(L397:V397),"")</f>
        <v/>
      </c>
      <c r="X397" s="9" t="str">
        <f>LOWER(CtryCode)&amp;".distn."&amp;$A397&amp;IF($B397="","","."&amp;$B397)&amp;IF($C397="","",".dec."&amp;$C397)&amp;"."&amp;X$5</f>
        <v>egy.distn.pui.tot.dec.rur.2</v>
      </c>
      <c r="Z397" s="203">
        <f>Z382/Z327*PctPerUnit</f>
        <v>3.345410527934605</v>
      </c>
      <c r="AA397" s="203">
        <f>AA382/AA327*PctPerUnit</f>
        <v>2.2930522925919568</v>
      </c>
      <c r="AB397" s="203">
        <f>AB382/AB327*PctPerUnit</f>
        <v>1.5891138162428147</v>
      </c>
      <c r="AC397" s="203">
        <f>AC382/AC327*PctPerUnit</f>
        <v>0.876443383860694</v>
      </c>
      <c r="AD397" s="203">
        <f>AD382/AD327*PctPerUnit</f>
        <v>0.6690341523856044</v>
      </c>
      <c r="AE397" s="203">
        <f>AE382/AE327*PctPerUnit</f>
        <v>0.8289899273980642</v>
      </c>
      <c r="AF397" s="203">
        <f>AF382/AF327*PctPerUnit</f>
        <v>0.5677078861449434</v>
      </c>
      <c r="AG397" s="203">
        <f>AG382/AG327*PctPerUnit</f>
        <v>0.6226614845487156</v>
      </c>
      <c r="AH397" s="203">
        <f>AH382/AH327*PctPerUnit</f>
        <v>0.5884192435123603</v>
      </c>
      <c r="AI397" s="203">
        <f>AI382/AI327*PctPerUnit</f>
        <v>0.4816330237459943</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33" t="inlineStr">
        <is>
          <t>legacy D.II 2878-2881</t>
        </is>
      </c>
      <c r="K398" s="9" t="str">
        <f>LOWER(CtryCode)&amp;".distn."&amp;$A398&amp;IF($B398="","","."&amp;$B398)&amp;IF($C398="","",".dec."&amp;$C398)&amp;"."&amp;K$5</f>
        <v>egy.distn.cts.tot.dec.rur.1</v>
      </c>
      <c r="M398" s="203">
        <f>M387/M327*PctPerUnit</f>
        <v>0.0</v>
      </c>
      <c r="N398" s="203">
        <f>N387/N327*PctPerUnit</f>
        <v>0.0</v>
      </c>
      <c r="O398" s="203">
        <f>O387/O327*PctPerUnit</f>
        <v>0.0</v>
      </c>
      <c r="P398" s="203">
        <f>P387/P327*PctPerUnit</f>
        <v>0.0</v>
      </c>
      <c r="Q398" s="203">
        <f>Q387/Q327*PctPerUnit</f>
        <v>0.0</v>
      </c>
      <c r="R398" s="203">
        <f>R387/R327*PctPerUnit</f>
        <v>0.0</v>
      </c>
      <c r="S398" s="203">
        <f>S387/S327*PctPerUnit</f>
        <v>0.0</v>
      </c>
      <c r="T398" s="203">
        <f>T387/T327*PctPerUnit</f>
        <v>0.0</v>
      </c>
      <c r="U398" s="203">
        <f>U387/U327*PctPerUnit</f>
        <v>0.0</v>
      </c>
      <c r="V398" s="203">
        <f>V387/V327*PctPerUnit</f>
        <v>0.0</v>
      </c>
      <c r="W398" s="207" t="str">
        <f>IF(X$5=K$5,SUM(Y398:AI398)-SUM(L398:V398),"")</f>
        <v/>
      </c>
      <c r="X398" s="9" t="str">
        <f>LOWER(CtryCode)&amp;".distn."&amp;$A398&amp;IF($B398="","","."&amp;$B398)&amp;IF($C398="","",".dec."&amp;$C398)&amp;"."&amp;X$5</f>
        <v>egy.distn.cts.tot.dec.rur.2</v>
      </c>
      <c r="Z398" s="203">
        <f>Z387/Z327*PctPerUnit</f>
        <v>0.0</v>
      </c>
      <c r="AA398" s="203">
        <f>AA387/AA327*PctPerUnit</f>
        <v>0.0</v>
      </c>
      <c r="AB398" s="203">
        <f>AB387/AB327*PctPerUnit</f>
        <v>0.0</v>
      </c>
      <c r="AC398" s="203">
        <f>AC387/AC327*PctPerUnit</f>
        <v>0.0</v>
      </c>
      <c r="AD398" s="203">
        <f>AD387/AD327*PctPerUnit</f>
        <v>0.0</v>
      </c>
      <c r="AE398" s="203">
        <f>AE387/AE327*PctPerUnit</f>
        <v>0.0</v>
      </c>
      <c r="AF398" s="203">
        <f>AF387/AF327*PctPerUnit</f>
        <v>0.0</v>
      </c>
      <c r="AG398" s="203">
        <f>AG387/AG327*PctPerUnit</f>
        <v>0.0</v>
      </c>
      <c r="AH398" s="203">
        <f>AH387/AH327*PctPerUnit</f>
        <v>0.0</v>
      </c>
      <c r="AI398" s="203">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33" t="inlineStr">
        <is>
          <t>legacy D.II 2878-2881</t>
        </is>
      </c>
      <c r="K399" s="9" t="str">
        <f>LOWER(CtryCode)&amp;".distn."&amp;$A399&amp;IF($B399="","","."&amp;$B399)&amp;IF($C399="","",".dec."&amp;$C399)&amp;"."&amp;K$5</f>
        <v>egy.distn.tgt.tot.dec.rur.1</v>
      </c>
      <c r="M399" s="203">
        <f>M370/M327*PctPerUnit</f>
        <v>0.0</v>
      </c>
      <c r="N399" s="203">
        <f>N370/N327*PctPerUnit</f>
        <v>0.0</v>
      </c>
      <c r="O399" s="203">
        <f>O370/O327*PctPerUnit</f>
        <v>0.0</v>
      </c>
      <c r="P399" s="203">
        <f>P370/P327*PctPerUnit</f>
        <v>0.0</v>
      </c>
      <c r="Q399" s="203">
        <f>Q370/Q327*PctPerUnit</f>
        <v>0.0</v>
      </c>
      <c r="R399" s="203">
        <f>R370/R327*PctPerUnit</f>
        <v>0.0</v>
      </c>
      <c r="S399" s="203">
        <f>S370/S327*PctPerUnit</f>
        <v>0.0</v>
      </c>
      <c r="T399" s="203">
        <f>T370/T327*PctPerUnit</f>
        <v>0.0</v>
      </c>
      <c r="U399" s="203">
        <f>U370/U327*PctPerUnit</f>
        <v>0.0</v>
      </c>
      <c r="V399" s="203">
        <f>V370/V327*PctPerUnit</f>
        <v>0.0</v>
      </c>
      <c r="W399" s="207" t="str">
        <f>IF(X$5=K$5,SUM(Y399:AI399)-SUM(L399:V399),"")</f>
        <v/>
      </c>
      <c r="X399" s="9" t="str">
        <f>LOWER(CtryCode)&amp;".distn."&amp;$A399&amp;IF($B399="","","."&amp;$B399)&amp;IF($C399="","",".dec."&amp;$C399)&amp;"."&amp;X$5</f>
        <v>egy.distn.tgt.tot.dec.rur.2</v>
      </c>
      <c r="Z399" s="203">
        <f>Z370/Z327*PctPerUnit</f>
        <v>1.110676851934613</v>
      </c>
      <c r="AA399" s="203">
        <f>AA370/AA327*PctPerUnit</f>
        <v>0.9042511201390969</v>
      </c>
      <c r="AB399" s="203">
        <f>AB370/AB327*PctPerUnit</f>
        <v>0.7787708059077012</v>
      </c>
      <c r="AC399" s="203">
        <f>AC370/AC327*PctPerUnit</f>
        <v>0.6707300832288878</v>
      </c>
      <c r="AD399" s="203">
        <f>AD370/AD327*PctPerUnit</f>
        <v>0.02587179388732315</v>
      </c>
      <c r="AE399" s="203">
        <f>AE370/AE327*PctPerUnit</f>
        <v>0.0</v>
      </c>
      <c r="AF399" s="203">
        <f>AF370/AF327*PctPerUnit</f>
        <v>0.0</v>
      </c>
      <c r="AG399" s="203">
        <f>AG370/AG327*PctPerUnit</f>
        <v>0.0</v>
      </c>
      <c r="AH399" s="203">
        <f>AH370/AH327*PctPerUnit</f>
        <v>0.0</v>
      </c>
      <c r="AI399" s="203">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33" t="inlineStr">
        <is>
          <t>legacy D.II 2882</t>
        </is>
      </c>
      <c r="K400" s="9" t="str">
        <f>LOWER(CtryCode)&amp;".distn."&amp;$A400&amp;IF($B400="","","."&amp;$B400)&amp;IF($C400="","",".dec."&amp;$C400)&amp;"."&amp;K$5</f>
        <v>egy.distn.rec.tot.dec.rur.1</v>
      </c>
      <c r="M400" s="203">
        <f>SUM(M396:M399)</f>
        <v>0.0</v>
      </c>
      <c r="N400" s="203">
        <f>SUM(N396:N399)</f>
        <v>0.0</v>
      </c>
      <c r="O400" s="203">
        <f>SUM(O396:O399)</f>
        <v>0.0</v>
      </c>
      <c r="P400" s="203">
        <f>SUM(P396:P399)</f>
        <v>0.0</v>
      </c>
      <c r="Q400" s="203">
        <f>SUM(Q396:Q399)</f>
        <v>0.0</v>
      </c>
      <c r="R400" s="203">
        <f>SUM(R396:R399)</f>
        <v>0.0</v>
      </c>
      <c r="S400" s="203">
        <f>SUM(S396:S399)</f>
        <v>0.0</v>
      </c>
      <c r="T400" s="203">
        <f>SUM(T396:T399)</f>
        <v>0.0</v>
      </c>
      <c r="U400" s="203">
        <f>SUM(U396:U399)</f>
        <v>0.0</v>
      </c>
      <c r="V400" s="203">
        <f>SUM(V396:V399)</f>
        <v>0.0</v>
      </c>
      <c r="W400" s="207" t="str">
        <f>IF(X$5=K$5,SUM(Y400:AI400)-SUM(L400:V400),"")</f>
        <v/>
      </c>
      <c r="X400" s="9" t="str">
        <f>LOWER(CtryCode)&amp;".distn."&amp;$A400&amp;IF($B400="","","."&amp;$B400)&amp;IF($C400="","",".dec."&amp;$C400)&amp;"."&amp;X$5</f>
        <v>egy.distn.rec.tot.dec.rur.2</v>
      </c>
      <c r="Z400" s="203">
        <f>SUM(Z396:Z399)</f>
        <v>4.875738080345608</v>
      </c>
      <c r="AA400" s="203">
        <f>SUM(AA396:AA399)</f>
        <v>3.7612852824691676</v>
      </c>
      <c r="AB400" s="203">
        <f>SUM(AB396:AB399)</f>
        <v>2.8536043579974795</v>
      </c>
      <c r="AC400" s="203">
        <f>SUM(AC396:AC399)</f>
        <v>1.9655081509004682</v>
      </c>
      <c r="AD400" s="203">
        <f>SUM(AD396:AD399)</f>
        <v>1.0624718795132657</v>
      </c>
      <c r="AE400" s="203">
        <f>SUM(AE396:AE399)</f>
        <v>1.1739556512532736</v>
      </c>
      <c r="AF400" s="203">
        <f>SUM(AF396:AF399)</f>
        <v>0.8623040359914939</v>
      </c>
      <c r="AG400" s="203">
        <f>SUM(AG396:AG399)</f>
        <v>0.8981123864030076</v>
      </c>
      <c r="AH400" s="203">
        <f>SUM(AH396:AH399)</f>
        <v>0.8243703994979048</v>
      </c>
      <c r="AI400" s="203">
        <f>SUM(AI396:AI399)</f>
        <v>0.6384278286904312</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33" t="inlineStr">
        <is>
          <t>legacy D.II 2878-2881</t>
        </is>
      </c>
      <c r="K402" s="9" t="str">
        <f>LOWER(CtryCode)&amp;".distn."&amp;$A402&amp;IF($B402="","","."&amp;$B402)&amp;IF($C402="","",".dec."&amp;$C402)&amp;"."&amp;K$5</f>
        <v>egy.distn.pit.tot.dec.ove.1</v>
      </c>
      <c r="M402" s="203">
        <f>M355/M325*PctPerUnit</f>
        <v>0.0</v>
      </c>
      <c r="N402" s="203">
        <f>N355/N325*PctPerUnit</f>
        <v>0.0</v>
      </c>
      <c r="O402" s="203">
        <f>O355/O325*PctPerUnit</f>
        <v>0.0</v>
      </c>
      <c r="P402" s="203">
        <f>P355/P325*PctPerUnit</f>
        <v>0.0</v>
      </c>
      <c r="Q402" s="203">
        <f>Q355/Q325*PctPerUnit</f>
        <v>0.0</v>
      </c>
      <c r="R402" s="203">
        <f>R355/R325*PctPerUnit</f>
        <v>0.0</v>
      </c>
      <c r="S402" s="203">
        <f>S355/S325*PctPerUnit</f>
        <v>0.0</v>
      </c>
      <c r="T402" s="203">
        <f>T355/T325*PctPerUnit</f>
        <v>0.0</v>
      </c>
      <c r="U402" s="203">
        <f>U355/U325*PctPerUnit</f>
        <v>0.0</v>
      </c>
      <c r="V402" s="203">
        <f>V355/V325*PctPerUnit</f>
        <v>0.0</v>
      </c>
      <c r="W402" s="207" t="str">
        <f>IF(X$5=K$5,SUM(Y402:AI402)-SUM(L402:V402),"")</f>
        <v/>
      </c>
      <c r="X402" s="9" t="str">
        <f>LOWER(CtryCode)&amp;".distn."&amp;$A402&amp;IF($B402="","","."&amp;$B402)&amp;IF($C402="","",".dec."&amp;$C402)&amp;"."&amp;X$5</f>
        <v>egy.distn.pit.tot.dec.ove.2</v>
      </c>
      <c r="Z402" s="203">
        <f>Z355/Z325*PctPerUnit</f>
        <v>0.3958770288979205</v>
      </c>
      <c r="AA402" s="203">
        <f>AA355/AA325*PctPerUnit</f>
        <v>0.5128278596942333</v>
      </c>
      <c r="AB402" s="203">
        <f>AB355/AB325*PctPerUnit</f>
        <v>0.41517158418729716</v>
      </c>
      <c r="AC402" s="203">
        <f>AC355/AC325*PctPerUnit</f>
        <v>0.34830971855709014</v>
      </c>
      <c r="AD402" s="203">
        <f>AD355/AD325*PctPerUnit</f>
        <v>0.330245674075941</v>
      </c>
      <c r="AE402" s="203">
        <f>AE355/AE325*PctPerUnit</f>
        <v>0.31031038514059095</v>
      </c>
      <c r="AF402" s="203">
        <f>AF355/AF325*PctPerUnit</f>
        <v>0.24724765560046125</v>
      </c>
      <c r="AG402" s="203">
        <f>AG355/AG325*PctPerUnit</f>
        <v>0.215338294223661</v>
      </c>
      <c r="AH402" s="203">
        <f>AH355/AH325*PctPerUnit</f>
        <v>0.18081333525813162</v>
      </c>
      <c r="AI402" s="203">
        <f>AI355/AI325*PctPerUnit</f>
        <v>0.12999911931050773</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33" t="inlineStr">
        <is>
          <t>legacy D.II 2878-2881</t>
        </is>
      </c>
      <c r="K403" s="9" t="str">
        <f>LOWER(CtryCode)&amp;".distn."&amp;$A403&amp;IF($B403="","","."&amp;$B403)&amp;IF($C403="","",".dec."&amp;$C403)&amp;"."&amp;K$5</f>
        <v>egy.distn.pui.tot.dec.ove.1</v>
      </c>
      <c r="M403" s="203">
        <f>M380/M325*PctPerUnit</f>
        <v>0.0</v>
      </c>
      <c r="N403" s="203">
        <f>N380/N325*PctPerUnit</f>
        <v>0.0</v>
      </c>
      <c r="O403" s="203">
        <f>O380/O325*PctPerUnit</f>
        <v>0.0</v>
      </c>
      <c r="P403" s="203">
        <f>P380/P325*PctPerUnit</f>
        <v>0.0</v>
      </c>
      <c r="Q403" s="203">
        <f>Q380/Q325*PctPerUnit</f>
        <v>0.0</v>
      </c>
      <c r="R403" s="203">
        <f>R380/R325*PctPerUnit</f>
        <v>0.0</v>
      </c>
      <c r="S403" s="203">
        <f>S380/S325*PctPerUnit</f>
        <v>0.0</v>
      </c>
      <c r="T403" s="203">
        <f>T380/T325*PctPerUnit</f>
        <v>0.0</v>
      </c>
      <c r="U403" s="203">
        <f>U380/U325*PctPerUnit</f>
        <v>0.0</v>
      </c>
      <c r="V403" s="203">
        <f>V380/V325*PctPerUnit</f>
        <v>0.0</v>
      </c>
      <c r="W403" s="207" t="str">
        <f>IF(X$5=K$5,SUM(Y403:AI403)-SUM(L403:V403),"")</f>
        <v/>
      </c>
      <c r="X403" s="9" t="str">
        <f>LOWER(CtryCode)&amp;".distn."&amp;$A403&amp;IF($B403="","","."&amp;$B403)&amp;IF($C403="","",".dec."&amp;$C403)&amp;"."&amp;X$5</f>
        <v>egy.distn.pui.tot.dec.ove.2</v>
      </c>
      <c r="Z403" s="203">
        <f>Z380/Z325*PctPerUnit</f>
        <v>2.7607870544800317</v>
      </c>
      <c r="AA403" s="203">
        <f>AA380/AA325*PctPerUnit</f>
        <v>1.64231723980334</v>
      </c>
      <c r="AB403" s="203">
        <f>AB380/AB325*PctPerUnit</f>
        <v>0.79425124524151</v>
      </c>
      <c r="AC403" s="203">
        <f>AC380/AC325*PctPerUnit</f>
        <v>0.5851442183263946</v>
      </c>
      <c r="AD403" s="203">
        <f>AD380/AD325*PctPerUnit</f>
        <v>0.6731034936506417</v>
      </c>
      <c r="AE403" s="203">
        <f>AE380/AE325*PctPerUnit</f>
        <v>0.2987647615849561</v>
      </c>
      <c r="AF403" s="203">
        <f>AF380/AF325*PctPerUnit</f>
        <v>0.15695430213530376</v>
      </c>
      <c r="AG403" s="203">
        <f>AG380/AG325*PctPerUnit</f>
        <v>0.09466830622091028</v>
      </c>
      <c r="AH403" s="203">
        <f>AH380/AH325*PctPerUnit</f>
        <v>0.1800829678591904</v>
      </c>
      <c r="AI403" s="203">
        <f>AI380/AI325*PctPerUnit</f>
        <v>0.01542223912725183</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33" t="inlineStr">
        <is>
          <t>legacy D.II 2878-2881</t>
        </is>
      </c>
      <c r="K404" s="9" t="str">
        <f>LOWER(CtryCode)&amp;".distn."&amp;$A404&amp;IF($B404="","","."&amp;$B404)&amp;IF($C404="","",".dec."&amp;$C404)&amp;"."&amp;K$5</f>
        <v>egy.distn.cts.tot.dec.ove.1</v>
      </c>
      <c r="M404" s="203">
        <f>M387/M325*PctPerUnit</f>
        <v>0.0</v>
      </c>
      <c r="N404" s="203">
        <f>N387/N325*PctPerUnit</f>
        <v>0.0</v>
      </c>
      <c r="O404" s="203">
        <f>O387/O325*PctPerUnit</f>
        <v>0.0</v>
      </c>
      <c r="P404" s="203">
        <f>P387/P325*PctPerUnit</f>
        <v>0.0</v>
      </c>
      <c r="Q404" s="203">
        <f>Q387/Q325*PctPerUnit</f>
        <v>0.0</v>
      </c>
      <c r="R404" s="203">
        <f>R387/R325*PctPerUnit</f>
        <v>0.0</v>
      </c>
      <c r="S404" s="203">
        <f>S387/S325*PctPerUnit</f>
        <v>0.0</v>
      </c>
      <c r="T404" s="203">
        <f>T387/T325*PctPerUnit</f>
        <v>0.0</v>
      </c>
      <c r="U404" s="203">
        <f>U387/U325*PctPerUnit</f>
        <v>0.0</v>
      </c>
      <c r="V404" s="203">
        <f>V387/V325*PctPerUnit</f>
        <v>0.0</v>
      </c>
      <c r="W404" s="207" t="str">
        <f>IF(X$5=K$5,SUM(Y404:AI404)-SUM(L404:V404),"")</f>
        <v/>
      </c>
      <c r="X404" s="9" t="str">
        <f>LOWER(CtryCode)&amp;".distn."&amp;$A404&amp;IF($B404="","","."&amp;$B404)&amp;IF($C404="","",".dec."&amp;$C404)&amp;"."&amp;X$5</f>
        <v>egy.distn.cts.tot.dec.ove.2</v>
      </c>
      <c r="Z404" s="203">
        <f>Z387/Z325*PctPerUnit</f>
        <v>0.0</v>
      </c>
      <c r="AA404" s="203">
        <f>AA387/AA325*PctPerUnit</f>
        <v>0.0</v>
      </c>
      <c r="AB404" s="203">
        <f>AB387/AB325*PctPerUnit</f>
        <v>0.0</v>
      </c>
      <c r="AC404" s="203">
        <f>AC387/AC325*PctPerUnit</f>
        <v>0.0</v>
      </c>
      <c r="AD404" s="203">
        <f>AD387/AD325*PctPerUnit</f>
        <v>0.0</v>
      </c>
      <c r="AE404" s="203">
        <f>AE387/AE325*PctPerUnit</f>
        <v>0.0</v>
      </c>
      <c r="AF404" s="203">
        <f>AF387/AF325*PctPerUnit</f>
        <v>0.0</v>
      </c>
      <c r="AG404" s="203">
        <f>AG387/AG325*PctPerUnit</f>
        <v>0.0</v>
      </c>
      <c r="AH404" s="203">
        <f>AH387/AH325*PctPerUnit</f>
        <v>0.0</v>
      </c>
      <c r="AI404" s="203">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33" t="inlineStr">
        <is>
          <t>legacy D.II 2878-2881</t>
        </is>
      </c>
      <c r="K405" s="9" t="str">
        <f>LOWER(CtryCode)&amp;".distn."&amp;$A405&amp;IF($B405="","","."&amp;$B405)&amp;IF($C405="","",".dec."&amp;$C405)&amp;"."&amp;K$5</f>
        <v>egy.distn.tgt.tot.dec.ove.1</v>
      </c>
      <c r="M405" s="203">
        <f>M370/M325*PctPerUnit</f>
        <v>0.0</v>
      </c>
      <c r="N405" s="203">
        <f>N370/N325*PctPerUnit</f>
        <v>0.0</v>
      </c>
      <c r="O405" s="203">
        <f>O370/O325*PctPerUnit</f>
        <v>0.0</v>
      </c>
      <c r="P405" s="203">
        <f>P370/P325*PctPerUnit</f>
        <v>0.0</v>
      </c>
      <c r="Q405" s="203">
        <f>Q370/Q325*PctPerUnit</f>
        <v>0.0</v>
      </c>
      <c r="R405" s="203">
        <f>R370/R325*PctPerUnit</f>
        <v>0.0</v>
      </c>
      <c r="S405" s="203">
        <f>S370/S325*PctPerUnit</f>
        <v>0.0</v>
      </c>
      <c r="T405" s="203">
        <f>T370/T325*PctPerUnit</f>
        <v>0.0</v>
      </c>
      <c r="U405" s="203">
        <f>U370/U325*PctPerUnit</f>
        <v>0.0</v>
      </c>
      <c r="V405" s="203">
        <f>V370/V325*PctPerUnit</f>
        <v>0.0</v>
      </c>
      <c r="W405" s="207" t="str">
        <f>IF(X$5=K$5,SUM(Y405:AI405)-SUM(L405:V405),"")</f>
        <v/>
      </c>
      <c r="X405" s="9" t="str">
        <f>LOWER(CtryCode)&amp;".distn."&amp;$A405&amp;IF($B405="","","."&amp;$B405)&amp;IF($C405="","",".dec."&amp;$C405)&amp;"."&amp;X$5</f>
        <v>egy.distn.tgt.tot.dec.ove.2</v>
      </c>
      <c r="Z405" s="203">
        <f>Z370/Z325*PctPerUnit</f>
        <v>1.047755792401705</v>
      </c>
      <c r="AA405" s="203">
        <f>AA370/AA325*PctPerUnit</f>
        <v>0.8222341735601854</v>
      </c>
      <c r="AB405" s="203">
        <f>AB370/AB325*PctPerUnit</f>
        <v>0.6656585791057674</v>
      </c>
      <c r="AC405" s="203">
        <f>AC370/AC325*PctPerUnit</f>
        <v>0.5584566988063543</v>
      </c>
      <c r="AD405" s="203">
        <f>AD370/AD325*PctPerUnit</f>
        <v>0.0232449398575961</v>
      </c>
      <c r="AE405" s="203">
        <f>AE370/AE325*PctPerUnit</f>
        <v>0.0</v>
      </c>
      <c r="AF405" s="203">
        <f>AF370/AF325*PctPerUnit</f>
        <v>0.0</v>
      </c>
      <c r="AG405" s="203">
        <f>AG370/AG325*PctPerUnit</f>
        <v>0.0</v>
      </c>
      <c r="AH405" s="203">
        <f>AH370/AH325*PctPerUnit</f>
        <v>0.0</v>
      </c>
      <c r="AI405" s="203">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33" t="inlineStr">
        <is>
          <t>legacy D.II 2882</t>
        </is>
      </c>
      <c r="K407" s="9" t="str">
        <f>LOWER(CtryCode)&amp;".distn."&amp;$A407&amp;IF($B407="","","."&amp;$B407)&amp;IF($C407="","",".dec."&amp;$C407)&amp;"."&amp;K$5</f>
        <v>egy.distn.rec.tot.dec.ove.1</v>
      </c>
      <c r="M407" s="216">
        <f>SUM(M402:M405)</f>
        <v>0.0</v>
      </c>
      <c r="N407" s="216">
        <f>SUM(N402:N405)</f>
        <v>0.0</v>
      </c>
      <c r="O407" s="216">
        <f>SUM(O402:O405)</f>
        <v>0.0</v>
      </c>
      <c r="P407" s="216">
        <f>SUM(P402:P405)</f>
        <v>0.0</v>
      </c>
      <c r="Q407" s="216">
        <f>SUM(Q402:Q405)</f>
        <v>0.0</v>
      </c>
      <c r="R407" s="216">
        <f>SUM(R402:R405)</f>
        <v>0.0</v>
      </c>
      <c r="S407" s="216">
        <f>SUM(S402:S405)</f>
        <v>0.0</v>
      </c>
      <c r="T407" s="216">
        <f>SUM(T402:T405)</f>
        <v>0.0</v>
      </c>
      <c r="U407" s="216">
        <f>SUM(U402:U405)</f>
        <v>0.0</v>
      </c>
      <c r="V407" s="216">
        <f>SUM(V402:V405)</f>
        <v>0.0</v>
      </c>
      <c r="W407" s="207" t="str">
        <f>IF(X$5=K$5,SUM(Y407:AI407)-SUM(L407:V407),"")</f>
        <v/>
      </c>
      <c r="X407" s="9" t="str">
        <f>LOWER(CtryCode)&amp;".distn."&amp;$A407&amp;IF($B407="","","."&amp;$B407)&amp;IF($C407="","",".dec."&amp;$C407)&amp;"."&amp;X$5</f>
        <v>egy.distn.rec.tot.dec.ove.2</v>
      </c>
      <c r="Z407" s="216">
        <f>SUM(Z402:Z405)</f>
        <v>4.204419875779657</v>
      </c>
      <c r="AA407" s="216">
        <f>SUM(AA402:AA405)</f>
        <v>2.9773792730577586</v>
      </c>
      <c r="AB407" s="216">
        <f>SUM(AB402:AB405)</f>
        <v>1.8750814085345746</v>
      </c>
      <c r="AC407" s="216">
        <f>SUM(AC402:AC405)</f>
        <v>1.491910635689839</v>
      </c>
      <c r="AD407" s="216">
        <f>SUM(AD402:AD405)</f>
        <v>1.0265941075841787</v>
      </c>
      <c r="AE407" s="216">
        <f>SUM(AE402:AE405)</f>
        <v>0.6090751467255471</v>
      </c>
      <c r="AF407" s="216">
        <f>SUM(AF402:AF405)</f>
        <v>0.404201957735765</v>
      </c>
      <c r="AG407" s="216">
        <f>SUM(AG402:AG405)</f>
        <v>0.3100066004445713</v>
      </c>
      <c r="AH407" s="216">
        <f>SUM(AH402:AH405)</f>
        <v>0.360896303117322</v>
      </c>
      <c r="AI407" s="216">
        <f>SUM(AI402:AI405)</f>
        <v>0.14542135843775955</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33" t="inlineStr">
        <is>
          <t>legacy D.V</t>
        </is>
      </c>
      <c r="K412" s="9" t="str">
        <f>LOWER(CtryCode)&amp;".distn."&amp;$A412&amp;IF($B412="","","."&amp;$B412)&amp;IF($C412="","",".dec."&amp;$C412)&amp;"."&amp;K$5</f>
        <v>egy.distn.compden.dec.ove.1</v>
      </c>
      <c r="L412" s="223">
        <f>SUMPRODUCT(M305:V305,M331:V331)</f>
        <v>0.0</v>
      </c>
      <c r="M412" s="224">
        <f>L412</f>
        <v>0.0</v>
      </c>
      <c r="N412" s="224">
        <f>M412</f>
        <v>0.0</v>
      </c>
      <c r="O412" s="224">
        <f>N412</f>
        <v>0.0</v>
      </c>
      <c r="P412" s="224">
        <f>O412</f>
        <v>0.0</v>
      </c>
      <c r="Q412" s="224">
        <f>P412</f>
        <v>0.0</v>
      </c>
      <c r="R412" s="224">
        <f>Q412</f>
        <v>0.0</v>
      </c>
      <c r="S412" s="224">
        <f>R412</f>
        <v>0.0</v>
      </c>
      <c r="T412" s="224">
        <f>S412</f>
        <v>0.0</v>
      </c>
      <c r="U412" s="224">
        <f>T412</f>
        <v>0.0</v>
      </c>
      <c r="V412" s="224">
        <f>U412</f>
        <v>0.0</v>
      </c>
      <c r="W412" s="207" t="str">
        <f>IF(X$5=K$5,SUM(Y412:AI412)-SUM(L412:V412),"")</f>
        <v/>
      </c>
      <c r="X412" s="9" t="str">
        <f>LOWER(CtryCode)&amp;".distn."&amp;$A412&amp;IF($B412="","","."&amp;$B412)&amp;IF($C412="","",".dec."&amp;$C412)&amp;"."&amp;X$5</f>
        <v>egy.distn.compden.dec.ove.2</v>
      </c>
      <c r="Y412" s="223">
        <f>SUMPRODUCT(Z305:AI305,Z331:AI331)</f>
        <v>-12710314877146.805</v>
      </c>
      <c r="Z412" s="224">
        <f>Y412</f>
        <v>-12710314877146.805</v>
      </c>
      <c r="AA412" s="224">
        <f>Z412</f>
        <v>-12710314877146.805</v>
      </c>
      <c r="AB412" s="224">
        <f>AA412</f>
        <v>-12710314877146.805</v>
      </c>
      <c r="AC412" s="224">
        <f>AB412</f>
        <v>-12710314877146.805</v>
      </c>
      <c r="AD412" s="224">
        <f>AC412</f>
        <v>-12710314877146.805</v>
      </c>
      <c r="AE412" s="224">
        <f>AD412</f>
        <v>-12710314877146.805</v>
      </c>
      <c r="AF412" s="224">
        <f>AE412</f>
        <v>-12710314877146.805</v>
      </c>
      <c r="AG412" s="224">
        <f>AF412</f>
        <v>-12710314877146.805</v>
      </c>
      <c r="AH412" s="224">
        <f>AG412</f>
        <v>-12710314877146.805</v>
      </c>
      <c r="AI412" s="224">
        <f>AH412</f>
        <v>-12710314877146.805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33" t="inlineStr">
        <is>
          <t>legacy rows 3255-3263 (own-sample denominator)</t>
        </is>
      </c>
      <c r="K413" s="9" t="str">
        <f>LOWER(CtryCode)&amp;".distn."&amp;$A413&amp;IF($B413="","","."&amp;$B413)&amp;IF($C413="","",".dec."&amp;$C413)&amp;"."&amp;K$5</f>
        <v>egy.distn.pctrev_comp.dec.ove.1</v>
      </c>
      <c r="M413" s="203">
        <f>IF(M$412=0,0,M305*M331/M$412*PctPerUnit)</f>
        <v>0.0</v>
      </c>
      <c r="N413" s="203">
        <f>IF(N$412=0,0,N305*N331/N$412*PctPerUnit)</f>
        <v>0.0</v>
      </c>
      <c r="O413" s="203">
        <f>IF(O$412=0,0,O305*O331/O$412*PctPerUnit)</f>
        <v>0.0</v>
      </c>
      <c r="P413" s="203">
        <f>IF(P$412=0,0,P305*P331/P$412*PctPerUnit)</f>
        <v>0.0</v>
      </c>
      <c r="Q413" s="203">
        <f>IF(Q$412=0,0,Q305*Q331/Q$412*PctPerUnit)</f>
        <v>0.0</v>
      </c>
      <c r="R413" s="203">
        <f>IF(R$412=0,0,R305*R331/R$412*PctPerUnit)</f>
        <v>0.0</v>
      </c>
      <c r="S413" s="203">
        <f>IF(S$412=0,0,S305*S331/S$412*PctPerUnit)</f>
        <v>0.0</v>
      </c>
      <c r="T413" s="203">
        <f>IF(T$412=0,0,T305*T331/T$412*PctPerUnit)</f>
        <v>0.0</v>
      </c>
      <c r="U413" s="203">
        <f>IF(U$412=0,0,U305*U331/U$412*PctPerUnit)</f>
        <v>0.0</v>
      </c>
      <c r="V413" s="203">
        <f>IF(V$412=0,0,V305*V331/V$412*PctPerUnit)</f>
        <v>0.0</v>
      </c>
      <c r="W413" s="207" t="str">
        <f>IF(X$5=K$5,SUM(Y413:AI413)-SUM(L413:V413),"")</f>
        <v/>
      </c>
      <c r="X413" s="9" t="str">
        <f>LOWER(CtryCode)&amp;".distn."&amp;$A413&amp;IF($B413="","","."&amp;$B413)&amp;IF($C413="","",".dec."&amp;$C413)&amp;"."&amp;X$5</f>
        <v>egy.distn.pctrev_comp.dec.ove.2</v>
      </c>
      <c r="Z413" s="203">
        <f>IF(Z$412=0,0,Z305*Z331/Z$412*PctPerUnit)</f>
        <v>4.815081863341982</v>
      </c>
      <c r="AA413" s="203">
        <f>IF(AA$412=0,0,AA305*AA331/AA$412*PctPerUnit)</f>
        <v>5.49984057097089</v>
      </c>
      <c r="AB413" s="203">
        <f>IF(AB$412=0,0,AB305*AB331/AB$412*PctPerUnit)</f>
        <v>7.409944288010063</v>
      </c>
      <c r="AC413" s="203">
        <f>IF(AC$412=0,0,AC305*AC331/AC$412*PctPerUnit)</f>
        <v>7.361154798660455</v>
      </c>
      <c r="AD413" s="203">
        <f>IF(AD$412=0,0,AD305*AD331/AD$412*PctPerUnit)</f>
        <v>7.945270030508072</v>
      </c>
      <c r="AE413" s="203">
        <f>IF(AE$412=0,0,AE305*AE331/AE$412*PctPerUnit)</f>
        <v>9.185757126006832</v>
      </c>
      <c r="AF413" s="203">
        <f>IF(AF$412=0,0,AF305*AF331/AF$412*PctPerUnit)</f>
        <v>11.076592592319964</v>
      </c>
      <c r="AG413" s="203">
        <f>IF(AG$412=0,0,AG305*AG331/AG$412*PctPerUnit)</f>
        <v>13.34453880226648</v>
      </c>
      <c r="AH413" s="203">
        <f>IF(AH$412=0,0,AH305*AH331/AH$412*PctPerUnit)</f>
        <v>13.955691525101056</v>
      </c>
      <c r="AI413" s="203">
        <f>IF(AI$412=0,0,AI305*AI331/AI$412*PctPerUnit)</f>
        <v>19.406128402814204</v>
      </c>
    </row>
    <row r="414" hidden="1" outlineLevel="1">
      <c r="A414" s="62" t="inlineStr">
        <is>
          <t>compden</t>
        </is>
      </c>
      <c r="B414" s="3" t="inlineStr"/>
      <c r="C414" s="3" t="inlineStr">
        <is>
          <t>urb</t>
        </is>
      </c>
      <c r="D414" s="3" t="n"/>
      <c r="E414" s="3" t="n"/>
      <c r="H414" s="3" t="inlineStr">
        <is>
          <t>Total loss, urban</t>
        </is>
      </c>
      <c r="I414" s="3" t="inlineStr">
        <is>
          <t>% x LCU</t>
        </is>
      </c>
      <c r="J414" s="133" t="inlineStr">
        <is>
          <t>legacy D.V</t>
        </is>
      </c>
      <c r="K414" s="9" t="str">
        <f>LOWER(CtryCode)&amp;".distn."&amp;$A414&amp;IF($B414="","","."&amp;$B414)&amp;IF($C414="","",".dec."&amp;$C414)&amp;"."&amp;K$5</f>
        <v>egy.distn.compden.dec.urb.1</v>
      </c>
      <c r="L414" s="223">
        <f>SUMPRODUCT(M302:V302,M328:V328)</f>
        <v>0.0</v>
      </c>
      <c r="M414" s="224">
        <f>L414</f>
        <v>0.0</v>
      </c>
      <c r="N414" s="224">
        <f>M414</f>
        <v>0.0</v>
      </c>
      <c r="O414" s="224">
        <f>N414</f>
        <v>0.0</v>
      </c>
      <c r="P414" s="224">
        <f>O414</f>
        <v>0.0</v>
      </c>
      <c r="Q414" s="224">
        <f>P414</f>
        <v>0.0</v>
      </c>
      <c r="R414" s="224">
        <f>Q414</f>
        <v>0.0</v>
      </c>
      <c r="S414" s="224">
        <f>R414</f>
        <v>0.0</v>
      </c>
      <c r="T414" s="224">
        <f>S414</f>
        <v>0.0</v>
      </c>
      <c r="U414" s="224">
        <f>T414</f>
        <v>0.0</v>
      </c>
      <c r="V414" s="224">
        <f>U414</f>
        <v>0.0</v>
      </c>
      <c r="W414" s="207" t="str">
        <f>IF(X$5=K$5,SUM(Y414:AI414)-SUM(L414:V414),"")</f>
        <v/>
      </c>
      <c r="X414" s="9" t="str">
        <f>LOWER(CtryCode)&amp;".distn."&amp;$A414&amp;IF($B414="","","."&amp;$B414)&amp;IF($C414="","",".dec."&amp;$C414)&amp;"."&amp;X$5</f>
        <v>egy.distn.compden.dec.urb.2</v>
      </c>
      <c r="Y414" s="223">
        <f>SUMPRODUCT(Z302:AI302,Z328:AI328)</f>
        <v>-6222771517214.088</v>
      </c>
      <c r="Z414" s="224">
        <f>Y414</f>
        <v>-6222771517214.088</v>
      </c>
      <c r="AA414" s="224">
        <f>Z414</f>
        <v>-6222771517214.088</v>
      </c>
      <c r="AB414" s="224">
        <f>AA414</f>
        <v>-6222771517214.088</v>
      </c>
      <c r="AC414" s="224">
        <f>AB414</f>
        <v>-6222771517214.088</v>
      </c>
      <c r="AD414" s="224">
        <f>AC414</f>
        <v>-6222771517214.088</v>
      </c>
      <c r="AE414" s="224">
        <f>AD414</f>
        <v>-6222771517214.088</v>
      </c>
      <c r="AF414" s="224">
        <f>AE414</f>
        <v>-6222771517214.088</v>
      </c>
      <c r="AG414" s="224">
        <f>AF414</f>
        <v>-6222771517214.088</v>
      </c>
      <c r="AH414" s="224">
        <f>AG414</f>
        <v>-6222771517214.088</v>
      </c>
      <c r="AI414" s="224">
        <f>AH414</f>
        <v>-6222771517214.088</v>
      </c>
    </row>
    <row r="415" hidden="1" outlineLevel="1">
      <c r="A415" s="62" t="inlineStr">
        <is>
          <t>pctrev_comp</t>
        </is>
      </c>
      <c r="B415" s="3" t="inlineStr"/>
      <c r="C415" s="3" t="inlineStr">
        <is>
          <t>urb</t>
        </is>
      </c>
      <c r="D415" s="3" t="n"/>
      <c r="E415" s="3" t="n"/>
      <c r="H415" s="3" t="inlineStr">
        <is>
          <t>Share of the compensation, urban</t>
        </is>
      </c>
      <c r="I415" s="3" t="inlineStr">
        <is>
          <t>%</t>
        </is>
      </c>
      <c r="J415" s="133" t="inlineStr">
        <is>
          <t>legacy rows 3255-3263 (own-sample denominator)</t>
        </is>
      </c>
      <c r="K415" s="9" t="str">
        <f>LOWER(CtryCode)&amp;".distn."&amp;$A415&amp;IF($B415="","","."&amp;$B415)&amp;IF($C415="","",".dec."&amp;$C415)&amp;"."&amp;K$5</f>
        <v>egy.distn.pctrev_comp.dec.urb.1</v>
      </c>
      <c r="M415" s="203">
        <f>IF(M$414=0,0,M302*M328/M$414*PctPerUnit)</f>
        <v>0.0</v>
      </c>
      <c r="N415" s="203">
        <f>IF(N$414=0,0,N302*N328/N$414*PctPerUnit)</f>
        <v>0.0</v>
      </c>
      <c r="O415" s="203">
        <f>IF(O$414=0,0,O302*O328/O$414*PctPerUnit)</f>
        <v>0.0</v>
      </c>
      <c r="P415" s="203">
        <f>IF(P$414=0,0,P302*P328/P$414*PctPerUnit)</f>
        <v>0.0</v>
      </c>
      <c r="Q415" s="203">
        <f>IF(Q$414=0,0,Q302*Q328/Q$414*PctPerUnit)</f>
        <v>0.0</v>
      </c>
      <c r="R415" s="203">
        <f>IF(R$414=0,0,R302*R328/R$414*PctPerUnit)</f>
        <v>0.0</v>
      </c>
      <c r="S415" s="203">
        <f>IF(S$414=0,0,S302*S328/S$414*PctPerUnit)</f>
        <v>0.0</v>
      </c>
      <c r="T415" s="203">
        <f>IF(T$414=0,0,T302*T328/T$414*PctPerUnit)</f>
        <v>0.0</v>
      </c>
      <c r="U415" s="203">
        <f>IF(U$414=0,0,U302*U328/U$414*PctPerUnit)</f>
        <v>0.0</v>
      </c>
      <c r="V415" s="203">
        <f>IF(V$414=0,0,V302*V328/V$414*PctPerUnit)</f>
        <v>0.0</v>
      </c>
      <c r="W415" s="207" t="str">
        <f>IF(X$5=K$5,SUM(Y415:AI415)-SUM(L415:V415),"")</f>
        <v/>
      </c>
      <c r="X415" s="9" t="str">
        <f>LOWER(CtryCode)&amp;".distn."&amp;$A415&amp;IF($B415="","","."&amp;$B415)&amp;IF($C415="","",".dec."&amp;$C415)&amp;"."&amp;X$5</f>
        <v>egy.distn.pctrev_comp.dec.urb.2</v>
      </c>
      <c r="Z415" s="203">
        <f>IF(Z$414=0,0,Z302*Z328/Z$414*PctPerUnit)</f>
        <v>4.596242858668532</v>
      </c>
      <c r="AA415" s="203">
        <f>IF(AA$414=0,0,AA302*AA328/AA$414*PctPerUnit)</f>
        <v>5.492292103829355</v>
      </c>
      <c r="AB415" s="203">
        <f>IF(AB$414=0,0,AB302*AB328/AB$414*PctPerUnit)</f>
        <v>6.36178580846831</v>
      </c>
      <c r="AC415" s="203">
        <f>IF(AC$414=0,0,AC302*AC328/AC$414*PctPerUnit)</f>
        <v>6.604873222209215</v>
      </c>
      <c r="AD415" s="203">
        <f>IF(AD$414=0,0,AD302*AD328/AD$414*PctPerUnit)</f>
        <v>8.755935923675366</v>
      </c>
      <c r="AE415" s="203">
        <f>IF(AE$414=0,0,AE302*AE328/AE$414*PctPerUnit)</f>
        <v>8.615729035254319</v>
      </c>
      <c r="AF415" s="203">
        <f>IF(AF$414=0,0,AF302*AF328/AF$414*PctPerUnit)</f>
        <v>10.781020373844955</v>
      </c>
      <c r="AG415" s="203">
        <f>IF(AG$414=0,0,AG302*AG328/AG$414*PctPerUnit)</f>
        <v>11.628254574866691</v>
      </c>
      <c r="AH415" s="203">
        <f>IF(AH$414=0,0,AH302*AH328/AH$414*PctPerUnit)</f>
        <v>14.473701867043465</v>
      </c>
      <c r="AI415" s="203">
        <f>IF(AI$414=0,0,AI302*AI328/AI$414*PctPerUnit)</f>
        <v>22.690164232139796</v>
      </c>
    </row>
    <row r="416" hidden="1" outlineLevel="1">
      <c r="A416" s="62" t="inlineStr">
        <is>
          <t>compden</t>
        </is>
      </c>
      <c r="B416" s="3" t="inlineStr"/>
      <c r="C416" s="3" t="inlineStr">
        <is>
          <t>rur</t>
        </is>
      </c>
      <c r="D416" s="3" t="n"/>
      <c r="E416" s="3" t="n"/>
      <c r="H416" s="3" t="inlineStr">
        <is>
          <t>Total loss, rural</t>
        </is>
      </c>
      <c r="I416" s="3" t="inlineStr">
        <is>
          <t>% x LCU</t>
        </is>
      </c>
      <c r="J416" s="133" t="inlineStr">
        <is>
          <t>legacy D.V</t>
        </is>
      </c>
      <c r="K416" s="9" t="str">
        <f>LOWER(CtryCode)&amp;".distn."&amp;$A416&amp;IF($B416="","","."&amp;$B416)&amp;IF($C416="","",".dec."&amp;$C416)&amp;"."&amp;K$5</f>
        <v>egy.distn.compden.dec.rur.1</v>
      </c>
      <c r="L416" s="223">
        <f>SUMPRODUCT(M303:V303,M329:V329)</f>
        <v>0.0</v>
      </c>
      <c r="M416" s="224">
        <f>L416</f>
        <v>0.0</v>
      </c>
      <c r="N416" s="224">
        <f>M416</f>
        <v>0.0</v>
      </c>
      <c r="O416" s="224">
        <f>N416</f>
        <v>0.0</v>
      </c>
      <c r="P416" s="224">
        <f>O416</f>
        <v>0.0</v>
      </c>
      <c r="Q416" s="224">
        <f>P416</f>
        <v>0.0</v>
      </c>
      <c r="R416" s="224">
        <f>Q416</f>
        <v>0.0</v>
      </c>
      <c r="S416" s="224">
        <f>R416</f>
        <v>0.0</v>
      </c>
      <c r="T416" s="224">
        <f>S416</f>
        <v>0.0</v>
      </c>
      <c r="U416" s="224">
        <f>T416</f>
        <v>0.0</v>
      </c>
      <c r="V416" s="224">
        <f>U416</f>
        <v>0.0</v>
      </c>
      <c r="W416" s="207" t="str">
        <f>IF(X$5=K$5,SUM(Y416:AI416)-SUM(L416:V416),"")</f>
        <v/>
      </c>
      <c r="X416" s="9" t="str">
        <f>LOWER(CtryCode)&amp;".distn."&amp;$A416&amp;IF($B416="","","."&amp;$B416)&amp;IF($C416="","",".dec."&amp;$C416)&amp;"."&amp;X$5</f>
        <v>egy.distn.compden.dec.rur.2</v>
      </c>
      <c r="Y416" s="223">
        <f>SUMPRODUCT(Z303:AI303,Z329:AI329)</f>
        <v>-6313391129648.969</v>
      </c>
      <c r="Z416" s="224">
        <f>Y416</f>
        <v>-6313391129648.969</v>
      </c>
      <c r="AA416" s="224">
        <f>Z416</f>
        <v>-6313391129648.969</v>
      </c>
      <c r="AB416" s="224">
        <f>AA416</f>
        <v>-6313391129648.969</v>
      </c>
      <c r="AC416" s="224">
        <f>AB416</f>
        <v>-6313391129648.969</v>
      </c>
      <c r="AD416" s="224">
        <f>AC416</f>
        <v>-6313391129648.969</v>
      </c>
      <c r="AE416" s="224">
        <f>AD416</f>
        <v>-6313391129648.969</v>
      </c>
      <c r="AF416" s="224">
        <f>AE416</f>
        <v>-6313391129648.969</v>
      </c>
      <c r="AG416" s="224">
        <f>AF416</f>
        <v>-6313391129648.969</v>
      </c>
      <c r="AH416" s="224">
        <f>AG416</f>
        <v>-6313391129648.969</v>
      </c>
      <c r="AI416" s="224">
        <f>AH416</f>
        <v>-6313391129648.969</v>
      </c>
    </row>
    <row r="417" hidden="1" outlineLevel="1">
      <c r="A417" s="62" t="inlineStr">
        <is>
          <t>pctrev_comp</t>
        </is>
      </c>
      <c r="B417" s="3" t="inlineStr"/>
      <c r="C417" s="3" t="inlineStr">
        <is>
          <t>rur</t>
        </is>
      </c>
      <c r="D417" s="3" t="n"/>
      <c r="E417" s="3" t="n"/>
      <c r="H417" s="3" t="inlineStr">
        <is>
          <t>Share of the compensation, rural</t>
        </is>
      </c>
      <c r="I417" s="3" t="inlineStr">
        <is>
          <t>%</t>
        </is>
      </c>
      <c r="J417" s="133" t="inlineStr">
        <is>
          <t>legacy rows 3255-3263 (own-sample denominator)</t>
        </is>
      </c>
      <c r="K417" s="9" t="str">
        <f>LOWER(CtryCode)&amp;".distn."&amp;$A417&amp;IF($B417="","","."&amp;$B417)&amp;IF($C417="","",".dec."&amp;$C417)&amp;"."&amp;K$5</f>
        <v>egy.distn.pctrev_comp.dec.rur.1</v>
      </c>
      <c r="M417" s="203">
        <f>IF(M$416=0,0,M303*M329/M$416*PctPerUnit)</f>
        <v>0.0</v>
      </c>
      <c r="N417" s="203">
        <f>IF(N$416=0,0,N303*N329/N$416*PctPerUnit)</f>
        <v>0.0</v>
      </c>
      <c r="O417" s="203">
        <f>IF(O$416=0,0,O303*O329/O$416*PctPerUnit)</f>
        <v>0.0</v>
      </c>
      <c r="P417" s="203">
        <f>IF(P$416=0,0,P303*P329/P$416*PctPerUnit)</f>
        <v>0.0</v>
      </c>
      <c r="Q417" s="203">
        <f>IF(Q$416=0,0,Q303*Q329/Q$416*PctPerUnit)</f>
        <v>0.0</v>
      </c>
      <c r="R417" s="203">
        <f>IF(R$416=0,0,R303*R329/R$416*PctPerUnit)</f>
        <v>0.0</v>
      </c>
      <c r="S417" s="203">
        <f>IF(S$416=0,0,S303*S329/S$416*PctPerUnit)</f>
        <v>0.0</v>
      </c>
      <c r="T417" s="203">
        <f>IF(T$416=0,0,T303*T329/T$416*PctPerUnit)</f>
        <v>0.0</v>
      </c>
      <c r="U417" s="203">
        <f>IF(U$416=0,0,U303*U329/U$416*PctPerUnit)</f>
        <v>0.0</v>
      </c>
      <c r="V417" s="203">
        <f>IF(V$416=0,0,V303*V329/V$416*PctPerUnit)</f>
        <v>0.0</v>
      </c>
      <c r="W417" s="207" t="str">
        <f>IF(X$5=K$5,SUM(Y417:AI417)-SUM(L417:V417),"")</f>
        <v/>
      </c>
      <c r="X417" s="9" t="str">
        <f>LOWER(CtryCode)&amp;".distn."&amp;$A417&amp;IF($B417="","","."&amp;$B417)&amp;IF($C417="","",".dec."&amp;$C417)&amp;"."&amp;X$5</f>
        <v>egy.distn.pctrev_comp.dec.rur.2</v>
      </c>
      <c r="Z417" s="203">
        <f>IF(Z$416=0,0,Z303*Z329/Z$416*PctPerUnit)</f>
        <v>5.223899917715944</v>
      </c>
      <c r="AA417" s="203">
        <f>IF(AA$416=0,0,AA303*AA329/AA$416*PctPerUnit)</f>
        <v>5.581495185917036</v>
      </c>
      <c r="AB417" s="203">
        <f>IF(AB$416=0,0,AB303*AB329/AB$416*PctPerUnit)</f>
        <v>6.8881848769792935</v>
      </c>
      <c r="AC417" s="203">
        <f>IF(AC$416=0,0,AC303*AC329/AC$416*PctPerUnit)</f>
        <v>7.430670263472633</v>
      </c>
      <c r="AD417" s="203">
        <f>IF(AD$416=0,0,AD303*AD329/AD$416*PctPerUnit)</f>
        <v>8.140468044369086</v>
      </c>
      <c r="AE417" s="203">
        <f>IF(AE$416=0,0,AE303*AE329/AE$416*PctPerUnit)</f>
        <v>9.077660357420411</v>
      </c>
      <c r="AF417" s="203">
        <f>IF(AF$416=0,0,AF303*AF329/AF$416*PctPerUnit)</f>
        <v>10.516072385344707</v>
      </c>
      <c r="AG417" s="203">
        <f>IF(AG$416=0,0,AG303*AG329/AG$416*PctPerUnit)</f>
        <v>11.60366309437848</v>
      </c>
      <c r="AH417" s="203">
        <f>IF(AH$416=0,0,AH303*AH329/AH$416*PctPerUnit)</f>
        <v>12.974069926030085</v>
      </c>
      <c r="AI417" s="203">
        <f>IF(AI$416=0,0,AI303*AI329/AI$416*PctPerUnit)</f>
        <v>22.56381594837232</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33" t="inlineStr">
        <is>
          <t>legacy rows 2415-2417</t>
        </is>
      </c>
      <c r="K420" s="9" t="str">
        <f>LOWER(CtryCode)&amp;".distn."&amp;$A420&amp;IF($B420="","","."&amp;$B420)&amp;IF($C420="","",".dec."&amp;$C420)&amp;"."&amp;K$5</f>
        <v>egy.distn.postx.dec.ove.1</v>
      </c>
      <c r="M420" s="218">
        <f>M331*(1+M305/PctPerUnit)</f>
        <v>347604223750.0759</v>
      </c>
      <c r="N420" s="218">
        <f>N331*(1+N305/PctPerUnit)</f>
        <v>435211028821.8013</v>
      </c>
      <c r="O420" s="218">
        <f>O331*(1+O305/PctPerUnit)</f>
        <v>611217278193.0449</v>
      </c>
      <c r="P420" s="218">
        <f>P331*(1+P305/PctPerUnit)</f>
        <v>655357444410.5137</v>
      </c>
      <c r="Q420" s="218">
        <f>Q331*(1+Q305/PctPerUnit)</f>
        <v>705152307297.3392</v>
      </c>
      <c r="R420" s="218">
        <f>R331*(1+R305/PctPerUnit)</f>
        <v>824159892463.1056</v>
      </c>
      <c r="S420" s="218">
        <f>S331*(1+S305/PctPerUnit)</f>
        <v>961869164245.4373</v>
      </c>
      <c r="T420" s="218">
        <f>T331*(1+T305/PctPerUnit)</f>
        <v>1155257263141.3008</v>
      </c>
      <c r="U420" s="218">
        <f>U331*(1+U305/PctPerUnit)</f>
        <v>1263383731192.2407</v>
      </c>
      <c r="V420" s="218">
        <f>V331*(1+V305/PctPerUnit)</f>
        <v>1695909796282.2305</v>
      </c>
      <c r="W420" s="207" t="str">
        <f>IF(X$5=K$5,SUM(Y420:AI420)-SUM(L420:V420),"")</f>
        <v/>
      </c>
      <c r="X420" s="9" t="str">
        <f>LOWER(CtryCode)&amp;".distn."&amp;$A420&amp;IF($B420="","","."&amp;$B420)&amp;IF($C420="","",".dec."&amp;$C420)&amp;"."&amp;X$5</f>
        <v>egy.distn.postx.dec.ove.2</v>
      </c>
      <c r="Z420" s="225">
        <f>DPOST(Z331,Z305)</f>
        <v>341484103085.8444</v>
      </c>
      <c r="AA420" s="225">
        <f>DPOST(AA331,AA305)</f>
        <v>428220558278.6866</v>
      </c>
      <c r="AB420" s="225">
        <f>DPOST(AB331,AB305)</f>
        <v>601799005680.7726</v>
      </c>
      <c r="AC420" s="225">
        <f>DPOST(AC331,AC305)</f>
        <v>646001184875.4742</v>
      </c>
      <c r="AD420" s="225">
        <f>DPOST(AD331,AD305)</f>
        <v>695053618910.1677</v>
      </c>
      <c r="AE420" s="225">
        <f>DPOST(AE331,AE305)</f>
        <v>812484505917.4514</v>
      </c>
      <c r="AF420" s="225">
        <f>DPOST(AF331,AF305)</f>
        <v>947790466284.0115</v>
      </c>
      <c r="AG420" s="225">
        <f>DPOST(AG331,AG305)</f>
        <v>1138295934134.5896</v>
      </c>
      <c r="AH420" s="225">
        <f>DPOST(AH331,AH305)</f>
        <v>1245645607831.0044</v>
      </c>
      <c r="AI420" s="225">
        <f>DPOST(AI331,AI305)</f>
        <v>1671243996027.6194</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33" t="inlineStr">
        <is>
          <t>legacy rows 2420-2422</t>
        </is>
      </c>
      <c r="K421" s="9" t="str">
        <f>LOWER(CtryCode)&amp;".distn."&amp;$A421&amp;IF($B421="","","."&amp;$B421)&amp;IF($C421="","",".dec."&amp;$C421)&amp;"."&amp;K$5</f>
        <v>egy.distn.posti.dec.ove.1</v>
      </c>
      <c r="M421" s="218">
        <f>M331*(1+M447/PctPerUnit)</f>
        <v>347604223750.0759</v>
      </c>
      <c r="N421" s="218">
        <f>N331*(1+N447/PctPerUnit)</f>
        <v>435211028821.8013</v>
      </c>
      <c r="O421" s="218">
        <f>O331*(1+O447/PctPerUnit)</f>
        <v>611217278193.0449</v>
      </c>
      <c r="P421" s="218">
        <f>P331*(1+P447/PctPerUnit)</f>
        <v>655357444410.5137</v>
      </c>
      <c r="Q421" s="218">
        <f>Q331*(1+Q447/PctPerUnit)</f>
        <v>705152307297.3392</v>
      </c>
      <c r="R421" s="218">
        <f>R331*(1+R447/PctPerUnit)</f>
        <v>824159892463.1056</v>
      </c>
      <c r="S421" s="218">
        <f>S331*(1+S447/PctPerUnit)</f>
        <v>961869164245.4373</v>
      </c>
      <c r="T421" s="218">
        <f>T331*(1+T447/PctPerUnit)</f>
        <v>1155257263141.3008</v>
      </c>
      <c r="U421" s="218">
        <f>U331*(1+U447/PctPerUnit)</f>
        <v>1263383731192.2407</v>
      </c>
      <c r="V421" s="218">
        <f>V331*(1+V447/PctPerUnit)</f>
        <v>1695909796282.2305</v>
      </c>
      <c r="W421" s="207" t="str">
        <f>IF(X$5=K$5,SUM(Y421:AI421)-SUM(L421:V421),"")</f>
        <v/>
      </c>
      <c r="X421" s="9" t="str">
        <f>LOWER(CtryCode)&amp;".distn."&amp;$A421&amp;IF($B421="","","."&amp;$B421)&amp;IF($C421="","",".dec."&amp;$C421)&amp;"."&amp;X$5</f>
        <v>egy.distn.posti.dec.ove.2</v>
      </c>
      <c r="Z421" s="225">
        <f>DPOST(Z331,Z447)</f>
        <v>356098844158.2422</v>
      </c>
      <c r="AA421" s="225">
        <f>DPOST(AA331,AA447)</f>
        <v>441178441244.8883</v>
      </c>
      <c r="AB421" s="225">
        <f>DPOST(AB331,AB447)</f>
        <v>613259827229.9214</v>
      </c>
      <c r="AC421" s="225">
        <f>DPOST(AC331,AC447)</f>
        <v>655778532290.4197</v>
      </c>
      <c r="AD421" s="225">
        <f>DPOST(AD331,AD447)</f>
        <v>702292670946.376</v>
      </c>
      <c r="AE421" s="225">
        <f>DPOST(AE331,AE447)</f>
        <v>817504258991.7241</v>
      </c>
      <c r="AF421" s="225">
        <f>DPOST(AF331,AF447)</f>
        <v>951678360276.748</v>
      </c>
      <c r="AG421" s="225">
        <f>DPOST(AG331,AG447)</f>
        <v>1141877307902.443</v>
      </c>
      <c r="AH421" s="225">
        <f>DPOST(AH331,AH447)</f>
        <v>1250205113011.063</v>
      </c>
      <c r="AI421" s="225">
        <f>DPOST(AI331,AI447)</f>
        <v>1673710211091.2522</v>
      </c>
    </row>
    <row r="422" hidden="1" outlineLevel="1">
      <c r="A422" s="62" t="inlineStr">
        <is>
          <t>gini.g0</t>
        </is>
      </c>
      <c r="B422" s="3" t="inlineStr"/>
      <c r="C422" s="3" t="inlineStr">
        <is>
          <t>ove</t>
        </is>
      </c>
      <c r="D422" s="3" t="n"/>
      <c r="E422" s="3" t="n"/>
      <c r="H422" s="3" t="inlineStr">
        <is>
          <t>Gini, baseline, overall</t>
        </is>
      </c>
      <c r="I422" s="3" t="inlineStr">
        <is>
          <t>index</t>
        </is>
      </c>
      <c r="J422" s="133"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7" t="str">
        <f>IF(X$5=K$5,SUM(Y422:AI422)-SUM(L422:V422),"")</f>
        <v/>
      </c>
      <c r="X422" s="9" t="str">
        <f>LOWER(CtryCode)&amp;".distn."&amp;$A422&amp;IF($B422="","","."&amp;$B422)&amp;IF($C422="","",".dec."&amp;$C422)&amp;"."&amp;X$5</f>
        <v>egy.distn.gini.g0.dec.ove.2</v>
      </c>
      <c r="Y422" s="118">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33"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7" t="str">
        <f>IF(X$5=K$5,SUM(Y423:AI423)-SUM(L423:V423),"")</f>
        <v/>
      </c>
      <c r="X423" s="9" t="str">
        <f>LOWER(CtryCode)&amp;".distn."&amp;$A423&amp;IF($B423="","","."&amp;$B423)&amp;IF($C423="","",".dec."&amp;$C423)&amp;"."&amp;X$5</f>
        <v>egy.distn.gini.gx.dec.ove.2</v>
      </c>
      <c r="Y423" s="118">
        <f>DGINI(Z420:AI420,DGiniW)</f>
        <v>0.2540215782157894</v>
      </c>
      <c r="Z423" s="60">
        <f>Y423</f>
        <v>0.2540215782157894</v>
      </c>
      <c r="AA423" s="60">
        <f>Z423</f>
        <v>0.2540215782157894</v>
      </c>
      <c r="AB423" s="60">
        <f>AA423</f>
        <v>0.2540215782157894</v>
      </c>
      <c r="AC423" s="60">
        <f>AB423</f>
        <v>0.2540215782157894</v>
      </c>
      <c r="AD423" s="60">
        <f>AC423</f>
        <v>0.2540215782157894</v>
      </c>
      <c r="AE423" s="60">
        <f>AD423</f>
        <v>0.2540215782157894</v>
      </c>
      <c r="AF423" s="60">
        <f>AE423</f>
        <v>0.2540215782157894</v>
      </c>
      <c r="AG423" s="60">
        <f>AF423</f>
        <v>0.2540215782157894</v>
      </c>
      <c r="AH423" s="60">
        <f>AG423</f>
        <v>0.2540215782157894</v>
      </c>
      <c r="AI423" s="60">
        <f>AH423</f>
        <v>0.2540215782157894</v>
      </c>
    </row>
    <row r="424" hidden="1" outlineLevel="1">
      <c r="A424" s="62" t="inlineStr">
        <is>
          <t>gini.gi</t>
        </is>
      </c>
      <c r="B424" s="3" t="inlineStr"/>
      <c r="C424" s="3" t="inlineStr">
        <is>
          <t>ove</t>
        </is>
      </c>
      <c r="D424" s="3" t="n"/>
      <c r="E424" s="3" t="n"/>
      <c r="H424" s="3" t="inlineStr">
        <is>
          <t>Gini, after recycling, overall</t>
        </is>
      </c>
      <c r="I424" s="3" t="inlineStr">
        <is>
          <t>index</t>
        </is>
      </c>
      <c r="J424" s="133"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7" t="str">
        <f>IF(X$5=K$5,SUM(Y424:AI424)-SUM(L424:V424),"")</f>
        <v/>
      </c>
      <c r="X424" s="9" t="str">
        <f>LOWER(CtryCode)&amp;".distn."&amp;$A424&amp;IF($B424="","","."&amp;$B424)&amp;IF($C424="","",".dec."&amp;$C424)&amp;"."&amp;X$5</f>
        <v>egy.distn.gini.gi.dec.ove.2</v>
      </c>
      <c r="Y424" s="118">
        <f>DGINI(Z421:AI421,DGiniW)</f>
        <v>0.24914078788886385</v>
      </c>
      <c r="Z424" s="60">
        <f>Y424</f>
        <v>0.24914078788886385</v>
      </c>
      <c r="AA424" s="60">
        <f>Z424</f>
        <v>0.24914078788886385</v>
      </c>
      <c r="AB424" s="60">
        <f>AA424</f>
        <v>0.24914078788886385</v>
      </c>
      <c r="AC424" s="60">
        <f>AB424</f>
        <v>0.24914078788886385</v>
      </c>
      <c r="AD424" s="60">
        <f>AC424</f>
        <v>0.24914078788886385</v>
      </c>
      <c r="AE424" s="60">
        <f>AD424</f>
        <v>0.24914078788886385</v>
      </c>
      <c r="AF424" s="60">
        <f>AE424</f>
        <v>0.24914078788886385</v>
      </c>
      <c r="AG424" s="60">
        <f>AF424</f>
        <v>0.24914078788886385</v>
      </c>
      <c r="AH424" s="60">
        <f>AG424</f>
        <v>0.24914078788886385</v>
      </c>
      <c r="AI424" s="60">
        <f>AH424</f>
        <v>0.24914078788886385</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33" t="inlineStr">
        <is>
          <t>legacy rows 2415-2417</t>
        </is>
      </c>
      <c r="K425" s="9" t="str">
        <f>LOWER(CtryCode)&amp;".distn."&amp;$A425&amp;IF($B425="","","."&amp;$B425)&amp;IF($C425="","",".dec."&amp;$C425)&amp;"."&amp;K$5</f>
        <v>egy.distn.postx.dec.urb.1</v>
      </c>
      <c r="M425" s="218">
        <f>M328*(1+M302/PctPerUnit)</f>
        <v>179105319449.8824</v>
      </c>
      <c r="N425" s="218">
        <f>N328*(1+N302/PctPerUnit)</f>
        <v>243269189134.69876</v>
      </c>
      <c r="O425" s="218">
        <f>O328*(1+O302/PctPerUnit)</f>
        <v>284849198869.7397</v>
      </c>
      <c r="P425" s="218">
        <f>P328*(1+P302/PctPerUnit)</f>
        <v>310498547778.4626</v>
      </c>
      <c r="Q425" s="218">
        <f>Q328*(1+Q302/PctPerUnit)</f>
        <v>420023235753.0786</v>
      </c>
      <c r="R425" s="218">
        <f>R328*(1+R302/PctPerUnit)</f>
        <v>407455409984.9871</v>
      </c>
      <c r="S425" s="218">
        <f>S328*(1+S302/PctPerUnit)</f>
        <v>468753882092.82587</v>
      </c>
      <c r="T425" s="218">
        <f>T328*(1+T302/PctPerUnit)</f>
        <v>545578732824.2575</v>
      </c>
      <c r="U425" s="218">
        <f>U328*(1+U302/PctPerUnit)</f>
        <v>653956368327.6941</v>
      </c>
      <c r="V425" s="218">
        <f>V328*(1+V302/PctPerUnit)</f>
        <v>1014038474031.4927</v>
      </c>
      <c r="W425" s="207" t="str">
        <f>IF(X$5=K$5,SUM(Y425:AI425)-SUM(L425:V425),"")</f>
        <v/>
      </c>
      <c r="X425" s="9" t="str">
        <f>LOWER(CtryCode)&amp;".distn."&amp;$A425&amp;IF($B425="","","."&amp;$B425)&amp;IF($C425="","",".dec."&amp;$C425)&amp;"."&amp;X$5</f>
        <v>egy.distn.postx.dec.urb.2</v>
      </c>
      <c r="Z425" s="225">
        <f>DPOST(Z328,Z302)</f>
        <v>176245182535.17026</v>
      </c>
      <c r="AA425" s="225">
        <f>DPOST(AA328,AA302)</f>
        <v>239851461247.90585</v>
      </c>
      <c r="AB425" s="225">
        <f>DPOST(AB328,AB302)</f>
        <v>280890404916.9844</v>
      </c>
      <c r="AC425" s="225">
        <f>DPOST(AC328,AC302)</f>
        <v>306388486082.26526</v>
      </c>
      <c r="AD425" s="225">
        <f>DPOST(AD328,AD302)</f>
        <v>414574616885.83875</v>
      </c>
      <c r="AE425" s="225">
        <f>DPOST(AE328,AE302)</f>
        <v>402094038660.92566</v>
      </c>
      <c r="AF425" s="225">
        <f>DPOST(AF328,AF302)</f>
        <v>462045099441.93915</v>
      </c>
      <c r="AG425" s="225">
        <f>DPOST(AG328,AG302)</f>
        <v>538342735687.918</v>
      </c>
      <c r="AH425" s="225">
        <f>DPOST(AH328,AH302)</f>
        <v>644949714355.0055</v>
      </c>
      <c r="AI425" s="225">
        <f>DPOST(AI328,AI302)</f>
        <v>999918903261.0258</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33" t="inlineStr">
        <is>
          <t>legacy rows 2420-2422</t>
        </is>
      </c>
      <c r="K426" s="9" t="str">
        <f>LOWER(CtryCode)&amp;".distn."&amp;$A426&amp;IF($B426="","","."&amp;$B426)&amp;IF($C426="","",".dec."&amp;$C426)&amp;"."&amp;K$5</f>
        <v>egy.distn.posti.dec.urb.1</v>
      </c>
      <c r="M426" s="218">
        <f>M328*(1+M444/PctPerUnit)</f>
        <v>179105319449.8824</v>
      </c>
      <c r="N426" s="218">
        <f>N328*(1+N444/PctPerUnit)</f>
        <v>243269189134.69876</v>
      </c>
      <c r="O426" s="218">
        <f>O328*(1+O444/PctPerUnit)</f>
        <v>284849198869.7397</v>
      </c>
      <c r="P426" s="218">
        <f>P328*(1+P444/PctPerUnit)</f>
        <v>310498547778.4626</v>
      </c>
      <c r="Q426" s="218">
        <f>Q328*(1+Q444/PctPerUnit)</f>
        <v>420023235753.0786</v>
      </c>
      <c r="R426" s="218">
        <f>R328*(1+R444/PctPerUnit)</f>
        <v>407455409984.9871</v>
      </c>
      <c r="S426" s="218">
        <f>S328*(1+S444/PctPerUnit)</f>
        <v>468753882092.82587</v>
      </c>
      <c r="T426" s="218">
        <f>T328*(1+T444/PctPerUnit)</f>
        <v>545578732824.2575</v>
      </c>
      <c r="U426" s="218">
        <f>U328*(1+U444/PctPerUnit)</f>
        <v>653956368327.6941</v>
      </c>
      <c r="V426" s="218">
        <f>V328*(1+V444/PctPerUnit)</f>
        <v>1014038474031.4927</v>
      </c>
      <c r="W426" s="207" t="str">
        <f>IF(X$5=K$5,SUM(Y426:AI426)-SUM(L426:V426),"")</f>
        <v/>
      </c>
      <c r="X426" s="9" t="str">
        <f>LOWER(CtryCode)&amp;".distn."&amp;$A426&amp;IF($B426="","","."&amp;$B426)&amp;IF($C426="","",".dec."&amp;$C426)&amp;"."&amp;X$5</f>
        <v>egy.distn.posti.dec.urb.2</v>
      </c>
      <c r="Z426" s="225">
        <f>DPOST(Z328,Z444)</f>
        <v>181224269934.23837</v>
      </c>
      <c r="AA426" s="225">
        <f>DPOST(AA328,AA444)</f>
        <v>243807821715.20276</v>
      </c>
      <c r="AB426" s="225">
        <f>DPOST(AB328,AB444)</f>
        <v>283393024226.1614</v>
      </c>
      <c r="AC426" s="225">
        <f>DPOST(AC328,AC444)</f>
        <v>310632115882.10767</v>
      </c>
      <c r="AD426" s="225">
        <f>DPOST(AD328,AD444)</f>
        <v>416168488959.4901</v>
      </c>
      <c r="AE426" s="225">
        <f>DPOST(AE328,AE444)</f>
        <v>404442838932.072</v>
      </c>
      <c r="AF426" s="225">
        <f>DPOST(AF328,AF444)</f>
        <v>463735120023.1481</v>
      </c>
      <c r="AG426" s="225">
        <f>DPOST(AG328,AG444)</f>
        <v>539600452226.91125</v>
      </c>
      <c r="AH426" s="225">
        <f>DPOST(AH328,AH444)</f>
        <v>645942366984.8616</v>
      </c>
      <c r="AI426" s="225">
        <f>DPOST(AI328,AI444)</f>
        <v>1001118677220.873</v>
      </c>
    </row>
    <row r="427" hidden="1" outlineLevel="1">
      <c r="A427" s="62" t="inlineStr">
        <is>
          <t>gini.g0</t>
        </is>
      </c>
      <c r="B427" s="3" t="inlineStr"/>
      <c r="C427" s="3" t="inlineStr">
        <is>
          <t>urb</t>
        </is>
      </c>
      <c r="D427" s="3" t="n"/>
      <c r="E427" s="3" t="n"/>
      <c r="H427" s="3" t="inlineStr">
        <is>
          <t>Gini, baseline, urban</t>
        </is>
      </c>
      <c r="I427" s="3" t="inlineStr">
        <is>
          <t>index</t>
        </is>
      </c>
      <c r="J427" s="133"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7" t="str">
        <f>IF(X$5=K$5,SUM(Y427:AI427)-SUM(L427:V427),"")</f>
        <v/>
      </c>
      <c r="X427" s="9" t="str">
        <f>LOWER(CtryCode)&amp;".distn."&amp;$A427&amp;IF($B427="","","."&amp;$B427)&amp;IF($C427="","",".dec."&amp;$C427)&amp;"."&amp;X$5</f>
        <v>egy.distn.gini.g0.dec.urb.2</v>
      </c>
      <c r="Y427" s="118">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33"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7" t="str">
        <f>IF(X$5=K$5,SUM(Y428:AI428)-SUM(L428:V428),"")</f>
        <v/>
      </c>
      <c r="X428" s="9" t="str">
        <f>LOWER(CtryCode)&amp;".distn."&amp;$A428&amp;IF($B428="","","."&amp;$B428)&amp;IF($C428="","",".dec."&amp;$C428)&amp;"."&amp;X$5</f>
        <v>egy.distn.gini.gx.dec.urb.2</v>
      </c>
      <c r="Y428" s="118">
        <f>DGINI(Z425:AI425,DGiniW)</f>
        <v>0.27132461008364694</v>
      </c>
      <c r="Z428" s="60">
        <f>Y428</f>
        <v>0.27132461008364694</v>
      </c>
      <c r="AA428" s="60">
        <f>Z428</f>
        <v>0.27132461008364694</v>
      </c>
      <c r="AB428" s="60">
        <f>AA428</f>
        <v>0.27132461008364694</v>
      </c>
      <c r="AC428" s="60">
        <f>AB428</f>
        <v>0.27132461008364694</v>
      </c>
      <c r="AD428" s="60">
        <f>AC428</f>
        <v>0.27132461008364694</v>
      </c>
      <c r="AE428" s="60">
        <f>AD428</f>
        <v>0.27132461008364694</v>
      </c>
      <c r="AF428" s="60">
        <f>AE428</f>
        <v>0.27132461008364694</v>
      </c>
      <c r="AG428" s="60">
        <f>AF428</f>
        <v>0.27132461008364694</v>
      </c>
      <c r="AH428" s="60">
        <f>AG428</f>
        <v>0.27132461008364694</v>
      </c>
      <c r="AI428" s="60">
        <f>AH428</f>
        <v>0.27132461008364694</v>
      </c>
    </row>
    <row r="429" hidden="1" outlineLevel="1">
      <c r="A429" s="62" t="inlineStr">
        <is>
          <t>gini.gi</t>
        </is>
      </c>
      <c r="B429" s="3" t="inlineStr"/>
      <c r="C429" s="3" t="inlineStr">
        <is>
          <t>urb</t>
        </is>
      </c>
      <c r="D429" s="3" t="n"/>
      <c r="E429" s="3" t="n"/>
      <c r="H429" s="3" t="inlineStr">
        <is>
          <t>Gini, after recycling, urban</t>
        </is>
      </c>
      <c r="I429" s="3" t="inlineStr">
        <is>
          <t>index</t>
        </is>
      </c>
      <c r="J429" s="133"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7" t="str">
        <f>IF(X$5=K$5,SUM(Y429:AI429)-SUM(L429:V429),"")</f>
        <v/>
      </c>
      <c r="X429" s="9" t="str">
        <f>LOWER(CtryCode)&amp;".distn."&amp;$A429&amp;IF($B429="","","."&amp;$B429)&amp;IF($C429="","",".dec."&amp;$C429)&amp;"."&amp;X$5</f>
        <v>egy.distn.gini.gi.dec.urb.2</v>
      </c>
      <c r="Y429" s="118">
        <f>DGINI(Z426:AI426,DGiniW)</f>
        <v>0.26832284096019265</v>
      </c>
      <c r="Z429" s="60">
        <f>Y429</f>
        <v>0.26832284096019265</v>
      </c>
      <c r="AA429" s="60">
        <f>Z429</f>
        <v>0.26832284096019265</v>
      </c>
      <c r="AB429" s="60">
        <f>AA429</f>
        <v>0.26832284096019265</v>
      </c>
      <c r="AC429" s="60">
        <f>AB429</f>
        <v>0.26832284096019265</v>
      </c>
      <c r="AD429" s="60">
        <f>AC429</f>
        <v>0.26832284096019265</v>
      </c>
      <c r="AE429" s="60">
        <f>AD429</f>
        <v>0.26832284096019265</v>
      </c>
      <c r="AF429" s="60">
        <f>AE429</f>
        <v>0.26832284096019265</v>
      </c>
      <c r="AG429" s="60">
        <f>AF429</f>
        <v>0.26832284096019265</v>
      </c>
      <c r="AH429" s="60">
        <f>AG429</f>
        <v>0.26832284096019265</v>
      </c>
      <c r="AI429" s="60">
        <f>AH429</f>
        <v>0.26832284096019265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33" t="inlineStr">
        <is>
          <t>legacy rows 2415-2417</t>
        </is>
      </c>
      <c r="K430" s="9" t="str">
        <f>LOWER(CtryCode)&amp;".distn."&amp;$A430&amp;IF($B430="","","."&amp;$B430)&amp;IF($C430="","",".dec."&amp;$C430)&amp;"."&amp;K$5</f>
        <v>egy.distn.postx.dec.rur.1</v>
      </c>
      <c r="M430" s="218">
        <f>M329*(1+M303/PctPerUnit)</f>
        <v>182412947964.83932</v>
      </c>
      <c r="N430" s="218">
        <f>N329*(1+N303/PctPerUnit)</f>
        <v>217671969195.48758</v>
      </c>
      <c r="O430" s="218">
        <f>O329*(1+O303/PctPerUnit)</f>
        <v>280277023438.82477</v>
      </c>
      <c r="P430" s="218">
        <f>P329*(1+P303/PctPerUnit)</f>
        <v>296239560503.0448</v>
      </c>
      <c r="Q430" s="218">
        <f>Q329*(1+Q303/PctPerUnit)</f>
        <v>334618902529.576</v>
      </c>
      <c r="R430" s="218">
        <f>R329*(1+R303/PctPerUnit)</f>
        <v>385889668631.51935</v>
      </c>
      <c r="S430" s="218">
        <f>S329*(1+S303/PctPerUnit)</f>
        <v>462943413890.86145</v>
      </c>
      <c r="T430" s="218">
        <f>T329*(1+T303/PctPerUnit)</f>
        <v>476245702558.2531</v>
      </c>
      <c r="U430" s="218">
        <f>U329*(1+U303/PctPerUnit)</f>
        <v>531211579783.1203</v>
      </c>
      <c r="V430" s="218">
        <f>V329*(1+V303/PctPerUnit)</f>
        <v>883929403281.124</v>
      </c>
      <c r="W430" s="207" t="str">
        <f>IF(X$5=K$5,SUM(Y430:AI430)-SUM(L430:V430),"")</f>
        <v/>
      </c>
      <c r="X430" s="9" t="str">
        <f>LOWER(CtryCode)&amp;".distn."&amp;$A430&amp;IF($B430="","","."&amp;$B430)&amp;IF($C430="","",".dec."&amp;$C430)&amp;"."&amp;X$5</f>
        <v>egy.distn.postx.dec.rur.2</v>
      </c>
      <c r="Z430" s="225">
        <f>DPOST(Z329,Z303)</f>
        <v>179114895624.57114</v>
      </c>
      <c r="AA430" s="225">
        <f>DPOST(AA329,AA303)</f>
        <v>214148152975.79288</v>
      </c>
      <c r="AB430" s="225">
        <f>DPOST(AB329,AB303)</f>
        <v>275928242908.6544</v>
      </c>
      <c r="AC430" s="225">
        <f>DPOST(AC329,AC303)</f>
        <v>291548287730.1693</v>
      </c>
      <c r="AD430" s="225">
        <f>DPOST(AD329,AD303)</f>
        <v>329479506655.32495</v>
      </c>
      <c r="AE430" s="225">
        <f>DPOST(AE329,AE303)</f>
        <v>380158586593.66895</v>
      </c>
      <c r="AF430" s="225">
        <f>DPOST(AF329,AF303)</f>
        <v>456304206079.22327</v>
      </c>
      <c r="AG430" s="225">
        <f>DPOST(AG329,AG303)</f>
        <v>468919856193.1047</v>
      </c>
      <c r="AH430" s="225">
        <f>DPOST(AH329,AH303)</f>
        <v>523020541984.47595</v>
      </c>
      <c r="AI430" s="225">
        <f>DPOST(AI329,AI303)</f>
        <v>869683983735.1755</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33" t="inlineStr">
        <is>
          <t>legacy rows 2420-2422</t>
        </is>
      </c>
      <c r="K431" s="9" t="str">
        <f>LOWER(CtryCode)&amp;".distn."&amp;$A431&amp;IF($B431="","","."&amp;$B431)&amp;IF($C431="","",".dec."&amp;$C431)&amp;"."&amp;K$5</f>
        <v>egy.distn.posti.dec.rur.1</v>
      </c>
      <c r="M431" s="218">
        <f>M329*(1+M445/PctPerUnit)</f>
        <v>182412947964.83932</v>
      </c>
      <c r="N431" s="218">
        <f>N329*(1+N445/PctPerUnit)</f>
        <v>217671969195.48758</v>
      </c>
      <c r="O431" s="218">
        <f>O329*(1+O445/PctPerUnit)</f>
        <v>280277023438.82477</v>
      </c>
      <c r="P431" s="218">
        <f>P329*(1+P445/PctPerUnit)</f>
        <v>296239560503.0448</v>
      </c>
      <c r="Q431" s="218">
        <f>Q329*(1+Q445/PctPerUnit)</f>
        <v>334618902529.576</v>
      </c>
      <c r="R431" s="218">
        <f>R329*(1+R445/PctPerUnit)</f>
        <v>385889668631.51935</v>
      </c>
      <c r="S431" s="218">
        <f>S329*(1+S445/PctPerUnit)</f>
        <v>462943413890.86145</v>
      </c>
      <c r="T431" s="218">
        <f>T329*(1+T445/PctPerUnit)</f>
        <v>476245702558.2531</v>
      </c>
      <c r="U431" s="218">
        <f>U329*(1+U445/PctPerUnit)</f>
        <v>531211579783.1203</v>
      </c>
      <c r="V431" s="218">
        <f>V329*(1+V445/PctPerUnit)</f>
        <v>883929403281.124</v>
      </c>
      <c r="W431" s="207" t="str">
        <f>IF(X$5=K$5,SUM(Y431:AI431)-SUM(L431:V431),"")</f>
        <v/>
      </c>
      <c r="X431" s="9" t="str">
        <f>LOWER(CtryCode)&amp;".distn."&amp;$A431&amp;IF($B431="","","."&amp;$B431)&amp;IF($C431="","",".dec."&amp;$C431)&amp;"."&amp;X$5</f>
        <v>egy.distn.posti.dec.rur.2</v>
      </c>
      <c r="Z431" s="225">
        <f>DPOST(Z329,Z445)</f>
        <v>188008873191.97382</v>
      </c>
      <c r="AA431" s="225">
        <f>DPOST(AA329,AA445)</f>
        <v>222335416717.20355</v>
      </c>
      <c r="AB431" s="225">
        <f>DPOST(AB329,AB445)</f>
        <v>283926240263.9704</v>
      </c>
      <c r="AC431" s="225">
        <f>DPOST(AC329,AC445)</f>
        <v>297370900438.0484</v>
      </c>
      <c r="AD431" s="225">
        <f>DPOST(AD329,AD445)</f>
        <v>333034738398.23755</v>
      </c>
      <c r="AE431" s="225">
        <f>DPOST(AE329,AE445)</f>
        <v>384688760166.1712</v>
      </c>
      <c r="AF431" s="225">
        <f>DPOST(AF329,AF445)</f>
        <v>460296185821.561</v>
      </c>
      <c r="AG431" s="225">
        <f>DPOST(AG329,AG445)</f>
        <v>473197077837.4924</v>
      </c>
      <c r="AH431" s="225">
        <f>DPOST(AH329,AH445)</f>
        <v>527399693006.91315</v>
      </c>
      <c r="AI431" s="225">
        <f>DPOST(AI329,AI445)</f>
        <v>875327235031.6993</v>
      </c>
    </row>
    <row r="432" hidden="1" outlineLevel="1">
      <c r="A432" s="62" t="inlineStr">
        <is>
          <t>gini.g0</t>
        </is>
      </c>
      <c r="B432" s="3" t="inlineStr"/>
      <c r="C432" s="3" t="inlineStr">
        <is>
          <t>rur</t>
        </is>
      </c>
      <c r="D432" s="3" t="n"/>
      <c r="E432" s="3" t="n"/>
      <c r="H432" s="3" t="inlineStr">
        <is>
          <t>Gini, baseline, rural</t>
        </is>
      </c>
      <c r="I432" s="3" t="inlineStr">
        <is>
          <t>index</t>
        </is>
      </c>
      <c r="J432" s="133"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7" t="str">
        <f>IF(X$5=K$5,SUM(Y432:AI432)-SUM(L432:V432),"")</f>
        <v/>
      </c>
      <c r="X432" s="9" t="str">
        <f>LOWER(CtryCode)&amp;".distn."&amp;$A432&amp;IF($B432="","","."&amp;$B432)&amp;IF($C432="","",".dec."&amp;$C432)&amp;"."&amp;X$5</f>
        <v>egy.distn.gini.g0.dec.rur.2</v>
      </c>
      <c r="Y432" s="118">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33"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7" t="str">
        <f>IF(X$5=K$5,SUM(Y433:AI433)-SUM(L433:V433),"")</f>
        <v/>
      </c>
      <c r="X433" s="9" t="str">
        <f>LOWER(CtryCode)&amp;".distn."&amp;$A433&amp;IF($B433="","","."&amp;$B433)&amp;IF($C433="","",".dec."&amp;$C433)&amp;"."&amp;X$5</f>
        <v>egy.distn.gini.gx.dec.rur.2</v>
      </c>
      <c r="Y433" s="118">
        <f>DGINI(Z430:AI430,DGiniW)</f>
        <v>0.25045675819233737</v>
      </c>
      <c r="Z433" s="60">
        <f>Y433</f>
        <v>0.25045675819233737</v>
      </c>
      <c r="AA433" s="60">
        <f>Z433</f>
        <v>0.25045675819233737</v>
      </c>
      <c r="AB433" s="60">
        <f>AA433</f>
        <v>0.25045675819233737</v>
      </c>
      <c r="AC433" s="60">
        <f>AB433</f>
        <v>0.25045675819233737</v>
      </c>
      <c r="AD433" s="60">
        <f>AC433</f>
        <v>0.25045675819233737</v>
      </c>
      <c r="AE433" s="60">
        <f>AD433</f>
        <v>0.25045675819233737</v>
      </c>
      <c r="AF433" s="60">
        <f>AE433</f>
        <v>0.25045675819233737</v>
      </c>
      <c r="AG433" s="60">
        <f>AF433</f>
        <v>0.25045675819233737</v>
      </c>
      <c r="AH433" s="60">
        <f>AG433</f>
        <v>0.25045675819233737</v>
      </c>
      <c r="AI433" s="60">
        <f>AH433</f>
        <v>0.25045675819233737</v>
      </c>
    </row>
    <row r="434" hidden="1" outlineLevel="1">
      <c r="A434" s="62" t="inlineStr">
        <is>
          <t>gini.gi</t>
        </is>
      </c>
      <c r="B434" s="3" t="inlineStr"/>
      <c r="C434" s="3" t="inlineStr">
        <is>
          <t>rur</t>
        </is>
      </c>
      <c r="D434" s="3" t="n"/>
      <c r="E434" s="3" t="n"/>
      <c r="H434" s="3" t="inlineStr">
        <is>
          <t>Gini, after recycling, rural</t>
        </is>
      </c>
      <c r="I434" s="3" t="inlineStr">
        <is>
          <t>index</t>
        </is>
      </c>
      <c r="J434" s="133"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7" t="str">
        <f>IF(X$5=K$5,SUM(Y434:AI434)-SUM(L434:V434),"")</f>
        <v/>
      </c>
      <c r="X434" s="9" t="str">
        <f>LOWER(CtryCode)&amp;".distn."&amp;$A434&amp;IF($B434="","","."&amp;$B434)&amp;IF($C434="","",".dec."&amp;$C434)&amp;"."&amp;X$5</f>
        <v>egy.distn.gini.gi.dec.rur.2</v>
      </c>
      <c r="Y434" s="118">
        <f>DGINI(Z431:AI431,DGiniW)</f>
        <v>0.24499434441378143</v>
      </c>
      <c r="Z434" s="60">
        <f>Y434</f>
        <v>0.24499434441378143</v>
      </c>
      <c r="AA434" s="60">
        <f>Z434</f>
        <v>0.24499434441378143</v>
      </c>
      <c r="AB434" s="60">
        <f>AA434</f>
        <v>0.24499434441378143</v>
      </c>
      <c r="AC434" s="60">
        <f>AB434</f>
        <v>0.24499434441378143</v>
      </c>
      <c r="AD434" s="60">
        <f>AC434</f>
        <v>0.24499434441378143</v>
      </c>
      <c r="AE434" s="60">
        <f>AD434</f>
        <v>0.24499434441378143</v>
      </c>
      <c r="AF434" s="60">
        <f>AE434</f>
        <v>0.24499434441378143</v>
      </c>
      <c r="AG434" s="60">
        <f>AF434</f>
        <v>0.24499434441378143</v>
      </c>
      <c r="AH434" s="60">
        <f>AG434</f>
        <v>0.24499434441378143</v>
      </c>
      <c r="AI434" s="60">
        <f>AH434</f>
        <v>0.24499434441378143</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33" t="inlineStr">
        <is>
          <t>legacy R2532-R2539 x 100</t>
        </is>
      </c>
      <c r="K436" s="9" t="str">
        <f>LOWER(CtryCode)&amp;".distn."&amp;$A436&amp;IF($B436="","","."&amp;$B436)&amp;IF($C436="","",".dec."&amp;$C436)&amp;"."&amp;K$5</f>
        <v>egy.distn.pct_gini_norec.dec.ove.1</v>
      </c>
      <c r="L436" s="208">
        <f>(L423/L422-1)*PctPerUnit</f>
        <v>0.0</v>
      </c>
      <c r="M436" s="203">
        <f>L436</f>
        <v>0.0</v>
      </c>
      <c r="N436" s="203">
        <f>M436</f>
        <v>0.0</v>
      </c>
      <c r="O436" s="203">
        <f>N436</f>
        <v>0.0</v>
      </c>
      <c r="P436" s="203">
        <f>O436</f>
        <v>0.0</v>
      </c>
      <c r="Q436" s="203">
        <f>P436</f>
        <v>0.0</v>
      </c>
      <c r="R436" s="203">
        <f>Q436</f>
        <v>0.0</v>
      </c>
      <c r="S436" s="203">
        <f>R436</f>
        <v>0.0</v>
      </c>
      <c r="T436" s="203">
        <f>S436</f>
        <v>0.0</v>
      </c>
      <c r="U436" s="203">
        <f>T436</f>
        <v>0.0</v>
      </c>
      <c r="V436" s="203">
        <f>U436</f>
        <v>0.0</v>
      </c>
      <c r="W436" s="207" t="str">
        <f>IF(X$5=K$5,SUM(Y436:AI436)-SUM(L436:V436),"")</f>
        <v/>
      </c>
      <c r="X436" s="9" t="str">
        <f>LOWER(CtryCode)&amp;".distn."&amp;$A436&amp;IF($B436="","","."&amp;$B436)&amp;IF($C436="","",".dec."&amp;$C436)&amp;"."&amp;X$5</f>
        <v>egy.distn.pct_gini_norec.dec.ove.2</v>
      </c>
      <c r="Y436" s="208">
        <f>(Y423/Y422-1)*PctPerUnit</f>
        <v>0.10213928889160062</v>
      </c>
      <c r="Z436" s="203">
        <f>Y436</f>
        <v>0.10213928889160062</v>
      </c>
      <c r="AA436" s="203">
        <f>Z436</f>
        <v>0.10213928889160062</v>
      </c>
      <c r="AB436" s="203">
        <f>AA436</f>
        <v>0.10213928889160062</v>
      </c>
      <c r="AC436" s="203">
        <f>AB436</f>
        <v>0.10213928889160062</v>
      </c>
      <c r="AD436" s="203">
        <f>AC436</f>
        <v>0.10213928889160062</v>
      </c>
      <c r="AE436" s="203">
        <f>AD436</f>
        <v>0.10213928889160062</v>
      </c>
      <c r="AF436" s="203">
        <f>AE436</f>
        <v>0.10213928889160062</v>
      </c>
      <c r="AG436" s="203">
        <f>AF436</f>
        <v>0.10213928889160062</v>
      </c>
      <c r="AH436" s="203">
        <f>AG436</f>
        <v>0.10213928889160062</v>
      </c>
      <c r="AI436" s="203">
        <f>AH436</f>
        <v>0.10213928889160062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33" t="inlineStr">
        <is>
          <t>legacy R2532-R2539 x 100</t>
        </is>
      </c>
      <c r="K437" s="9" t="str">
        <f>LOWER(CtryCode)&amp;".distn."&amp;$A437&amp;IF($B437="","","."&amp;$B437)&amp;IF($C437="","",".dec."&amp;$C437)&amp;"."&amp;K$5</f>
        <v>egy.distn.pct_gini_rec.dec.ove.1</v>
      </c>
      <c r="L437" s="208">
        <f>(L424/L422-1)*PctPerUnit</f>
        <v>0.0</v>
      </c>
      <c r="M437" s="203">
        <f>L437</f>
        <v>0.0</v>
      </c>
      <c r="N437" s="203">
        <f>M437</f>
        <v>0.0</v>
      </c>
      <c r="O437" s="203">
        <f>N437</f>
        <v>0.0</v>
      </c>
      <c r="P437" s="203">
        <f>O437</f>
        <v>0.0</v>
      </c>
      <c r="Q437" s="203">
        <f>P437</f>
        <v>0.0</v>
      </c>
      <c r="R437" s="203">
        <f>Q437</f>
        <v>0.0</v>
      </c>
      <c r="S437" s="203">
        <f>R437</f>
        <v>0.0</v>
      </c>
      <c r="T437" s="203">
        <f>S437</f>
        <v>0.0</v>
      </c>
      <c r="U437" s="203">
        <f>T437</f>
        <v>0.0</v>
      </c>
      <c r="V437" s="203">
        <f>U437</f>
        <v>0.0</v>
      </c>
      <c r="W437" s="207" t="str">
        <f>IF(X$5=K$5,SUM(Y437:AI437)-SUM(L437:V437),"")</f>
        <v/>
      </c>
      <c r="X437" s="9" t="str">
        <f>LOWER(CtryCode)&amp;".distn."&amp;$A437&amp;IF($B437="","","."&amp;$B437)&amp;IF($C437="","",".dec."&amp;$C437)&amp;"."&amp;X$5</f>
        <v>egy.distn.pct_gini_rec.dec.ove.2</v>
      </c>
      <c r="Y437" s="208">
        <f>(Y424/Y422-1)*PctPerUnit</f>
        <v>-1.8212309876710187</v>
      </c>
      <c r="Z437" s="203">
        <f>Y437</f>
        <v>-1.8212309876710187</v>
      </c>
      <c r="AA437" s="203">
        <f>Z437</f>
        <v>-1.8212309876710187</v>
      </c>
      <c r="AB437" s="203">
        <f>AA437</f>
        <v>-1.8212309876710187</v>
      </c>
      <c r="AC437" s="203">
        <f>AB437</f>
        <v>-1.8212309876710187</v>
      </c>
      <c r="AD437" s="203">
        <f>AC437</f>
        <v>-1.8212309876710187</v>
      </c>
      <c r="AE437" s="203">
        <f>AD437</f>
        <v>-1.8212309876710187</v>
      </c>
      <c r="AF437" s="203">
        <f>AE437</f>
        <v>-1.8212309876710187</v>
      </c>
      <c r="AG437" s="203">
        <f>AF437</f>
        <v>-1.8212309876710187</v>
      </c>
      <c r="AH437" s="203">
        <f>AG437</f>
        <v>-1.8212309876710187</v>
      </c>
      <c r="AI437" s="203">
        <f>AH437</f>
        <v>-1.8212309876710187</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33" t="inlineStr">
        <is>
          <t>legacy R2532-R2539 x 100</t>
        </is>
      </c>
      <c r="K438" s="9" t="str">
        <f>LOWER(CtryCode)&amp;".distn."&amp;$A438&amp;IF($B438="","","."&amp;$B438)&amp;IF($C438="","",".dec."&amp;$C438)&amp;"."&amp;K$5</f>
        <v>egy.distn.pct_gini_norec.dec.urb.1</v>
      </c>
      <c r="L438" s="208">
        <f>(L428/L427-1)*PctPerUnit</f>
        <v>0.0</v>
      </c>
      <c r="M438" s="203">
        <f>L438</f>
        <v>0.0</v>
      </c>
      <c r="N438" s="203">
        <f>M438</f>
        <v>0.0</v>
      </c>
      <c r="O438" s="203">
        <f>N438</f>
        <v>0.0</v>
      </c>
      <c r="P438" s="203">
        <f>O438</f>
        <v>0.0</v>
      </c>
      <c r="Q438" s="203">
        <f>P438</f>
        <v>0.0</v>
      </c>
      <c r="R438" s="203">
        <f>Q438</f>
        <v>0.0</v>
      </c>
      <c r="S438" s="203">
        <f>R438</f>
        <v>0.0</v>
      </c>
      <c r="T438" s="203">
        <f>S438</f>
        <v>0.0</v>
      </c>
      <c r="U438" s="203">
        <f>T438</f>
        <v>0.0</v>
      </c>
      <c r="V438" s="203">
        <f>U438</f>
        <v>0.0</v>
      </c>
      <c r="W438" s="207" t="str">
        <f>IF(X$5=K$5,SUM(Y438:AI438)-SUM(L438:V438),"")</f>
        <v/>
      </c>
      <c r="X438" s="9" t="str">
        <f>LOWER(CtryCode)&amp;".distn."&amp;$A438&amp;IF($B438="","","."&amp;$B438)&amp;IF($C438="","",".dec."&amp;$C438)&amp;"."&amp;X$5</f>
        <v>egy.distn.pct_gini_norec.dec.urb.2</v>
      </c>
      <c r="Y438" s="208">
        <f>(Y428/Y427-1)*PctPerUnit</f>
        <v>0.014814700608245523</v>
      </c>
      <c r="Z438" s="203">
        <f>Y438</f>
        <v>0.014814700608245523</v>
      </c>
      <c r="AA438" s="203">
        <f>Z438</f>
        <v>0.014814700608245523</v>
      </c>
      <c r="AB438" s="203">
        <f>AA438</f>
        <v>0.014814700608245523</v>
      </c>
      <c r="AC438" s="203">
        <f>AB438</f>
        <v>0.014814700608245523</v>
      </c>
      <c r="AD438" s="203">
        <f>AC438</f>
        <v>0.014814700608245523</v>
      </c>
      <c r="AE438" s="203">
        <f>AD438</f>
        <v>0.014814700608245523</v>
      </c>
      <c r="AF438" s="203">
        <f>AE438</f>
        <v>0.014814700608245523</v>
      </c>
      <c r="AG438" s="203">
        <f>AF438</f>
        <v>0.014814700608245523</v>
      </c>
      <c r="AH438" s="203">
        <f>AG438</f>
        <v>0.014814700608245523</v>
      </c>
      <c r="AI438" s="203">
        <f>AH438</f>
        <v>0.014814700608245523</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33" t="inlineStr">
        <is>
          <t>legacy R2532-R2539 x 100</t>
        </is>
      </c>
      <c r="K439" s="9" t="str">
        <f>LOWER(CtryCode)&amp;".distn."&amp;$A439&amp;IF($B439="","","."&amp;$B439)&amp;IF($C439="","",".dec."&amp;$C439)&amp;"."&amp;K$5</f>
        <v>egy.distn.pct_gini_rec.dec.urb.1</v>
      </c>
      <c r="L439" s="208">
        <f>(L429/L427-1)*PctPerUnit</f>
        <v>0.0</v>
      </c>
      <c r="M439" s="203">
        <f>L439</f>
        <v>0.0</v>
      </c>
      <c r="N439" s="203">
        <f>M439</f>
        <v>0.0</v>
      </c>
      <c r="O439" s="203">
        <f>N439</f>
        <v>0.0</v>
      </c>
      <c r="P439" s="203">
        <f>O439</f>
        <v>0.0</v>
      </c>
      <c r="Q439" s="203">
        <f>P439</f>
        <v>0.0</v>
      </c>
      <c r="R439" s="203">
        <f>Q439</f>
        <v>0.0</v>
      </c>
      <c r="S439" s="203">
        <f>R439</f>
        <v>0.0</v>
      </c>
      <c r="T439" s="203">
        <f>S439</f>
        <v>0.0</v>
      </c>
      <c r="U439" s="203">
        <f>T439</f>
        <v>0.0</v>
      </c>
      <c r="V439" s="203">
        <f>U439</f>
        <v>0.0</v>
      </c>
      <c r="W439" s="207" t="str">
        <f>IF(X$5=K$5,SUM(Y439:AI439)-SUM(L439:V439),"")</f>
        <v/>
      </c>
      <c r="X439" s="9" t="str">
        <f>LOWER(CtryCode)&amp;".distn."&amp;$A439&amp;IF($B439="","","."&amp;$B439)&amp;IF($C439="","",".dec."&amp;$C439)&amp;"."&amp;X$5</f>
        <v>egy.distn.pct_gini_rec.dec.urb.2</v>
      </c>
      <c r="Y439" s="208">
        <f>(Y429/Y427-1)*PctPerUnit</f>
        <v>-1.0916878852196055</v>
      </c>
      <c r="Z439" s="203">
        <f>Y439</f>
        <v>-1.0916878852196055</v>
      </c>
      <c r="AA439" s="203">
        <f>Z439</f>
        <v>-1.0916878852196055</v>
      </c>
      <c r="AB439" s="203">
        <f>AA439</f>
        <v>-1.0916878852196055</v>
      </c>
      <c r="AC439" s="203">
        <f>AB439</f>
        <v>-1.0916878852196055</v>
      </c>
      <c r="AD439" s="203">
        <f>AC439</f>
        <v>-1.0916878852196055</v>
      </c>
      <c r="AE439" s="203">
        <f>AD439</f>
        <v>-1.0916878852196055</v>
      </c>
      <c r="AF439" s="203">
        <f>AE439</f>
        <v>-1.0916878852196055</v>
      </c>
      <c r="AG439" s="203">
        <f>AF439</f>
        <v>-1.0916878852196055</v>
      </c>
      <c r="AH439" s="203">
        <f>AG439</f>
        <v>-1.0916878852196055</v>
      </c>
      <c r="AI439" s="203">
        <f>AH439</f>
        <v>-1.0916878852196055</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33" t="inlineStr">
        <is>
          <t>legacy R2532-R2539 x 100</t>
        </is>
      </c>
      <c r="K440" s="9" t="str">
        <f>LOWER(CtryCode)&amp;".distn."&amp;$A440&amp;IF($B440="","","."&amp;$B440)&amp;IF($C440="","",".dec."&amp;$C440)&amp;"."&amp;K$5</f>
        <v>egy.distn.pct_gini_norec.dec.rur.1</v>
      </c>
      <c r="L440" s="208">
        <f>(L433/L432-1)*PctPerUnit</f>
        <v>0.0</v>
      </c>
      <c r="M440" s="203">
        <f>L440</f>
        <v>0.0</v>
      </c>
      <c r="N440" s="203">
        <f>M440</f>
        <v>0.0</v>
      </c>
      <c r="O440" s="203">
        <f>N440</f>
        <v>0.0</v>
      </c>
      <c r="P440" s="203">
        <f>O440</f>
        <v>0.0</v>
      </c>
      <c r="Q440" s="203">
        <f>P440</f>
        <v>0.0</v>
      </c>
      <c r="R440" s="203">
        <f>Q440</f>
        <v>0.0</v>
      </c>
      <c r="S440" s="203">
        <f>R440</f>
        <v>0.0</v>
      </c>
      <c r="T440" s="203">
        <f>S440</f>
        <v>0.0</v>
      </c>
      <c r="U440" s="203">
        <f>T440</f>
        <v>0.0</v>
      </c>
      <c r="V440" s="203">
        <f>U440</f>
        <v>0.0</v>
      </c>
      <c r="W440" s="207" t="str">
        <f>IF(X$5=K$5,SUM(Y440:AI440)-SUM(L440:V440),"")</f>
        <v/>
      </c>
      <c r="X440" s="9" t="str">
        <f>LOWER(CtryCode)&amp;".distn."&amp;$A440&amp;IF($B440="","","."&amp;$B440)&amp;IF($C440="","",".dec."&amp;$C440)&amp;"."&amp;X$5</f>
        <v>egy.distn.pct_gini_norec.dec.rur.2</v>
      </c>
      <c r="Y440" s="208">
        <f>(Y433/Y432-1)*PctPerUnit</f>
        <v>0.035765840075674404</v>
      </c>
      <c r="Z440" s="203">
        <f>Y440</f>
        <v>0.035765840075674404</v>
      </c>
      <c r="AA440" s="203">
        <f>Z440</f>
        <v>0.035765840075674404</v>
      </c>
      <c r="AB440" s="203">
        <f>AA440</f>
        <v>0.035765840075674404</v>
      </c>
      <c r="AC440" s="203">
        <f>AB440</f>
        <v>0.035765840075674404</v>
      </c>
      <c r="AD440" s="203">
        <f>AC440</f>
        <v>0.035765840075674404</v>
      </c>
      <c r="AE440" s="203">
        <f>AD440</f>
        <v>0.035765840075674404</v>
      </c>
      <c r="AF440" s="203">
        <f>AE440</f>
        <v>0.035765840075674404</v>
      </c>
      <c r="AG440" s="203">
        <f>AF440</f>
        <v>0.035765840075674404</v>
      </c>
      <c r="AH440" s="203">
        <f>AG440</f>
        <v>0.035765840075674404</v>
      </c>
      <c r="AI440" s="203">
        <f>AH440</f>
        <v>0.035765840075674404</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33" t="inlineStr">
        <is>
          <t>legacy R2532-R2539 x 100</t>
        </is>
      </c>
      <c r="K441" s="9" t="str">
        <f>LOWER(CtryCode)&amp;".distn."&amp;$A441&amp;IF($B441="","","."&amp;$B441)&amp;IF($C441="","",".dec."&amp;$C441)&amp;"."&amp;K$5</f>
        <v>egy.distn.pct_gini_rec.dec.rur.1</v>
      </c>
      <c r="L441" s="208">
        <f>(L434/L432-1)*PctPerUnit</f>
        <v>0.0</v>
      </c>
      <c r="M441" s="203">
        <f>L441</f>
        <v>0.0</v>
      </c>
      <c r="N441" s="203">
        <f>M441</f>
        <v>0.0</v>
      </c>
      <c r="O441" s="203">
        <f>N441</f>
        <v>0.0</v>
      </c>
      <c r="P441" s="203">
        <f>O441</f>
        <v>0.0</v>
      </c>
      <c r="Q441" s="203">
        <f>P441</f>
        <v>0.0</v>
      </c>
      <c r="R441" s="203">
        <f>Q441</f>
        <v>0.0</v>
      </c>
      <c r="S441" s="203">
        <f>R441</f>
        <v>0.0</v>
      </c>
      <c r="T441" s="203">
        <f>S441</f>
        <v>0.0</v>
      </c>
      <c r="U441" s="203">
        <f>T441</f>
        <v>0.0</v>
      </c>
      <c r="V441" s="203">
        <f>U441</f>
        <v>0.0</v>
      </c>
      <c r="W441" s="207" t="str">
        <f>IF(X$5=K$5,SUM(Y441:AI441)-SUM(L441:V441),"")</f>
        <v/>
      </c>
      <c r="X441" s="9" t="str">
        <f>LOWER(CtryCode)&amp;".distn."&amp;$A441&amp;IF($B441="","","."&amp;$B441)&amp;IF($C441="","",".dec."&amp;$C441)&amp;"."&amp;X$5</f>
        <v>egy.distn.pct_gini_rec.dec.rur.2</v>
      </c>
      <c r="Y441" s="208">
        <f>(Y434/Y432-1)*PctPerUnit</f>
        <v>-2.1459949940783374</v>
      </c>
      <c r="Z441" s="203">
        <f>Y441</f>
        <v>-2.1459949940783374</v>
      </c>
      <c r="AA441" s="203">
        <f>Z441</f>
        <v>-2.1459949940783374</v>
      </c>
      <c r="AB441" s="203">
        <f>AA441</f>
        <v>-2.1459949940783374</v>
      </c>
      <c r="AC441" s="203">
        <f>AB441</f>
        <v>-2.1459949940783374</v>
      </c>
      <c r="AD441" s="203">
        <f>AC441</f>
        <v>-2.1459949940783374</v>
      </c>
      <c r="AE441" s="203">
        <f>AD441</f>
        <v>-2.1459949940783374</v>
      </c>
      <c r="AF441" s="203">
        <f>AE441</f>
        <v>-2.1459949940783374</v>
      </c>
      <c r="AG441" s="203">
        <f>AF441</f>
        <v>-2.1459949940783374</v>
      </c>
      <c r="AH441" s="203">
        <f>AG441</f>
        <v>-2.1459949940783374</v>
      </c>
      <c r="AI441" s="203">
        <f>AH441</f>
        <v>-2.1459949940783374</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33" t="inlineStr">
        <is>
          <t>legacy D.II 2884</t>
        </is>
      </c>
      <c r="K444" s="9" t="str">
        <f>LOWER(CtryCode)&amp;".distn."&amp;$A444&amp;IF($B444="","","."&amp;$B444)&amp;IF($C444="","",".dec."&amp;$C444)&amp;"."&amp;K$5</f>
        <v>egy.distn.net.tot.dec.urb.1</v>
      </c>
      <c r="M444" s="203">
        <f>M302+M394</f>
        <v>0.0</v>
      </c>
      <c r="N444" s="203">
        <f>N302+N394</f>
        <v>0.0</v>
      </c>
      <c r="O444" s="203">
        <f>O302+O394</f>
        <v>0.0</v>
      </c>
      <c r="P444" s="203">
        <f>P302+P394</f>
        <v>0.0</v>
      </c>
      <c r="Q444" s="203">
        <f>Q302+Q394</f>
        <v>0.0</v>
      </c>
      <c r="R444" s="203">
        <f>R302+R394</f>
        <v>0.0</v>
      </c>
      <c r="S444" s="203">
        <f>S302+S394</f>
        <v>0.0</v>
      </c>
      <c r="T444" s="203">
        <f>T302+T394</f>
        <v>0.0</v>
      </c>
      <c r="U444" s="203">
        <f>U302+U394</f>
        <v>0.0</v>
      </c>
      <c r="V444" s="203">
        <f>V302+V394</f>
        <v>0.0</v>
      </c>
      <c r="W444" s="207" t="str">
        <f>IF(X$5=K$5,SUM(Y444:AI444)-SUM(L444:V444),"")</f>
        <v/>
      </c>
      <c r="X444" s="9" t="str">
        <f>LOWER(CtryCode)&amp;".distn."&amp;$A444&amp;IF($B444="","","."&amp;$B444)&amp;IF($C444="","",".dec."&amp;$C444)&amp;"."&amp;X$5</f>
        <v>egy.distn.net.tot.dec.urb.2</v>
      </c>
      <c r="Z444" s="203">
        <f>Z302+Z394</f>
        <v>1.1830751263358874</v>
      </c>
      <c r="AA444" s="203">
        <f>AA302+AA394</f>
        <v>0.22141422118430265</v>
      </c>
      <c r="AB444" s="203">
        <f>AB302+AB394</f>
        <v>-0.511208965781299</v>
      </c>
      <c r="AC444" s="203">
        <f>AC302+AC394</f>
        <v>0.04301730381695967</v>
      </c>
      <c r="AD444" s="203">
        <f>AD302+AD394</f>
        <v>-0.9177460829463798</v>
      </c>
      <c r="AE444" s="203">
        <f>AE302+AE394</f>
        <v>-0.7393621434615636</v>
      </c>
      <c r="AF444" s="203">
        <f>AF302+AF394</f>
        <v>-1.0706603745382777</v>
      </c>
      <c r="AG444" s="203">
        <f>AG302+AG394</f>
        <v>-1.0957686283699026</v>
      </c>
      <c r="AH444" s="203">
        <f>AH302+AH394</f>
        <v>-1.225464225285557</v>
      </c>
      <c r="AI444" s="203">
        <f>AI302+AI394</f>
        <v>-1.274093354589858</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33" t="inlineStr">
        <is>
          <t>legacy D.II 2884</t>
        </is>
      </c>
      <c r="K445" s="9" t="str">
        <f>LOWER(CtryCode)&amp;".distn."&amp;$A445&amp;IF($B445="","","."&amp;$B445)&amp;IF($C445="","",".dec."&amp;$C445)&amp;"."&amp;K$5</f>
        <v>egy.distn.net.tot.dec.rur.1</v>
      </c>
      <c r="M445" s="203">
        <f>M303+M400</f>
        <v>0.0</v>
      </c>
      <c r="N445" s="203">
        <f>N303+N400</f>
        <v>0.0</v>
      </c>
      <c r="O445" s="203">
        <f>O303+O400</f>
        <v>0.0</v>
      </c>
      <c r="P445" s="203">
        <f>P303+P400</f>
        <v>0.0</v>
      </c>
      <c r="Q445" s="203">
        <f>Q303+Q400</f>
        <v>0.0</v>
      </c>
      <c r="R445" s="203">
        <f>R303+R400</f>
        <v>0.0</v>
      </c>
      <c r="S445" s="203">
        <f>S303+S400</f>
        <v>0.0</v>
      </c>
      <c r="T445" s="203">
        <f>T303+T400</f>
        <v>0.0</v>
      </c>
      <c r="U445" s="203">
        <f>U303+U400</f>
        <v>0.0</v>
      </c>
      <c r="V445" s="203">
        <f>V303+V400</f>
        <v>0.0</v>
      </c>
      <c r="W445" s="207" t="str">
        <f>IF(X$5=K$5,SUM(Y445:AI445)-SUM(L445:V445),"")</f>
        <v/>
      </c>
      <c r="X445" s="9" t="str">
        <f>LOWER(CtryCode)&amp;".distn."&amp;$A445&amp;IF($B445="","","."&amp;$B445)&amp;IF($C445="","",".dec."&amp;$C445)&amp;"."&amp;X$5</f>
        <v>egy.distn.net.tot.dec.rur.2</v>
      </c>
      <c r="Z445" s="203">
        <f>Z303+Z400</f>
        <v>3.0677236948186044</v>
      </c>
      <c r="AA445" s="203">
        <f>AA303+AA400</f>
        <v>2.1424198710343942</v>
      </c>
      <c r="AB445" s="203">
        <f>AB303+AB400</f>
        <v>1.302003560752849</v>
      </c>
      <c r="AC445" s="203">
        <f>AC303+AC400</f>
        <v>0.38190035560493363</v>
      </c>
      <c r="AD445" s="203">
        <f>AD303+AD400</f>
        <v>-0.473423383844372</v>
      </c>
      <c r="AE445" s="203">
        <f>AE303+AE400</f>
        <v>-0.3112051352934484</v>
      </c>
      <c r="AF445" s="203">
        <f>AF303+AF400</f>
        <v>-0.5718254088661797</v>
      </c>
      <c r="AG445" s="203">
        <f>AG303+AG400</f>
        <v>-0.6401369512384887</v>
      </c>
      <c r="AH445" s="203">
        <f>AH303+AH400</f>
        <v>-0.7175835243959541</v>
      </c>
      <c r="AI445" s="203">
        <f>AI303+AI400</f>
        <v>-0.9731736739940511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33" t="inlineStr">
        <is>
          <t>legacy D.II 2884</t>
        </is>
      </c>
      <c r="K447" s="9" t="str">
        <f>LOWER(CtryCode)&amp;".distn."&amp;$A447&amp;IF($B447="","","."&amp;$B447)&amp;IF($C447="","",".dec."&amp;$C447)&amp;"."&amp;K$5</f>
        <v>egy.distn.net.tot.dec.ove.1</v>
      </c>
      <c r="M447" s="216">
        <f>M305+M407</f>
        <v>0.0</v>
      </c>
      <c r="N447" s="216">
        <f>N305+N407</f>
        <v>0.0</v>
      </c>
      <c r="O447" s="216">
        <f>O305+O407</f>
        <v>0.0</v>
      </c>
      <c r="P447" s="216">
        <f>P305+P407</f>
        <v>0.0</v>
      </c>
      <c r="Q447" s="216">
        <f>Q305+Q407</f>
        <v>0.0</v>
      </c>
      <c r="R447" s="216">
        <f>R305+R407</f>
        <v>0.0</v>
      </c>
      <c r="S447" s="216">
        <f>S305+S407</f>
        <v>0.0</v>
      </c>
      <c r="T447" s="216">
        <f>T305+T407</f>
        <v>0.0</v>
      </c>
      <c r="U447" s="216">
        <f>U305+U407</f>
        <v>0.0</v>
      </c>
      <c r="V447" s="216">
        <f>V305+V407</f>
        <v>0.0</v>
      </c>
      <c r="W447" s="207" t="str">
        <f>IF(X$5=K$5,SUM(Y447:AI447)-SUM(L447:V447),"")</f>
        <v/>
      </c>
      <c r="X447" s="9" t="str">
        <f>LOWER(CtryCode)&amp;".distn."&amp;$A447&amp;IF($B447="","","."&amp;$B447)&amp;IF($C447="","",".dec."&amp;$C447)&amp;"."&amp;X$5</f>
        <v>egy.distn.net.tot.dec.ove.2</v>
      </c>
      <c r="Z447" s="216">
        <f>Z305+Z407</f>
        <v>2.4437621374456597</v>
      </c>
      <c r="AA447" s="216">
        <f>AA305+AA407</f>
        <v>1.3711537686078332</v>
      </c>
      <c r="AB447" s="216">
        <f>AB305+AB407</f>
        <v>0.33417724101565627</v>
      </c>
      <c r="AC447" s="216">
        <f>AC305+AC407</f>
        <v>0.06425316191912422</v>
      </c>
      <c r="AD447" s="216">
        <f>AD305+AD407</f>
        <v>-0.40553456627312157</v>
      </c>
      <c r="AE447" s="216">
        <f>AE305+AE407</f>
        <v>-0.8075658051607222</v>
      </c>
      <c r="AF447" s="216">
        <f>AF305+AF407</f>
        <v>-1.059479225190007</v>
      </c>
      <c r="AG447" s="216">
        <f>AG305+AG407</f>
        <v>-1.1581797116320045</v>
      </c>
      <c r="AH447" s="216">
        <f>AH305+AH407</f>
        <v>-1.043120776040179</v>
      </c>
      <c r="AI447" s="216">
        <f>AI305+AI407</f>
        <v>-1.3090074271428984</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33"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7"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33"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7"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33" t="inlineStr">
        <is>
          <t>HHSurvey dec_k_p1, dec_k_p99 x consumption adjustment (legacy row 2773, fixes D20, D21)</t>
        </is>
      </c>
      <c r="K454" s="9" t="str">
        <f>LOWER(CtryCode)&amp;".distn."&amp;$A454&amp;IF($B454="","","."&amp;$B454)&amp;IF($C454="","",".dec."&amp;$C454)&amp;"."&amp;K$5</f>
        <v>egy.distn.dbr.p1.1</v>
      </c>
      <c r="M454" s="125">
        <f>INDEX(DHHVal,M$453,MATCH("dec_"&amp;M$1&amp;"_p1",DHHVar,0))*M$320</f>
        <v>18991.80326318642</v>
      </c>
      <c r="N454" s="125">
        <f>INDEX(DHHVal,N$453,MATCH("dec_"&amp;N$1&amp;"_p1",DHHVar,0))*N$320</f>
        <v>42151.607744880464</v>
      </c>
      <c r="O454" s="125">
        <f>INDEX(DHHVal,O$453,MATCH("dec_"&amp;O$1&amp;"_p1",DHHVar,0))*O$320</f>
        <v>50909.921442911706</v>
      </c>
      <c r="P454" s="125">
        <f>INDEX(DHHVal,P$453,MATCH("dec_"&amp;P$1&amp;"_p1",DHHVar,0))*P$320</f>
        <v>56489.578367686285</v>
      </c>
      <c r="Q454" s="125">
        <f>INDEX(DHHVal,Q$453,MATCH("dec_"&amp;Q$1&amp;"_p1",DHHVar,0))*Q$320</f>
        <v>67025.91237817849</v>
      </c>
      <c r="R454" s="125">
        <f>INDEX(DHHVal,R$453,MATCH("dec_"&amp;R$1&amp;"_p1",DHHVar,0))*R$320</f>
        <v>72497.96618936413</v>
      </c>
      <c r="S454" s="125">
        <f>INDEX(DHHVal,S$453,MATCH("dec_"&amp;S$1&amp;"_p1",DHHVar,0))*S$320</f>
        <v>80794.76120522029</v>
      </c>
      <c r="T454" s="125">
        <f>INDEX(DHHVal,T$453,MATCH("dec_"&amp;T$1&amp;"_p1",DHHVar,0))*T$320</f>
        <v>91024.66535375502</v>
      </c>
      <c r="U454" s="125">
        <f>INDEX(DHHVal,U$453,MATCH("dec_"&amp;U$1&amp;"_p1",DHHVar,0))*U$320</f>
        <v>111988.07552579686</v>
      </c>
      <c r="V454" s="125">
        <f>INDEX(DHHVal,V$453,MATCH("dec_"&amp;V$1&amp;"_p1",DHHVar,0))*V$320</f>
        <v>129621.52215844457</v>
      </c>
      <c r="W454" s="207" t="str">
        <f>IF(X$5=K$5,SUM(Y454:AI454)-SUM(L454:V454),"")</f>
        <v/>
      </c>
      <c r="X454" s="9" t="str">
        <f>LOWER(CtryCode)&amp;".distn."&amp;$A454&amp;IF($B454="","","."&amp;$B454)&amp;IF($C454="","",".dec."&amp;$C454)&amp;"."&amp;X$5</f>
        <v>egy.distn.dbr.p1.2</v>
      </c>
      <c r="Z454" s="125">
        <f>INDEX(DHHVal,Z$453,MATCH("dec_"&amp;Z$1&amp;"_p1",DHHVar,0))*Z$320</f>
        <v>18991.80326318642</v>
      </c>
      <c r="AA454" s="125">
        <f>INDEX(DHHVal,AA$453,MATCH("dec_"&amp;AA$1&amp;"_p1",DHHVar,0))*AA$320</f>
        <v>42151.607744880464</v>
      </c>
      <c r="AB454" s="125">
        <f>INDEX(DHHVal,AB$453,MATCH("dec_"&amp;AB$1&amp;"_p1",DHHVar,0))*AB$320</f>
        <v>50909.921442911706</v>
      </c>
      <c r="AC454" s="125">
        <f>INDEX(DHHVal,AC$453,MATCH("dec_"&amp;AC$1&amp;"_p1",DHHVar,0))*AC$320</f>
        <v>56489.578367686285</v>
      </c>
      <c r="AD454" s="125">
        <f>INDEX(DHHVal,AD$453,MATCH("dec_"&amp;AD$1&amp;"_p1",DHHVar,0))*AD$320</f>
        <v>67025.91237817849</v>
      </c>
      <c r="AE454" s="125">
        <f>INDEX(DHHVal,AE$453,MATCH("dec_"&amp;AE$1&amp;"_p1",DHHVar,0))*AE$320</f>
        <v>72497.96618936413</v>
      </c>
      <c r="AF454" s="125">
        <f>INDEX(DHHVal,AF$453,MATCH("dec_"&amp;AF$1&amp;"_p1",DHHVar,0))*AF$320</f>
        <v>80794.76120522029</v>
      </c>
      <c r="AG454" s="125">
        <f>INDEX(DHHVal,AG$453,MATCH("dec_"&amp;AG$1&amp;"_p1",DHHVar,0))*AG$320</f>
        <v>91024.66535375502</v>
      </c>
      <c r="AH454" s="125">
        <f>INDEX(DHHVal,AH$453,MATCH("dec_"&amp;AH$1&amp;"_p1",DHHVar,0))*AH$320</f>
        <v>111988.07552579686</v>
      </c>
      <c r="AI454" s="125">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33" t="inlineStr">
        <is>
          <t>HHSurvey dec_k_p1, dec_k_p99 x consumption adjustment (legacy row 2773, fixes D20, D21)</t>
        </is>
      </c>
      <c r="K455" s="9" t="str">
        <f>LOWER(CtryCode)&amp;".distn."&amp;$A455&amp;IF($B455="","","."&amp;$B455)&amp;IF($C455="","",".dec."&amp;$C455)&amp;"."&amp;K$5</f>
        <v>egy.distn.dbr.p99.1</v>
      </c>
      <c r="M455" s="125">
        <f>INDEX(DHHVal,M$453,MATCH("dec_"&amp;M$1&amp;"_p99",DHHVar,0))*M$320</f>
        <v>40713.61189811929</v>
      </c>
      <c r="N455" s="125">
        <f>INDEX(DHHVal,N$453,MATCH("dec_"&amp;N$1&amp;"_p99",DHHVar,0))*N$320</f>
        <v>51902.541374058164</v>
      </c>
      <c r="O455" s="125">
        <f>INDEX(DHHVal,O$453,MATCH("dec_"&amp;O$1&amp;"_p99",DHHVar,0))*O$320</f>
        <v>58956.38762284897</v>
      </c>
      <c r="P455" s="125">
        <f>INDEX(DHHVal,P$453,MATCH("dec_"&amp;P$1&amp;"_p99",DHHVar,0))*P$320</f>
        <v>59095.79805351633</v>
      </c>
      <c r="Q455" s="125">
        <f>INDEX(DHHVal,Q$453,MATCH("dec_"&amp;Q$1&amp;"_p99",DHHVar,0))*Q$320</f>
        <v>74753.49635125375</v>
      </c>
      <c r="R455" s="125">
        <f>INDEX(DHHVal,R$453,MATCH("dec_"&amp;R$1&amp;"_p99",DHHVar,0))*R$320</f>
        <v>80568.35777458348</v>
      </c>
      <c r="S455" s="125">
        <f>INDEX(DHHVal,S$453,MATCH("dec_"&amp;S$1&amp;"_p99",DHHVar,0))*S$320</f>
        <v>88347.97500443681</v>
      </c>
      <c r="T455" s="125">
        <f>INDEX(DHHVal,T$453,MATCH("dec_"&amp;T$1&amp;"_p99",DHHVar,0))*T$320</f>
        <v>104374.0671210271</v>
      </c>
      <c r="U455" s="125">
        <f>INDEX(DHHVal,U$453,MATCH("dec_"&amp;U$1&amp;"_p99",DHHVar,0))*U$320</f>
        <v>126907.586186308</v>
      </c>
      <c r="V455" s="125">
        <f>INDEX(DHHVal,V$453,MATCH("dec_"&amp;V$1&amp;"_p99",DHHVar,0))*V$320</f>
        <v>358707.50114085124</v>
      </c>
      <c r="W455" s="207" t="str">
        <f>IF(X$5=K$5,SUM(Y455:AI455)-SUM(L455:V455),"")</f>
        <v/>
      </c>
      <c r="X455" s="9" t="str">
        <f>LOWER(CtryCode)&amp;".distn."&amp;$A455&amp;IF($B455="","","."&amp;$B455)&amp;IF($C455="","",".dec."&amp;$C455)&amp;"."&amp;X$5</f>
        <v>egy.distn.dbr.p99.2</v>
      </c>
      <c r="Z455" s="125">
        <f>INDEX(DHHVal,Z$453,MATCH("dec_"&amp;Z$1&amp;"_p99",DHHVar,0))*Z$320</f>
        <v>40713.61189811929</v>
      </c>
      <c r="AA455" s="125">
        <f>INDEX(DHHVal,AA$453,MATCH("dec_"&amp;AA$1&amp;"_p99",DHHVar,0))*AA$320</f>
        <v>51902.541374058164</v>
      </c>
      <c r="AB455" s="125">
        <f>INDEX(DHHVal,AB$453,MATCH("dec_"&amp;AB$1&amp;"_p99",DHHVar,0))*AB$320</f>
        <v>58956.38762284897</v>
      </c>
      <c r="AC455" s="125">
        <f>INDEX(DHHVal,AC$453,MATCH("dec_"&amp;AC$1&amp;"_p99",DHHVar,0))*AC$320</f>
        <v>59095.79805351633</v>
      </c>
      <c r="AD455" s="125">
        <f>INDEX(DHHVal,AD$453,MATCH("dec_"&amp;AD$1&amp;"_p99",DHHVar,0))*AD$320</f>
        <v>74753.49635125375</v>
      </c>
      <c r="AE455" s="125">
        <f>INDEX(DHHVal,AE$453,MATCH("dec_"&amp;AE$1&amp;"_p99",DHHVar,0))*AE$320</f>
        <v>80568.35777458348</v>
      </c>
      <c r="AF455" s="125">
        <f>INDEX(DHHVal,AF$453,MATCH("dec_"&amp;AF$1&amp;"_p99",DHHVar,0))*AF$320</f>
        <v>88347.97500443681</v>
      </c>
      <c r="AG455" s="125">
        <f>INDEX(DHHVal,AG$453,MATCH("dec_"&amp;AG$1&amp;"_p99",DHHVar,0))*AG$320</f>
        <v>104374.0671210271</v>
      </c>
      <c r="AH455" s="125">
        <f>INDEX(DHHVal,AH$453,MATCH("dec_"&amp;AH$1&amp;"_p99",DHHVar,0))*AH$320</f>
        <v>126907.586186308</v>
      </c>
      <c r="AI455" s="125">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33"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7"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33" t="inlineStr">
        <is>
          <t>sum of section 5</t>
        </is>
      </c>
      <c r="K459" s="9" t="str">
        <f>LOWER(CtryCode)&amp;".distn."&amp;$A459&amp;IF($B459="","","."&amp;$B459)&amp;IF($C459="","",".dec."&amp;$C459)&amp;"."&amp;K$5</f>
        <v>egy.distn.bshg.fos.dec.ove.1</v>
      </c>
      <c r="L459" s="208">
        <f>SUM(L185:L192)</f>
        <v>6.281040207203888</v>
      </c>
      <c r="M459" s="203">
        <f>SUM(M185:M192)</f>
        <v>7.07705305062721</v>
      </c>
      <c r="N459" s="203">
        <f>SUM(N185:N192)</f>
        <v>6.483761198347688</v>
      </c>
      <c r="O459" s="203">
        <f>SUM(O185:O192)</f>
        <v>6.333028671538207</v>
      </c>
      <c r="P459" s="203">
        <f>SUM(P185:P192)</f>
        <v>5.894366340865266</v>
      </c>
      <c r="Q459" s="203">
        <f>SUM(Q185:Q192)</f>
        <v>5.907717543880072</v>
      </c>
      <c r="R459" s="203">
        <f>SUM(R185:R192)</f>
        <v>5.874487357111757</v>
      </c>
      <c r="S459" s="203">
        <f>SUM(S185:S192)</f>
        <v>6.159510789005708</v>
      </c>
      <c r="T459" s="203">
        <f>SUM(T185:T192)</f>
        <v>6.268399898101703</v>
      </c>
      <c r="U459" s="203">
        <f>SUM(U185:U192)</f>
        <v>6.03393277430396</v>
      </c>
      <c r="V459" s="203">
        <f>SUM(V185:V192)</f>
        <v>6.393923663607257</v>
      </c>
      <c r="W459" s="207" t="str">
        <f>IF(X$5=K$5,SUM(Y459:AI459)-SUM(L459:V459),"")</f>
        <v/>
      </c>
      <c r="X459" s="9" t="str">
        <f>LOWER(CtryCode)&amp;".distn."&amp;$A459&amp;IF($B459="","","."&amp;$B459)&amp;IF($C459="","",".dec."&amp;$C459)&amp;"."&amp;X$5</f>
        <v>egy.distn.bshg.fos.dec.ove.2</v>
      </c>
      <c r="Y459" s="208">
        <f>SUM(Y185:Y192)</f>
        <v>6.281040207203888</v>
      </c>
      <c r="Z459" s="203">
        <f>SUM(Z185:Z192)</f>
        <v>7.07705305062721</v>
      </c>
      <c r="AA459" s="203">
        <f>SUM(AA185:AA192)</f>
        <v>6.483761198347688</v>
      </c>
      <c r="AB459" s="203">
        <f>SUM(AB185:AB192)</f>
        <v>6.333028671538207</v>
      </c>
      <c r="AC459" s="203">
        <f>SUM(AC185:AC192)</f>
        <v>5.894366340865266</v>
      </c>
      <c r="AD459" s="203">
        <f>SUM(AD185:AD192)</f>
        <v>5.907717543880072</v>
      </c>
      <c r="AE459" s="203">
        <f>SUM(AE185:AE192)</f>
        <v>5.874487357111757</v>
      </c>
      <c r="AF459" s="203">
        <f>SUM(AF185:AF192)</f>
        <v>6.159510789005708</v>
      </c>
      <c r="AG459" s="203">
        <f>SUM(AG185:AG192)</f>
        <v>6.268399898101703</v>
      </c>
      <c r="AH459" s="203">
        <f>SUM(AH185:AH192)</f>
        <v>6.03393277430396</v>
      </c>
      <c r="AI459" s="203">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33" t="inlineStr">
        <is>
          <t>sum of section 5</t>
        </is>
      </c>
      <c r="K460" s="9" t="str">
        <f>LOWER(CtryCode)&amp;".distn."&amp;$A460&amp;IF($B460="","","."&amp;$B460)&amp;IF($C460="","",".dec."&amp;$C460)&amp;"."&amp;K$5</f>
        <v>egy.distn.bshg.bio.dec.ove.1</v>
      </c>
      <c r="L460" s="208">
        <f>SUM(L207:L209)</f>
        <v>0.004293514825328486</v>
      </c>
      <c r="M460" s="203">
        <f>SUM(M207:M209)</f>
        <v>0.009563165794992308</v>
      </c>
      <c r="N460" s="203">
        <f>SUM(N207:N209)</f>
        <v>0.005486820503515343</v>
      </c>
      <c r="O460" s="203">
        <f>SUM(O207:O209)</f>
        <v>0.005895832453747511</v>
      </c>
      <c r="P460" s="203">
        <f>SUM(P207:P209)</f>
        <v>0.0040290201781891305</v>
      </c>
      <c r="Q460" s="203">
        <f>SUM(Q207:Q209)</f>
        <v>0.003100777918292436</v>
      </c>
      <c r="R460" s="203">
        <f>SUM(R207:R209)</f>
        <v>0.002949005128782676</v>
      </c>
      <c r="S460" s="203">
        <f>SUM(S207:S209)</f>
        <v>0.0032763069020476827</v>
      </c>
      <c r="T460" s="203">
        <f>SUM(T207:T209)</f>
        <v>0.0033088776833820593</v>
      </c>
      <c r="U460" s="203">
        <f>SUM(U207:U209)</f>
        <v>0.0024761021803359194</v>
      </c>
      <c r="V460" s="203">
        <f>SUM(V207:V209)</f>
        <v>0.0012573789156690312</v>
      </c>
      <c r="W460" s="207" t="str">
        <f>IF(X$5=K$5,SUM(Y460:AI460)-SUM(L460:V460),"")</f>
        <v/>
      </c>
      <c r="X460" s="9" t="str">
        <f>LOWER(CtryCode)&amp;".distn."&amp;$A460&amp;IF($B460="","","."&amp;$B460)&amp;IF($C460="","",".dec."&amp;$C460)&amp;"."&amp;X$5</f>
        <v>egy.distn.bshg.bio.dec.ove.2</v>
      </c>
      <c r="Y460" s="208">
        <f>SUM(Y207:Y209)</f>
        <v>0.004293514825328486</v>
      </c>
      <c r="Z460" s="203">
        <f>SUM(Z207:Z209)</f>
        <v>0.009563165794992308</v>
      </c>
      <c r="AA460" s="203">
        <f>SUM(AA207:AA209)</f>
        <v>0.005486820503515343</v>
      </c>
      <c r="AB460" s="203">
        <f>SUM(AB207:AB209)</f>
        <v>0.005895832453747511</v>
      </c>
      <c r="AC460" s="203">
        <f>SUM(AC207:AC209)</f>
        <v>0.0040290201781891305</v>
      </c>
      <c r="AD460" s="203">
        <f>SUM(AD207:AD209)</f>
        <v>0.003100777918292436</v>
      </c>
      <c r="AE460" s="203">
        <f>SUM(AE207:AE209)</f>
        <v>0.002949005128782676</v>
      </c>
      <c r="AF460" s="203">
        <f>SUM(AF207:AF209)</f>
        <v>0.0032763069020476827</v>
      </c>
      <c r="AG460" s="203">
        <f>SUM(AG207:AG209)</f>
        <v>0.0033088776833820593</v>
      </c>
      <c r="AH460" s="203">
        <f>SUM(AH207:AH209)</f>
        <v>0.0024761021803359194</v>
      </c>
      <c r="AI460" s="203">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33" t="inlineStr">
        <is>
          <t>sum of section 5</t>
        </is>
      </c>
      <c r="K461" s="9" t="str">
        <f>LOWER(CtryCode)&amp;".distn."&amp;$A461&amp;IF($B461="","","."&amp;$B461)&amp;IF($C461="","",".dec."&amp;$C461)&amp;"."&amp;K$5</f>
        <v>egy.distn.bshg.nfu.dec.ove.1</v>
      </c>
      <c r="L461" s="208">
        <f>SUM(L193:L206)</f>
        <v>99.34300329351504</v>
      </c>
      <c r="M461" s="203">
        <f>SUM(M193:M206)</f>
        <v>99.39477702658704</v>
      </c>
      <c r="N461" s="203">
        <f>SUM(N193:N206)</f>
        <v>103.466048725954</v>
      </c>
      <c r="O461" s="203">
        <f>SUM(O193:O206)</f>
        <v>100.63000411634958</v>
      </c>
      <c r="P461" s="203">
        <f>SUM(P193:P206)</f>
        <v>99.79832304809257</v>
      </c>
      <c r="Q461" s="203">
        <f>SUM(Q193:Q206)</f>
        <v>101.25822228790005</v>
      </c>
      <c r="R461" s="203">
        <f>SUM(R193:R206)</f>
        <v>106.04830995616607</v>
      </c>
      <c r="S461" s="203">
        <f>SUM(S193:S206)</f>
        <v>101.1609697481835</v>
      </c>
      <c r="T461" s="203">
        <f>SUM(T193:T206)</f>
        <v>104.7307463055343</v>
      </c>
      <c r="U461" s="203">
        <f>SUM(U193:U206)</f>
        <v>105.70014333974275</v>
      </c>
      <c r="V461" s="203">
        <f>SUM(V193:V206)</f>
        <v>100.8153070274679</v>
      </c>
      <c r="W461" s="207" t="str">
        <f>IF(X$5=K$5,SUM(Y461:AI461)-SUM(L461:V461),"")</f>
        <v/>
      </c>
      <c r="X461" s="9" t="str">
        <f>LOWER(CtryCode)&amp;".distn."&amp;$A461&amp;IF($B461="","","."&amp;$B461)&amp;IF($C461="","",".dec."&amp;$C461)&amp;"."&amp;X$5</f>
        <v>egy.distn.bshg.nfu.dec.ove.2</v>
      </c>
      <c r="Y461" s="208">
        <f>SUM(Y193:Y206)</f>
        <v>99.34300329351504</v>
      </c>
      <c r="Z461" s="203">
        <f>SUM(Z193:Z206)</f>
        <v>99.39477702658704</v>
      </c>
      <c r="AA461" s="203">
        <f>SUM(AA193:AA206)</f>
        <v>103.466048725954</v>
      </c>
      <c r="AB461" s="203">
        <f>SUM(AB193:AB206)</f>
        <v>100.63000411634958</v>
      </c>
      <c r="AC461" s="203">
        <f>SUM(AC193:AC206)</f>
        <v>99.79832304809257</v>
      </c>
      <c r="AD461" s="203">
        <f>SUM(AD193:AD206)</f>
        <v>101.25822228790005</v>
      </c>
      <c r="AE461" s="203">
        <f>SUM(AE193:AE206)</f>
        <v>106.04830995616607</v>
      </c>
      <c r="AF461" s="203">
        <f>SUM(AF193:AF206)</f>
        <v>101.1609697481835</v>
      </c>
      <c r="AG461" s="203">
        <f>SUM(AG193:AG206)</f>
        <v>104.7307463055343</v>
      </c>
      <c r="AH461" s="203">
        <f>SUM(AH193:AH206)</f>
        <v>105.70014333974275</v>
      </c>
      <c r="AI461" s="203">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33" t="inlineStr">
        <is>
          <t>legacy D.II</t>
        </is>
      </c>
      <c r="K464" s="9" t="str">
        <f>LOWER(CtryCode)&amp;".distn."&amp;$A464&amp;IF($B464="","","."&amp;$B464)&amp;IF($C464="","",".dec."&amp;$C464)&amp;"."&amp;K$5</f>
        <v>egy.distn.def.coa.dec.urb.1</v>
      </c>
      <c r="L464" s="208">
        <f>-L157*L212*L$271</f>
        <v>-0.0</v>
      </c>
      <c r="M464" s="203">
        <f>-M157*M212*M$271</f>
        <v>-0.0</v>
      </c>
      <c r="N464" s="203">
        <f>-N157*N212*N$271</f>
        <v>-0.0</v>
      </c>
      <c r="O464" s="203">
        <f>-O157*O212*O$271</f>
        <v>-0.0</v>
      </c>
      <c r="P464" s="203">
        <f>-P157*P212*P$271</f>
        <v>-0.0</v>
      </c>
      <c r="Q464" s="203">
        <f>-Q157*Q212*Q$271</f>
        <v>-0.0</v>
      </c>
      <c r="R464" s="203">
        <f>-R157*R212*R$271</f>
        <v>-0.0</v>
      </c>
      <c r="S464" s="203">
        <f>-S157*S212*S$271</f>
        <v>-0.0</v>
      </c>
      <c r="T464" s="203">
        <f>-T157*T212*T$271</f>
        <v>-0.0</v>
      </c>
      <c r="U464" s="203">
        <f>-U157*U212*U$271</f>
        <v>-0.0</v>
      </c>
      <c r="V464" s="203">
        <f>-V157*V212*V$271</f>
        <v>-0.0</v>
      </c>
      <c r="W464" s="207" t="str">
        <f>IF(X$5=K$5,SUM(Y464:AI464)-SUM(L464:V464),"")</f>
        <v/>
      </c>
      <c r="X464" s="9" t="str">
        <f>LOWER(CtryCode)&amp;".distn."&amp;$A464&amp;IF($B464="","","."&amp;$B464)&amp;IF($C464="","",".dec."&amp;$C464)&amp;"."&amp;X$5</f>
        <v>egy.distn.def.coa.dec.urb.2</v>
      </c>
      <c r="Y464" s="208">
        <f>-Y157*Y212*Y$271</f>
        <v>-0.0</v>
      </c>
      <c r="Z464" s="203">
        <f>-Z157*Z212*Z$271</f>
        <v>-0.0</v>
      </c>
      <c r="AA464" s="203">
        <f>-AA157*AA212*AA$271</f>
        <v>-0.0</v>
      </c>
      <c r="AB464" s="203">
        <f>-AB157*AB212*AB$271</f>
        <v>-0.0</v>
      </c>
      <c r="AC464" s="203">
        <f>-AC157*AC212*AC$271</f>
        <v>-0.0</v>
      </c>
      <c r="AD464" s="203">
        <f>-AD157*AD212*AD$271</f>
        <v>-0.0</v>
      </c>
      <c r="AE464" s="203">
        <f>-AE157*AE212*AE$271</f>
        <v>-0.0</v>
      </c>
      <c r="AF464" s="203">
        <f>-AF157*AF212*AF$271</f>
        <v>-0.0</v>
      </c>
      <c r="AG464" s="203">
        <f>-AG157*AG212*AG$271</f>
        <v>-0.0</v>
      </c>
      <c r="AH464" s="203">
        <f>-AH157*AH212*AH$271</f>
        <v>-0.0</v>
      </c>
      <c r="AI464" s="203">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33" t="inlineStr">
        <is>
          <t>legacy D.II</t>
        </is>
      </c>
      <c r="K465" s="9" t="str">
        <f>LOWER(CtryCode)&amp;".distn."&amp;$A465&amp;IF($B465="","","."&amp;$B465)&amp;IF($C465="","",".dec."&amp;$C465)&amp;"."&amp;K$5</f>
        <v>egy.distn.def.ely.dec.urb.1</v>
      </c>
      <c r="L465" s="208">
        <f>-L158*L213*L$271</f>
        <v>-0.0</v>
      </c>
      <c r="M465" s="203">
        <f>-M158*M213*M$271</f>
        <v>-0.0</v>
      </c>
      <c r="N465" s="203">
        <f>-N158*N213*N$271</f>
        <v>-0.0</v>
      </c>
      <c r="O465" s="203">
        <f>-O158*O213*O$271</f>
        <v>-0.0</v>
      </c>
      <c r="P465" s="203">
        <f>-P158*P213*P$271</f>
        <v>-0.0</v>
      </c>
      <c r="Q465" s="203">
        <f>-Q158*Q213*Q$271</f>
        <v>-0.0</v>
      </c>
      <c r="R465" s="203">
        <f>-R158*R213*R$271</f>
        <v>-0.0</v>
      </c>
      <c r="S465" s="203">
        <f>-S158*S213*S$271</f>
        <v>-0.0</v>
      </c>
      <c r="T465" s="203">
        <f>-T158*T213*T$271</f>
        <v>-0.0</v>
      </c>
      <c r="U465" s="203">
        <f>-U158*U213*U$271</f>
        <v>-0.0</v>
      </c>
      <c r="V465" s="203">
        <f>-V158*V213*V$271</f>
        <v>-0.0</v>
      </c>
      <c r="W465" s="207" t="str">
        <f>IF(X$5=K$5,SUM(Y465:AI465)-SUM(L465:V465),"")</f>
        <v/>
      </c>
      <c r="X465" s="9" t="str">
        <f>LOWER(CtryCode)&amp;".distn."&amp;$A465&amp;IF($B465="","","."&amp;$B465)&amp;IF($C465="","",".dec."&amp;$C465)&amp;"."&amp;X$5</f>
        <v>egy.distn.def.ely.dec.urb.2</v>
      </c>
      <c r="Y465" s="208">
        <f>-Y158*Y213*Y$271</f>
        <v>-0.594949706851691</v>
      </c>
      <c r="Z465" s="203">
        <f>-Z158*Z213*Z$271</f>
        <v>-0.5821895958513478</v>
      </c>
      <c r="AA465" s="203">
        <f>-AA158*AA213*AA$271</f>
        <v>-0.5307934021640642</v>
      </c>
      <c r="AB465" s="203">
        <f>-AB158*AB213*AB$271</f>
        <v>-0.5637272203747299</v>
      </c>
      <c r="AC465" s="203">
        <f>-AC158*AC213*AC$271</f>
        <v>-0.5348669412080543</v>
      </c>
      <c r="AD465" s="203">
        <f>-AD158*AD213*AD$271</f>
        <v>-0.515140376788046</v>
      </c>
      <c r="AE465" s="203">
        <f>-AE158*AE213*AE$271</f>
        <v>-0.5135758414102736</v>
      </c>
      <c r="AF465" s="203">
        <f>-AF158*AF213*AF$271</f>
        <v>-0.5706942730263815</v>
      </c>
      <c r="AG465" s="203">
        <f>-AG158*AG213*AG$271</f>
        <v>-0.5551882216003262</v>
      </c>
      <c r="AH465" s="203">
        <f>-AH158*AH213*AH$271</f>
        <v>-0.5537871016567358</v>
      </c>
      <c r="AI465" s="203">
        <f>-AI158*AI213*AI$271</f>
        <v>-0.6076786515811246</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33" t="inlineStr">
        <is>
          <t>legacy D.II</t>
        </is>
      </c>
      <c r="K466" s="9" t="str">
        <f>LOWER(CtryCode)&amp;".distn."&amp;$A466&amp;IF($B466="","","."&amp;$B466)&amp;IF($C466="","",".dec."&amp;$C466)&amp;"."&amp;K$5</f>
        <v>egy.distn.def.nga.dec.urb.1</v>
      </c>
      <c r="L466" s="208">
        <f>-L159*L214*L$271</f>
        <v>-0.0</v>
      </c>
      <c r="M466" s="203">
        <f>-M159*M214*M$271</f>
        <v>-0.0</v>
      </c>
      <c r="N466" s="203">
        <f>-N159*N214*N$271</f>
        <v>-0.0</v>
      </c>
      <c r="O466" s="203">
        <f>-O159*O214*O$271</f>
        <v>-0.0</v>
      </c>
      <c r="P466" s="203">
        <f>-P159*P214*P$271</f>
        <v>-0.0</v>
      </c>
      <c r="Q466" s="203">
        <f>-Q159*Q214*Q$271</f>
        <v>-0.0</v>
      </c>
      <c r="R466" s="203">
        <f>-R159*R214*R$271</f>
        <v>-0.0</v>
      </c>
      <c r="S466" s="203">
        <f>-S159*S214*S$271</f>
        <v>-0.0</v>
      </c>
      <c r="T466" s="203">
        <f>-T159*T214*T$271</f>
        <v>-0.0</v>
      </c>
      <c r="U466" s="203">
        <f>-U159*U214*U$271</f>
        <v>-0.0</v>
      </c>
      <c r="V466" s="203">
        <f>-V159*V214*V$271</f>
        <v>-0.0</v>
      </c>
      <c r="W466" s="207" t="str">
        <f>IF(X$5=K$5,SUM(Y466:AI466)-SUM(L466:V466),"")</f>
        <v/>
      </c>
      <c r="X466" s="9" t="str">
        <f>LOWER(CtryCode)&amp;".distn."&amp;$A466&amp;IF($B466="","","."&amp;$B466)&amp;IF($C466="","",".dec."&amp;$C466)&amp;"."&amp;X$5</f>
        <v>egy.distn.def.nga.dec.urb.2</v>
      </c>
      <c r="Y466" s="208">
        <f>-Y159*Y214*Y$271</f>
        <v>-0.2593128064714637</v>
      </c>
      <c r="Z466" s="203">
        <f>-Z159*Z214*Z$271</f>
        <v>-0.23408250464530755</v>
      </c>
      <c r="AA466" s="203">
        <f>-AA159*AA214*AA$271</f>
        <v>-0.22076854786612288</v>
      </c>
      <c r="AB466" s="203">
        <f>-AB159*AB214*AB$271</f>
        <v>-0.22526087702782027</v>
      </c>
      <c r="AC466" s="203">
        <f>-AC159*AC214*AC$271</f>
        <v>-0.22231224635742833</v>
      </c>
      <c r="AD466" s="203">
        <f>-AD159*AD214*AD$271</f>
        <v>-0.2539206368189761</v>
      </c>
      <c r="AE466" s="203">
        <f>-AE159*AE214*AE$271</f>
        <v>-0.24638344895705705</v>
      </c>
      <c r="AF466" s="203">
        <f>-AF159*AF214*AF$271</f>
        <v>-0.2826665921831863</v>
      </c>
      <c r="AG466" s="203">
        <f>-AG159*AG214*AG$271</f>
        <v>-0.2758093344204997</v>
      </c>
      <c r="AH466" s="203">
        <f>-AH159*AH214*AH$271</f>
        <v>-0.2887958589716405</v>
      </c>
      <c r="AI466" s="203">
        <f>-AI159*AI214*AI$271</f>
        <v>-0.2957419521884018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33" t="inlineStr">
        <is>
          <t>legacy D.II</t>
        </is>
      </c>
      <c r="K467" s="9" t="str">
        <f>LOWER(CtryCode)&amp;".distn."&amp;$A467&amp;IF($B467="","","."&amp;$B467)&amp;IF($C467="","",".dec."&amp;$C467)&amp;"."&amp;K$5</f>
        <v>egy.distn.def.oil.dec.urb.1</v>
      </c>
      <c r="L467" s="208">
        <f>-L160*L215*L$271</f>
        <v>-0.0</v>
      </c>
      <c r="M467" s="203">
        <f>-M160*M215*M$271</f>
        <v>-0.0</v>
      </c>
      <c r="N467" s="203">
        <f>-N160*N215*N$271</f>
        <v>-0.0</v>
      </c>
      <c r="O467" s="203">
        <f>-O160*O215*O$271</f>
        <v>-0.0</v>
      </c>
      <c r="P467" s="203">
        <f>-P160*P215*P$271</f>
        <v>-0.0</v>
      </c>
      <c r="Q467" s="203">
        <f>-Q160*Q215*Q$271</f>
        <v>-0.0</v>
      </c>
      <c r="R467" s="203">
        <f>-R160*R215*R$271</f>
        <v>-0.0</v>
      </c>
      <c r="S467" s="203">
        <f>-S160*S215*S$271</f>
        <v>-0.0</v>
      </c>
      <c r="T467" s="203">
        <f>-T160*T215*T$271</f>
        <v>-0.0</v>
      </c>
      <c r="U467" s="203">
        <f>-U160*U215*U$271</f>
        <v>-0.0</v>
      </c>
      <c r="V467" s="203">
        <f>-V160*V215*V$271</f>
        <v>-0.0</v>
      </c>
      <c r="W467" s="207" t="str">
        <f>IF(X$5=K$5,SUM(Y467:AI467)-SUM(L467:V467),"")</f>
        <v/>
      </c>
      <c r="X467" s="9" t="str">
        <f>LOWER(CtryCode)&amp;".distn."&amp;$A467&amp;IF($B467="","","."&amp;$B467)&amp;IF($C467="","",".dec."&amp;$C467)&amp;"."&amp;X$5</f>
        <v>egy.distn.def.oil.dec.urb.2</v>
      </c>
      <c r="Y467" s="208">
        <f>-Y160*Y215*Y$271</f>
        <v>-0.03671184283642967</v>
      </c>
      <c r="Z467" s="203">
        <f>-Z160*Z215*Z$271</f>
        <v>-0.027475974213865276</v>
      </c>
      <c r="AA467" s="203">
        <f>-AA160*AA215*AA$271</f>
        <v>-0.029380883665555864</v>
      </c>
      <c r="AB467" s="203">
        <f>-AB160*AB215*AB$271</f>
        <v>-0.02489767122245252</v>
      </c>
      <c r="AC467" s="203">
        <f>-AC160*AC215*AC$271</f>
        <v>-0.03531874405393674</v>
      </c>
      <c r="AD467" s="203">
        <f>-AD160*AD215*AD$271</f>
        <v>-0.04174414046081555</v>
      </c>
      <c r="AE467" s="203">
        <f>-AE160*AE215*AE$271</f>
        <v>-0.0300766450366595</v>
      </c>
      <c r="AF467" s="203">
        <f>-AF160*AF215*AF$271</f>
        <v>-0.04840832836528296</v>
      </c>
      <c r="AG467" s="203">
        <f>-AG160*AG215*AG$271</f>
        <v>-0.0434025662943492</v>
      </c>
      <c r="AH467" s="203">
        <f>-AH160*AH215*AH$271</f>
        <v>-0.04860029474349859</v>
      </c>
      <c r="AI467" s="203">
        <f>-AI160*AI215*AI$271</f>
        <v>-0.05310908507442839</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33" t="inlineStr">
        <is>
          <t>legacy D.II</t>
        </is>
      </c>
      <c r="K468" s="9" t="str">
        <f>LOWER(CtryCode)&amp;".distn."&amp;$A468&amp;IF($B468="","","."&amp;$B468)&amp;IF($C468="","",".dec."&amp;$C468)&amp;"."&amp;K$5</f>
        <v>egy.distn.def.gso.dec.urb.1</v>
      </c>
      <c r="L468" s="208">
        <f>-L161*L216*L$271</f>
        <v>-0.0</v>
      </c>
      <c r="M468" s="203">
        <f>-M161*M216*M$271</f>
        <v>-0.0</v>
      </c>
      <c r="N468" s="203">
        <f>-N161*N216*N$271</f>
        <v>-0.0</v>
      </c>
      <c r="O468" s="203">
        <f>-O161*O216*O$271</f>
        <v>-0.0</v>
      </c>
      <c r="P468" s="203">
        <f>-P161*P216*P$271</f>
        <v>-0.0</v>
      </c>
      <c r="Q468" s="203">
        <f>-Q161*Q216*Q$271</f>
        <v>-0.0</v>
      </c>
      <c r="R468" s="203">
        <f>-R161*R216*R$271</f>
        <v>-0.0</v>
      </c>
      <c r="S468" s="203">
        <f>-S161*S216*S$271</f>
        <v>-0.0</v>
      </c>
      <c r="T468" s="203">
        <f>-T161*T216*T$271</f>
        <v>-0.0</v>
      </c>
      <c r="U468" s="203">
        <f>-U161*U216*U$271</f>
        <v>-0.0</v>
      </c>
      <c r="V468" s="203">
        <f>-V161*V216*V$271</f>
        <v>-0.0</v>
      </c>
      <c r="W468" s="207" t="str">
        <f>IF(X$5=K$5,SUM(Y468:AI468)-SUM(L468:V468),"")</f>
        <v/>
      </c>
      <c r="X468" s="9" t="str">
        <f>LOWER(CtryCode)&amp;".distn."&amp;$A468&amp;IF($B468="","","."&amp;$B468)&amp;IF($C468="","",".dec."&amp;$C468)&amp;"."&amp;X$5</f>
        <v>egy.distn.def.gso.dec.urb.2</v>
      </c>
      <c r="Y468" s="208">
        <f>-Y161*Y216*Y$271</f>
        <v>-0.07440471265267383</v>
      </c>
      <c r="Z468" s="203">
        <f>-Z161*Z216*Z$271</f>
        <v>-0.03269860258865289</v>
      </c>
      <c r="AA468" s="203">
        <f>-AA161*AA216*AA$271</f>
        <v>-0.04765119293121483</v>
      </c>
      <c r="AB468" s="203">
        <f>-AB161*AB216*AB$271</f>
        <v>-0.05348334340299179</v>
      </c>
      <c r="AC468" s="203">
        <f>-AC161*AC216*AC$271</f>
        <v>-0.06478329739853439</v>
      </c>
      <c r="AD468" s="203">
        <f>-AD161*AD216*AD$271</f>
        <v>-0.06577086531878519</v>
      </c>
      <c r="AE468" s="203">
        <f>-AE161*AE216*AE$271</f>
        <v>-0.0751706893271526</v>
      </c>
      <c r="AF468" s="203">
        <f>-AF161*AF216*AF$271</f>
        <v>-0.09217922841576746</v>
      </c>
      <c r="AG468" s="203">
        <f>-AG161*AG216*AG$271</f>
        <v>-0.0804725516162951</v>
      </c>
      <c r="AH468" s="203">
        <f>-AH161*AH216*AH$271</f>
        <v>-0.10854046405148235</v>
      </c>
      <c r="AI468" s="203">
        <f>-AI161*AI216*AI$271</f>
        <v>-0.11807626640233387</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33" t="inlineStr">
        <is>
          <t>legacy D.II</t>
        </is>
      </c>
      <c r="K469" s="9" t="str">
        <f>LOWER(CtryCode)&amp;".distn."&amp;$A469&amp;IF($B469="","","."&amp;$B469)&amp;IF($C469="","",".dec."&amp;$C469)&amp;"."&amp;K$5</f>
        <v>egy.distn.def.die.dec.urb.1</v>
      </c>
      <c r="L469" s="208">
        <f>-L162*L217*L$271</f>
        <v>-0.0</v>
      </c>
      <c r="M469" s="203">
        <f>-M162*M217*M$271</f>
        <v>-0.0</v>
      </c>
      <c r="N469" s="203">
        <f>-N162*N217*N$271</f>
        <v>-0.0</v>
      </c>
      <c r="O469" s="203">
        <f>-O162*O217*O$271</f>
        <v>-0.0</v>
      </c>
      <c r="P469" s="203">
        <f>-P162*P217*P$271</f>
        <v>-0.0</v>
      </c>
      <c r="Q469" s="203">
        <f>-Q162*Q217*Q$271</f>
        <v>-0.0</v>
      </c>
      <c r="R469" s="203">
        <f>-R162*R217*R$271</f>
        <v>-0.0</v>
      </c>
      <c r="S469" s="203">
        <f>-S162*S217*S$271</f>
        <v>-0.0</v>
      </c>
      <c r="T469" s="203">
        <f>-T162*T217*T$271</f>
        <v>-0.0</v>
      </c>
      <c r="U469" s="203">
        <f>-U162*U217*U$271</f>
        <v>-0.0</v>
      </c>
      <c r="V469" s="203">
        <f>-V162*V217*V$271</f>
        <v>-0.0</v>
      </c>
      <c r="W469" s="207" t="str">
        <f>IF(X$5=K$5,SUM(Y469:AI469)-SUM(L469:V469),"")</f>
        <v/>
      </c>
      <c r="X469" s="9" t="str">
        <f>LOWER(CtryCode)&amp;".distn."&amp;$A469&amp;IF($B469="","","."&amp;$B469)&amp;IF($C469="","",".dec."&amp;$C469)&amp;"."&amp;X$5</f>
        <v>egy.distn.def.die.dec.urb.2</v>
      </c>
      <c r="Y469" s="208">
        <f>-Y162*Y217*Y$271</f>
        <v>-0.0</v>
      </c>
      <c r="Z469" s="203">
        <f>-Z162*Z217*Z$271</f>
        <v>-0.0</v>
      </c>
      <c r="AA469" s="203">
        <f>-AA162*AA217*AA$271</f>
        <v>-0.0</v>
      </c>
      <c r="AB469" s="203">
        <f>-AB162*AB217*AB$271</f>
        <v>-0.0</v>
      </c>
      <c r="AC469" s="203">
        <f>-AC162*AC217*AC$271</f>
        <v>-0.0</v>
      </c>
      <c r="AD469" s="203">
        <f>-AD162*AD217*AD$271</f>
        <v>-0.0</v>
      </c>
      <c r="AE469" s="203">
        <f>-AE162*AE217*AE$271</f>
        <v>-0.0</v>
      </c>
      <c r="AF469" s="203">
        <f>-AF162*AF217*AF$271</f>
        <v>-0.0</v>
      </c>
      <c r="AG469" s="203">
        <f>-AG162*AG217*AG$271</f>
        <v>-0.0</v>
      </c>
      <c r="AH469" s="203">
        <f>-AH162*AH217*AH$271</f>
        <v>-0.0</v>
      </c>
      <c r="AI469" s="203">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33" t="inlineStr">
        <is>
          <t>legacy D.II</t>
        </is>
      </c>
      <c r="K470" s="9" t="str">
        <f>LOWER(CtryCode)&amp;".distn."&amp;$A470&amp;IF($B470="","","."&amp;$B470)&amp;IF($C470="","",".dec."&amp;$C470)&amp;"."&amp;K$5</f>
        <v>egy.distn.def.ker.dec.urb.1</v>
      </c>
      <c r="L470" s="208">
        <f>-L163*L218*L$271</f>
        <v>-0.0</v>
      </c>
      <c r="M470" s="203">
        <f>-M163*M218*M$271</f>
        <v>-0.0</v>
      </c>
      <c r="N470" s="203">
        <f>-N163*N218*N$271</f>
        <v>-0.0</v>
      </c>
      <c r="O470" s="203">
        <f>-O163*O218*O$271</f>
        <v>-0.0</v>
      </c>
      <c r="P470" s="203">
        <f>-P163*P218*P$271</f>
        <v>-0.0</v>
      </c>
      <c r="Q470" s="203">
        <f>-Q163*Q218*Q$271</f>
        <v>-0.0</v>
      </c>
      <c r="R470" s="203">
        <f>-R163*R218*R$271</f>
        <v>-0.0</v>
      </c>
      <c r="S470" s="203">
        <f>-S163*S218*S$271</f>
        <v>-0.0</v>
      </c>
      <c r="T470" s="203">
        <f>-T163*T218*T$271</f>
        <v>-0.0</v>
      </c>
      <c r="U470" s="203">
        <f>-U163*U218*U$271</f>
        <v>-0.0</v>
      </c>
      <c r="V470" s="203">
        <f>-V163*V218*V$271</f>
        <v>-0.0</v>
      </c>
      <c r="W470" s="207" t="str">
        <f>IF(X$5=K$5,SUM(Y470:AI470)-SUM(L470:V470),"")</f>
        <v/>
      </c>
      <c r="X470" s="9" t="str">
        <f>LOWER(CtryCode)&amp;".distn."&amp;$A470&amp;IF($B470="","","."&amp;$B470)&amp;IF($C470="","",".dec."&amp;$C470)&amp;"."&amp;X$5</f>
        <v>egy.distn.def.ker.dec.urb.2</v>
      </c>
      <c r="Y470" s="208">
        <f>-Y163*Y218*Y$271</f>
        <v>-9.54338752059143e-06</v>
      </c>
      <c r="Z470" s="203">
        <f>-Z163*Z218*Z$271</f>
        <v>-5.508447515741269e-06</v>
      </c>
      <c r="AA470" s="203">
        <f>-AA163*AA218*AA$271</f>
        <v>-0.0</v>
      </c>
      <c r="AB470" s="203">
        <f>-AB163*AB218*AB$271</f>
        <v>-3.8160450799593285e-06</v>
      </c>
      <c r="AC470" s="203">
        <f>-AC163*AC218*AC$271</f>
        <v>-0.0</v>
      </c>
      <c r="AD470" s="203">
        <f>-AD163*AD218*AD$271</f>
        <v>-1.5660262543955945e-05</v>
      </c>
      <c r="AE470" s="203">
        <f>-AE163*AE218*AE$271</f>
        <v>-8.188789989968939e-06</v>
      </c>
      <c r="AF470" s="203">
        <f>-AF163*AF218*AF$271</f>
        <v>-2.0215846582304244e-05</v>
      </c>
      <c r="AG470" s="203">
        <f>-AG163*AG218*AG$271</f>
        <v>-1.754087271668082e-05</v>
      </c>
      <c r="AH470" s="203">
        <f>-AH163*AH218*AH$271</f>
        <v>-1.0299547773934016e-05</v>
      </c>
      <c r="AI470" s="203">
        <f>-AI163*AI218*AI$271</f>
        <v>-2.1835024548718778e-05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33" t="inlineStr">
        <is>
          <t>legacy D.II</t>
        </is>
      </c>
      <c r="K471" s="9" t="str">
        <f>LOWER(CtryCode)&amp;".distn."&amp;$A471&amp;IF($B471="","","."&amp;$B471)&amp;IF($C471="","",".dec."&amp;$C471)&amp;"."&amp;K$5</f>
        <v>egy.distn.def.lpg.dec.urb.1</v>
      </c>
      <c r="L471" s="208">
        <f>-L164*L219*L$271</f>
        <v>-0.0</v>
      </c>
      <c r="M471" s="203">
        <f>-M164*M219*M$271</f>
        <v>-0.0</v>
      </c>
      <c r="N471" s="203">
        <f>-N164*N219*N$271</f>
        <v>-0.0</v>
      </c>
      <c r="O471" s="203">
        <f>-O164*O219*O$271</f>
        <v>-0.0</v>
      </c>
      <c r="P471" s="203">
        <f>-P164*P219*P$271</f>
        <v>-0.0</v>
      </c>
      <c r="Q471" s="203">
        <f>-Q164*Q219*Q$271</f>
        <v>-0.0</v>
      </c>
      <c r="R471" s="203">
        <f>-R164*R219*R$271</f>
        <v>-0.0</v>
      </c>
      <c r="S471" s="203">
        <f>-S164*S219*S$271</f>
        <v>-0.0</v>
      </c>
      <c r="T471" s="203">
        <f>-T164*T219*T$271</f>
        <v>-0.0</v>
      </c>
      <c r="U471" s="203">
        <f>-U164*U219*U$271</f>
        <v>-0.0</v>
      </c>
      <c r="V471" s="203">
        <f>-V164*V219*V$271</f>
        <v>-0.0</v>
      </c>
      <c r="W471" s="207" t="str">
        <f>IF(X$5=K$5,SUM(Y471:AI471)-SUM(L471:V471),"")</f>
        <v/>
      </c>
      <c r="X471" s="9" t="str">
        <f>LOWER(CtryCode)&amp;".distn."&amp;$A471&amp;IF($B471="","","."&amp;$B471)&amp;IF($C471="","",".dec."&amp;$C471)&amp;"."&amp;X$5</f>
        <v>egy.distn.def.lpg.dec.urb.2</v>
      </c>
      <c r="Y471" s="208">
        <f>-Y164*Y219*Y$271</f>
        <v>-0.28282961896110503</v>
      </c>
      <c r="Z471" s="203">
        <f>-Z164*Z219*Z$271</f>
        <v>-0.5542119702231448</v>
      </c>
      <c r="AA471" s="203">
        <f>-AA164*AA219*AA$271</f>
        <v>-0.4055823548243305</v>
      </c>
      <c r="AB471" s="203">
        <f>-AB164*AB219*AB$271</f>
        <v>-0.3477495355355458</v>
      </c>
      <c r="AC471" s="203">
        <f>-AC164*AC219*AC$271</f>
        <v>-0.2954550150353333</v>
      </c>
      <c r="AD471" s="203">
        <f>-AD164*AD219*AD$271</f>
        <v>-0.2525199340738936</v>
      </c>
      <c r="AE471" s="203">
        <f>-AE164*AE219*AE$271</f>
        <v>-0.28189709856825307</v>
      </c>
      <c r="AF471" s="203">
        <f>-AF164*AF219*AF$271</f>
        <v>-0.2662582747529371</v>
      </c>
      <c r="AG471" s="203">
        <f>-AG164*AG219*AG$271</f>
        <v>-0.2024774532831331</v>
      </c>
      <c r="AH471" s="203">
        <f>-AH164*AH219*AH$271</f>
        <v>-0.20998519422139217</v>
      </c>
      <c r="AI471" s="203">
        <f>-AI164*AI219*AI$271</f>
        <v>-0.1552270267096643</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33" t="inlineStr">
        <is>
          <t>legacy D.II</t>
        </is>
      </c>
      <c r="K472" s="9" t="str">
        <f>LOWER(CtryCode)&amp;".distn."&amp;$A472&amp;IF($B472="","","."&amp;$B472)&amp;IF($C472="","",".dec."&amp;$C472)&amp;"."&amp;K$5</f>
        <v>egy.distn.def.tot.dec.urb.1</v>
      </c>
      <c r="L472" s="208">
        <f>SUM(L464:L471)</f>
        <v>0.0</v>
      </c>
      <c r="M472" s="203">
        <f>SUM(M464:M471)</f>
        <v>0.0</v>
      </c>
      <c r="N472" s="203">
        <f>SUM(N464:N471)</f>
        <v>0.0</v>
      </c>
      <c r="O472" s="203">
        <f>SUM(O464:O471)</f>
        <v>0.0</v>
      </c>
      <c r="P472" s="203">
        <f>SUM(P464:P471)</f>
        <v>0.0</v>
      </c>
      <c r="Q472" s="203">
        <f>SUM(Q464:Q471)</f>
        <v>0.0</v>
      </c>
      <c r="R472" s="203">
        <f>SUM(R464:R471)</f>
        <v>0.0</v>
      </c>
      <c r="S472" s="203">
        <f>SUM(S464:S471)</f>
        <v>0.0</v>
      </c>
      <c r="T472" s="203">
        <f>SUM(T464:T471)</f>
        <v>0.0</v>
      </c>
      <c r="U472" s="203">
        <f>SUM(U464:U471)</f>
        <v>0.0</v>
      </c>
      <c r="V472" s="203">
        <f>SUM(V464:V471)</f>
        <v>0.0</v>
      </c>
      <c r="W472" s="207" t="str">
        <f>IF(X$5=K$5,SUM(Y472:AI472)-SUM(L472:V472),"")</f>
        <v/>
      </c>
      <c r="X472" s="9" t="str">
        <f>LOWER(CtryCode)&amp;".distn."&amp;$A472&amp;IF($B472="","","."&amp;$B472)&amp;IF($C472="","",".dec."&amp;$C472)&amp;"."&amp;X$5</f>
        <v>egy.distn.def.tot.dec.urb.2</v>
      </c>
      <c r="Y472" s="208">
        <f>SUM(Y464:Y471)</f>
        <v>-1.2482182311608838</v>
      </c>
      <c r="Z472" s="203">
        <f>SUM(Z464:Z471)</f>
        <v>-1.430664155969834</v>
      </c>
      <c r="AA472" s="203">
        <f>SUM(AA464:AA471)</f>
        <v>-1.2341763814512883</v>
      </c>
      <c r="AB472" s="203">
        <f>SUM(AB464:AB471)</f>
        <v>-1.2151224636086202</v>
      </c>
      <c r="AC472" s="203">
        <f>SUM(AC464:AC471)</f>
        <v>-1.1527362440532871</v>
      </c>
      <c r="AD472" s="203">
        <f>SUM(AD464:AD471)</f>
        <v>-1.1291116137230603</v>
      </c>
      <c r="AE472" s="203">
        <f>SUM(AE464:AE471)</f>
        <v>-1.1471119120893858</v>
      </c>
      <c r="AF472" s="203">
        <f>SUM(AF464:AF471)</f>
        <v>-1.2602269125901377</v>
      </c>
      <c r="AG472" s="203">
        <f>SUM(AG464:AG471)</f>
        <v>-1.15736766808732</v>
      </c>
      <c r="AH472" s="203">
        <f>SUM(AH464:AH471)</f>
        <v>-1.2097192131925234</v>
      </c>
      <c r="AI472" s="203">
        <f>SUM(AI464:AI471)</f>
        <v>-1.2298548169805017</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33" t="inlineStr">
        <is>
          <t>legacy D.II</t>
        </is>
      </c>
      <c r="K473" s="9" t="str">
        <f>LOWER(CtryCode)&amp;".distn."&amp;$A473&amp;IF($B473="","","."&amp;$B473)&amp;IF($C473="","",".dec."&amp;$C473)&amp;"."&amp;K$5</f>
        <v>egy.distn.ief.app.dec.urb.1</v>
      </c>
      <c r="L473" s="208">
        <f>-L165*L220*L$271</f>
        <v>-0.0</v>
      </c>
      <c r="M473" s="203">
        <f>-M165*M220*M$271</f>
        <v>-0.0</v>
      </c>
      <c r="N473" s="203">
        <f>-N165*N220*N$271</f>
        <v>-0.0</v>
      </c>
      <c r="O473" s="203">
        <f>-O165*O220*O$271</f>
        <v>-0.0</v>
      </c>
      <c r="P473" s="203">
        <f>-P165*P220*P$271</f>
        <v>-0.0</v>
      </c>
      <c r="Q473" s="203">
        <f>-Q165*Q220*Q$271</f>
        <v>-0.0</v>
      </c>
      <c r="R473" s="203">
        <f>-R165*R220*R$271</f>
        <v>-0.0</v>
      </c>
      <c r="S473" s="203">
        <f>-S165*S220*S$271</f>
        <v>-0.0</v>
      </c>
      <c r="T473" s="203">
        <f>-T165*T220*T$271</f>
        <v>-0.0</v>
      </c>
      <c r="U473" s="203">
        <f>-U165*U220*U$271</f>
        <v>-0.0</v>
      </c>
      <c r="V473" s="203">
        <f>-V165*V220*V$271</f>
        <v>-0.0</v>
      </c>
      <c r="W473" s="207" t="str">
        <f>IF(X$5=K$5,SUM(Y473:AI473)-SUM(L473:V473),"")</f>
        <v/>
      </c>
      <c r="X473" s="9" t="str">
        <f>LOWER(CtryCode)&amp;".distn."&amp;$A473&amp;IF($B473="","","."&amp;$B473)&amp;IF($C473="","",".dec."&amp;$C473)&amp;"."&amp;X$5</f>
        <v>egy.distn.ief.app.dec.urb.2</v>
      </c>
      <c r="Y473" s="208">
        <f>-Y165*Y220*Y$271</f>
        <v>-0.004671671523128001</v>
      </c>
      <c r="Z473" s="203">
        <f>-Z165*Z220*Z$271</f>
        <v>-0.003952959701124166</v>
      </c>
      <c r="AA473" s="203">
        <f>-AA165*AA220*AA$271</f>
        <v>-0.004332591929737496</v>
      </c>
      <c r="AB473" s="203">
        <f>-AB165*AB220*AB$271</f>
        <v>-0.004475467175683762</v>
      </c>
      <c r="AC473" s="203">
        <f>-AC165*AC220*AC$271</f>
        <v>-0.00416767085875779</v>
      </c>
      <c r="AD473" s="203">
        <f>-AD165*AD220*AD$271</f>
        <v>-0.004569196381436082</v>
      </c>
      <c r="AE473" s="203">
        <f>-AE165*AE220*AE$271</f>
        <v>-0.004885389786043135</v>
      </c>
      <c r="AF473" s="203">
        <f>-AF165*AF220*AF$271</f>
        <v>-0.004235783757714877</v>
      </c>
      <c r="AG473" s="203">
        <f>-AG165*AG220*AG$271</f>
        <v>-0.004296283466339051</v>
      </c>
      <c r="AH473" s="203">
        <f>-AH165*AH220*AH$271</f>
        <v>-0.004480320867107519</v>
      </c>
      <c r="AI473" s="203">
        <f>-AI165*AI220*AI$271</f>
        <v>-0.005069554715619271</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33" t="inlineStr">
        <is>
          <t>legacy D.II</t>
        </is>
      </c>
      <c r="K474" s="9" t="str">
        <f>LOWER(CtryCode)&amp;".distn."&amp;$A474&amp;IF($B474="","","."&amp;$B474)&amp;IF($C474="","",".dec."&amp;$C474)&amp;"."&amp;K$5</f>
        <v>egy.distn.ief.che.dec.urb.1</v>
      </c>
      <c r="L474" s="208">
        <f>-L166*L221*L$271</f>
        <v>-0.0</v>
      </c>
      <c r="M474" s="203">
        <f>-M166*M221*M$271</f>
        <v>-0.0</v>
      </c>
      <c r="N474" s="203">
        <f>-N166*N221*N$271</f>
        <v>-0.0</v>
      </c>
      <c r="O474" s="203">
        <f>-O166*O221*O$271</f>
        <v>-0.0</v>
      </c>
      <c r="P474" s="203">
        <f>-P166*P221*P$271</f>
        <v>-0.0</v>
      </c>
      <c r="Q474" s="203">
        <f>-Q166*Q221*Q$271</f>
        <v>-0.0</v>
      </c>
      <c r="R474" s="203">
        <f>-R166*R221*R$271</f>
        <v>-0.0</v>
      </c>
      <c r="S474" s="203">
        <f>-S166*S221*S$271</f>
        <v>-0.0</v>
      </c>
      <c r="T474" s="203">
        <f>-T166*T221*T$271</f>
        <v>-0.0</v>
      </c>
      <c r="U474" s="203">
        <f>-U166*U221*U$271</f>
        <v>-0.0</v>
      </c>
      <c r="V474" s="203">
        <f>-V166*V221*V$271</f>
        <v>-0.0</v>
      </c>
      <c r="W474" s="207" t="str">
        <f>IF(X$5=K$5,SUM(Y474:AI474)-SUM(L474:V474),"")</f>
        <v/>
      </c>
      <c r="X474" s="9" t="str">
        <f>LOWER(CtryCode)&amp;".distn."&amp;$A474&amp;IF($B474="","","."&amp;$B474)&amp;IF($C474="","",".dec."&amp;$C474)&amp;"."&amp;X$5</f>
        <v>egy.distn.ief.che.dec.urb.2</v>
      </c>
      <c r="Y474" s="208">
        <f>-Y166*Y221*Y$271</f>
        <v>-0.02201024736815908</v>
      </c>
      <c r="Z474" s="203">
        <f>-Z166*Z221*Z$271</f>
        <v>-0.023895440150752636</v>
      </c>
      <c r="AA474" s="203">
        <f>-AA166*AA221*AA$271</f>
        <v>-0.02499738251948068</v>
      </c>
      <c r="AB474" s="203">
        <f>-AB166*AB221*AB$271</f>
        <v>-0.026215146335135404</v>
      </c>
      <c r="AC474" s="203">
        <f>-AC166*AC221*AC$271</f>
        <v>-0.02343055133736859</v>
      </c>
      <c r="AD474" s="203">
        <f>-AD166*AD221*AD$271</f>
        <v>-0.022742879817143836</v>
      </c>
      <c r="AE474" s="203">
        <f>-AE166*AE221*AE$271</f>
        <v>-0.02489760145262947</v>
      </c>
      <c r="AF474" s="203">
        <f>-AF166*AF221*AF$271</f>
        <v>-0.02450397081753828</v>
      </c>
      <c r="AG474" s="203">
        <f>-AG166*AG221*AG$271</f>
        <v>-0.021971323011312095</v>
      </c>
      <c r="AH474" s="203">
        <f>-AH166*AH221*AH$271</f>
        <v>-0.0243468034345153</v>
      </c>
      <c r="AI474" s="203">
        <f>-AI166*AI221*AI$271</f>
        <v>-0.02221164144328776</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33" t="inlineStr">
        <is>
          <t>legacy D.II</t>
        </is>
      </c>
      <c r="K475" s="9" t="str">
        <f>LOWER(CtryCode)&amp;".distn."&amp;$A475&amp;IF($B475="","","."&amp;$B475)&amp;IF($C475="","",".dec."&amp;$C475)&amp;"."&amp;K$5</f>
        <v>egy.distn.ief.clo.dec.urb.1</v>
      </c>
      <c r="L475" s="208">
        <f>-L167*L222*L$271</f>
        <v>-0.0</v>
      </c>
      <c r="M475" s="203">
        <f>-M167*M222*M$271</f>
        <v>-0.0</v>
      </c>
      <c r="N475" s="203">
        <f>-N167*N222*N$271</f>
        <v>-0.0</v>
      </c>
      <c r="O475" s="203">
        <f>-O167*O222*O$271</f>
        <v>-0.0</v>
      </c>
      <c r="P475" s="203">
        <f>-P167*P222*P$271</f>
        <v>-0.0</v>
      </c>
      <c r="Q475" s="203">
        <f>-Q167*Q222*Q$271</f>
        <v>-0.0</v>
      </c>
      <c r="R475" s="203">
        <f>-R167*R222*R$271</f>
        <v>-0.0</v>
      </c>
      <c r="S475" s="203">
        <f>-S167*S222*S$271</f>
        <v>-0.0</v>
      </c>
      <c r="T475" s="203">
        <f>-T167*T222*T$271</f>
        <v>-0.0</v>
      </c>
      <c r="U475" s="203">
        <f>-U167*U222*U$271</f>
        <v>-0.0</v>
      </c>
      <c r="V475" s="203">
        <f>-V167*V222*V$271</f>
        <v>-0.0</v>
      </c>
      <c r="W475" s="207" t="str">
        <f>IF(X$5=K$5,SUM(Y475:AI475)-SUM(L475:V475),"")</f>
        <v/>
      </c>
      <c r="X475" s="9" t="str">
        <f>LOWER(CtryCode)&amp;".distn."&amp;$A475&amp;IF($B475="","","."&amp;$B475)&amp;IF($C475="","",".dec."&amp;$C475)&amp;"."&amp;X$5</f>
        <v>egy.distn.ief.clo.dec.urb.2</v>
      </c>
      <c r="Y475" s="208">
        <f>-Y167*Y222*Y$271</f>
        <v>-0.006047342273331623</v>
      </c>
      <c r="Z475" s="203">
        <f>-Z167*Z222*Z$271</f>
        <v>-0.006734382190370835</v>
      </c>
      <c r="AA475" s="203">
        <f>-AA167*AA222*AA$271</f>
        <v>-0.0061844157890679295</v>
      </c>
      <c r="AB475" s="203">
        <f>-AB167*AB222*AB$271</f>
        <v>-0.006642122766578403</v>
      </c>
      <c r="AC475" s="203">
        <f>-AC167*AC222*AC$271</f>
        <v>-0.006731986099403816</v>
      </c>
      <c r="AD475" s="203">
        <f>-AD167*AD222*AD$271</f>
        <v>-0.006816320321565273</v>
      </c>
      <c r="AE475" s="203">
        <f>-AE167*AE222*AE$271</f>
        <v>-0.006373178751035054</v>
      </c>
      <c r="AF475" s="203">
        <f>-AF167*AF222*AF$271</f>
        <v>-0.006337817527224108</v>
      </c>
      <c r="AG475" s="203">
        <f>-AG167*AG222*AG$271</f>
        <v>-0.005914494531404365</v>
      </c>
      <c r="AH475" s="203">
        <f>-AH167*AH222*AH$271</f>
        <v>-0.005513833909703601</v>
      </c>
      <c r="AI475" s="203">
        <f>-AI167*AI222*AI$271</f>
        <v>-0.005001374572562499</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33" t="inlineStr">
        <is>
          <t>legacy D.II</t>
        </is>
      </c>
      <c r="K476" s="9" t="str">
        <f>LOWER(CtryCode)&amp;".distn."&amp;$A476&amp;IF($B476="","","."&amp;$B476)&amp;IF($C476="","",".dec."&amp;$C476)&amp;"."&amp;K$5</f>
        <v>egy.distn.ief.com.dec.urb.1</v>
      </c>
      <c r="L476" s="208">
        <f>-L168*L223*L$271</f>
        <v>-0.0</v>
      </c>
      <c r="M476" s="203">
        <f>-M168*M223*M$271</f>
        <v>-0.0</v>
      </c>
      <c r="N476" s="203">
        <f>-N168*N223*N$271</f>
        <v>-0.0</v>
      </c>
      <c r="O476" s="203">
        <f>-O168*O223*O$271</f>
        <v>-0.0</v>
      </c>
      <c r="P476" s="203">
        <f>-P168*P223*P$271</f>
        <v>-0.0</v>
      </c>
      <c r="Q476" s="203">
        <f>-Q168*Q223*Q$271</f>
        <v>-0.0</v>
      </c>
      <c r="R476" s="203">
        <f>-R168*R223*R$271</f>
        <v>-0.0</v>
      </c>
      <c r="S476" s="203">
        <f>-S168*S223*S$271</f>
        <v>-0.0</v>
      </c>
      <c r="T476" s="203">
        <f>-T168*T223*T$271</f>
        <v>-0.0</v>
      </c>
      <c r="U476" s="203">
        <f>-U168*U223*U$271</f>
        <v>-0.0</v>
      </c>
      <c r="V476" s="203">
        <f>-V168*V223*V$271</f>
        <v>-0.0</v>
      </c>
      <c r="W476" s="207" t="str">
        <f>IF(X$5=K$5,SUM(Y476:AI476)-SUM(L476:V476),"")</f>
        <v/>
      </c>
      <c r="X476" s="9" t="str">
        <f>LOWER(CtryCode)&amp;".distn."&amp;$A476&amp;IF($B476="","","."&amp;$B476)&amp;IF($C476="","",".dec."&amp;$C476)&amp;"."&amp;X$5</f>
        <v>egy.distn.ief.com.dec.urb.2</v>
      </c>
      <c r="Y476" s="208">
        <f>-Y168*Y223*Y$271</f>
        <v>-0.0014662479928198996</v>
      </c>
      <c r="Z476" s="203">
        <f>-Z168*Z223*Z$271</f>
        <v>-0.001254524414062515</v>
      </c>
      <c r="AA476" s="203">
        <f>-AA168*AA223*AA$271</f>
        <v>-0.0013228976763298254</v>
      </c>
      <c r="AB476" s="203">
        <f>-AB168*AB223*AB$271</f>
        <v>-0.001452658731527446</v>
      </c>
      <c r="AC476" s="203">
        <f>-AC168*AC223*AC$271</f>
        <v>-0.0015777564990237043</v>
      </c>
      <c r="AD476" s="203">
        <f>-AD168*AD223*AD$271</f>
        <v>-0.0014541818936311369</v>
      </c>
      <c r="AE476" s="203">
        <f>-AE168*AE223*AE$271</f>
        <v>-0.0014897548831446109</v>
      </c>
      <c r="AF476" s="203">
        <f>-AF168*AF223*AF$271</f>
        <v>-0.001534071808931</v>
      </c>
      <c r="AG476" s="203">
        <f>-AG168*AG223*AG$271</f>
        <v>-0.001690037439744037</v>
      </c>
      <c r="AH476" s="203">
        <f>-AH168*AH223*AH$271</f>
        <v>-0.0015041007508715537</v>
      </c>
      <c r="AI476" s="203">
        <f>-AI168*AI223*AI$271</f>
        <v>-0.0015465231404011817</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33" t="inlineStr">
        <is>
          <t>legacy D.II</t>
        </is>
      </c>
      <c r="K477" s="9" t="str">
        <f>LOWER(CtryCode)&amp;".distn."&amp;$A477&amp;IF($B477="","","."&amp;$B477)&amp;IF($C477="","",".dec."&amp;$C477)&amp;"."&amp;K$5</f>
        <v>egy.distn.ief.edu.dec.urb.1</v>
      </c>
      <c r="L477" s="208">
        <f>-L169*L224*L$271</f>
        <v>-0.0</v>
      </c>
      <c r="M477" s="203">
        <f>-M169*M224*M$271</f>
        <v>-0.0</v>
      </c>
      <c r="N477" s="203">
        <f>-N169*N224*N$271</f>
        <v>-0.0</v>
      </c>
      <c r="O477" s="203">
        <f>-O169*O224*O$271</f>
        <v>-0.0</v>
      </c>
      <c r="P477" s="203">
        <f>-P169*P224*P$271</f>
        <v>-0.0</v>
      </c>
      <c r="Q477" s="203">
        <f>-Q169*Q224*Q$271</f>
        <v>-0.0</v>
      </c>
      <c r="R477" s="203">
        <f>-R169*R224*R$271</f>
        <v>-0.0</v>
      </c>
      <c r="S477" s="203">
        <f>-S169*S224*S$271</f>
        <v>-0.0</v>
      </c>
      <c r="T477" s="203">
        <f>-T169*T224*T$271</f>
        <v>-0.0</v>
      </c>
      <c r="U477" s="203">
        <f>-U169*U224*U$271</f>
        <v>-0.0</v>
      </c>
      <c r="V477" s="203">
        <f>-V169*V224*V$271</f>
        <v>-0.0</v>
      </c>
      <c r="W477" s="207" t="str">
        <f>IF(X$5=K$5,SUM(Y477:AI477)-SUM(L477:V477),"")</f>
        <v/>
      </c>
      <c r="X477" s="9" t="str">
        <f>LOWER(CtryCode)&amp;".distn."&amp;$A477&amp;IF($B477="","","."&amp;$B477)&amp;IF($C477="","",".dec."&amp;$C477)&amp;"."&amp;X$5</f>
        <v>egy.distn.ief.edu.dec.urb.2</v>
      </c>
      <c r="Y477" s="208">
        <f>-Y169*Y224*Y$271</f>
        <v>-0.004344711094451481</v>
      </c>
      <c r="Z477" s="203">
        <f>-Z169*Z224*Z$271</f>
        <v>-0.003856365185427483</v>
      </c>
      <c r="AA477" s="203">
        <f>-AA169*AA224*AA$271</f>
        <v>-0.00516091285027681</v>
      </c>
      <c r="AB477" s="203">
        <f>-AB169*AB224*AB$271</f>
        <v>-0.005359302324853574</v>
      </c>
      <c r="AC477" s="203">
        <f>-AC169*AC224*AC$271</f>
        <v>-0.005076954233408552</v>
      </c>
      <c r="AD477" s="203">
        <f>-AD169*AD224*AD$271</f>
        <v>-0.005318950686718588</v>
      </c>
      <c r="AE477" s="203">
        <f>-AE169*AE224*AE$271</f>
        <v>-0.005222970580320387</v>
      </c>
      <c r="AF477" s="203">
        <f>-AF169*AF224*AF$271</f>
        <v>-0.004579432267145124</v>
      </c>
      <c r="AG477" s="203">
        <f>-AG169*AG224*AG$271</f>
        <v>-0.004244252826495214</v>
      </c>
      <c r="AH477" s="203">
        <f>-AH169*AH224*AH$271</f>
        <v>-0.003262738493743241</v>
      </c>
      <c r="AI477" s="203">
        <f>-AI169*AI224*AI$271</f>
        <v>-0.00152676703261061</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33" t="inlineStr">
        <is>
          <t>legacy D.II</t>
        </is>
      </c>
      <c r="K478" s="9" t="str">
        <f>LOWER(CtryCode)&amp;".distn."&amp;$A478&amp;IF($B478="","","."&amp;$B478)&amp;IF($C478="","",".dec."&amp;$C478)&amp;"."&amp;K$5</f>
        <v>egy.distn.ief.food.dec.urb.1</v>
      </c>
      <c r="L478" s="208">
        <f>-L170*L225*L$271</f>
        <v>-0.0</v>
      </c>
      <c r="M478" s="203">
        <f>-M170*M225*M$271</f>
        <v>-0.0</v>
      </c>
      <c r="N478" s="203">
        <f>-N170*N225*N$271</f>
        <v>-0.0</v>
      </c>
      <c r="O478" s="203">
        <f>-O170*O225*O$271</f>
        <v>-0.0</v>
      </c>
      <c r="P478" s="203">
        <f>-P170*P225*P$271</f>
        <v>-0.0</v>
      </c>
      <c r="Q478" s="203">
        <f>-Q170*Q225*Q$271</f>
        <v>-0.0</v>
      </c>
      <c r="R478" s="203">
        <f>-R170*R225*R$271</f>
        <v>-0.0</v>
      </c>
      <c r="S478" s="203">
        <f>-S170*S225*S$271</f>
        <v>-0.0</v>
      </c>
      <c r="T478" s="203">
        <f>-T170*T225*T$271</f>
        <v>-0.0</v>
      </c>
      <c r="U478" s="203">
        <f>-U170*U225*U$271</f>
        <v>-0.0</v>
      </c>
      <c r="V478" s="203">
        <f>-V170*V225*V$271</f>
        <v>-0.0</v>
      </c>
      <c r="W478" s="207" t="str">
        <f>IF(X$5=K$5,SUM(Y478:AI478)-SUM(L478:V478),"")</f>
        <v/>
      </c>
      <c r="X478" s="9" t="str">
        <f>LOWER(CtryCode)&amp;".distn."&amp;$A478&amp;IF($B478="","","."&amp;$B478)&amp;IF($C478="","",".dec."&amp;$C478)&amp;"."&amp;X$5</f>
        <v>egy.distn.ief.food.dec.urb.2</v>
      </c>
      <c r="Y478" s="208">
        <f>-Y170*Y225*Y$271</f>
        <v>-0.06240879492813928</v>
      </c>
      <c r="Z478" s="203">
        <f>-Z170*Z225*Z$271</f>
        <v>-0.06025549036610759</v>
      </c>
      <c r="AA478" s="203">
        <f>-AA170*AA225*AA$271</f>
        <v>-0.06518344545782187</v>
      </c>
      <c r="AB478" s="203">
        <f>-AB170*AB225*AB$271</f>
        <v>-0.06611169052254691</v>
      </c>
      <c r="AC478" s="203">
        <f>-AC170*AC225*AC$271</f>
        <v>-0.06464331753512183</v>
      </c>
      <c r="AD478" s="203">
        <f>-AD170*AD225*AD$271</f>
        <v>-0.060196581511076604</v>
      </c>
      <c r="AE478" s="203">
        <f>-AE170*AE225*AE$271</f>
        <v>-0.0600908477421189</v>
      </c>
      <c r="AF478" s="203">
        <f>-AF170*AF225*AF$271</f>
        <v>-0.06405062165048027</v>
      </c>
      <c r="AG478" s="203">
        <f>-AG170*AG225*AG$271</f>
        <v>-0.062290300596229725</v>
      </c>
      <c r="AH478" s="203">
        <f>-AH170*AH225*AH$271</f>
        <v>-0.05898369994037646</v>
      </c>
      <c r="AI478" s="203">
        <f>-AI170*AI225*AI$271</f>
        <v>-0.05576057969283695</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33" t="inlineStr">
        <is>
          <t>legacy D.II</t>
        </is>
      </c>
      <c r="K479" s="9" t="str">
        <f>LOWER(CtryCode)&amp;".distn."&amp;$A479&amp;IF($B479="","","."&amp;$B479)&amp;IF($C479="","",".dec."&amp;$C479)&amp;"."&amp;K$5</f>
        <v>egy.distn.ief.hea.dec.urb.1</v>
      </c>
      <c r="L479" s="208">
        <f>-L171*L226*L$271</f>
        <v>-0.0</v>
      </c>
      <c r="M479" s="203">
        <f>-M171*M226*M$271</f>
        <v>-0.0</v>
      </c>
      <c r="N479" s="203">
        <f>-N171*N226*N$271</f>
        <v>-0.0</v>
      </c>
      <c r="O479" s="203">
        <f>-O171*O226*O$271</f>
        <v>-0.0</v>
      </c>
      <c r="P479" s="203">
        <f>-P171*P226*P$271</f>
        <v>-0.0</v>
      </c>
      <c r="Q479" s="203">
        <f>-Q171*Q226*Q$271</f>
        <v>-0.0</v>
      </c>
      <c r="R479" s="203">
        <f>-R171*R226*R$271</f>
        <v>-0.0</v>
      </c>
      <c r="S479" s="203">
        <f>-S171*S226*S$271</f>
        <v>-0.0</v>
      </c>
      <c r="T479" s="203">
        <f>-T171*T226*T$271</f>
        <v>-0.0</v>
      </c>
      <c r="U479" s="203">
        <f>-U171*U226*U$271</f>
        <v>-0.0</v>
      </c>
      <c r="V479" s="203">
        <f>-V171*V226*V$271</f>
        <v>-0.0</v>
      </c>
      <c r="W479" s="207" t="str">
        <f>IF(X$5=K$5,SUM(Y479:AI479)-SUM(L479:V479),"")</f>
        <v/>
      </c>
      <c r="X479" s="9" t="str">
        <f>LOWER(CtryCode)&amp;".distn."&amp;$A479&amp;IF($B479="","","."&amp;$B479)&amp;IF($C479="","",".dec."&amp;$C479)&amp;"."&amp;X$5</f>
        <v>egy.distn.ief.hea.dec.urb.2</v>
      </c>
      <c r="Y479" s="208">
        <f>-Y171*Y226*Y$271</f>
        <v>-0.004747390453087076</v>
      </c>
      <c r="Z479" s="203">
        <f>-Z171*Z226*Z$271</f>
        <v>-0.0033713564382044</v>
      </c>
      <c r="AA479" s="203">
        <f>-AA171*AA226*AA$271</f>
        <v>-0.0039885335248881736</v>
      </c>
      <c r="AB479" s="203">
        <f>-AB171*AB226*AB$271</f>
        <v>-0.004453977979205757</v>
      </c>
      <c r="AC479" s="203">
        <f>-AC171*AC226*AC$271</f>
        <v>-0.004704299264507382</v>
      </c>
      <c r="AD479" s="203">
        <f>-AD171*AD226*AD$271</f>
        <v>-0.0051786307540325404</v>
      </c>
      <c r="AE479" s="203">
        <f>-AE171*AE226*AE$271</f>
        <v>-0.004839255268605379</v>
      </c>
      <c r="AF479" s="203">
        <f>-AF171*AF226*AF$271</f>
        <v>-0.005560487039228918</v>
      </c>
      <c r="AG479" s="203">
        <f>-AG171*AG226*AG$271</f>
        <v>-0.005472217288670048</v>
      </c>
      <c r="AH479" s="203">
        <f>-AH171*AH226*AH$271</f>
        <v>-0.006087248502748291</v>
      </c>
      <c r="AI479" s="203">
        <f>-AI171*AI226*AI$271</f>
        <v>-0.007722300514719592</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33" t="inlineStr">
        <is>
          <t>legacy D.II</t>
        </is>
      </c>
      <c r="K480" s="9" t="str">
        <f>LOWER(CtryCode)&amp;".distn."&amp;$A480&amp;IF($B480="","","."&amp;$B480)&amp;IF($C480="","",".dec."&amp;$C480)&amp;"."&amp;K$5</f>
        <v>egy.distn.ief.hou.dec.urb.1</v>
      </c>
      <c r="L480" s="208">
        <f>-L172*L227*L$271</f>
        <v>-0.0</v>
      </c>
      <c r="M480" s="203">
        <f>-M172*M227*M$271</f>
        <v>-0.0</v>
      </c>
      <c r="N480" s="203">
        <f>-N172*N227*N$271</f>
        <v>-0.0</v>
      </c>
      <c r="O480" s="203">
        <f>-O172*O227*O$271</f>
        <v>-0.0</v>
      </c>
      <c r="P480" s="203">
        <f>-P172*P227*P$271</f>
        <v>-0.0</v>
      </c>
      <c r="Q480" s="203">
        <f>-Q172*Q227*Q$271</f>
        <v>-0.0</v>
      </c>
      <c r="R480" s="203">
        <f>-R172*R227*R$271</f>
        <v>-0.0</v>
      </c>
      <c r="S480" s="203">
        <f>-S172*S227*S$271</f>
        <v>-0.0</v>
      </c>
      <c r="T480" s="203">
        <f>-T172*T227*T$271</f>
        <v>-0.0</v>
      </c>
      <c r="U480" s="203">
        <f>-U172*U227*U$271</f>
        <v>-0.0</v>
      </c>
      <c r="V480" s="203">
        <f>-V172*V227*V$271</f>
        <v>-0.0</v>
      </c>
      <c r="W480" s="207" t="str">
        <f>IF(X$5=K$5,SUM(Y480:AI480)-SUM(L480:V480),"")</f>
        <v/>
      </c>
      <c r="X480" s="9" t="str">
        <f>LOWER(CtryCode)&amp;".distn."&amp;$A480&amp;IF($B480="","","."&amp;$B480)&amp;IF($C480="","",".dec."&amp;$C480)&amp;"."&amp;X$5</f>
        <v>egy.distn.ief.hou.dec.urb.2</v>
      </c>
      <c r="Y480" s="208">
        <f>-Y172*Y227*Y$271</f>
        <v>-0.0062168440550101674</v>
      </c>
      <c r="Z480" s="203">
        <f>-Z172*Z227*Z$271</f>
        <v>-0.007631299415496151</v>
      </c>
      <c r="AA480" s="203">
        <f>-AA172*AA227*AA$271</f>
        <v>-0.006670571686454621</v>
      </c>
      <c r="AB480" s="203">
        <f>-AB172*AB227*AB$271</f>
        <v>-0.005953125682869672</v>
      </c>
      <c r="AC480" s="203">
        <f>-AC172*AC227*AC$271</f>
        <v>-0.005494209452981423</v>
      </c>
      <c r="AD480" s="203">
        <f>-AD172*AD227*AD$271</f>
        <v>-0.0055606132360257274</v>
      </c>
      <c r="AE480" s="203">
        <f>-AE172*AE227*AE$271</f>
        <v>-0.005097501488297786</v>
      </c>
      <c r="AF480" s="203">
        <f>-AF172*AF227*AF$271</f>
        <v>-0.005056189327509334</v>
      </c>
      <c r="AG480" s="203">
        <f>-AG172*AG227*AG$271</f>
        <v>-0.0051933158601513</v>
      </c>
      <c r="AH480" s="203">
        <f>-AH172*AH227*AH$271</f>
        <v>-0.005780025557105817</v>
      </c>
      <c r="AI480" s="203">
        <f>-AI172*AI227*AI$271</f>
        <v>-0.0064146431989891926</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33" t="inlineStr">
        <is>
          <t>legacy D.II</t>
        </is>
      </c>
      <c r="K481" s="9" t="str">
        <f>LOWER(CtryCode)&amp;".distn."&amp;$A481&amp;IF($B481="","","."&amp;$B481)&amp;IF($C481="","",".dec."&amp;$C481)&amp;"."&amp;K$5</f>
        <v>egy.distn.ief.oth.dec.urb.1</v>
      </c>
      <c r="L481" s="208">
        <f>-L173*L228*L$271</f>
        <v>-0.0</v>
      </c>
      <c r="M481" s="203">
        <f>-M173*M228*M$271</f>
        <v>-0.0</v>
      </c>
      <c r="N481" s="203">
        <f>-N173*N228*N$271</f>
        <v>-0.0</v>
      </c>
      <c r="O481" s="203">
        <f>-O173*O228*O$271</f>
        <v>-0.0</v>
      </c>
      <c r="P481" s="203">
        <f>-P173*P228*P$271</f>
        <v>-0.0</v>
      </c>
      <c r="Q481" s="203">
        <f>-Q173*Q228*Q$271</f>
        <v>-0.0</v>
      </c>
      <c r="R481" s="203">
        <f>-R173*R228*R$271</f>
        <v>-0.0</v>
      </c>
      <c r="S481" s="203">
        <f>-S173*S228*S$271</f>
        <v>-0.0</v>
      </c>
      <c r="T481" s="203">
        <f>-T173*T228*T$271</f>
        <v>-0.0</v>
      </c>
      <c r="U481" s="203">
        <f>-U173*U228*U$271</f>
        <v>-0.0</v>
      </c>
      <c r="V481" s="203">
        <f>-V173*V228*V$271</f>
        <v>-0.0</v>
      </c>
      <c r="W481" s="207" t="str">
        <f>IF(X$5=K$5,SUM(Y481:AI481)-SUM(L481:V481),"")</f>
        <v/>
      </c>
      <c r="X481" s="9" t="str">
        <f>LOWER(CtryCode)&amp;".distn."&amp;$A481&amp;IF($B481="","","."&amp;$B481)&amp;IF($C481="","",".dec."&amp;$C481)&amp;"."&amp;X$5</f>
        <v>egy.distn.ief.oth.dec.urb.2</v>
      </c>
      <c r="Y481" s="208">
        <f>-Y173*Y228*Y$271</f>
        <v>-1.1172678025407169e-05</v>
      </c>
      <c r="Z481" s="203">
        <f>-Z173*Z228*Z$271</f>
        <v>-8.66412920743342e-06</v>
      </c>
      <c r="AA481" s="203">
        <f>-AA173*AA228*AA$271</f>
        <v>-4.707919491307707e-06</v>
      </c>
      <c r="AB481" s="203">
        <f>-AB173*AB228*AB$271</f>
        <v>-3.0199584260233866e-06</v>
      </c>
      <c r="AC481" s="203">
        <f>-AC173*AC228*AC$271</f>
        <v>-1.351525697637577e-05</v>
      </c>
      <c r="AD481" s="203">
        <f>-AD173*AD228*AD$271</f>
        <v>-1.0753409931075354e-05</v>
      </c>
      <c r="AE481" s="203">
        <f>-AE173*AE228*AE$271</f>
        <v>-8.415464516266045e-06</v>
      </c>
      <c r="AF481" s="203">
        <f>-AF173*AF228*AF$271</f>
        <v>-1.1773941433068333e-05</v>
      </c>
      <c r="AG481" s="203">
        <f>-AG173*AG228*AG$271</f>
        <v>-1.3520239487544295e-05</v>
      </c>
      <c r="AH481" s="203">
        <f>-AH173*AH228*AH$271</f>
        <v>-1.3664923594033398e-05</v>
      </c>
      <c r="AI481" s="203">
        <f>-AI173*AI228*AI$271</f>
        <v>-1.9799991394576135e-05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33" t="inlineStr">
        <is>
          <t>legacy D.II</t>
        </is>
      </c>
      <c r="K482" s="9" t="str">
        <f>LOWER(CtryCode)&amp;".distn."&amp;$A482&amp;IF($B482="","","."&amp;$B482)&amp;IF($C482="","",".dec."&amp;$C482)&amp;"."&amp;K$5</f>
        <v>egy.distn.ief.pap.dec.urb.1</v>
      </c>
      <c r="L482" s="208">
        <f>-L174*L229*L$271</f>
        <v>-0.0</v>
      </c>
      <c r="M482" s="203">
        <f>-M174*M229*M$271</f>
        <v>-0.0</v>
      </c>
      <c r="N482" s="203">
        <f>-N174*N229*N$271</f>
        <v>-0.0</v>
      </c>
      <c r="O482" s="203">
        <f>-O174*O229*O$271</f>
        <v>-0.0</v>
      </c>
      <c r="P482" s="203">
        <f>-P174*P229*P$271</f>
        <v>-0.0</v>
      </c>
      <c r="Q482" s="203">
        <f>-Q174*Q229*Q$271</f>
        <v>-0.0</v>
      </c>
      <c r="R482" s="203">
        <f>-R174*R229*R$271</f>
        <v>-0.0</v>
      </c>
      <c r="S482" s="203">
        <f>-S174*S229*S$271</f>
        <v>-0.0</v>
      </c>
      <c r="T482" s="203">
        <f>-T174*T229*T$271</f>
        <v>-0.0</v>
      </c>
      <c r="U482" s="203">
        <f>-U174*U229*U$271</f>
        <v>-0.0</v>
      </c>
      <c r="V482" s="203">
        <f>-V174*V229*V$271</f>
        <v>-0.0</v>
      </c>
      <c r="W482" s="207" t="str">
        <f>IF(X$5=K$5,SUM(Y482:AI482)-SUM(L482:V482),"")</f>
        <v/>
      </c>
      <c r="X482" s="9" t="str">
        <f>LOWER(CtryCode)&amp;".distn."&amp;$A482&amp;IF($B482="","","."&amp;$B482)&amp;IF($C482="","",".dec."&amp;$C482)&amp;"."&amp;X$5</f>
        <v>egy.distn.ief.pap.dec.urb.2</v>
      </c>
      <c r="Y482" s="208">
        <f>-Y174*Y229*Y$271</f>
        <v>-0.004005317738690179</v>
      </c>
      <c r="Z482" s="203">
        <f>-Z174*Z229*Z$271</f>
        <v>-0.005688635258034016</v>
      </c>
      <c r="AA482" s="203">
        <f>-AA174*AA229*AA$271</f>
        <v>-0.004544398210960078</v>
      </c>
      <c r="AB482" s="203">
        <f>-AB174*AB229*AB$271</f>
        <v>-0.0049317422327788615</v>
      </c>
      <c r="AC482" s="203">
        <f>-AC174*AC229*AC$271</f>
        <v>-0.004748689620216153</v>
      </c>
      <c r="AD482" s="203">
        <f>-AD174*AD229*AD$271</f>
        <v>-0.004395940335437189</v>
      </c>
      <c r="AE482" s="203">
        <f>-AE174*AE229*AE$271</f>
        <v>-0.003728888423574931</v>
      </c>
      <c r="AF482" s="203">
        <f>-AF174*AF229*AF$271</f>
        <v>-0.0032852852542342836</v>
      </c>
      <c r="AG482" s="203">
        <f>-AG174*AG229*AG$271</f>
        <v>-0.003030152590752761</v>
      </c>
      <c r="AH482" s="203">
        <f>-AH174*AH229*AH$271</f>
        <v>-0.002311150646427577</v>
      </c>
      <c r="AI482" s="203">
        <f>-AI174*AI229*AI$271</f>
        <v>-0.0019378670571802675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33" t="inlineStr">
        <is>
          <t>legacy D.II</t>
        </is>
      </c>
      <c r="K483" s="9" t="str">
        <f>LOWER(CtryCode)&amp;".distn."&amp;$A483&amp;IF($B483="","","."&amp;$B483)&amp;IF($C483="","",".dec."&amp;$C483)&amp;"."&amp;K$5</f>
        <v>egy.distn.ief.pha.dec.urb.1</v>
      </c>
      <c r="L483" s="208">
        <f>-L175*L230*L$271</f>
        <v>-0.0</v>
      </c>
      <c r="M483" s="203">
        <f>-M175*M230*M$271</f>
        <v>-0.0</v>
      </c>
      <c r="N483" s="203">
        <f>-N175*N230*N$271</f>
        <v>-0.0</v>
      </c>
      <c r="O483" s="203">
        <f>-O175*O230*O$271</f>
        <v>-0.0</v>
      </c>
      <c r="P483" s="203">
        <f>-P175*P230*P$271</f>
        <v>-0.0</v>
      </c>
      <c r="Q483" s="203">
        <f>-Q175*Q230*Q$271</f>
        <v>-0.0</v>
      </c>
      <c r="R483" s="203">
        <f>-R175*R230*R$271</f>
        <v>-0.0</v>
      </c>
      <c r="S483" s="203">
        <f>-S175*S230*S$271</f>
        <v>-0.0</v>
      </c>
      <c r="T483" s="203">
        <f>-T175*T230*T$271</f>
        <v>-0.0</v>
      </c>
      <c r="U483" s="203">
        <f>-U175*U230*U$271</f>
        <v>-0.0</v>
      </c>
      <c r="V483" s="203">
        <f>-V175*V230*V$271</f>
        <v>-0.0</v>
      </c>
      <c r="W483" s="207" t="str">
        <f>IF(X$5=K$5,SUM(Y483:AI483)-SUM(L483:V483),"")</f>
        <v/>
      </c>
      <c r="X483" s="9" t="str">
        <f>LOWER(CtryCode)&amp;".distn."&amp;$A483&amp;IF($B483="","","."&amp;$B483)&amp;IF($C483="","",".dec."&amp;$C483)&amp;"."&amp;X$5</f>
        <v>egy.distn.ief.pha.dec.urb.2</v>
      </c>
      <c r="Y483" s="208">
        <f>-Y175*Y230*Y$271</f>
        <v>-0.015248109810382247</v>
      </c>
      <c r="Z483" s="203">
        <f>-Z175*Z230*Z$271</f>
        <v>-0.011923325091995937</v>
      </c>
      <c r="AA483" s="203">
        <f>-AA175*AA230*AA$271</f>
        <v>-0.0119192885568813</v>
      </c>
      <c r="AB483" s="203">
        <f>-AB175*AB230*AB$271</f>
        <v>-0.012469990668681676</v>
      </c>
      <c r="AC483" s="203">
        <f>-AC175*AC230*AC$271</f>
        <v>-0.013279817440744532</v>
      </c>
      <c r="AD483" s="203">
        <f>-AD175*AD230*AD$271</f>
        <v>-0.013572401790223268</v>
      </c>
      <c r="AE483" s="203">
        <f>-AE175*AE230*AE$271</f>
        <v>-0.013763045509108049</v>
      </c>
      <c r="AF483" s="203">
        <f>-AF175*AF230*AF$271</f>
        <v>-0.016693501021118006</v>
      </c>
      <c r="AG483" s="203">
        <f>-AG175*AG230*AG$271</f>
        <v>-0.01719920825716341</v>
      </c>
      <c r="AH483" s="203">
        <f>-AH175*AH230*AH$271</f>
        <v>-0.02067107627581189</v>
      </c>
      <c r="AI483" s="203">
        <f>-AI175*AI230*AI$271</f>
        <v>-0.023043368875267548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33" t="inlineStr">
        <is>
          <t>legacy D.II</t>
        </is>
      </c>
      <c r="K484" s="9" t="str">
        <f>LOWER(CtryCode)&amp;".distn."&amp;$A484&amp;IF($B484="","","."&amp;$B484)&amp;IF($C484="","",".dec."&amp;$C484)&amp;"."&amp;K$5</f>
        <v>egy.distn.ief.ret.dec.urb.1</v>
      </c>
      <c r="L484" s="208">
        <f>-L176*L231*L$271</f>
        <v>-0.0</v>
      </c>
      <c r="M484" s="203">
        <f>-M176*M231*M$271</f>
        <v>-0.0</v>
      </c>
      <c r="N484" s="203">
        <f>-N176*N231*N$271</f>
        <v>-0.0</v>
      </c>
      <c r="O484" s="203">
        <f>-O176*O231*O$271</f>
        <v>-0.0</v>
      </c>
      <c r="P484" s="203">
        <f>-P176*P231*P$271</f>
        <v>-0.0</v>
      </c>
      <c r="Q484" s="203">
        <f>-Q176*Q231*Q$271</f>
        <v>-0.0</v>
      </c>
      <c r="R484" s="203">
        <f>-R176*R231*R$271</f>
        <v>-0.0</v>
      </c>
      <c r="S484" s="203">
        <f>-S176*S231*S$271</f>
        <v>-0.0</v>
      </c>
      <c r="T484" s="203">
        <f>-T176*T231*T$271</f>
        <v>-0.0</v>
      </c>
      <c r="U484" s="203">
        <f>-U176*U231*U$271</f>
        <v>-0.0</v>
      </c>
      <c r="V484" s="203">
        <f>-V176*V231*V$271</f>
        <v>-0.0</v>
      </c>
      <c r="W484" s="207" t="str">
        <f>IF(X$5=K$5,SUM(Y484:AI484)-SUM(L484:V484),"")</f>
        <v/>
      </c>
      <c r="X484" s="9" t="str">
        <f>LOWER(CtryCode)&amp;".distn."&amp;$A484&amp;IF($B484="","","."&amp;$B484)&amp;IF($C484="","",".dec."&amp;$C484)&amp;"."&amp;X$5</f>
        <v>egy.distn.ief.ret.dec.urb.2</v>
      </c>
      <c r="Y484" s="208">
        <f>-Y176*Y231*Y$271</f>
        <v>-0.007275035512912634</v>
      </c>
      <c r="Z484" s="203">
        <f>-Z176*Z231*Z$271</f>
        <v>-0.007637346327268478</v>
      </c>
      <c r="AA484" s="203">
        <f>-AA176*AA231*AA$271</f>
        <v>-0.006944028212328429</v>
      </c>
      <c r="AB484" s="203">
        <f>-AB176*AB231*AB$271</f>
        <v>-0.007229224047335265</v>
      </c>
      <c r="AC484" s="203">
        <f>-AC176*AC231*AC$271</f>
        <v>-0.0071601554975213675</v>
      </c>
      <c r="AD484" s="203">
        <f>-AD176*AD231*AD$271</f>
        <v>-0.007267561005577813</v>
      </c>
      <c r="AE484" s="203">
        <f>-AE176*AE231*AE$271</f>
        <v>-0.007819677046841281</v>
      </c>
      <c r="AF484" s="203">
        <f>-AF176*AF231*AF$271</f>
        <v>-0.007454606326791208</v>
      </c>
      <c r="AG484" s="203">
        <f>-AG176*AG231*AG$271</f>
        <v>-0.007316715548547821</v>
      </c>
      <c r="AH484" s="203">
        <f>-AH176*AH231*AH$271</f>
        <v>-0.008238289384831253</v>
      </c>
      <c r="AI484" s="203">
        <f>-AI176*AI231*AI$271</f>
        <v>-0.00764169067177008</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33" t="inlineStr">
        <is>
          <t>legacy D.II</t>
        </is>
      </c>
      <c r="K485" s="9" t="str">
        <f>LOWER(CtryCode)&amp;".distn."&amp;$A485&amp;IF($B485="","","."&amp;$B485)&amp;IF($C485="","",".dec."&amp;$C485)&amp;"."&amp;K$5</f>
        <v>egy.distn.ief.teq.dec.urb.1</v>
      </c>
      <c r="L485" s="208">
        <f>-L177*L232*L$271</f>
        <v>-0.0</v>
      </c>
      <c r="M485" s="203">
        <f>-M177*M232*M$271</f>
        <v>-0.0</v>
      </c>
      <c r="N485" s="203">
        <f>-N177*N232*N$271</f>
        <v>-0.0</v>
      </c>
      <c r="O485" s="203">
        <f>-O177*O232*O$271</f>
        <v>-0.0</v>
      </c>
      <c r="P485" s="203">
        <f>-P177*P232*P$271</f>
        <v>-0.0</v>
      </c>
      <c r="Q485" s="203">
        <f>-Q177*Q232*Q$271</f>
        <v>-0.0</v>
      </c>
      <c r="R485" s="203">
        <f>-R177*R232*R$271</f>
        <v>-0.0</v>
      </c>
      <c r="S485" s="203">
        <f>-S177*S232*S$271</f>
        <v>-0.0</v>
      </c>
      <c r="T485" s="203">
        <f>-T177*T232*T$271</f>
        <v>-0.0</v>
      </c>
      <c r="U485" s="203">
        <f>-U177*U232*U$271</f>
        <v>-0.0</v>
      </c>
      <c r="V485" s="203">
        <f>-V177*V232*V$271</f>
        <v>-0.0</v>
      </c>
      <c r="W485" s="207" t="str">
        <f>IF(X$5=K$5,SUM(Y485:AI485)-SUM(L485:V485),"")</f>
        <v/>
      </c>
      <c r="X485" s="9" t="str">
        <f>LOWER(CtryCode)&amp;".distn."&amp;$A485&amp;IF($B485="","","."&amp;$B485)&amp;IF($C485="","",".dec."&amp;$C485)&amp;"."&amp;X$5</f>
        <v>egy.distn.ief.teq.dec.urb.2</v>
      </c>
      <c r="Y485" s="208">
        <f>-Y177*Y232*Y$271</f>
        <v>-0.000621358670601604</v>
      </c>
      <c r="Z485" s="203">
        <f>-Z177*Z232*Z$271</f>
        <v>-0.00055369496366773</v>
      </c>
      <c r="AA485" s="203">
        <f>-AA177*AA232*AA$271</f>
        <v>-0.00038585349637514554</v>
      </c>
      <c r="AB485" s="203">
        <f>-AB177*AB232*AB$271</f>
        <v>-0.00030751097911854816</v>
      </c>
      <c r="AC485" s="203">
        <f>-AC177*AC232*AC$271</f>
        <v>-0.0003445470103266706</v>
      </c>
      <c r="AD485" s="203">
        <f>-AD177*AD232*AD$271</f>
        <v>-0.0005602374070594587</v>
      </c>
      <c r="AE485" s="203">
        <f>-AE177*AE232*AE$271</f>
        <v>-0.0005924779223325508</v>
      </c>
      <c r="AF485" s="203">
        <f>-AF177*AF232*AF$271</f>
        <v>-0.0007363782974276082</v>
      </c>
      <c r="AG485" s="203">
        <f>-AG177*AG232*AG$271</f>
        <v>-0.0007582509230803591</v>
      </c>
      <c r="AH485" s="203">
        <f>-AH177*AH232*AH$271</f>
        <v>-0.0007204031529834641</v>
      </c>
      <c r="AI485" s="203">
        <f>-AI177*AI232*AI$271</f>
        <v>-0.0011075100868707917</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33" t="inlineStr">
        <is>
          <t>legacy D.II</t>
        </is>
      </c>
      <c r="K486" s="9" t="str">
        <f>LOWER(CtryCode)&amp;".distn."&amp;$A486&amp;IF($B486="","","."&amp;$B486)&amp;IF($C486="","",".dec."&amp;$C486)&amp;"."&amp;K$5</f>
        <v>egy.distn.ief.tpu.dec.urb.1</v>
      </c>
      <c r="L486" s="208">
        <f>-L178*L233*L$271</f>
        <v>-0.0</v>
      </c>
      <c r="M486" s="203">
        <f>-M178*M233*M$271</f>
        <v>-0.0</v>
      </c>
      <c r="N486" s="203">
        <f>-N178*N233*N$271</f>
        <v>-0.0</v>
      </c>
      <c r="O486" s="203">
        <f>-O178*O233*O$271</f>
        <v>-0.0</v>
      </c>
      <c r="P486" s="203">
        <f>-P178*P233*P$271</f>
        <v>-0.0</v>
      </c>
      <c r="Q486" s="203">
        <f>-Q178*Q233*Q$271</f>
        <v>-0.0</v>
      </c>
      <c r="R486" s="203">
        <f>-R178*R233*R$271</f>
        <v>-0.0</v>
      </c>
      <c r="S486" s="203">
        <f>-S178*S233*S$271</f>
        <v>-0.0</v>
      </c>
      <c r="T486" s="203">
        <f>-T178*T233*T$271</f>
        <v>-0.0</v>
      </c>
      <c r="U486" s="203">
        <f>-U178*U233*U$271</f>
        <v>-0.0</v>
      </c>
      <c r="V486" s="203">
        <f>-V178*V233*V$271</f>
        <v>-0.0</v>
      </c>
      <c r="W486" s="207" t="str">
        <f>IF(X$5=K$5,SUM(Y486:AI486)-SUM(L486:V486),"")</f>
        <v/>
      </c>
      <c r="X486" s="9" t="str">
        <f>LOWER(CtryCode)&amp;".distn."&amp;$A486&amp;IF($B486="","","."&amp;$B486)&amp;IF($C486="","",".dec."&amp;$C486)&amp;"."&amp;X$5</f>
        <v>egy.distn.ief.tpu.dec.urb.2</v>
      </c>
      <c r="Y486" s="208">
        <f>-Y178*Y233*Y$271</f>
        <v>-0.029006688181053057</v>
      </c>
      <c r="Z486" s="203">
        <f>-Z178*Z233*Z$271</f>
        <v>-0.02947463192056591</v>
      </c>
      <c r="AA486" s="203">
        <f>-AA178*AA233*AA$271</f>
        <v>-0.029100642336034474</v>
      </c>
      <c r="AB486" s="203">
        <f>-AB178*AB233*AB$271</f>
        <v>-0.029058439644388378</v>
      </c>
      <c r="AC486" s="203">
        <f>-AC178*AC233*AC$271</f>
        <v>-0.029587844364795505</v>
      </c>
      <c r="AD486" s="203">
        <f>-AD178*AD233*AD$271</f>
        <v>-0.030462577909514</v>
      </c>
      <c r="AE486" s="203">
        <f>-AE178*AE233*AE$271</f>
        <v>-0.029897009352080197</v>
      </c>
      <c r="AF486" s="203">
        <f>-AF178*AF233*AF$271</f>
        <v>-0.02692828102672334</v>
      </c>
      <c r="AG486" s="203">
        <f>-AG178*AG233*AG$271</f>
        <v>-0.029539767097475706</v>
      </c>
      <c r="AH486" s="203">
        <f>-AH178*AH233*AH$271</f>
        <v>-0.025623530747000946</v>
      </c>
      <c r="AI486" s="203">
        <f>-AI178*AI233*AI$271</f>
        <v>-0.023551330694038777</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33" t="inlineStr">
        <is>
          <t>legacy D.II</t>
        </is>
      </c>
      <c r="K487" s="9" t="str">
        <f>LOWER(CtryCode)&amp;".distn."&amp;$A487&amp;IF($B487="","","."&amp;$B487)&amp;IF($C487="","",".dec."&amp;$C487)&amp;"."&amp;K$5</f>
        <v>egy.distn.ief.tot.dec.urb.1</v>
      </c>
      <c r="L487" s="208">
        <f>SUM(L473:L486)</f>
        <v>0.0</v>
      </c>
      <c r="M487" s="203">
        <f>SUM(M473:M486)</f>
        <v>0.0</v>
      </c>
      <c r="N487" s="203">
        <f>SUM(N473:N486)</f>
        <v>0.0</v>
      </c>
      <c r="O487" s="203">
        <f>SUM(O473:O486)</f>
        <v>0.0</v>
      </c>
      <c r="P487" s="203">
        <f>SUM(P473:P486)</f>
        <v>0.0</v>
      </c>
      <c r="Q487" s="203">
        <f>SUM(Q473:Q486)</f>
        <v>0.0</v>
      </c>
      <c r="R487" s="203">
        <f>SUM(R473:R486)</f>
        <v>0.0</v>
      </c>
      <c r="S487" s="203">
        <f>SUM(S473:S486)</f>
        <v>0.0</v>
      </c>
      <c r="T487" s="203">
        <f>SUM(T473:T486)</f>
        <v>0.0</v>
      </c>
      <c r="U487" s="203">
        <f>SUM(U473:U486)</f>
        <v>0.0</v>
      </c>
      <c r="V487" s="203">
        <f>SUM(V473:V486)</f>
        <v>0.0</v>
      </c>
      <c r="W487" s="207" t="str">
        <f>IF(X$5=K$5,SUM(Y487:AI487)-SUM(L487:V487),"")</f>
        <v/>
      </c>
      <c r="X487" s="9" t="str">
        <f>LOWER(CtryCode)&amp;".distn."&amp;$A487&amp;IF($B487="","","."&amp;$B487)&amp;IF($C487="","",".dec."&amp;$C487)&amp;"."&amp;X$5</f>
        <v>egy.distn.ief.tot.dec.urb.2</v>
      </c>
      <c r="Y487" s="208">
        <f>SUM(Y473:Y486)</f>
        <v>-0.16808093227979173</v>
      </c>
      <c r="Z487" s="203">
        <f>SUM(Z473:Z486)</f>
        <v>-0.16623811555228526</v>
      </c>
      <c r="AA487" s="203">
        <f>SUM(AA473:AA486)</f>
        <v>-0.17073967016612812</v>
      </c>
      <c r="AB487" s="203">
        <f>SUM(AB473:AB486)</f>
        <v>-0.17466341904912966</v>
      </c>
      <c r="AC487" s="203">
        <f>SUM(AC473:AC486)</f>
        <v>-0.17096131447115367</v>
      </c>
      <c r="AD487" s="203">
        <f>SUM(AD473:AD486)</f>
        <v>-0.1681068264593726</v>
      </c>
      <c r="AE487" s="203">
        <f>SUM(AE473:AE486)</f>
        <v>-0.168706013670648</v>
      </c>
      <c r="AF487" s="203">
        <f>SUM(AF473:AF486)</f>
        <v>-0.17096820006349941</v>
      </c>
      <c r="AG487" s="203">
        <f>SUM(AG473:AG486)</f>
        <v>-0.16892983967685343</v>
      </c>
      <c r="AH487" s="203">
        <f>SUM(AH473:AH486)</f>
        <v>-0.16753688658682095</v>
      </c>
      <c r="AI487" s="203">
        <f>SUM(AI473:AI486)</f>
        <v>-0.1625549516875491</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33" t="inlineStr">
        <is>
          <t>legacy D.II</t>
        </is>
      </c>
      <c r="K490" s="9" t="str">
        <f>LOWER(CtryCode)&amp;".distn."&amp;$A490&amp;IF($B490="","","."&amp;$B490)&amp;IF($C490="","",".dec."&amp;$C490)&amp;"."&amp;K$5</f>
        <v>egy.distn.def.coa.dec.rur.1</v>
      </c>
      <c r="L490" s="208">
        <f>-L157*L236*L$271</f>
        <v>-0.0</v>
      </c>
      <c r="M490" s="203">
        <f>-M157*M236*M$271</f>
        <v>-0.0</v>
      </c>
      <c r="N490" s="203">
        <f>-N157*N236*N$271</f>
        <v>-0.0</v>
      </c>
      <c r="O490" s="203">
        <f>-O157*O236*O$271</f>
        <v>-0.0</v>
      </c>
      <c r="P490" s="203">
        <f>-P157*P236*P$271</f>
        <v>-0.0</v>
      </c>
      <c r="Q490" s="203">
        <f>-Q157*Q236*Q$271</f>
        <v>-0.0</v>
      </c>
      <c r="R490" s="203">
        <f>-R157*R236*R$271</f>
        <v>-0.0</v>
      </c>
      <c r="S490" s="203">
        <f>-S157*S236*S$271</f>
        <v>-0.0</v>
      </c>
      <c r="T490" s="203">
        <f>-T157*T236*T$271</f>
        <v>-0.0</v>
      </c>
      <c r="U490" s="203">
        <f>-U157*U236*U$271</f>
        <v>-0.0</v>
      </c>
      <c r="V490" s="203">
        <f>-V157*V236*V$271</f>
        <v>-0.0</v>
      </c>
      <c r="W490" s="207" t="str">
        <f>IF(X$5=K$5,SUM(Y490:AI490)-SUM(L490:V490),"")</f>
        <v/>
      </c>
      <c r="X490" s="9" t="str">
        <f>LOWER(CtryCode)&amp;".distn."&amp;$A490&amp;IF($B490="","","."&amp;$B490)&amp;IF($C490="","",".dec."&amp;$C490)&amp;"."&amp;X$5</f>
        <v>egy.distn.def.coa.dec.rur.2</v>
      </c>
      <c r="Y490" s="208">
        <f>-Y157*Y236*Y$271</f>
        <v>-0.0</v>
      </c>
      <c r="Z490" s="203">
        <f>-Z157*Z236*Z$271</f>
        <v>-0.0</v>
      </c>
      <c r="AA490" s="203">
        <f>-AA157*AA236*AA$271</f>
        <v>-0.0</v>
      </c>
      <c r="AB490" s="203">
        <f>-AB157*AB236*AB$271</f>
        <v>-0.0</v>
      </c>
      <c r="AC490" s="203">
        <f>-AC157*AC236*AC$271</f>
        <v>-0.0</v>
      </c>
      <c r="AD490" s="203">
        <f>-AD157*AD236*AD$271</f>
        <v>-0.0</v>
      </c>
      <c r="AE490" s="203">
        <f>-AE157*AE236*AE$271</f>
        <v>-0.0</v>
      </c>
      <c r="AF490" s="203">
        <f>-AF157*AF236*AF$271</f>
        <v>-0.0</v>
      </c>
      <c r="AG490" s="203">
        <f>-AG157*AG236*AG$271</f>
        <v>-0.0</v>
      </c>
      <c r="AH490" s="203">
        <f>-AH157*AH236*AH$271</f>
        <v>-0.0</v>
      </c>
      <c r="AI490" s="203">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33" t="inlineStr">
        <is>
          <t>legacy D.II</t>
        </is>
      </c>
      <c r="K491" s="9" t="str">
        <f>LOWER(CtryCode)&amp;".distn."&amp;$A491&amp;IF($B491="","","."&amp;$B491)&amp;IF($C491="","",".dec."&amp;$C491)&amp;"."&amp;K$5</f>
        <v>egy.distn.def.ely.dec.rur.1</v>
      </c>
      <c r="L491" s="208">
        <f>-L158*L237*L$271</f>
        <v>-0.0</v>
      </c>
      <c r="M491" s="203">
        <f>-M158*M237*M$271</f>
        <v>-0.0</v>
      </c>
      <c r="N491" s="203">
        <f>-N158*N237*N$271</f>
        <v>-0.0</v>
      </c>
      <c r="O491" s="203">
        <f>-O158*O237*O$271</f>
        <v>-0.0</v>
      </c>
      <c r="P491" s="203">
        <f>-P158*P237*P$271</f>
        <v>-0.0</v>
      </c>
      <c r="Q491" s="203">
        <f>-Q158*Q237*Q$271</f>
        <v>-0.0</v>
      </c>
      <c r="R491" s="203">
        <f>-R158*R237*R$271</f>
        <v>-0.0</v>
      </c>
      <c r="S491" s="203">
        <f>-S158*S237*S$271</f>
        <v>-0.0</v>
      </c>
      <c r="T491" s="203">
        <f>-T158*T237*T$271</f>
        <v>-0.0</v>
      </c>
      <c r="U491" s="203">
        <f>-U158*U237*U$271</f>
        <v>-0.0</v>
      </c>
      <c r="V491" s="203">
        <f>-V158*V237*V$271</f>
        <v>-0.0</v>
      </c>
      <c r="W491" s="207" t="str">
        <f>IF(X$5=K$5,SUM(Y491:AI491)-SUM(L491:V491),"")</f>
        <v/>
      </c>
      <c r="X491" s="9" t="str">
        <f>LOWER(CtryCode)&amp;".distn."&amp;$A491&amp;IF($B491="","","."&amp;$B491)&amp;IF($C491="","",".dec."&amp;$C491)&amp;"."&amp;X$5</f>
        <v>egy.distn.def.ely.dec.rur.2</v>
      </c>
      <c r="Y491" s="208">
        <f>-Y158*Y237*Y$271</f>
        <v>-0.5920170284525077</v>
      </c>
      <c r="Z491" s="203">
        <f>-Z158*Z237*Z$271</f>
        <v>-0.629964604580847</v>
      </c>
      <c r="AA491" s="203">
        <f>-AA158*AA237*AA$271</f>
        <v>-0.5735083220068399</v>
      </c>
      <c r="AB491" s="203">
        <f>-AB158*AB237*AB$271</f>
        <v>-0.5292293033600846</v>
      </c>
      <c r="AC491" s="203">
        <f>-AC158*AC237*AC$271</f>
        <v>-0.5352908414023956</v>
      </c>
      <c r="AD491" s="203">
        <f>-AD158*AD237*AD$271</f>
        <v>-0.5504258176732924</v>
      </c>
      <c r="AE491" s="203">
        <f>-AE158*AE237*AE$271</f>
        <v>-0.5619968623338061</v>
      </c>
      <c r="AF491" s="203">
        <f>-AF158*AF237*AF$271</f>
        <v>-0.5222362239143378</v>
      </c>
      <c r="AG491" s="203">
        <f>-AG158*AG237*AG$271</f>
        <v>-0.5583269573408529</v>
      </c>
      <c r="AH491" s="203">
        <f>-AH158*AH237*AH$271</f>
        <v>-0.553351835301694</v>
      </c>
      <c r="AI491" s="203">
        <f>-AI158*AI237*AI$271</f>
        <v>-0.6544665253842866</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33" t="inlineStr">
        <is>
          <t>legacy D.II</t>
        </is>
      </c>
      <c r="K492" s="9" t="str">
        <f>LOWER(CtryCode)&amp;".distn."&amp;$A492&amp;IF($B492="","","."&amp;$B492)&amp;IF($C492="","",".dec."&amp;$C492)&amp;"."&amp;K$5</f>
        <v>egy.distn.def.nga.dec.rur.1</v>
      </c>
      <c r="L492" s="208">
        <f>-L159*L238*L$271</f>
        <v>-0.0</v>
      </c>
      <c r="M492" s="203">
        <f>-M159*M238*M$271</f>
        <v>-0.0</v>
      </c>
      <c r="N492" s="203">
        <f>-N159*N238*N$271</f>
        <v>-0.0</v>
      </c>
      <c r="O492" s="203">
        <f>-O159*O238*O$271</f>
        <v>-0.0</v>
      </c>
      <c r="P492" s="203">
        <f>-P159*P238*P$271</f>
        <v>-0.0</v>
      </c>
      <c r="Q492" s="203">
        <f>-Q159*Q238*Q$271</f>
        <v>-0.0</v>
      </c>
      <c r="R492" s="203">
        <f>-R159*R238*R$271</f>
        <v>-0.0</v>
      </c>
      <c r="S492" s="203">
        <f>-S159*S238*S$271</f>
        <v>-0.0</v>
      </c>
      <c r="T492" s="203">
        <f>-T159*T238*T$271</f>
        <v>-0.0</v>
      </c>
      <c r="U492" s="203">
        <f>-U159*U238*U$271</f>
        <v>-0.0</v>
      </c>
      <c r="V492" s="203">
        <f>-V159*V238*V$271</f>
        <v>-0.0</v>
      </c>
      <c r="W492" s="207" t="str">
        <f>IF(X$5=K$5,SUM(Y492:AI492)-SUM(L492:V492),"")</f>
        <v/>
      </c>
      <c r="X492" s="9" t="str">
        <f>LOWER(CtryCode)&amp;".distn."&amp;$A492&amp;IF($B492="","","."&amp;$B492)&amp;IF($C492="","",".dec."&amp;$C492)&amp;"."&amp;X$5</f>
        <v>egy.distn.def.nga.dec.rur.2</v>
      </c>
      <c r="Y492" s="208">
        <f>-Y159*Y238*Y$271</f>
        <v>-0.021277680898053205</v>
      </c>
      <c r="Z492" s="203">
        <f>-Z159*Z238*Z$271</f>
        <v>-0.017279427894185902</v>
      </c>
      <c r="AA492" s="203">
        <f>-AA159*AA238*AA$271</f>
        <v>-0.022903409058483776</v>
      </c>
      <c r="AB492" s="203">
        <f>-AB159*AB238*AB$271</f>
        <v>-0.02404897269020473</v>
      </c>
      <c r="AC492" s="203">
        <f>-AC159*AC238*AC$271</f>
        <v>-0.021715086388738255</v>
      </c>
      <c r="AD492" s="203">
        <f>-AD159*AD238*AD$271</f>
        <v>-0.023862693359070347</v>
      </c>
      <c r="AE492" s="203">
        <f>-AE159*AE238*AE$271</f>
        <v>-0.023159884791845702</v>
      </c>
      <c r="AF492" s="203">
        <f>-AF159*AF238*AF$271</f>
        <v>-0.02512089186293729</v>
      </c>
      <c r="AG492" s="203">
        <f>-AG159*AG238*AG$271</f>
        <v>-0.028721726425160684</v>
      </c>
      <c r="AH492" s="203">
        <f>-AH159*AH238*AH$271</f>
        <v>-0.020129234214724002</v>
      </c>
      <c r="AI492" s="203">
        <f>-AI159*AI238*AI$271</f>
        <v>-0.021227655852303268</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33" t="inlineStr">
        <is>
          <t>legacy D.II</t>
        </is>
      </c>
      <c r="K493" s="9" t="str">
        <f>LOWER(CtryCode)&amp;".distn."&amp;$A493&amp;IF($B493="","","."&amp;$B493)&amp;IF($C493="","",".dec."&amp;$C493)&amp;"."&amp;K$5</f>
        <v>egy.distn.def.oil.dec.rur.1</v>
      </c>
      <c r="L493" s="208">
        <f>-L160*L239*L$271</f>
        <v>-0.0</v>
      </c>
      <c r="M493" s="203">
        <f>-M160*M239*M$271</f>
        <v>-0.0</v>
      </c>
      <c r="N493" s="203">
        <f>-N160*N239*N$271</f>
        <v>-0.0</v>
      </c>
      <c r="O493" s="203">
        <f>-O160*O239*O$271</f>
        <v>-0.0</v>
      </c>
      <c r="P493" s="203">
        <f>-P160*P239*P$271</f>
        <v>-0.0</v>
      </c>
      <c r="Q493" s="203">
        <f>-Q160*Q239*Q$271</f>
        <v>-0.0</v>
      </c>
      <c r="R493" s="203">
        <f>-R160*R239*R$271</f>
        <v>-0.0</v>
      </c>
      <c r="S493" s="203">
        <f>-S160*S239*S$271</f>
        <v>-0.0</v>
      </c>
      <c r="T493" s="203">
        <f>-T160*T239*T$271</f>
        <v>-0.0</v>
      </c>
      <c r="U493" s="203">
        <f>-U160*U239*U$271</f>
        <v>-0.0</v>
      </c>
      <c r="V493" s="203">
        <f>-V160*V239*V$271</f>
        <v>-0.0</v>
      </c>
      <c r="W493" s="207" t="str">
        <f>IF(X$5=K$5,SUM(Y493:AI493)-SUM(L493:V493),"")</f>
        <v/>
      </c>
      <c r="X493" s="9" t="str">
        <f>LOWER(CtryCode)&amp;".distn."&amp;$A493&amp;IF($B493="","","."&amp;$B493)&amp;IF($C493="","",".dec."&amp;$C493)&amp;"."&amp;X$5</f>
        <v>egy.distn.def.oil.dec.rur.2</v>
      </c>
      <c r="Y493" s="208">
        <f>-Y160*Y239*Y$271</f>
        <v>-0.038236747146346124</v>
      </c>
      <c r="Z493" s="203">
        <f>-Z160*Z239*Z$271</f>
        <v>-0.02826503081316341</v>
      </c>
      <c r="AA493" s="203">
        <f>-AA160*AA239*AA$271</f>
        <v>-0.03182099544200412</v>
      </c>
      <c r="AB493" s="203">
        <f>-AB160*AB239*AB$271</f>
        <v>-0.037752514967631</v>
      </c>
      <c r="AC493" s="203">
        <f>-AC160*AC239*AC$271</f>
        <v>-0.04507515868547117</v>
      </c>
      <c r="AD493" s="203">
        <f>-AD160*AD239*AD$271</f>
        <v>-0.03577026778319399</v>
      </c>
      <c r="AE493" s="203">
        <f>-AE160*AE239*AE$271</f>
        <v>-0.04416201309631948</v>
      </c>
      <c r="AF493" s="203">
        <f>-AF160*AF239*AF$271</f>
        <v>-0.043392962146709534</v>
      </c>
      <c r="AG493" s="203">
        <f>-AG160*AG239*AG$271</f>
        <v>-0.047151834281694775</v>
      </c>
      <c r="AH493" s="203">
        <f>-AH160*AH239*AH$271</f>
        <v>-0.04619542302387416</v>
      </c>
      <c r="AI493" s="203">
        <f>-AI160*AI239*AI$271</f>
        <v>-0.03886813290561905</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33" t="inlineStr">
        <is>
          <t>legacy D.II</t>
        </is>
      </c>
      <c r="K494" s="9" t="str">
        <f>LOWER(CtryCode)&amp;".distn."&amp;$A494&amp;IF($B494="","","."&amp;$B494)&amp;IF($C494="","",".dec."&amp;$C494)&amp;"."&amp;K$5</f>
        <v>egy.distn.def.gso.dec.rur.1</v>
      </c>
      <c r="L494" s="208">
        <f>-L161*L240*L$271</f>
        <v>-0.0</v>
      </c>
      <c r="M494" s="203">
        <f>-M161*M240*M$271</f>
        <v>-0.0</v>
      </c>
      <c r="N494" s="203">
        <f>-N161*N240*N$271</f>
        <v>-0.0</v>
      </c>
      <c r="O494" s="203">
        <f>-O161*O240*O$271</f>
        <v>-0.0</v>
      </c>
      <c r="P494" s="203">
        <f>-P161*P240*P$271</f>
        <v>-0.0</v>
      </c>
      <c r="Q494" s="203">
        <f>-Q161*Q240*Q$271</f>
        <v>-0.0</v>
      </c>
      <c r="R494" s="203">
        <f>-R161*R240*R$271</f>
        <v>-0.0</v>
      </c>
      <c r="S494" s="203">
        <f>-S161*S240*S$271</f>
        <v>-0.0</v>
      </c>
      <c r="T494" s="203">
        <f>-T161*T240*T$271</f>
        <v>-0.0</v>
      </c>
      <c r="U494" s="203">
        <f>-U161*U240*U$271</f>
        <v>-0.0</v>
      </c>
      <c r="V494" s="203">
        <f>-V161*V240*V$271</f>
        <v>-0.0</v>
      </c>
      <c r="W494" s="207" t="str">
        <f>IF(X$5=K$5,SUM(Y494:AI494)-SUM(L494:V494),"")</f>
        <v/>
      </c>
      <c r="X494" s="9" t="str">
        <f>LOWER(CtryCode)&amp;".distn."&amp;$A494&amp;IF($B494="","","."&amp;$B494)&amp;IF($C494="","",".dec."&amp;$C494)&amp;"."&amp;X$5</f>
        <v>egy.distn.def.gso.dec.rur.2</v>
      </c>
      <c r="Y494" s="208">
        <f>-Y161*Y240*Y$271</f>
        <v>-0.05627160066632294</v>
      </c>
      <c r="Z494" s="203">
        <f>-Z161*Z240*Z$271</f>
        <v>-0.036586514643083816</v>
      </c>
      <c r="AA494" s="203">
        <f>-AA161*AA240*AA$271</f>
        <v>-0.043894060542970056</v>
      </c>
      <c r="AB494" s="203">
        <f>-AB161*AB240*AB$271</f>
        <v>-0.05337940770768808</v>
      </c>
      <c r="AC494" s="203">
        <f>-AC161*AC240*AC$271</f>
        <v>-0.06457423032523528</v>
      </c>
      <c r="AD494" s="203">
        <f>-AD161*AD240*AD$271</f>
        <v>-0.05413549103137235</v>
      </c>
      <c r="AE494" s="203">
        <f>-AE161*AE240*AE$271</f>
        <v>-0.06210919775230097</v>
      </c>
      <c r="AF494" s="203">
        <f>-AF161*AF240*AF$271</f>
        <v>-0.06919063054169525</v>
      </c>
      <c r="AG494" s="203">
        <f>-AG161*AG240*AG$271</f>
        <v>-0.08110579518501632</v>
      </c>
      <c r="AH494" s="203">
        <f>-AH161*AH240*AH$271</f>
        <v>-0.07100527384757811</v>
      </c>
      <c r="AI494" s="203">
        <f>-AI161*AI240*AI$271</f>
        <v>-0.06441000499962117</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33" t="inlineStr">
        <is>
          <t>legacy D.II</t>
        </is>
      </c>
      <c r="K495" s="9" t="str">
        <f>LOWER(CtryCode)&amp;".distn."&amp;$A495&amp;IF($B495="","","."&amp;$B495)&amp;IF($C495="","",".dec."&amp;$C495)&amp;"."&amp;K$5</f>
        <v>egy.distn.def.die.dec.rur.1</v>
      </c>
      <c r="L495" s="208">
        <f>-L162*L241*L$271</f>
        <v>-0.0</v>
      </c>
      <c r="M495" s="203">
        <f>-M162*M241*M$271</f>
        <v>-0.0</v>
      </c>
      <c r="N495" s="203">
        <f>-N162*N241*N$271</f>
        <v>-0.0</v>
      </c>
      <c r="O495" s="203">
        <f>-O162*O241*O$271</f>
        <v>-0.0</v>
      </c>
      <c r="P495" s="203">
        <f>-P162*P241*P$271</f>
        <v>-0.0</v>
      </c>
      <c r="Q495" s="203">
        <f>-Q162*Q241*Q$271</f>
        <v>-0.0</v>
      </c>
      <c r="R495" s="203">
        <f>-R162*R241*R$271</f>
        <v>-0.0</v>
      </c>
      <c r="S495" s="203">
        <f>-S162*S241*S$271</f>
        <v>-0.0</v>
      </c>
      <c r="T495" s="203">
        <f>-T162*T241*T$271</f>
        <v>-0.0</v>
      </c>
      <c r="U495" s="203">
        <f>-U162*U241*U$271</f>
        <v>-0.0</v>
      </c>
      <c r="V495" s="203">
        <f>-V162*V241*V$271</f>
        <v>-0.0</v>
      </c>
      <c r="W495" s="207" t="str">
        <f>IF(X$5=K$5,SUM(Y495:AI495)-SUM(L495:V495),"")</f>
        <v/>
      </c>
      <c r="X495" s="9" t="str">
        <f>LOWER(CtryCode)&amp;".distn."&amp;$A495&amp;IF($B495="","","."&amp;$B495)&amp;IF($C495="","",".dec."&amp;$C495)&amp;"."&amp;X$5</f>
        <v>egy.distn.def.die.dec.rur.2</v>
      </c>
      <c r="Y495" s="208">
        <f>-Y162*Y241*Y$271</f>
        <v>-0.0</v>
      </c>
      <c r="Z495" s="203">
        <f>-Z162*Z241*Z$271</f>
        <v>-0.0</v>
      </c>
      <c r="AA495" s="203">
        <f>-AA162*AA241*AA$271</f>
        <v>-0.0</v>
      </c>
      <c r="AB495" s="203">
        <f>-AB162*AB241*AB$271</f>
        <v>-0.0</v>
      </c>
      <c r="AC495" s="203">
        <f>-AC162*AC241*AC$271</f>
        <v>-0.0</v>
      </c>
      <c r="AD495" s="203">
        <f>-AD162*AD241*AD$271</f>
        <v>-0.0</v>
      </c>
      <c r="AE495" s="203">
        <f>-AE162*AE241*AE$271</f>
        <v>-0.0</v>
      </c>
      <c r="AF495" s="203">
        <f>-AF162*AF241*AF$271</f>
        <v>-0.0</v>
      </c>
      <c r="AG495" s="203">
        <f>-AG162*AG241*AG$271</f>
        <v>-0.0</v>
      </c>
      <c r="AH495" s="203">
        <f>-AH162*AH241*AH$271</f>
        <v>-0.0</v>
      </c>
      <c r="AI495" s="203">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33" t="inlineStr">
        <is>
          <t>legacy D.II</t>
        </is>
      </c>
      <c r="K496" s="9" t="str">
        <f>LOWER(CtryCode)&amp;".distn."&amp;$A496&amp;IF($B496="","","."&amp;$B496)&amp;IF($C496="","",".dec."&amp;$C496)&amp;"."&amp;K$5</f>
        <v>egy.distn.def.ker.dec.rur.1</v>
      </c>
      <c r="L496" s="208">
        <f>-L163*L242*L$271</f>
        <v>-0.0</v>
      </c>
      <c r="M496" s="203">
        <f>-M163*M242*M$271</f>
        <v>-0.0</v>
      </c>
      <c r="N496" s="203">
        <f>-N163*N242*N$271</f>
        <v>-0.0</v>
      </c>
      <c r="O496" s="203">
        <f>-O163*O242*O$271</f>
        <v>-0.0</v>
      </c>
      <c r="P496" s="203">
        <f>-P163*P242*P$271</f>
        <v>-0.0</v>
      </c>
      <c r="Q496" s="203">
        <f>-Q163*Q242*Q$271</f>
        <v>-0.0</v>
      </c>
      <c r="R496" s="203">
        <f>-R163*R242*R$271</f>
        <v>-0.0</v>
      </c>
      <c r="S496" s="203">
        <f>-S163*S242*S$271</f>
        <v>-0.0</v>
      </c>
      <c r="T496" s="203">
        <f>-T163*T242*T$271</f>
        <v>-0.0</v>
      </c>
      <c r="U496" s="203">
        <f>-U163*U242*U$271</f>
        <v>-0.0</v>
      </c>
      <c r="V496" s="203">
        <f>-V163*V242*V$271</f>
        <v>-0.0</v>
      </c>
      <c r="W496" s="207" t="str">
        <f>IF(X$5=K$5,SUM(Y496:AI496)-SUM(L496:V496),"")</f>
        <v/>
      </c>
      <c r="X496" s="9" t="str">
        <f>LOWER(CtryCode)&amp;".distn."&amp;$A496&amp;IF($B496="","","."&amp;$B496)&amp;IF($C496="","",".dec."&amp;$C496)&amp;"."&amp;X$5</f>
        <v>egy.distn.def.ker.dec.rur.2</v>
      </c>
      <c r="Y496" s="208">
        <f>-Y163*Y242*Y$271</f>
        <v>-7.576822359316547e-06</v>
      </c>
      <c r="Z496" s="203">
        <f>-Z163*Z242*Z$271</f>
        <v>-5.782564510363812e-06</v>
      </c>
      <c r="AA496" s="203">
        <f>-AA163*AA242*AA$271</f>
        <v>-0.0</v>
      </c>
      <c r="AB496" s="203">
        <f>-AB163*AB242*AB$271</f>
        <v>-3.911768686599395e-06</v>
      </c>
      <c r="AC496" s="203">
        <f>-AC163*AC242*AC$271</f>
        <v>-0.0</v>
      </c>
      <c r="AD496" s="203">
        <f>-AD163*AD242*AD$271</f>
        <v>-2.149960302292856e-05</v>
      </c>
      <c r="AE496" s="203">
        <f>-AE163*AE242*AE$271</f>
        <v>-1.1701716103938838e-05</v>
      </c>
      <c r="AF496" s="203">
        <f>-AF163*AF242*AF$271</f>
        <v>-0.0</v>
      </c>
      <c r="AG496" s="203">
        <f>-AG163*AG242*AG$271</f>
        <v>-0.0</v>
      </c>
      <c r="AH496" s="203">
        <f>-AH163*AH242*AH$271</f>
        <v>-7.582905866661941e-06</v>
      </c>
      <c r="AI496" s="203">
        <f>-AI163*AI242*AI$271</f>
        <v>-2.8016970428561294e-05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33" t="inlineStr">
        <is>
          <t>legacy D.II</t>
        </is>
      </c>
      <c r="K497" s="9" t="str">
        <f>LOWER(CtryCode)&amp;".distn."&amp;$A497&amp;IF($B497="","","."&amp;$B497)&amp;IF($C497="","",".dec."&amp;$C497)&amp;"."&amp;K$5</f>
        <v>egy.distn.def.lpg.dec.rur.1</v>
      </c>
      <c r="L497" s="208">
        <f>-L164*L243*L$271</f>
        <v>-0.0</v>
      </c>
      <c r="M497" s="203">
        <f>-M164*M243*M$271</f>
        <v>-0.0</v>
      </c>
      <c r="N497" s="203">
        <f>-N164*N243*N$271</f>
        <v>-0.0</v>
      </c>
      <c r="O497" s="203">
        <f>-O164*O243*O$271</f>
        <v>-0.0</v>
      </c>
      <c r="P497" s="203">
        <f>-P164*P243*P$271</f>
        <v>-0.0</v>
      </c>
      <c r="Q497" s="203">
        <f>-Q164*Q243*Q$271</f>
        <v>-0.0</v>
      </c>
      <c r="R497" s="203">
        <f>-R164*R243*R$271</f>
        <v>-0.0</v>
      </c>
      <c r="S497" s="203">
        <f>-S164*S243*S$271</f>
        <v>-0.0</v>
      </c>
      <c r="T497" s="203">
        <f>-T164*T243*T$271</f>
        <v>-0.0</v>
      </c>
      <c r="U497" s="203">
        <f>-U164*U243*U$271</f>
        <v>-0.0</v>
      </c>
      <c r="V497" s="203">
        <f>-V164*V243*V$271</f>
        <v>-0.0</v>
      </c>
      <c r="W497" s="207" t="str">
        <f>IF(X$5=K$5,SUM(Y497:AI497)-SUM(L497:V497),"")</f>
        <v/>
      </c>
      <c r="X497" s="9" t="str">
        <f>LOWER(CtryCode)&amp;".distn."&amp;$A497&amp;IF($B497="","","."&amp;$B497)&amp;IF($C497="","",".dec."&amp;$C497)&amp;"."&amp;X$5</f>
        <v>egy.distn.def.lpg.dec.rur.2</v>
      </c>
      <c r="Y497" s="208">
        <f>-Y164*Y243*Y$271</f>
        <v>-0.6783723155071324</v>
      </c>
      <c r="Z497" s="203">
        <f>-Z164*Z243*Z$271</f>
        <v>-0.927953142442562</v>
      </c>
      <c r="AA497" s="203">
        <f>-AA164*AA243*AA$271</f>
        <v>-0.7844553922324747</v>
      </c>
      <c r="AB497" s="203">
        <f>-AB164*AB243*AB$271</f>
        <v>-0.7497392876845236</v>
      </c>
      <c r="AC497" s="203">
        <f>-AC164*AC243*AC$271</f>
        <v>-0.7574252125739386</v>
      </c>
      <c r="AD497" s="203">
        <f>-AD164*AD243*AD$271</f>
        <v>-0.7097998894367169</v>
      </c>
      <c r="AE497" s="203">
        <f>-AE164*AE243*AE$271</f>
        <v>-0.6291074935963298</v>
      </c>
      <c r="AF497" s="203">
        <f>-AF164*AF243*AF$271</f>
        <v>-0.6069065507202684</v>
      </c>
      <c r="AG497" s="203">
        <f>-AG164*AG243*AG$271</f>
        <v>-0.6589773343089534</v>
      </c>
      <c r="AH497" s="203">
        <f>-AH164*AH243*AH$271</f>
        <v>-0.6890611382281121</v>
      </c>
      <c r="AI497" s="203">
        <f>-AI164*AI243*AI$271</f>
        <v>-0.6679174020811072</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33" t="inlineStr">
        <is>
          <t>legacy D.II</t>
        </is>
      </c>
      <c r="K498" s="9" t="str">
        <f>LOWER(CtryCode)&amp;".distn."&amp;$A498&amp;IF($B498="","","."&amp;$B498)&amp;IF($C498="","",".dec."&amp;$C498)&amp;"."&amp;K$5</f>
        <v>egy.distn.def.tot.dec.rur.1</v>
      </c>
      <c r="L498" s="208">
        <f>SUM(L490:L497)</f>
        <v>0.0</v>
      </c>
      <c r="M498" s="203">
        <f>SUM(M490:M497)</f>
        <v>0.0</v>
      </c>
      <c r="N498" s="203">
        <f>SUM(N490:N497)</f>
        <v>0.0</v>
      </c>
      <c r="O498" s="203">
        <f>SUM(O490:O497)</f>
        <v>0.0</v>
      </c>
      <c r="P498" s="203">
        <f>SUM(P490:P497)</f>
        <v>0.0</v>
      </c>
      <c r="Q498" s="203">
        <f>SUM(Q490:Q497)</f>
        <v>0.0</v>
      </c>
      <c r="R498" s="203">
        <f>SUM(R490:R497)</f>
        <v>0.0</v>
      </c>
      <c r="S498" s="203">
        <f>SUM(S490:S497)</f>
        <v>0.0</v>
      </c>
      <c r="T498" s="203">
        <f>SUM(T490:T497)</f>
        <v>0.0</v>
      </c>
      <c r="U498" s="203">
        <f>SUM(U490:U497)</f>
        <v>0.0</v>
      </c>
      <c r="V498" s="203">
        <f>SUM(V490:V497)</f>
        <v>0.0</v>
      </c>
      <c r="W498" s="207" t="str">
        <f>IF(X$5=K$5,SUM(Y498:AI498)-SUM(L498:V498),"")</f>
        <v/>
      </c>
      <c r="X498" s="9" t="str">
        <f>LOWER(CtryCode)&amp;".distn."&amp;$A498&amp;IF($B498="","","."&amp;$B498)&amp;IF($C498="","",".dec."&amp;$C498)&amp;"."&amp;X$5</f>
        <v>egy.distn.def.tot.dec.rur.2</v>
      </c>
      <c r="Y498" s="208">
        <f>SUM(Y490:Y497)</f>
        <v>-1.3861829494927216</v>
      </c>
      <c r="Z498" s="203">
        <f>SUM(Z490:Z497)</f>
        <v>-1.6400545029383524</v>
      </c>
      <c r="AA498" s="203">
        <f>SUM(AA490:AA497)</f>
        <v>-1.4565821792827727</v>
      </c>
      <c r="AB498" s="203">
        <f>SUM(AB490:AB497)</f>
        <v>-1.3941533981788186</v>
      </c>
      <c r="AC498" s="203">
        <f>SUM(AC490:AC497)</f>
        <v>-1.4240805293757788</v>
      </c>
      <c r="AD498" s="203">
        <f>SUM(AD490:AD497)</f>
        <v>-1.3740156588866688</v>
      </c>
      <c r="AE498" s="203">
        <f>SUM(AE490:AE497)</f>
        <v>-1.320547153286706</v>
      </c>
      <c r="AF498" s="203">
        <f>SUM(AF490:AF497)</f>
        <v>-1.2668472591859483</v>
      </c>
      <c r="AG498" s="203">
        <f>SUM(AG490:AG497)</f>
        <v>-1.3742836475416782</v>
      </c>
      <c r="AH498" s="203">
        <f>SUM(AH490:AH497)</f>
        <v>-1.3797504875218491</v>
      </c>
      <c r="AI498" s="203">
        <f>SUM(AI490:AI497)</f>
        <v>-1.446917738193366</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33" t="inlineStr">
        <is>
          <t>legacy D.II</t>
        </is>
      </c>
      <c r="K499" s="9" t="str">
        <f>LOWER(CtryCode)&amp;".distn."&amp;$A499&amp;IF($B499="","","."&amp;$B499)&amp;IF($C499="","",".dec."&amp;$C499)&amp;"."&amp;K$5</f>
        <v>egy.distn.ief.app.dec.rur.1</v>
      </c>
      <c r="L499" s="208">
        <f>-L165*L244*L$271</f>
        <v>-0.0</v>
      </c>
      <c r="M499" s="203">
        <f>-M165*M244*M$271</f>
        <v>-0.0</v>
      </c>
      <c r="N499" s="203">
        <f>-N165*N244*N$271</f>
        <v>-0.0</v>
      </c>
      <c r="O499" s="203">
        <f>-O165*O244*O$271</f>
        <v>-0.0</v>
      </c>
      <c r="P499" s="203">
        <f>-P165*P244*P$271</f>
        <v>-0.0</v>
      </c>
      <c r="Q499" s="203">
        <f>-Q165*Q244*Q$271</f>
        <v>-0.0</v>
      </c>
      <c r="R499" s="203">
        <f>-R165*R244*R$271</f>
        <v>-0.0</v>
      </c>
      <c r="S499" s="203">
        <f>-S165*S244*S$271</f>
        <v>-0.0</v>
      </c>
      <c r="T499" s="203">
        <f>-T165*T244*T$271</f>
        <v>-0.0</v>
      </c>
      <c r="U499" s="203">
        <f>-U165*U244*U$271</f>
        <v>-0.0</v>
      </c>
      <c r="V499" s="203">
        <f>-V165*V244*V$271</f>
        <v>-0.0</v>
      </c>
      <c r="W499" s="207" t="str">
        <f>IF(X$5=K$5,SUM(Y499:AI499)-SUM(L499:V499),"")</f>
        <v/>
      </c>
      <c r="X499" s="9" t="str">
        <f>LOWER(CtryCode)&amp;".distn."&amp;$A499&amp;IF($B499="","","."&amp;$B499)&amp;IF($C499="","",".dec."&amp;$C499)&amp;"."&amp;X$5</f>
        <v>egy.distn.ief.app.dec.rur.2</v>
      </c>
      <c r="Y499" s="208">
        <f>-Y165*Y244*Y$271</f>
        <v>-0.005009005114544295</v>
      </c>
      <c r="Z499" s="203">
        <f>-Z165*Z244*Z$271</f>
        <v>-0.00529998446944195</v>
      </c>
      <c r="AA499" s="203">
        <f>-AA165*AA244*AA$271</f>
        <v>-0.005084685258179647</v>
      </c>
      <c r="AB499" s="203">
        <f>-AB165*AB244*AB$271</f>
        <v>-0.005068153197294878</v>
      </c>
      <c r="AC499" s="203">
        <f>-AC165*AC244*AC$271</f>
        <v>-0.005113973488394157</v>
      </c>
      <c r="AD499" s="203">
        <f>-AD165*AD244*AD$271</f>
        <v>-0.004966188362608199</v>
      </c>
      <c r="AE499" s="203">
        <f>-AE165*AE244*AE$271</f>
        <v>-0.0050677213102308</v>
      </c>
      <c r="AF499" s="203">
        <f>-AF165*AF244*AF$271</f>
        <v>-0.005552059051503741</v>
      </c>
      <c r="AG499" s="203">
        <f>-AG165*AG244*AG$271</f>
        <v>-0.005132818685013978</v>
      </c>
      <c r="AH499" s="203">
        <f>-AH165*AH244*AH$271</f>
        <v>-0.004926559171479568</v>
      </c>
      <c r="AI499" s="203">
        <f>-AI165*AI244*AI$271</f>
        <v>-0.005641652032962276</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33" t="inlineStr">
        <is>
          <t>legacy D.II</t>
        </is>
      </c>
      <c r="K500" s="9" t="str">
        <f>LOWER(CtryCode)&amp;".distn."&amp;$A500&amp;IF($B500="","","."&amp;$B500)&amp;IF($C500="","",".dec."&amp;$C500)&amp;"."&amp;K$5</f>
        <v>egy.distn.ief.che.dec.rur.1</v>
      </c>
      <c r="L500" s="208">
        <f>-L166*L245*L$271</f>
        <v>-0.0</v>
      </c>
      <c r="M500" s="203">
        <f>-M166*M245*M$271</f>
        <v>-0.0</v>
      </c>
      <c r="N500" s="203">
        <f>-N166*N245*N$271</f>
        <v>-0.0</v>
      </c>
      <c r="O500" s="203">
        <f>-O166*O245*O$271</f>
        <v>-0.0</v>
      </c>
      <c r="P500" s="203">
        <f>-P166*P245*P$271</f>
        <v>-0.0</v>
      </c>
      <c r="Q500" s="203">
        <f>-Q166*Q245*Q$271</f>
        <v>-0.0</v>
      </c>
      <c r="R500" s="203">
        <f>-R166*R245*R$271</f>
        <v>-0.0</v>
      </c>
      <c r="S500" s="203">
        <f>-S166*S245*S$271</f>
        <v>-0.0</v>
      </c>
      <c r="T500" s="203">
        <f>-T166*T245*T$271</f>
        <v>-0.0</v>
      </c>
      <c r="U500" s="203">
        <f>-U166*U245*U$271</f>
        <v>-0.0</v>
      </c>
      <c r="V500" s="203">
        <f>-V166*V245*V$271</f>
        <v>-0.0</v>
      </c>
      <c r="W500" s="207" t="str">
        <f>IF(X$5=K$5,SUM(Y500:AI500)-SUM(L500:V500),"")</f>
        <v/>
      </c>
      <c r="X500" s="9" t="str">
        <f>LOWER(CtryCode)&amp;".distn."&amp;$A500&amp;IF($B500="","","."&amp;$B500)&amp;IF($C500="","",".dec."&amp;$C500)&amp;"."&amp;X$5</f>
        <v>egy.distn.ief.che.dec.rur.2</v>
      </c>
      <c r="Y500" s="208">
        <f>-Y166*Y245*Y$271</f>
        <v>-0.022885675132062556</v>
      </c>
      <c r="Z500" s="203">
        <f>-Z166*Z245*Z$271</f>
        <v>-0.027385598879896864</v>
      </c>
      <c r="AA500" s="203">
        <f>-AA166*AA245*AA$271</f>
        <v>-0.02332020361286006</v>
      </c>
      <c r="AB500" s="203">
        <f>-AB166*AB245*AB$271</f>
        <v>-0.022426951717339046</v>
      </c>
      <c r="AC500" s="203">
        <f>-AC166*AC245*AC$271</f>
        <v>-0.020792740442568347</v>
      </c>
      <c r="AD500" s="203">
        <f>-AD166*AD245*AD$271</f>
        <v>-0.02195854002684667</v>
      </c>
      <c r="AE500" s="203">
        <f>-AE166*AE245*AE$271</f>
        <v>-0.02268013793781339</v>
      </c>
      <c r="AF500" s="203">
        <f>-AF166*AF245*AF$271</f>
        <v>-0.023409894473782483</v>
      </c>
      <c r="AG500" s="203">
        <f>-AG166*AG245*AG$271</f>
        <v>-0.02089822977648034</v>
      </c>
      <c r="AH500" s="203">
        <f>-AH166*AH245*AH$271</f>
        <v>-0.022104380269365728</v>
      </c>
      <c r="AI500" s="203">
        <f>-AI166*AI245*AI$271</f>
        <v>-0.021553605743841426</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33" t="inlineStr">
        <is>
          <t>legacy D.II</t>
        </is>
      </c>
      <c r="K501" s="9" t="str">
        <f>LOWER(CtryCode)&amp;".distn."&amp;$A501&amp;IF($B501="","","."&amp;$B501)&amp;IF($C501="","",".dec."&amp;$C501)&amp;"."&amp;K$5</f>
        <v>egy.distn.ief.clo.dec.rur.1</v>
      </c>
      <c r="L501" s="208">
        <f>-L167*L246*L$271</f>
        <v>-0.0</v>
      </c>
      <c r="M501" s="203">
        <f>-M167*M246*M$271</f>
        <v>-0.0</v>
      </c>
      <c r="N501" s="203">
        <f>-N167*N246*N$271</f>
        <v>-0.0</v>
      </c>
      <c r="O501" s="203">
        <f>-O167*O246*O$271</f>
        <v>-0.0</v>
      </c>
      <c r="P501" s="203">
        <f>-P167*P246*P$271</f>
        <v>-0.0</v>
      </c>
      <c r="Q501" s="203">
        <f>-Q167*Q246*Q$271</f>
        <v>-0.0</v>
      </c>
      <c r="R501" s="203">
        <f>-R167*R246*R$271</f>
        <v>-0.0</v>
      </c>
      <c r="S501" s="203">
        <f>-S167*S246*S$271</f>
        <v>-0.0</v>
      </c>
      <c r="T501" s="203">
        <f>-T167*T246*T$271</f>
        <v>-0.0</v>
      </c>
      <c r="U501" s="203">
        <f>-U167*U246*U$271</f>
        <v>-0.0</v>
      </c>
      <c r="V501" s="203">
        <f>-V167*V246*V$271</f>
        <v>-0.0</v>
      </c>
      <c r="W501" s="207" t="str">
        <f>IF(X$5=K$5,SUM(Y501:AI501)-SUM(L501:V501),"")</f>
        <v/>
      </c>
      <c r="X501" s="9" t="str">
        <f>LOWER(CtryCode)&amp;".distn."&amp;$A501&amp;IF($B501="","","."&amp;$B501)&amp;IF($C501="","",".dec."&amp;$C501)&amp;"."&amp;X$5</f>
        <v>egy.distn.ief.clo.dec.rur.2</v>
      </c>
      <c r="Y501" s="208">
        <f>-Y167*Y246*Y$271</f>
        <v>-0.0072748464776649395</v>
      </c>
      <c r="Z501" s="203">
        <f>-Z167*Z246*Z$271</f>
        <v>-0.006690054874455145</v>
      </c>
      <c r="AA501" s="203">
        <f>-AA167*AA246*AA$271</f>
        <v>-0.0066349835613068835</v>
      </c>
      <c r="AB501" s="203">
        <f>-AB167*AB246*AB$271</f>
        <v>-0.00705787169894722</v>
      </c>
      <c r="AC501" s="203">
        <f>-AC167*AC246*AC$271</f>
        <v>-0.007569913964569173</v>
      </c>
      <c r="AD501" s="203">
        <f>-AD167*AD246*AD$271</f>
        <v>-0.007720891283250193</v>
      </c>
      <c r="AE501" s="203">
        <f>-AE167*AE246*AE$271</f>
        <v>-0.007909476408522235</v>
      </c>
      <c r="AF501" s="203">
        <f>-AF167*AF246*AF$271</f>
        <v>-0.00774078669725574</v>
      </c>
      <c r="AG501" s="203">
        <f>-AG167*AG246*AG$271</f>
        <v>-0.006297287364535437</v>
      </c>
      <c r="AH501" s="203">
        <f>-AH167*AH246*AH$271</f>
        <v>-0.006136905881388402</v>
      </c>
      <c r="AI501" s="203">
        <f>-AI167*AI246*AI$271</f>
        <v>-0.004747748447743274</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33" t="inlineStr">
        <is>
          <t>legacy D.II</t>
        </is>
      </c>
      <c r="K502" s="9" t="str">
        <f>LOWER(CtryCode)&amp;".distn."&amp;$A502&amp;IF($B502="","","."&amp;$B502)&amp;IF($C502="","",".dec."&amp;$C502)&amp;"."&amp;K$5</f>
        <v>egy.distn.ief.com.dec.rur.1</v>
      </c>
      <c r="L502" s="208">
        <f>-L168*L247*L$271</f>
        <v>-0.0</v>
      </c>
      <c r="M502" s="203">
        <f>-M168*M247*M$271</f>
        <v>-0.0</v>
      </c>
      <c r="N502" s="203">
        <f>-N168*N247*N$271</f>
        <v>-0.0</v>
      </c>
      <c r="O502" s="203">
        <f>-O168*O247*O$271</f>
        <v>-0.0</v>
      </c>
      <c r="P502" s="203">
        <f>-P168*P247*P$271</f>
        <v>-0.0</v>
      </c>
      <c r="Q502" s="203">
        <f>-Q168*Q247*Q$271</f>
        <v>-0.0</v>
      </c>
      <c r="R502" s="203">
        <f>-R168*R247*R$271</f>
        <v>-0.0</v>
      </c>
      <c r="S502" s="203">
        <f>-S168*S247*S$271</f>
        <v>-0.0</v>
      </c>
      <c r="T502" s="203">
        <f>-T168*T247*T$271</f>
        <v>-0.0</v>
      </c>
      <c r="U502" s="203">
        <f>-U168*U247*U$271</f>
        <v>-0.0</v>
      </c>
      <c r="V502" s="203">
        <f>-V168*V247*V$271</f>
        <v>-0.0</v>
      </c>
      <c r="W502" s="207" t="str">
        <f>IF(X$5=K$5,SUM(Y502:AI502)-SUM(L502:V502),"")</f>
        <v/>
      </c>
      <c r="X502" s="9" t="str">
        <f>LOWER(CtryCode)&amp;".distn."&amp;$A502&amp;IF($B502="","","."&amp;$B502)&amp;IF($C502="","",".dec."&amp;$C502)&amp;"."&amp;X$5</f>
        <v>egy.distn.ief.com.dec.rur.2</v>
      </c>
      <c r="Y502" s="208">
        <f>-Y168*Y247*Y$271</f>
        <v>-0.0010352497572265573</v>
      </c>
      <c r="Z502" s="203">
        <f>-Z168*Z247*Z$271</f>
        <v>-0.000904262990694073</v>
      </c>
      <c r="AA502" s="203">
        <f>-AA168*AA247*AA$271</f>
        <v>-0.0008404243303734996</v>
      </c>
      <c r="AB502" s="203">
        <f>-AB168*AB247*AB$271</f>
        <v>-0.0010234807671878337</v>
      </c>
      <c r="AC502" s="203">
        <f>-AC168*AC247*AC$271</f>
        <v>-0.0010131240868837574</v>
      </c>
      <c r="AD502" s="203">
        <f>-AD168*AD247*AD$271</f>
        <v>-0.0010189923632726104</v>
      </c>
      <c r="AE502" s="203">
        <f>-AE168*AE247*AE$271</f>
        <v>-0.0010488471141525259</v>
      </c>
      <c r="AF502" s="203">
        <f>-AF168*AF247*AF$271</f>
        <v>-0.0010318172878267648</v>
      </c>
      <c r="AG502" s="203">
        <f>-AG168*AG247*AG$271</f>
        <v>-0.0010357459908543216</v>
      </c>
      <c r="AH502" s="203">
        <f>-AH168*AH247*AH$271</f>
        <v>-0.0009714880445974332</v>
      </c>
      <c r="AI502" s="203">
        <f>-AI168*AI247*AI$271</f>
        <v>-0.0009602385640133467</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33" t="inlineStr">
        <is>
          <t>legacy D.II</t>
        </is>
      </c>
      <c r="K503" s="9" t="str">
        <f>LOWER(CtryCode)&amp;".distn."&amp;$A503&amp;IF($B503="","","."&amp;$B503)&amp;IF($C503="","",".dec."&amp;$C503)&amp;"."&amp;K$5</f>
        <v>egy.distn.ief.edu.dec.rur.1</v>
      </c>
      <c r="L503" s="208">
        <f>-L169*L248*L$271</f>
        <v>-0.0</v>
      </c>
      <c r="M503" s="203">
        <f>-M169*M248*M$271</f>
        <v>-0.0</v>
      </c>
      <c r="N503" s="203">
        <f>-N169*N248*N$271</f>
        <v>-0.0</v>
      </c>
      <c r="O503" s="203">
        <f>-O169*O248*O$271</f>
        <v>-0.0</v>
      </c>
      <c r="P503" s="203">
        <f>-P169*P248*P$271</f>
        <v>-0.0</v>
      </c>
      <c r="Q503" s="203">
        <f>-Q169*Q248*Q$271</f>
        <v>-0.0</v>
      </c>
      <c r="R503" s="203">
        <f>-R169*R248*R$271</f>
        <v>-0.0</v>
      </c>
      <c r="S503" s="203">
        <f>-S169*S248*S$271</f>
        <v>-0.0</v>
      </c>
      <c r="T503" s="203">
        <f>-T169*T248*T$271</f>
        <v>-0.0</v>
      </c>
      <c r="U503" s="203">
        <f>-U169*U248*U$271</f>
        <v>-0.0</v>
      </c>
      <c r="V503" s="203">
        <f>-V169*V248*V$271</f>
        <v>-0.0</v>
      </c>
      <c r="W503" s="207" t="str">
        <f>IF(X$5=K$5,SUM(Y503:AI503)-SUM(L503:V503),"")</f>
        <v/>
      </c>
      <c r="X503" s="9" t="str">
        <f>LOWER(CtryCode)&amp;".distn."&amp;$A503&amp;IF($B503="","","."&amp;$B503)&amp;IF($C503="","",".dec."&amp;$C503)&amp;"."&amp;X$5</f>
        <v>egy.distn.ief.edu.dec.rur.2</v>
      </c>
      <c r="Y503" s="208">
        <f>-Y169*Y248*Y$271</f>
        <v>-0.003266293986145213</v>
      </c>
      <c r="Z503" s="203">
        <f>-Z169*Z248*Z$271</f>
        <v>-0.002588860622160639</v>
      </c>
      <c r="AA503" s="203">
        <f>-AA169*AA248*AA$271</f>
        <v>-0.00351786928914527</v>
      </c>
      <c r="AB503" s="203">
        <f>-AB169*AB248*AB$271</f>
        <v>-0.0039176048904434055</v>
      </c>
      <c r="AC503" s="203">
        <f>-AC169*AC248*AC$271</f>
        <v>-0.004130198305485638</v>
      </c>
      <c r="AD503" s="203">
        <f>-AD169*AD248*AD$271</f>
        <v>-0.00431799557938995</v>
      </c>
      <c r="AE503" s="203">
        <f>-AE169*AE248*AE$271</f>
        <v>-0.004423572383734923</v>
      </c>
      <c r="AF503" s="203">
        <f>-AF169*AF248*AF$271</f>
        <v>-0.00394074012057175</v>
      </c>
      <c r="AG503" s="203">
        <f>-AG169*AG248*AG$271</f>
        <v>-0.003649720520936481</v>
      </c>
      <c r="AH503" s="203">
        <f>-AH169*AH248*AH$271</f>
        <v>-0.002590935318765309</v>
      </c>
      <c r="AI503" s="203">
        <f>-AI169*AI248*AI$271</f>
        <v>-0.0014053871349881994</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33" t="inlineStr">
        <is>
          <t>legacy D.II</t>
        </is>
      </c>
      <c r="K504" s="9" t="str">
        <f>LOWER(CtryCode)&amp;".distn."&amp;$A504&amp;IF($B504="","","."&amp;$B504)&amp;IF($C504="","",".dec."&amp;$C504)&amp;"."&amp;K$5</f>
        <v>egy.distn.ief.food.dec.rur.1</v>
      </c>
      <c r="L504" s="208">
        <f>-L170*L249*L$271</f>
        <v>-0.0</v>
      </c>
      <c r="M504" s="203">
        <f>-M170*M249*M$271</f>
        <v>-0.0</v>
      </c>
      <c r="N504" s="203">
        <f>-N170*N249*N$271</f>
        <v>-0.0</v>
      </c>
      <c r="O504" s="203">
        <f>-O170*O249*O$271</f>
        <v>-0.0</v>
      </c>
      <c r="P504" s="203">
        <f>-P170*P249*P$271</f>
        <v>-0.0</v>
      </c>
      <c r="Q504" s="203">
        <f>-Q170*Q249*Q$271</f>
        <v>-0.0</v>
      </c>
      <c r="R504" s="203">
        <f>-R170*R249*R$271</f>
        <v>-0.0</v>
      </c>
      <c r="S504" s="203">
        <f>-S170*S249*S$271</f>
        <v>-0.0</v>
      </c>
      <c r="T504" s="203">
        <f>-T170*T249*T$271</f>
        <v>-0.0</v>
      </c>
      <c r="U504" s="203">
        <f>-U170*U249*U$271</f>
        <v>-0.0</v>
      </c>
      <c r="V504" s="203">
        <f>-V170*V249*V$271</f>
        <v>-0.0</v>
      </c>
      <c r="W504" s="207" t="str">
        <f>IF(X$5=K$5,SUM(Y504:AI504)-SUM(L504:V504),"")</f>
        <v/>
      </c>
      <c r="X504" s="9" t="str">
        <f>LOWER(CtryCode)&amp;".distn."&amp;$A504&amp;IF($B504="","","."&amp;$B504)&amp;IF($C504="","",".dec."&amp;$C504)&amp;"."&amp;X$5</f>
        <v>egy.distn.ief.food.dec.rur.2</v>
      </c>
      <c r="Y504" s="208">
        <f>-Y170*Y249*Y$271</f>
        <v>-0.07316272566041901</v>
      </c>
      <c r="Z504" s="203">
        <f>-Z170*Z249*Z$271</f>
        <v>-0.07145829247527166</v>
      </c>
      <c r="AA504" s="203">
        <f>-AA170*AA249*AA$271</f>
        <v>-0.07347683267478877</v>
      </c>
      <c r="AB504" s="203">
        <f>-AB170*AB249*AB$271</f>
        <v>-0.06944916521440744</v>
      </c>
      <c r="AC504" s="203">
        <f>-AC170*AC249*AC$271</f>
        <v>-0.06735073128316464</v>
      </c>
      <c r="AD504" s="203">
        <f>-AD170*AD249*AD$271</f>
        <v>-0.06664637844497368</v>
      </c>
      <c r="AE504" s="203">
        <f>-AE170*AE249*AE$271</f>
        <v>-0.06916838805552579</v>
      </c>
      <c r="AF504" s="203">
        <f>-AF170*AF249*AF$271</f>
        <v>-0.06822362241833074</v>
      </c>
      <c r="AG504" s="203">
        <f>-AG170*AG249*AG$271</f>
        <v>-0.06780539754150688</v>
      </c>
      <c r="AH504" s="203">
        <f>-AH170*AH249*AH$271</f>
        <v>-0.0637994117705119</v>
      </c>
      <c r="AI504" s="203">
        <f>-AI170*AI249*AI$271</f>
        <v>-0.06252998122624988</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33" t="inlineStr">
        <is>
          <t>legacy D.II</t>
        </is>
      </c>
      <c r="K505" s="9" t="str">
        <f>LOWER(CtryCode)&amp;".distn."&amp;$A505&amp;IF($B505="","","."&amp;$B505)&amp;IF($C505="","",".dec."&amp;$C505)&amp;"."&amp;K$5</f>
        <v>egy.distn.ief.hea.dec.rur.1</v>
      </c>
      <c r="L505" s="208">
        <f>-L171*L250*L$271</f>
        <v>-0.0</v>
      </c>
      <c r="M505" s="203">
        <f>-M171*M250*M$271</f>
        <v>-0.0</v>
      </c>
      <c r="N505" s="203">
        <f>-N171*N250*N$271</f>
        <v>-0.0</v>
      </c>
      <c r="O505" s="203">
        <f>-O171*O250*O$271</f>
        <v>-0.0</v>
      </c>
      <c r="P505" s="203">
        <f>-P171*P250*P$271</f>
        <v>-0.0</v>
      </c>
      <c r="Q505" s="203">
        <f>-Q171*Q250*Q$271</f>
        <v>-0.0</v>
      </c>
      <c r="R505" s="203">
        <f>-R171*R250*R$271</f>
        <v>-0.0</v>
      </c>
      <c r="S505" s="203">
        <f>-S171*S250*S$271</f>
        <v>-0.0</v>
      </c>
      <c r="T505" s="203">
        <f>-T171*T250*T$271</f>
        <v>-0.0</v>
      </c>
      <c r="U505" s="203">
        <f>-U171*U250*U$271</f>
        <v>-0.0</v>
      </c>
      <c r="V505" s="203">
        <f>-V171*V250*V$271</f>
        <v>-0.0</v>
      </c>
      <c r="W505" s="207" t="str">
        <f>IF(X$5=K$5,SUM(Y505:AI505)-SUM(L505:V505),"")</f>
        <v/>
      </c>
      <c r="X505" s="9" t="str">
        <f>LOWER(CtryCode)&amp;".distn."&amp;$A505&amp;IF($B505="","","."&amp;$B505)&amp;IF($C505="","",".dec."&amp;$C505)&amp;"."&amp;X$5</f>
        <v>egy.distn.ief.hea.dec.rur.2</v>
      </c>
      <c r="Y505" s="208">
        <f>-Y171*Y250*Y$271</f>
        <v>-0.0056706229715729195</v>
      </c>
      <c r="Z505" s="203">
        <f>-Z171*Z250*Z$271</f>
        <v>-0.004358840093476891</v>
      </c>
      <c r="AA505" s="203">
        <f>-AA171*AA250*AA$271</f>
        <v>-0.004424431613947142</v>
      </c>
      <c r="AB505" s="203">
        <f>-AB171*AB250*AB$271</f>
        <v>-0.004315604520808978</v>
      </c>
      <c r="AC505" s="203">
        <f>-AC171*AC250*AC$271</f>
        <v>-0.005449155211418775</v>
      </c>
      <c r="AD505" s="203">
        <f>-AD171*AD250*AD$271</f>
        <v>-0.0053226846661277305</v>
      </c>
      <c r="AE505" s="203">
        <f>-AE171*AE250*AE$271</f>
        <v>-0.005156735014578686</v>
      </c>
      <c r="AF505" s="203">
        <f>-AF171*AF250*AF$271</f>
        <v>-0.00611896795694718</v>
      </c>
      <c r="AG505" s="203">
        <f>-AG171*AG250*AG$271</f>
        <v>-0.006615622745789624</v>
      </c>
      <c r="AH505" s="203">
        <f>-AH171*AH250*AH$271</f>
        <v>-0.006779578310181992</v>
      </c>
      <c r="AI505" s="203">
        <f>-AI171*AI250*AI$271</f>
        <v>-0.008971949589801177</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33" t="inlineStr">
        <is>
          <t>legacy D.II</t>
        </is>
      </c>
      <c r="K506" s="9" t="str">
        <f>LOWER(CtryCode)&amp;".distn."&amp;$A506&amp;IF($B506="","","."&amp;$B506)&amp;IF($C506="","",".dec."&amp;$C506)&amp;"."&amp;K$5</f>
        <v>egy.distn.ief.hou.dec.rur.1</v>
      </c>
      <c r="L506" s="208">
        <f>-L172*L251*L$271</f>
        <v>-0.0</v>
      </c>
      <c r="M506" s="203">
        <f>-M172*M251*M$271</f>
        <v>-0.0</v>
      </c>
      <c r="N506" s="203">
        <f>-N172*N251*N$271</f>
        <v>-0.0</v>
      </c>
      <c r="O506" s="203">
        <f>-O172*O251*O$271</f>
        <v>-0.0</v>
      </c>
      <c r="P506" s="203">
        <f>-P172*P251*P$271</f>
        <v>-0.0</v>
      </c>
      <c r="Q506" s="203">
        <f>-Q172*Q251*Q$271</f>
        <v>-0.0</v>
      </c>
      <c r="R506" s="203">
        <f>-R172*R251*R$271</f>
        <v>-0.0</v>
      </c>
      <c r="S506" s="203">
        <f>-S172*S251*S$271</f>
        <v>-0.0</v>
      </c>
      <c r="T506" s="203">
        <f>-T172*T251*T$271</f>
        <v>-0.0</v>
      </c>
      <c r="U506" s="203">
        <f>-U172*U251*U$271</f>
        <v>-0.0</v>
      </c>
      <c r="V506" s="203">
        <f>-V172*V251*V$271</f>
        <v>-0.0</v>
      </c>
      <c r="W506" s="207" t="str">
        <f>IF(X$5=K$5,SUM(Y506:AI506)-SUM(L506:V506),"")</f>
        <v/>
      </c>
      <c r="X506" s="9" t="str">
        <f>LOWER(CtryCode)&amp;".distn."&amp;$A506&amp;IF($B506="","","."&amp;$B506)&amp;IF($C506="","",".dec."&amp;$C506)&amp;"."&amp;X$5</f>
        <v>egy.distn.ief.hou.dec.rur.2</v>
      </c>
      <c r="Y506" s="208">
        <f>-Y172*Y251*Y$271</f>
        <v>-0.003931828518989308</v>
      </c>
      <c r="Z506" s="203">
        <f>-Z172*Z251*Z$271</f>
        <v>-0.0039832776570471245</v>
      </c>
      <c r="AA506" s="203">
        <f>-AA172*AA251*AA$271</f>
        <v>-0.0035496605538991996</v>
      </c>
      <c r="AB506" s="203">
        <f>-AB172*AB251*AB$271</f>
        <v>-0.003913954007606665</v>
      </c>
      <c r="AC506" s="203">
        <f>-AC172*AC251*AC$271</f>
        <v>-0.0033726848548993587</v>
      </c>
      <c r="AD506" s="203">
        <f>-AD172*AD251*AD$271</f>
        <v>-0.0031782558688720217</v>
      </c>
      <c r="AE506" s="203">
        <f>-AE172*AE251*AE$271</f>
        <v>-0.003941104721404493</v>
      </c>
      <c r="AF506" s="203">
        <f>-AF172*AF251*AF$271</f>
        <v>-0.0034524432054559846</v>
      </c>
      <c r="AG506" s="203">
        <f>-AG172*AG251*AG$271</f>
        <v>-0.004113026004265365</v>
      </c>
      <c r="AH506" s="203">
        <f>-AH172*AH251*AH$271</f>
        <v>-0.004028145114548188</v>
      </c>
      <c r="AI506" s="203">
        <f>-AI172*AI251*AI$271</f>
        <v>-0.004665929551240705</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33" t="inlineStr">
        <is>
          <t>legacy D.II</t>
        </is>
      </c>
      <c r="K507" s="9" t="str">
        <f>LOWER(CtryCode)&amp;".distn."&amp;$A507&amp;IF($B507="","","."&amp;$B507)&amp;IF($C507="","",".dec."&amp;$C507)&amp;"."&amp;K$5</f>
        <v>egy.distn.ief.oth.dec.rur.1</v>
      </c>
      <c r="L507" s="208">
        <f>-L173*L252*L$271</f>
        <v>-0.0</v>
      </c>
      <c r="M507" s="203">
        <f>-M173*M252*M$271</f>
        <v>-0.0</v>
      </c>
      <c r="N507" s="203">
        <f>-N173*N252*N$271</f>
        <v>-0.0</v>
      </c>
      <c r="O507" s="203">
        <f>-O173*O252*O$271</f>
        <v>-0.0</v>
      </c>
      <c r="P507" s="203">
        <f>-P173*P252*P$271</f>
        <v>-0.0</v>
      </c>
      <c r="Q507" s="203">
        <f>-Q173*Q252*Q$271</f>
        <v>-0.0</v>
      </c>
      <c r="R507" s="203">
        <f>-R173*R252*R$271</f>
        <v>-0.0</v>
      </c>
      <c r="S507" s="203">
        <f>-S173*S252*S$271</f>
        <v>-0.0</v>
      </c>
      <c r="T507" s="203">
        <f>-T173*T252*T$271</f>
        <v>-0.0</v>
      </c>
      <c r="U507" s="203">
        <f>-U173*U252*U$271</f>
        <v>-0.0</v>
      </c>
      <c r="V507" s="203">
        <f>-V173*V252*V$271</f>
        <v>-0.0</v>
      </c>
      <c r="W507" s="207" t="str">
        <f>IF(X$5=K$5,SUM(Y507:AI507)-SUM(L507:V507),"")</f>
        <v/>
      </c>
      <c r="X507" s="9" t="str">
        <f>LOWER(CtryCode)&amp;".distn."&amp;$A507&amp;IF($B507="","","."&amp;$B507)&amp;IF($C507="","",".dec."&amp;$C507)&amp;"."&amp;X$5</f>
        <v>egy.distn.ief.oth.dec.rur.2</v>
      </c>
      <c r="Y507" s="208">
        <f>-Y173*Y252*Y$271</f>
        <v>-5.288397409645424e-06</v>
      </c>
      <c r="Z507" s="203">
        <f>-Z173*Z252*Z$271</f>
        <v>-6.665201971729031e-06</v>
      </c>
      <c r="AA507" s="203">
        <f>-AA173*AA252*AA$271</f>
        <v>-2.0379836829007955e-06</v>
      </c>
      <c r="AB507" s="203">
        <f>-AB173*AB252*AB$271</f>
        <v>-5.044479778172345e-06</v>
      </c>
      <c r="AC507" s="203">
        <f>-AC173*AC252*AC$271</f>
        <v>-3.8337960104704685e-06</v>
      </c>
      <c r="AD507" s="203">
        <f>-AD173*AD252*AD$271</f>
        <v>-5.2099028926391785e-06</v>
      </c>
      <c r="AE507" s="203">
        <f>-AE173*AE252*AE$271</f>
        <v>-6.390664193671093e-06</v>
      </c>
      <c r="AF507" s="203">
        <f>-AF173*AF252*AF$271</f>
        <v>-7.815766455506005e-06</v>
      </c>
      <c r="AG507" s="203">
        <f>-AG173*AG252*AG$271</f>
        <v>-6.727781471960168e-06</v>
      </c>
      <c r="AH507" s="203">
        <f>-AH173*AH252*AH$271</f>
        <v>-3.986287595449941e-06</v>
      </c>
      <c r="AI507" s="203">
        <f>-AI173*AI252*AI$271</f>
        <v>-8.430099145315517e-06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33" t="inlineStr">
        <is>
          <t>legacy D.II</t>
        </is>
      </c>
      <c r="K508" s="9" t="str">
        <f>LOWER(CtryCode)&amp;".distn."&amp;$A508&amp;IF($B508="","","."&amp;$B508)&amp;IF($C508="","",".dec."&amp;$C508)&amp;"."&amp;K$5</f>
        <v>egy.distn.ief.pap.dec.rur.1</v>
      </c>
      <c r="L508" s="208">
        <f>-L174*L253*L$271</f>
        <v>-0.0</v>
      </c>
      <c r="M508" s="203">
        <f>-M174*M253*M$271</f>
        <v>-0.0</v>
      </c>
      <c r="N508" s="203">
        <f>-N174*N253*N$271</f>
        <v>-0.0</v>
      </c>
      <c r="O508" s="203">
        <f>-O174*O253*O$271</f>
        <v>-0.0</v>
      </c>
      <c r="P508" s="203">
        <f>-P174*P253*P$271</f>
        <v>-0.0</v>
      </c>
      <c r="Q508" s="203">
        <f>-Q174*Q253*Q$271</f>
        <v>-0.0</v>
      </c>
      <c r="R508" s="203">
        <f>-R174*R253*R$271</f>
        <v>-0.0</v>
      </c>
      <c r="S508" s="203">
        <f>-S174*S253*S$271</f>
        <v>-0.0</v>
      </c>
      <c r="T508" s="203">
        <f>-T174*T253*T$271</f>
        <v>-0.0</v>
      </c>
      <c r="U508" s="203">
        <f>-U174*U253*U$271</f>
        <v>-0.0</v>
      </c>
      <c r="V508" s="203">
        <f>-V174*V253*V$271</f>
        <v>-0.0</v>
      </c>
      <c r="W508" s="207" t="str">
        <f>IF(X$5=K$5,SUM(Y508:AI508)-SUM(L508:V508),"")</f>
        <v/>
      </c>
      <c r="X508" s="9" t="str">
        <f>LOWER(CtryCode)&amp;".distn."&amp;$A508&amp;IF($B508="","","."&amp;$B508)&amp;IF($C508="","",".dec."&amp;$C508)&amp;"."&amp;X$5</f>
        <v>egy.distn.ief.pap.dec.rur.2</v>
      </c>
      <c r="Y508" s="208">
        <f>-Y174*Y253*Y$271</f>
        <v>-0.0037233376986400718</v>
      </c>
      <c r="Z508" s="203">
        <f>-Z174*Z253*Z$271</f>
        <v>-0.004407648105855788</v>
      </c>
      <c r="AA508" s="203">
        <f>-AA174*AA253*AA$271</f>
        <v>-0.004686602560756553</v>
      </c>
      <c r="AB508" s="203">
        <f>-AB174*AB253*AB$271</f>
        <v>-0.0042430763654021635</v>
      </c>
      <c r="AC508" s="203">
        <f>-AC174*AC253*AC$271</f>
        <v>-0.004438966877197639</v>
      </c>
      <c r="AD508" s="203">
        <f>-AD174*AD253*AD$271</f>
        <v>-0.004377710352762739</v>
      </c>
      <c r="AE508" s="203">
        <f>-AE174*AE253*AE$271</f>
        <v>-0.004175644180573315</v>
      </c>
      <c r="AF508" s="203">
        <f>-AF174*AF253*AF$271</f>
        <v>-0.003334577821422866</v>
      </c>
      <c r="AG508" s="203">
        <f>-AG174*AG253*AG$271</f>
        <v>-0.002996822628273566</v>
      </c>
      <c r="AH508" s="203">
        <f>-AH174*AH253*AH$271</f>
        <v>-0.002452577030583761</v>
      </c>
      <c r="AI508" s="203">
        <f>-AI174*AI253*AI$271</f>
        <v>-0.0014259724427297454</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33" t="inlineStr">
        <is>
          <t>legacy D.II</t>
        </is>
      </c>
      <c r="K509" s="9" t="str">
        <f>LOWER(CtryCode)&amp;".distn."&amp;$A509&amp;IF($B509="","","."&amp;$B509)&amp;IF($C509="","",".dec."&amp;$C509)&amp;"."&amp;K$5</f>
        <v>egy.distn.ief.pha.dec.rur.1</v>
      </c>
      <c r="L509" s="208">
        <f>-L175*L254*L$271</f>
        <v>-0.0</v>
      </c>
      <c r="M509" s="203">
        <f>-M175*M254*M$271</f>
        <v>-0.0</v>
      </c>
      <c r="N509" s="203">
        <f>-N175*N254*N$271</f>
        <v>-0.0</v>
      </c>
      <c r="O509" s="203">
        <f>-O175*O254*O$271</f>
        <v>-0.0</v>
      </c>
      <c r="P509" s="203">
        <f>-P175*P254*P$271</f>
        <v>-0.0</v>
      </c>
      <c r="Q509" s="203">
        <f>-Q175*Q254*Q$271</f>
        <v>-0.0</v>
      </c>
      <c r="R509" s="203">
        <f>-R175*R254*R$271</f>
        <v>-0.0</v>
      </c>
      <c r="S509" s="203">
        <f>-S175*S254*S$271</f>
        <v>-0.0</v>
      </c>
      <c r="T509" s="203">
        <f>-T175*T254*T$271</f>
        <v>-0.0</v>
      </c>
      <c r="U509" s="203">
        <f>-U175*U254*U$271</f>
        <v>-0.0</v>
      </c>
      <c r="V509" s="203">
        <f>-V175*V254*V$271</f>
        <v>-0.0</v>
      </c>
      <c r="W509" s="207" t="str">
        <f>IF(X$5=K$5,SUM(Y509:AI509)-SUM(L509:V509),"")</f>
        <v/>
      </c>
      <c r="X509" s="9" t="str">
        <f>LOWER(CtryCode)&amp;".distn."&amp;$A509&amp;IF($B509="","","."&amp;$B509)&amp;IF($C509="","",".dec."&amp;$C509)&amp;"."&amp;X$5</f>
        <v>egy.distn.ief.pha.dec.rur.2</v>
      </c>
      <c r="Y509" s="208">
        <f>-Y175*Y254*Y$271</f>
        <v>-0.01439953778889007</v>
      </c>
      <c r="Z509" s="203">
        <f>-Z175*Z254*Z$271</f>
        <v>-0.011685784242729006</v>
      </c>
      <c r="AA509" s="203">
        <f>-AA175*AA254*AA$271</f>
        <v>-0.010767995548161546</v>
      </c>
      <c r="AB509" s="203">
        <f>-AB175*AB254*AB$271</f>
        <v>-0.011057736576248839</v>
      </c>
      <c r="AC509" s="203">
        <f>-AC175*AC254*AC$271</f>
        <v>-0.012322123270573254</v>
      </c>
      <c r="AD509" s="203">
        <f>-AD175*AD254*AD$271</f>
        <v>-0.012806554396455725</v>
      </c>
      <c r="AE509" s="203">
        <f>-AE175*AE254*AE$271</f>
        <v>-0.012999366185805493</v>
      </c>
      <c r="AF509" s="203">
        <f>-AF175*AF254*AF$271</f>
        <v>-0.015469439290842685</v>
      </c>
      <c r="AG509" s="203">
        <f>-AG175*AG254*AG$271</f>
        <v>-0.015764924216389375</v>
      </c>
      <c r="AH509" s="203">
        <f>-AH175*AH254*AH$271</f>
        <v>-0.020594943190751745</v>
      </c>
      <c r="AI509" s="203">
        <f>-AI175*AI254*AI$271</f>
        <v>-0.02684954053388647</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33" t="inlineStr">
        <is>
          <t>legacy D.II</t>
        </is>
      </c>
      <c r="K510" s="9" t="str">
        <f>LOWER(CtryCode)&amp;".distn."&amp;$A510&amp;IF($B510="","","."&amp;$B510)&amp;IF($C510="","",".dec."&amp;$C510)&amp;"."&amp;K$5</f>
        <v>egy.distn.ief.ret.dec.rur.1</v>
      </c>
      <c r="L510" s="208">
        <f>-L176*L255*L$271</f>
        <v>-0.0</v>
      </c>
      <c r="M510" s="203">
        <f>-M176*M255*M$271</f>
        <v>-0.0</v>
      </c>
      <c r="N510" s="203">
        <f>-N176*N255*N$271</f>
        <v>-0.0</v>
      </c>
      <c r="O510" s="203">
        <f>-O176*O255*O$271</f>
        <v>-0.0</v>
      </c>
      <c r="P510" s="203">
        <f>-P176*P255*P$271</f>
        <v>-0.0</v>
      </c>
      <c r="Q510" s="203">
        <f>-Q176*Q255*Q$271</f>
        <v>-0.0</v>
      </c>
      <c r="R510" s="203">
        <f>-R176*R255*R$271</f>
        <v>-0.0</v>
      </c>
      <c r="S510" s="203">
        <f>-S176*S255*S$271</f>
        <v>-0.0</v>
      </c>
      <c r="T510" s="203">
        <f>-T176*T255*T$271</f>
        <v>-0.0</v>
      </c>
      <c r="U510" s="203">
        <f>-U176*U255*U$271</f>
        <v>-0.0</v>
      </c>
      <c r="V510" s="203">
        <f>-V176*V255*V$271</f>
        <v>-0.0</v>
      </c>
      <c r="W510" s="207" t="str">
        <f>IF(X$5=K$5,SUM(Y510:AI510)-SUM(L510:V510),"")</f>
        <v/>
      </c>
      <c r="X510" s="9" t="str">
        <f>LOWER(CtryCode)&amp;".distn."&amp;$A510&amp;IF($B510="","","."&amp;$B510)&amp;IF($C510="","",".dec."&amp;$C510)&amp;"."&amp;X$5</f>
        <v>egy.distn.ief.ret.dec.rur.2</v>
      </c>
      <c r="Y510" s="208">
        <f>-Y176*Y255*Y$271</f>
        <v>-0.005875649821847586</v>
      </c>
      <c r="Z510" s="203">
        <f>-Z176*Z255*Z$271</f>
        <v>-0.005910349489532944</v>
      </c>
      <c r="AA510" s="203">
        <f>-AA176*AA255*AA$271</f>
        <v>-0.006031237556973686</v>
      </c>
      <c r="AB510" s="203">
        <f>-AB176*AB255*AB$271</f>
        <v>-0.0057395896885790885</v>
      </c>
      <c r="AC510" s="203">
        <f>-AC176*AC255*AC$271</f>
        <v>-0.00585277710684321</v>
      </c>
      <c r="AD510" s="203">
        <f>-AD176*AD255*AD$271</f>
        <v>-0.005674322162317758</v>
      </c>
      <c r="AE510" s="203">
        <f>-AE176*AE255*AE$271</f>
        <v>-0.005558695031720174</v>
      </c>
      <c r="AF510" s="203">
        <f>-AF176*AF255*AF$271</f>
        <v>-0.005593187945972861</v>
      </c>
      <c r="AG510" s="203">
        <f>-AG176*AG255*AG$271</f>
        <v>-0.005826462585045016</v>
      </c>
      <c r="AH510" s="203">
        <f>-AH176*AH255*AH$271</f>
        <v>-0.005185993200933662</v>
      </c>
      <c r="AI510" s="203">
        <f>-AI176*AI255*AI$271</f>
        <v>-0.005535835803529267</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33" t="inlineStr">
        <is>
          <t>legacy D.II</t>
        </is>
      </c>
      <c r="K511" s="9" t="str">
        <f>LOWER(CtryCode)&amp;".distn."&amp;$A511&amp;IF($B511="","","."&amp;$B511)&amp;IF($C511="","",".dec."&amp;$C511)&amp;"."&amp;K$5</f>
        <v>egy.distn.ief.teq.dec.rur.1</v>
      </c>
      <c r="L511" s="208">
        <f>-L177*L256*L$271</f>
        <v>-0.0</v>
      </c>
      <c r="M511" s="203">
        <f>-M177*M256*M$271</f>
        <v>-0.0</v>
      </c>
      <c r="N511" s="203">
        <f>-N177*N256*N$271</f>
        <v>-0.0</v>
      </c>
      <c r="O511" s="203">
        <f>-O177*O256*O$271</f>
        <v>-0.0</v>
      </c>
      <c r="P511" s="203">
        <f>-P177*P256*P$271</f>
        <v>-0.0</v>
      </c>
      <c r="Q511" s="203">
        <f>-Q177*Q256*Q$271</f>
        <v>-0.0</v>
      </c>
      <c r="R511" s="203">
        <f>-R177*R256*R$271</f>
        <v>-0.0</v>
      </c>
      <c r="S511" s="203">
        <f>-S177*S256*S$271</f>
        <v>-0.0</v>
      </c>
      <c r="T511" s="203">
        <f>-T177*T256*T$271</f>
        <v>-0.0</v>
      </c>
      <c r="U511" s="203">
        <f>-U177*U256*U$271</f>
        <v>-0.0</v>
      </c>
      <c r="V511" s="203">
        <f>-V177*V256*V$271</f>
        <v>-0.0</v>
      </c>
      <c r="W511" s="207" t="str">
        <f>IF(X$5=K$5,SUM(Y511:AI511)-SUM(L511:V511),"")</f>
        <v/>
      </c>
      <c r="X511" s="9" t="str">
        <f>LOWER(CtryCode)&amp;".distn."&amp;$A511&amp;IF($B511="","","."&amp;$B511)&amp;IF($C511="","",".dec."&amp;$C511)&amp;"."&amp;X$5</f>
        <v>egy.distn.ief.teq.dec.rur.2</v>
      </c>
      <c r="Y511" s="208">
        <f>-Y177*Y256*Y$271</f>
        <v>-0.00041348631986329543</v>
      </c>
      <c r="Z511" s="203">
        <f>-Z177*Z256*Z$271</f>
        <v>-0.00022858215271039304</v>
      </c>
      <c r="AA511" s="203">
        <f>-AA177*AA256*AA$271</f>
        <v>-0.0001937146067795776</v>
      </c>
      <c r="AB511" s="203">
        <f>-AB177*AB256*AB$271</f>
        <v>-0.00033391826044938623</v>
      </c>
      <c r="AC511" s="203">
        <f>-AC177*AC256*AC$271</f>
        <v>-0.00040774285415452933</v>
      </c>
      <c r="AD511" s="203">
        <f>-AD177*AD256*AD$271</f>
        <v>-0.00030750710372143367</v>
      </c>
      <c r="AE511" s="203">
        <f>-AE177*AE256*AE$271</f>
        <v>-0.0004368836453847515</v>
      </c>
      <c r="AF511" s="203">
        <f>-AF177*AF256*AF$271</f>
        <v>-0.00044534166597896764</v>
      </c>
      <c r="AG511" s="203">
        <f>-AG177*AG256*AG$271</f>
        <v>-0.0005651913783212989</v>
      </c>
      <c r="AH511" s="203">
        <f>-AH177*AH256*AH$271</f>
        <v>-0.000671801930991813</v>
      </c>
      <c r="AI511" s="203">
        <f>-AI177*AI256*AI$271</f>
        <v>-0.0005755316413991669</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33" t="inlineStr">
        <is>
          <t>legacy D.II</t>
        </is>
      </c>
      <c r="K512" s="9" t="str">
        <f>LOWER(CtryCode)&amp;".distn."&amp;$A512&amp;IF($B512="","","."&amp;$B512)&amp;IF($C512="","",".dec."&amp;$C512)&amp;"."&amp;K$5</f>
        <v>egy.distn.ief.tpu.dec.rur.1</v>
      </c>
      <c r="L512" s="208">
        <f>-L178*L257*L$271</f>
        <v>-0.0</v>
      </c>
      <c r="M512" s="203">
        <f>-M178*M257*M$271</f>
        <v>-0.0</v>
      </c>
      <c r="N512" s="203">
        <f>-N178*N257*N$271</f>
        <v>-0.0</v>
      </c>
      <c r="O512" s="203">
        <f>-O178*O257*O$271</f>
        <v>-0.0</v>
      </c>
      <c r="P512" s="203">
        <f>-P178*P257*P$271</f>
        <v>-0.0</v>
      </c>
      <c r="Q512" s="203">
        <f>-Q178*Q257*Q$271</f>
        <v>-0.0</v>
      </c>
      <c r="R512" s="203">
        <f>-R178*R257*R$271</f>
        <v>-0.0</v>
      </c>
      <c r="S512" s="203">
        <f>-S178*S257*S$271</f>
        <v>-0.0</v>
      </c>
      <c r="T512" s="203">
        <f>-T178*T257*T$271</f>
        <v>-0.0</v>
      </c>
      <c r="U512" s="203">
        <f>-U178*U257*U$271</f>
        <v>-0.0</v>
      </c>
      <c r="V512" s="203">
        <f>-V178*V257*V$271</f>
        <v>-0.0</v>
      </c>
      <c r="W512" s="207" t="str">
        <f>IF(X$5=K$5,SUM(Y512:AI512)-SUM(L512:V512),"")</f>
        <v/>
      </c>
      <c r="X512" s="9" t="str">
        <f>LOWER(CtryCode)&amp;".distn."&amp;$A512&amp;IF($B512="","","."&amp;$B512)&amp;IF($C512="","",".dec."&amp;$C512)&amp;"."&amp;X$5</f>
        <v>egy.distn.ief.tpu.dec.rur.2</v>
      </c>
      <c r="Y512" s="208">
        <f>-Y178*Y257*Y$271</f>
        <v>-0.021867514585562072</v>
      </c>
      <c r="Z512" s="203">
        <f>-Z178*Z257*Z$271</f>
        <v>-0.023051681333406793</v>
      </c>
      <c r="AA512" s="203">
        <f>-AA178*AA257*AA$271</f>
        <v>-0.019752553001146377</v>
      </c>
      <c r="AB512" s="203">
        <f>-AB178*AB257*AB$271</f>
        <v>-0.018895247681318773</v>
      </c>
      <c r="AC512" s="203">
        <f>-AC178*AC257*AC$271</f>
        <v>-0.021709300377592784</v>
      </c>
      <c r="AD512" s="203">
        <f>-AD178*AD257*AD$271</f>
        <v>-0.02357837395747754</v>
      </c>
      <c r="AE512" s="203">
        <f>-AE178*AE257*AE$271</f>
        <v>-0.022040670606375906</v>
      </c>
      <c r="AF512" s="203">
        <f>-AF178*AF257*AF$271</f>
        <v>-0.02296149196937808</v>
      </c>
      <c r="AG512" s="203">
        <f>-AG178*AG257*AG$271</f>
        <v>-0.023257712880934537</v>
      </c>
      <c r="AH512" s="203">
        <f>-AH178*AH257*AH$271</f>
        <v>-0.02195673085031491</v>
      </c>
      <c r="AI512" s="203">
        <f>-AI178*AI257*AI$271</f>
        <v>-0.019811961679586175</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33" t="inlineStr">
        <is>
          <t>legacy D.II</t>
        </is>
      </c>
      <c r="K513" s="9" t="str">
        <f>LOWER(CtryCode)&amp;".distn."&amp;$A513&amp;IF($B513="","","."&amp;$B513)&amp;IF($C513="","",".dec."&amp;$C513)&amp;"."&amp;K$5</f>
        <v>egy.distn.ief.tot.dec.rur.1</v>
      </c>
      <c r="L513" s="208">
        <f>SUM(L499:L512)</f>
        <v>0.0</v>
      </c>
      <c r="M513" s="203">
        <f>SUM(M499:M512)</f>
        <v>0.0</v>
      </c>
      <c r="N513" s="203">
        <f>SUM(N499:N512)</f>
        <v>0.0</v>
      </c>
      <c r="O513" s="203">
        <f>SUM(O499:O512)</f>
        <v>0.0</v>
      </c>
      <c r="P513" s="203">
        <f>SUM(P499:P512)</f>
        <v>0.0</v>
      </c>
      <c r="Q513" s="203">
        <f>SUM(Q499:Q512)</f>
        <v>0.0</v>
      </c>
      <c r="R513" s="203">
        <f>SUM(R499:R512)</f>
        <v>0.0</v>
      </c>
      <c r="S513" s="203">
        <f>SUM(S499:S512)</f>
        <v>0.0</v>
      </c>
      <c r="T513" s="203">
        <f>SUM(T499:T512)</f>
        <v>0.0</v>
      </c>
      <c r="U513" s="203">
        <f>SUM(U499:U512)</f>
        <v>0.0</v>
      </c>
      <c r="V513" s="203">
        <f>SUM(V499:V512)</f>
        <v>0.0</v>
      </c>
      <c r="W513" s="207" t="str">
        <f>IF(X$5=K$5,SUM(Y513:AI513)-SUM(L513:V513),"")</f>
        <v/>
      </c>
      <c r="X513" s="9" t="str">
        <f>LOWER(CtryCode)&amp;".distn."&amp;$A513&amp;IF($B513="","","."&amp;$B513)&amp;IF($C513="","",".dec."&amp;$C513)&amp;"."&amp;X$5</f>
        <v>egy.distn.ief.tot.dec.rur.2</v>
      </c>
      <c r="Y513" s="208">
        <f>SUM(Y499:Y512)</f>
        <v>-0.16852106223083754</v>
      </c>
      <c r="Z513" s="203">
        <f>SUM(Z499:Z512)</f>
        <v>-0.167959882588651</v>
      </c>
      <c r="AA513" s="203">
        <f>SUM(AA499:AA512)</f>
        <v>-0.1622832321520011</v>
      </c>
      <c r="AB513" s="203">
        <f>SUM(AB499:AB512)</f>
        <v>-0.1574473990658119</v>
      </c>
      <c r="AC513" s="203">
        <f>SUM(AC499:AC512)</f>
        <v>-0.15952726591975572</v>
      </c>
      <c r="AD513" s="203">
        <f>SUM(AD499:AD512)</f>
        <v>-0.16187960447096889</v>
      </c>
      <c r="AE513" s="203">
        <f>SUM(AE499:AE512)</f>
        <v>-0.16461363326001616</v>
      </c>
      <c r="AF513" s="203">
        <f>SUM(AF499:AF512)</f>
        <v>-0.16728218567172534</v>
      </c>
      <c r="AG513" s="203">
        <f>SUM(AG499:AG512)</f>
        <v>-0.16396569009981818</v>
      </c>
      <c r="AH513" s="203">
        <f>SUM(AH499:AH512)</f>
        <v>-0.16220343637200987</v>
      </c>
      <c r="AI513" s="203">
        <f>SUM(AI499:AI512)</f>
        <v>-0.16468376449111644</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33" t="inlineStr">
        <is>
          <t>consumption x budget share</t>
        </is>
      </c>
      <c r="K516" s="9" t="str">
        <f>LOWER(CtryCode)&amp;".distn."&amp;$A516&amp;IF($B516="","","."&amp;$B516)&amp;IF($C516="","",".dec."&amp;$C516)&amp;"."&amp;K$5</f>
        <v>egy.distn.abud.coa.dec.ove.1</v>
      </c>
      <c r="L516" s="124">
        <f>L325*L185/PctPerUnit</f>
        <v>0.0</v>
      </c>
      <c r="M516" s="125">
        <f>M325*M185/PctPerUnit</f>
        <v>0.0</v>
      </c>
      <c r="N516" s="125">
        <f>N325*N185/PctPerUnit</f>
        <v>0.0</v>
      </c>
      <c r="O516" s="125">
        <f>O325*O185/PctPerUnit</f>
        <v>0.0</v>
      </c>
      <c r="P516" s="125">
        <f>P325*P185/PctPerUnit</f>
        <v>0.0</v>
      </c>
      <c r="Q516" s="125">
        <f>Q325*Q185/PctPerUnit</f>
        <v>0.0</v>
      </c>
      <c r="R516" s="125">
        <f>R325*R185/PctPerUnit</f>
        <v>0.0</v>
      </c>
      <c r="S516" s="125">
        <f>S325*S185/PctPerUnit</f>
        <v>0.0</v>
      </c>
      <c r="T516" s="125">
        <f>T325*T185/PctPerUnit</f>
        <v>0.0</v>
      </c>
      <c r="U516" s="125">
        <f>U325*U185/PctPerUnit</f>
        <v>0.0</v>
      </c>
      <c r="V516" s="125">
        <f>V325*V185/PctPerUnit</f>
        <v>0.0</v>
      </c>
      <c r="W516" s="207" t="str">
        <f>IF(X$5=K$5,SUM(Y516:AI516)-SUM(L516:V516),"")</f>
        <v/>
      </c>
      <c r="X516" s="9" t="str">
        <f>LOWER(CtryCode)&amp;".distn."&amp;$A516&amp;IF($B516="","","."&amp;$B516)&amp;IF($C516="","",".dec."&amp;$C516)&amp;"."&amp;X$5</f>
        <v>egy.distn.abud.coa.dec.ove.2</v>
      </c>
      <c r="Y516" s="124">
        <f>Y325*Y185/PctPerUnit</f>
        <v>0.0</v>
      </c>
      <c r="Z516" s="125">
        <f>Z325*Z185/PctPerUnit</f>
        <v>0.0</v>
      </c>
      <c r="AA516" s="125">
        <f>AA325*AA185/PctPerUnit</f>
        <v>0.0</v>
      </c>
      <c r="AB516" s="125">
        <f>AB325*AB185/PctPerUnit</f>
        <v>0.0</v>
      </c>
      <c r="AC516" s="125">
        <f>AC325*AC185/PctPerUnit</f>
        <v>0.0</v>
      </c>
      <c r="AD516" s="125">
        <f>AD325*AD185/PctPerUnit</f>
        <v>0.0</v>
      </c>
      <c r="AE516" s="125">
        <f>AE325*AE185/PctPerUnit</f>
        <v>0.0</v>
      </c>
      <c r="AF516" s="125">
        <f>AF325*AF185/PctPerUnit</f>
        <v>0.0</v>
      </c>
      <c r="AG516" s="125">
        <f>AG325*AG185/PctPerUnit</f>
        <v>0.0</v>
      </c>
      <c r="AH516" s="125">
        <f>AH325*AH185/PctPerUnit</f>
        <v>0.0</v>
      </c>
      <c r="AI516" s="125">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33" t="inlineStr">
        <is>
          <t>consumption x budget share</t>
        </is>
      </c>
      <c r="K517" s="9" t="str">
        <f>LOWER(CtryCode)&amp;".distn."&amp;$A517&amp;IF($B517="","","."&amp;$B517)&amp;IF($C517="","",".dec."&amp;$C517)&amp;"."&amp;K$5</f>
        <v>egy.distn.abud.ely.dec.ove.1</v>
      </c>
      <c r="L517" s="124">
        <f>L325*L186/PctPerUnit</f>
        <v>2519.1423569777166</v>
      </c>
      <c r="M517" s="125">
        <f>M325*M186/PctPerUnit</f>
        <v>1113.8657822723676</v>
      </c>
      <c r="N517" s="125">
        <f>N325*N186/PctPerUnit</f>
        <v>1320.8171225423287</v>
      </c>
      <c r="O517" s="125">
        <f>O325*O186/PctPerUnit</f>
        <v>1636.6924297568926</v>
      </c>
      <c r="P517" s="125">
        <f>P325*P186/PctPerUnit</f>
        <v>1880.9998813844047</v>
      </c>
      <c r="Q517" s="125">
        <f>Q325*Q186/PctPerUnit</f>
        <v>1939.899454380179</v>
      </c>
      <c r="R517" s="125">
        <f>R325*R186/PctPerUnit</f>
        <v>2092.8395678788247</v>
      </c>
      <c r="S517" s="125">
        <f>S325*S186/PctPerUnit</f>
        <v>2769.582365556905</v>
      </c>
      <c r="T517" s="125">
        <f>T325*T186/PctPerUnit</f>
        <v>3366.663790115113</v>
      </c>
      <c r="U517" s="125">
        <f>U325*U186/PctPerUnit</f>
        <v>4028.4885717255784</v>
      </c>
      <c r="V517" s="125">
        <f>V325*V186/PctPerUnit</f>
        <v>5906.57867417329</v>
      </c>
      <c r="W517" s="207" t="str">
        <f>IF(X$5=K$5,SUM(Y517:AI517)-SUM(L517:V517),"")</f>
        <v/>
      </c>
      <c r="X517" s="9" t="str">
        <f>LOWER(CtryCode)&amp;".distn."&amp;$A517&amp;IF($B517="","","."&amp;$B517)&amp;IF($C517="","",".dec."&amp;$C517)&amp;"."&amp;X$5</f>
        <v>egy.distn.abud.ely.dec.ove.2</v>
      </c>
      <c r="Y517" s="124">
        <f>Y325*Y186/PctPerUnit</f>
        <v>2519.1423569777166</v>
      </c>
      <c r="Z517" s="125">
        <f>Z325*Z186/PctPerUnit</f>
        <v>1113.8657822723676</v>
      </c>
      <c r="AA517" s="125">
        <f>AA325*AA186/PctPerUnit</f>
        <v>1320.8171225423287</v>
      </c>
      <c r="AB517" s="125">
        <f>AB325*AB186/PctPerUnit</f>
        <v>1636.6924297568926</v>
      </c>
      <c r="AC517" s="125">
        <f>AC325*AC186/PctPerUnit</f>
        <v>1880.9998813844047</v>
      </c>
      <c r="AD517" s="125">
        <f>AD325*AD186/PctPerUnit</f>
        <v>1939.899454380179</v>
      </c>
      <c r="AE517" s="125">
        <f>AE325*AE186/PctPerUnit</f>
        <v>2092.8395678788247</v>
      </c>
      <c r="AF517" s="125">
        <f>AF325*AF186/PctPerUnit</f>
        <v>2769.582365556905</v>
      </c>
      <c r="AG517" s="125">
        <f>AG325*AG186/PctPerUnit</f>
        <v>3366.663790115113</v>
      </c>
      <c r="AH517" s="125">
        <f>AH325*AH186/PctPerUnit</f>
        <v>4028.4885717255784</v>
      </c>
      <c r="AI517" s="125">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33" t="inlineStr">
        <is>
          <t>consumption x budget share</t>
        </is>
      </c>
      <c r="K518" s="9" t="str">
        <f>LOWER(CtryCode)&amp;".distn."&amp;$A518&amp;IF($B518="","","."&amp;$B518)&amp;IF($C518="","",".dec."&amp;$C518)&amp;"."&amp;K$5</f>
        <v>egy.distn.abud.nga.dec.ove.1</v>
      </c>
      <c r="L518" s="124">
        <f>L325*L187/PctPerUnit</f>
        <v>251.57982003264286</v>
      </c>
      <c r="M518" s="125">
        <f>M325*M187/PctPerUnit</f>
        <v>86.14332734529614</v>
      </c>
      <c r="N518" s="125">
        <f>N325*N187/PctPerUnit</f>
        <v>103.99613703454031</v>
      </c>
      <c r="O518" s="125">
        <f>O325*O187/PctPerUnit</f>
        <v>136.70641095571034</v>
      </c>
      <c r="P518" s="125">
        <f>P325*P187/PctPerUnit</f>
        <v>169.95435946095054</v>
      </c>
      <c r="Q518" s="125">
        <f>Q325*Q187/PctPerUnit</f>
        <v>184.53989069874828</v>
      </c>
      <c r="R518" s="125">
        <f>R325*R187/PctPerUnit</f>
        <v>210.0344618422978</v>
      </c>
      <c r="S518" s="125">
        <f>S325*S187/PctPerUnit</f>
        <v>294.3405072121614</v>
      </c>
      <c r="T518" s="125">
        <f>T325*T187/PctPerUnit</f>
        <v>412.9421840884599</v>
      </c>
      <c r="U518" s="125">
        <f>U325*U187/PctPerUnit</f>
        <v>482.05627543479443</v>
      </c>
      <c r="V518" s="125">
        <f>V325*V187/PctPerUnit</f>
        <v>895.5518069579304</v>
      </c>
      <c r="W518" s="207" t="str">
        <f>IF(X$5=K$5,SUM(Y518:AI518)-SUM(L518:V518),"")</f>
        <v/>
      </c>
      <c r="X518" s="9" t="str">
        <f>LOWER(CtryCode)&amp;".distn."&amp;$A518&amp;IF($B518="","","."&amp;$B518)&amp;IF($C518="","",".dec."&amp;$C518)&amp;"."&amp;X$5</f>
        <v>egy.distn.abud.nga.dec.ove.2</v>
      </c>
      <c r="Y518" s="124">
        <f>Y325*Y187/PctPerUnit</f>
        <v>251.57982003264286</v>
      </c>
      <c r="Z518" s="125">
        <f>Z325*Z187/PctPerUnit</f>
        <v>86.14332734529614</v>
      </c>
      <c r="AA518" s="125">
        <f>AA325*AA187/PctPerUnit</f>
        <v>103.99613703454031</v>
      </c>
      <c r="AB518" s="125">
        <f>AB325*AB187/PctPerUnit</f>
        <v>136.70641095571034</v>
      </c>
      <c r="AC518" s="125">
        <f>AC325*AC187/PctPerUnit</f>
        <v>169.95435946095054</v>
      </c>
      <c r="AD518" s="125">
        <f>AD325*AD187/PctPerUnit</f>
        <v>184.53989069874828</v>
      </c>
      <c r="AE518" s="125">
        <f>AE325*AE187/PctPerUnit</f>
        <v>210.0344618422978</v>
      </c>
      <c r="AF518" s="125">
        <f>AF325*AF187/PctPerUnit</f>
        <v>294.3405072121614</v>
      </c>
      <c r="AG518" s="125">
        <f>AG325*AG187/PctPerUnit</f>
        <v>412.9421840884599</v>
      </c>
      <c r="AH518" s="125">
        <f>AH325*AH187/PctPerUnit</f>
        <v>482.05627543479443</v>
      </c>
      <c r="AI518" s="125">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33" t="inlineStr">
        <is>
          <t>consumption x budget share</t>
        </is>
      </c>
      <c r="K519" s="9" t="str">
        <f>LOWER(CtryCode)&amp;".distn."&amp;$A519&amp;IF($B519="","","."&amp;$B519)&amp;IF($C519="","",".dec."&amp;$C519)&amp;"."&amp;K$5</f>
        <v>egy.distn.abud.oil.dec.ove.1</v>
      </c>
      <c r="L519" s="124">
        <f>L325*L188/PctPerUnit</f>
        <v>94.95367151463651</v>
      </c>
      <c r="M519" s="125">
        <f>M325*M188/PctPerUnit</f>
        <v>30.354839386285725</v>
      </c>
      <c r="N519" s="125">
        <f>N325*N188/PctPerUnit</f>
        <v>40.03996397308163</v>
      </c>
      <c r="O519" s="125">
        <f>O325*O188/PctPerUnit</f>
        <v>64.7008862536142</v>
      </c>
      <c r="P519" s="125">
        <f>P325*P188/PctPerUnit</f>
        <v>57.01947544015097</v>
      </c>
      <c r="Q519" s="125">
        <f>Q325*Q188/PctPerUnit</f>
        <v>84.15594655384103</v>
      </c>
      <c r="R519" s="125">
        <f>R325*R188/PctPerUnit</f>
        <v>87.89757820530531</v>
      </c>
      <c r="S519" s="125">
        <f>S325*S188/PctPerUnit</f>
        <v>112.71901141577692</v>
      </c>
      <c r="T519" s="125">
        <f>T325*T188/PctPerUnit</f>
        <v>130.90161667588717</v>
      </c>
      <c r="U519" s="125">
        <f>U325*U188/PctPerUnit</f>
        <v>159.07887948088035</v>
      </c>
      <c r="V519" s="125">
        <f>V325*V188/PctPerUnit</f>
        <v>240.78768992393708</v>
      </c>
      <c r="W519" s="207" t="str">
        <f>IF(X$5=K$5,SUM(Y519:AI519)-SUM(L519:V519),"")</f>
        <v/>
      </c>
      <c r="X519" s="9" t="str">
        <f>LOWER(CtryCode)&amp;".distn."&amp;$A519&amp;IF($B519="","","."&amp;$B519)&amp;IF($C519="","",".dec."&amp;$C519)&amp;"."&amp;X$5</f>
        <v>egy.distn.abud.oil.dec.ove.2</v>
      </c>
      <c r="Y519" s="124">
        <f>Y325*Y188/PctPerUnit</f>
        <v>94.95367151463651</v>
      </c>
      <c r="Z519" s="125">
        <f>Z325*Z188/PctPerUnit</f>
        <v>30.354839386285725</v>
      </c>
      <c r="AA519" s="125">
        <f>AA325*AA188/PctPerUnit</f>
        <v>40.03996397308163</v>
      </c>
      <c r="AB519" s="125">
        <f>AB325*AB188/PctPerUnit</f>
        <v>64.7008862536142</v>
      </c>
      <c r="AC519" s="125">
        <f>AC325*AC188/PctPerUnit</f>
        <v>57.01947544015097</v>
      </c>
      <c r="AD519" s="125">
        <f>AD325*AD188/PctPerUnit</f>
        <v>84.15594655384103</v>
      </c>
      <c r="AE519" s="125">
        <f>AE325*AE188/PctPerUnit</f>
        <v>87.89757820530531</v>
      </c>
      <c r="AF519" s="125">
        <f>AF325*AF188/PctPerUnit</f>
        <v>112.71901141577692</v>
      </c>
      <c r="AG519" s="125">
        <f>AG325*AG188/PctPerUnit</f>
        <v>130.90161667588717</v>
      </c>
      <c r="AH519" s="125">
        <f>AH325*AH188/PctPerUnit</f>
        <v>159.07887948088035</v>
      </c>
      <c r="AI519" s="125">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33" t="inlineStr">
        <is>
          <t>consumption x budget share</t>
        </is>
      </c>
      <c r="K520" s="9" t="str">
        <f>LOWER(CtryCode)&amp;".distn."&amp;$A520&amp;IF($B520="","","."&amp;$B520)&amp;IF($C520="","",".dec."&amp;$C520)&amp;"."&amp;K$5</f>
        <v>egy.distn.abud.gso.dec.ove.1</v>
      </c>
      <c r="L520" s="124">
        <f>L325*L189/PctPerUnit</f>
        <v>380.43594534392344</v>
      </c>
      <c r="M520" s="125">
        <f>M325*M189/PctPerUnit</f>
        <v>90.6815548681579</v>
      </c>
      <c r="N520" s="125">
        <f>N325*N189/PctPerUnit</f>
        <v>137.82738464844402</v>
      </c>
      <c r="O520" s="125">
        <f>O325*O189/PctPerUnit</f>
        <v>204.24044880896471</v>
      </c>
      <c r="P520" s="125">
        <f>P325*P189/PctPerUnit</f>
        <v>244.31692784029764</v>
      </c>
      <c r="Q520" s="125">
        <f>Q325*Q189/PctPerUnit</f>
        <v>305.29043126060714</v>
      </c>
      <c r="R520" s="125">
        <f>R325*R189/PctPerUnit</f>
        <v>346.1670121013352</v>
      </c>
      <c r="S520" s="125">
        <f>S325*S189/PctPerUnit</f>
        <v>489.4267930496493</v>
      </c>
      <c r="T520" s="125">
        <f>T325*T189/PctPerUnit</f>
        <v>611.903619575576</v>
      </c>
      <c r="U520" s="125">
        <f>U325*U189/PctPerUnit</f>
        <v>664.0848983688053</v>
      </c>
      <c r="V520" s="125">
        <f>V325*V189/PctPerUnit</f>
        <v>1189.8798946725237</v>
      </c>
      <c r="W520" s="207" t="str">
        <f>IF(X$5=K$5,SUM(Y520:AI520)-SUM(L520:V520),"")</f>
        <v/>
      </c>
      <c r="X520" s="9" t="str">
        <f>LOWER(CtryCode)&amp;".distn."&amp;$A520&amp;IF($B520="","","."&amp;$B520)&amp;IF($C520="","",".dec."&amp;$C520)&amp;"."&amp;X$5</f>
        <v>egy.distn.abud.gso.dec.ove.2</v>
      </c>
      <c r="Y520" s="124">
        <f>Y325*Y189/PctPerUnit</f>
        <v>380.43594534392344</v>
      </c>
      <c r="Z520" s="125">
        <f>Z325*Z189/PctPerUnit</f>
        <v>90.6815548681579</v>
      </c>
      <c r="AA520" s="125">
        <f>AA325*AA189/PctPerUnit</f>
        <v>137.82738464844402</v>
      </c>
      <c r="AB520" s="125">
        <f>AB325*AB189/PctPerUnit</f>
        <v>204.24044880896471</v>
      </c>
      <c r="AC520" s="125">
        <f>AC325*AC189/PctPerUnit</f>
        <v>244.31692784029764</v>
      </c>
      <c r="AD520" s="125">
        <f>AD325*AD189/PctPerUnit</f>
        <v>305.29043126060714</v>
      </c>
      <c r="AE520" s="125">
        <f>AE325*AE189/PctPerUnit</f>
        <v>346.1670121013352</v>
      </c>
      <c r="AF520" s="125">
        <f>AF325*AF189/PctPerUnit</f>
        <v>489.4267930496493</v>
      </c>
      <c r="AG520" s="125">
        <f>AG325*AG189/PctPerUnit</f>
        <v>611.903619575576</v>
      </c>
      <c r="AH520" s="125">
        <f>AH325*AH189/PctPerUnit</f>
        <v>664.0848983688053</v>
      </c>
      <c r="AI520" s="125">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33" t="inlineStr">
        <is>
          <t>consumption x budget share</t>
        </is>
      </c>
      <c r="K521" s="9" t="str">
        <f>LOWER(CtryCode)&amp;".distn."&amp;$A521&amp;IF($B521="","","."&amp;$B521)&amp;IF($C521="","",".dec."&amp;$C521)&amp;"."&amp;K$5</f>
        <v>egy.distn.abud.die.dec.ove.1</v>
      </c>
      <c r="L521" s="124">
        <f>L325*L190/PctPerUnit</f>
        <v>0.0</v>
      </c>
      <c r="M521" s="125">
        <f>M325*M190/PctPerUnit</f>
        <v>0.0</v>
      </c>
      <c r="N521" s="125">
        <f>N325*N190/PctPerUnit</f>
        <v>0.0</v>
      </c>
      <c r="O521" s="125">
        <f>O325*O190/PctPerUnit</f>
        <v>0.0</v>
      </c>
      <c r="P521" s="125">
        <f>P325*P190/PctPerUnit</f>
        <v>0.0</v>
      </c>
      <c r="Q521" s="125">
        <f>Q325*Q190/PctPerUnit</f>
        <v>0.0</v>
      </c>
      <c r="R521" s="125">
        <f>R325*R190/PctPerUnit</f>
        <v>0.0</v>
      </c>
      <c r="S521" s="125">
        <f>S325*S190/PctPerUnit</f>
        <v>0.0</v>
      </c>
      <c r="T521" s="125">
        <f>T325*T190/PctPerUnit</f>
        <v>0.0</v>
      </c>
      <c r="U521" s="125">
        <f>U325*U190/PctPerUnit</f>
        <v>0.0</v>
      </c>
      <c r="V521" s="125">
        <f>V325*V190/PctPerUnit</f>
        <v>0.0</v>
      </c>
      <c r="W521" s="207" t="str">
        <f>IF(X$5=K$5,SUM(Y521:AI521)-SUM(L521:V521),"")</f>
        <v/>
      </c>
      <c r="X521" s="9" t="str">
        <f>LOWER(CtryCode)&amp;".distn."&amp;$A521&amp;IF($B521="","","."&amp;$B521)&amp;IF($C521="","",".dec."&amp;$C521)&amp;"."&amp;X$5</f>
        <v>egy.distn.abud.die.dec.ove.2</v>
      </c>
      <c r="Y521" s="124">
        <f>Y325*Y190/PctPerUnit</f>
        <v>0.0</v>
      </c>
      <c r="Z521" s="125">
        <f>Z325*Z190/PctPerUnit</f>
        <v>0.0</v>
      </c>
      <c r="AA521" s="125">
        <f>AA325*AA190/PctPerUnit</f>
        <v>0.0</v>
      </c>
      <c r="AB521" s="125">
        <f>AB325*AB190/PctPerUnit</f>
        <v>0.0</v>
      </c>
      <c r="AC521" s="125">
        <f>AC325*AC190/PctPerUnit</f>
        <v>0.0</v>
      </c>
      <c r="AD521" s="125">
        <f>AD325*AD190/PctPerUnit</f>
        <v>0.0</v>
      </c>
      <c r="AE521" s="125">
        <f>AE325*AE190/PctPerUnit</f>
        <v>0.0</v>
      </c>
      <c r="AF521" s="125">
        <f>AF325*AF190/PctPerUnit</f>
        <v>0.0</v>
      </c>
      <c r="AG521" s="125">
        <f>AG325*AG190/PctPerUnit</f>
        <v>0.0</v>
      </c>
      <c r="AH521" s="125">
        <f>AH325*AH190/PctPerUnit</f>
        <v>0.0</v>
      </c>
      <c r="AI521" s="125">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33" t="inlineStr">
        <is>
          <t>consumption x budget share</t>
        </is>
      </c>
      <c r="K522" s="9" t="str">
        <f>LOWER(CtryCode)&amp;".distn."&amp;$A522&amp;IF($B522="","","."&amp;$B522)&amp;IF($C522="","",".dec."&amp;$C522)&amp;"."&amp;K$5</f>
        <v>egy.distn.abud.ker.dec.ove.1</v>
      </c>
      <c r="L522" s="124">
        <f>L325*L191/PctPerUnit</f>
        <v>0.039322893801136315</v>
      </c>
      <c r="M522" s="125">
        <f>M325*M191/PctPerUnit</f>
        <v>0.0061062457786844795</v>
      </c>
      <c r="N522" s="125">
        <f>N325*N191/PctPerUnit</f>
        <v>0.008829550422658861</v>
      </c>
      <c r="O522" s="125">
        <f>O325*O191/PctPerUnit</f>
        <v>0.004908874764138367</v>
      </c>
      <c r="P522" s="125">
        <f>P325*P191/PctPerUnit</f>
        <v>0.032364714976626144</v>
      </c>
      <c r="Q522" s="125">
        <f>Q325*Q191/PctPerUnit</f>
        <v>0.034052832257768596</v>
      </c>
      <c r="R522" s="125">
        <f>R325*R191/PctPerUnit</f>
        <v>0.02975959808155215</v>
      </c>
      <c r="S522" s="125">
        <f>S325*S191/PctPerUnit</f>
        <v>0.017159486704524076</v>
      </c>
      <c r="T522" s="125">
        <f>T325*T191/PctPerUnit</f>
        <v>0.07544405650256435</v>
      </c>
      <c r="U522" s="125">
        <f>U325*U191/PctPerUnit</f>
        <v>0.1263762745107729</v>
      </c>
      <c r="V522" s="125">
        <f>V325*V191/PctPerUnit</f>
        <v>0.11820527921814872</v>
      </c>
      <c r="W522" s="207" t="str">
        <f>IF(X$5=K$5,SUM(Y522:AI522)-SUM(L522:V522),"")</f>
        <v/>
      </c>
      <c r="X522" s="9" t="str">
        <f>LOWER(CtryCode)&amp;".distn."&amp;$A522&amp;IF($B522="","","."&amp;$B522)&amp;IF($C522="","",".dec."&amp;$C522)&amp;"."&amp;X$5</f>
        <v>egy.distn.abud.ker.dec.ove.2</v>
      </c>
      <c r="Y522" s="124">
        <f>Y325*Y191/PctPerUnit</f>
        <v>0.039322893801136315</v>
      </c>
      <c r="Z522" s="125">
        <f>Z325*Z191/PctPerUnit</f>
        <v>0.0061062457786844795</v>
      </c>
      <c r="AA522" s="125">
        <f>AA325*AA191/PctPerUnit</f>
        <v>0.008829550422658861</v>
      </c>
      <c r="AB522" s="125">
        <f>AB325*AB191/PctPerUnit</f>
        <v>0.004908874764138367</v>
      </c>
      <c r="AC522" s="125">
        <f>AC325*AC191/PctPerUnit</f>
        <v>0.032364714976626144</v>
      </c>
      <c r="AD522" s="125">
        <f>AD325*AD191/PctPerUnit</f>
        <v>0.034052832257768596</v>
      </c>
      <c r="AE522" s="125">
        <f>AE325*AE191/PctPerUnit</f>
        <v>0.02975959808155215</v>
      </c>
      <c r="AF522" s="125">
        <f>AF325*AF191/PctPerUnit</f>
        <v>0.017159486704524076</v>
      </c>
      <c r="AG522" s="125">
        <f>AG325*AG191/PctPerUnit</f>
        <v>0.07544405650256435</v>
      </c>
      <c r="AH522" s="125">
        <f>AH325*AH191/PctPerUnit</f>
        <v>0.1263762745107729</v>
      </c>
      <c r="AI522" s="125">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33" t="inlineStr">
        <is>
          <t>consumption x budget share</t>
        </is>
      </c>
      <c r="K523" s="9" t="str">
        <f>LOWER(CtryCode)&amp;".distn."&amp;$A523&amp;IF($B523="","","."&amp;$B523)&amp;IF($C523="","",".dec."&amp;$C523)&amp;"."&amp;K$5</f>
        <v>egy.distn.abud.lpg.dec.ove.1</v>
      </c>
      <c r="L523" s="124">
        <f>L325*L192/PctPerUnit</f>
        <v>1268.3177464278094</v>
      </c>
      <c r="M523" s="125">
        <f>M325*M192/PctPerUnit</f>
        <v>831.060791496125</v>
      </c>
      <c r="N523" s="125">
        <f>N325*N192/PctPerUnit</f>
        <v>909.7989178103547</v>
      </c>
      <c r="O523" s="125">
        <f>O325*O192/PctPerUnit</f>
        <v>988.9798370919033</v>
      </c>
      <c r="P523" s="125">
        <f>P325*P192/PctPerUnit</f>
        <v>1010.6252765056588</v>
      </c>
      <c r="Q523" s="125">
        <f>Q325*Q192/PctPerUnit</f>
        <v>1041.0117714716525</v>
      </c>
      <c r="R523" s="125">
        <f>R325*R192/PctPerUnit</f>
        <v>1025.0621892953586</v>
      </c>
      <c r="S523" s="125">
        <f>S325*S192/PctPerUnit</f>
        <v>1284.5695348794384</v>
      </c>
      <c r="T523" s="125">
        <f>T325*T192/PctPerUnit</f>
        <v>1262.2565341094648</v>
      </c>
      <c r="U523" s="125">
        <f>U325*U192/PctPerUnit</f>
        <v>1297.7702549335072</v>
      </c>
      <c r="V523" s="125">
        <f>V325*V192/PctPerUnit</f>
        <v>1541.1593284640894</v>
      </c>
      <c r="W523" s="207" t="str">
        <f>IF(X$5=K$5,SUM(Y523:AI523)-SUM(L523:V523),"")</f>
        <v/>
      </c>
      <c r="X523" s="9" t="str">
        <f>LOWER(CtryCode)&amp;".distn."&amp;$A523&amp;IF($B523="","","."&amp;$B523)&amp;IF($C523="","",".dec."&amp;$C523)&amp;"."&amp;X$5</f>
        <v>egy.distn.abud.lpg.dec.ove.2</v>
      </c>
      <c r="Y523" s="124">
        <f>Y325*Y192/PctPerUnit</f>
        <v>1268.3177464278094</v>
      </c>
      <c r="Z523" s="125">
        <f>Z325*Z192/PctPerUnit</f>
        <v>831.060791496125</v>
      </c>
      <c r="AA523" s="125">
        <f>AA325*AA192/PctPerUnit</f>
        <v>909.7989178103547</v>
      </c>
      <c r="AB523" s="125">
        <f>AB325*AB192/PctPerUnit</f>
        <v>988.9798370919033</v>
      </c>
      <c r="AC523" s="125">
        <f>AC325*AC192/PctPerUnit</f>
        <v>1010.6252765056588</v>
      </c>
      <c r="AD523" s="125">
        <f>AD325*AD192/PctPerUnit</f>
        <v>1041.0117714716525</v>
      </c>
      <c r="AE523" s="125">
        <f>AE325*AE192/PctPerUnit</f>
        <v>1025.0621892953586</v>
      </c>
      <c r="AF523" s="125">
        <f>AF325*AF192/PctPerUnit</f>
        <v>1284.5695348794384</v>
      </c>
      <c r="AG523" s="125">
        <f>AG325*AG192/PctPerUnit</f>
        <v>1262.2565341094648</v>
      </c>
      <c r="AH523" s="125">
        <f>AH325*AH192/PctPerUnit</f>
        <v>1297.7702549335072</v>
      </c>
      <c r="AI523" s="125">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33" t="inlineStr">
        <is>
          <t>consumption x budget share</t>
        </is>
      </c>
      <c r="K524" s="9" t="str">
        <f>LOWER(CtryCode)&amp;".distn."&amp;$A524&amp;IF($B524="","","."&amp;$B524)&amp;IF($C524="","",".dec."&amp;$C524)&amp;"."&amp;K$5</f>
        <v>egy.distn.abud.ccl.dec.ove.1</v>
      </c>
      <c r="L524" s="124">
        <f>L325*L207/PctPerUnit</f>
        <v>2.93304525296031</v>
      </c>
      <c r="M524" s="125">
        <f>M325*M207/PctPerUnit</f>
        <v>2.7456870104294184</v>
      </c>
      <c r="N524" s="125">
        <f>N325*N207/PctPerUnit</f>
        <v>2.0219932346123493</v>
      </c>
      <c r="O524" s="125">
        <f>O325*O207/PctPerUnit</f>
        <v>2.674653780031416</v>
      </c>
      <c r="P524" s="125">
        <f>P325*P207/PctPerUnit</f>
        <v>2.1751518484753603</v>
      </c>
      <c r="Q524" s="125">
        <f>Q325*Q207/PctPerUnit</f>
        <v>1.7689204350552514</v>
      </c>
      <c r="R524" s="125">
        <f>R325*R207/PctPerUnit</f>
        <v>1.7872306932764577</v>
      </c>
      <c r="S524" s="125">
        <f>S325*S207/PctPerUnit</f>
        <v>2.5056945399724753</v>
      </c>
      <c r="T524" s="125">
        <f>T325*T207/PctPerUnit</f>
        <v>2.879970789771912</v>
      </c>
      <c r="U524" s="125">
        <f>U325*U207/PctPerUnit</f>
        <v>2.58752942376411</v>
      </c>
      <c r="V524" s="125">
        <f>V325*V207/PctPerUnit</f>
        <v>1.8007682929811863</v>
      </c>
      <c r="W524" s="207" t="str">
        <f>IF(X$5=K$5,SUM(Y524:AI524)-SUM(L524:V524),"")</f>
        <v/>
      </c>
      <c r="X524" s="9" t="str">
        <f>LOWER(CtryCode)&amp;".distn."&amp;$A524&amp;IF($B524="","","."&amp;$B524)&amp;IF($C524="","",".dec."&amp;$C524)&amp;"."&amp;X$5</f>
        <v>egy.distn.abud.ccl.dec.ove.2</v>
      </c>
      <c r="Y524" s="124">
        <f>Y325*Y207/PctPerUnit</f>
        <v>2.93304525296031</v>
      </c>
      <c r="Z524" s="125">
        <f>Z325*Z207/PctPerUnit</f>
        <v>2.7456870104294184</v>
      </c>
      <c r="AA524" s="125">
        <f>AA325*AA207/PctPerUnit</f>
        <v>2.0219932346123493</v>
      </c>
      <c r="AB524" s="125">
        <f>AB325*AB207/PctPerUnit</f>
        <v>2.674653780031416</v>
      </c>
      <c r="AC524" s="125">
        <f>AC325*AC207/PctPerUnit</f>
        <v>2.1751518484753603</v>
      </c>
      <c r="AD524" s="125">
        <f>AD325*AD207/PctPerUnit</f>
        <v>1.7689204350552514</v>
      </c>
      <c r="AE524" s="125">
        <f>AE325*AE207/PctPerUnit</f>
        <v>1.7872306932764577</v>
      </c>
      <c r="AF524" s="125">
        <f>AF325*AF207/PctPerUnit</f>
        <v>2.5056945399724753</v>
      </c>
      <c r="AG524" s="125">
        <f>AG325*AG207/PctPerUnit</f>
        <v>2.879970789771912</v>
      </c>
      <c r="AH524" s="125">
        <f>AH325*AH207/PctPerUnit</f>
        <v>2.58752942376411</v>
      </c>
      <c r="AI524" s="125">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33" t="inlineStr">
        <is>
          <t>consumption x budget share</t>
        </is>
      </c>
      <c r="K525" s="9" t="str">
        <f>LOWER(CtryCode)&amp;".distn."&amp;$A525&amp;IF($B525="","","."&amp;$B525)&amp;IF($C525="","",".dec."&amp;$C525)&amp;"."&amp;K$5</f>
        <v>egy.distn.abud.ethanol.dec.ove.1</v>
      </c>
      <c r="L525" s="124">
        <f>L325*L208/PctPerUnit</f>
        <v>0.0</v>
      </c>
      <c r="M525" s="125">
        <f>M325*M208/PctPerUnit</f>
        <v>0.0</v>
      </c>
      <c r="N525" s="125">
        <f>N325*N208/PctPerUnit</f>
        <v>0.0</v>
      </c>
      <c r="O525" s="125">
        <f>O325*O208/PctPerUnit</f>
        <v>0.0</v>
      </c>
      <c r="P525" s="125">
        <f>P325*P208/PctPerUnit</f>
        <v>0.0</v>
      </c>
      <c r="Q525" s="125">
        <f>Q325*Q208/PctPerUnit</f>
        <v>0.0</v>
      </c>
      <c r="R525" s="125">
        <f>R325*R208/PctPerUnit</f>
        <v>0.0069404547764439295</v>
      </c>
      <c r="S525" s="125">
        <f>S325*S208/PctPerUnit</f>
        <v>0.0</v>
      </c>
      <c r="T525" s="125">
        <f>T325*T208/PctPerUnit</f>
        <v>0.009895888664670735</v>
      </c>
      <c r="U525" s="125">
        <f>U325*U208/PctPerUnit</f>
        <v>0.011501011460155945</v>
      </c>
      <c r="V525" s="125">
        <f>V325*V208/PctPerUnit</f>
        <v>0.015624509477712363</v>
      </c>
      <c r="W525" s="207" t="str">
        <f>IF(X$5=K$5,SUM(Y525:AI525)-SUM(L525:V525),"")</f>
        <v/>
      </c>
      <c r="X525" s="9" t="str">
        <f>LOWER(CtryCode)&amp;".distn."&amp;$A525&amp;IF($B525="","","."&amp;$B525)&amp;IF($C525="","",".dec."&amp;$C525)&amp;"."&amp;X$5</f>
        <v>egy.distn.abud.ethanol.dec.ove.2</v>
      </c>
      <c r="Y525" s="124">
        <f>Y325*Y208/PctPerUnit</f>
        <v>0.0</v>
      </c>
      <c r="Z525" s="125">
        <f>Z325*Z208/PctPerUnit</f>
        <v>0.0</v>
      </c>
      <c r="AA525" s="125">
        <f>AA325*AA208/PctPerUnit</f>
        <v>0.0</v>
      </c>
      <c r="AB525" s="125">
        <f>AB325*AB208/PctPerUnit</f>
        <v>0.0</v>
      </c>
      <c r="AC525" s="125">
        <f>AC325*AC208/PctPerUnit</f>
        <v>0.0</v>
      </c>
      <c r="AD525" s="125">
        <f>AD325*AD208/PctPerUnit</f>
        <v>0.0</v>
      </c>
      <c r="AE525" s="125">
        <f>AE325*AE208/PctPerUnit</f>
        <v>0.0069404547764439295</v>
      </c>
      <c r="AF525" s="125">
        <f>AF325*AF208/PctPerUnit</f>
        <v>0.0</v>
      </c>
      <c r="AG525" s="125">
        <f>AG325*AG208/PctPerUnit</f>
        <v>0.009895888664670735</v>
      </c>
      <c r="AH525" s="125">
        <f>AH325*AH208/PctPerUnit</f>
        <v>0.011501011460155945</v>
      </c>
      <c r="AI525" s="125">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33" t="inlineStr">
        <is>
          <t>consumption x budget share</t>
        </is>
      </c>
      <c r="K526" s="9" t="str">
        <f>LOWER(CtryCode)&amp;".distn."&amp;$A526&amp;IF($B526="","","."&amp;$B526)&amp;IF($C526="","",".dec."&amp;$C526)&amp;"."&amp;K$5</f>
        <v>egy.distn.abud.fwd.dec.ove.1</v>
      </c>
      <c r="L526" s="124">
        <f>L325*L209/PctPerUnit</f>
        <v>0.15289885075066195</v>
      </c>
      <c r="M526" s="125">
        <f>M325*M209/PctPerUnit</f>
        <v>0.16244545076074463</v>
      </c>
      <c r="N526" s="125">
        <f>N325*N209/PctPerUnit</f>
        <v>0.10417585188002658</v>
      </c>
      <c r="O526" s="125">
        <f>O325*O209/PctPerUnit</f>
        <v>0.1474057397336066</v>
      </c>
      <c r="P526" s="125">
        <f>P325*P209/PctPerUnit</f>
        <v>0.12354926990106482</v>
      </c>
      <c r="Q526" s="125">
        <f>Q325*Q209/PctPerUnit</f>
        <v>0.0969530026498936</v>
      </c>
      <c r="R526" s="125">
        <f>R325*R209/PctPerUnit</f>
        <v>0.09437618688262217</v>
      </c>
      <c r="S526" s="125">
        <f>S325*S209/PctPerUnit</f>
        <v>0.12760977903057252</v>
      </c>
      <c r="T526" s="125">
        <f>T325*T209/PctPerUnit</f>
        <v>0.1637048792301511</v>
      </c>
      <c r="U526" s="125">
        <f>U325*U209/PctPerUnit</f>
        <v>0.1223343608796984</v>
      </c>
      <c r="V526" s="125">
        <f>V325*V209/PctPerUnit</f>
        <v>0.105700301167003</v>
      </c>
      <c r="W526" s="207" t="str">
        <f>IF(X$5=K$5,SUM(Y526:AI526)-SUM(L526:V526),"")</f>
        <v/>
      </c>
      <c r="X526" s="9" t="str">
        <f>LOWER(CtryCode)&amp;".distn."&amp;$A526&amp;IF($B526="","","."&amp;$B526)&amp;IF($C526="","",".dec."&amp;$C526)&amp;"."&amp;X$5</f>
        <v>egy.distn.abud.fwd.dec.ove.2</v>
      </c>
      <c r="Y526" s="124">
        <f>Y325*Y209/PctPerUnit</f>
        <v>0.15289885075066195</v>
      </c>
      <c r="Z526" s="125">
        <f>Z325*Z209/PctPerUnit</f>
        <v>0.16244545076074463</v>
      </c>
      <c r="AA526" s="125">
        <f>AA325*AA209/PctPerUnit</f>
        <v>0.10417585188002658</v>
      </c>
      <c r="AB526" s="125">
        <f>AB325*AB209/PctPerUnit</f>
        <v>0.1474057397336066</v>
      </c>
      <c r="AC526" s="125">
        <f>AC325*AC209/PctPerUnit</f>
        <v>0.12354926990106482</v>
      </c>
      <c r="AD526" s="125">
        <f>AD325*AD209/PctPerUnit</f>
        <v>0.0969530026498936</v>
      </c>
      <c r="AE526" s="125">
        <f>AE325*AE209/PctPerUnit</f>
        <v>0.09437618688262217</v>
      </c>
      <c r="AF526" s="125">
        <f>AF325*AF209/PctPerUnit</f>
        <v>0.12760977903057252</v>
      </c>
      <c r="AG526" s="125">
        <f>AG325*AG209/PctPerUnit</f>
        <v>0.1637048792301511</v>
      </c>
      <c r="AH526" s="125">
        <f>AH325*AH209/PctPerUnit</f>
        <v>0.1223343608796984</v>
      </c>
      <c r="AI526" s="125">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33" t="inlineStr">
        <is>
          <t>consumption x budget share</t>
        </is>
      </c>
      <c r="K527" s="9" t="str">
        <f>LOWER(CtryCode)&amp;".distn."&amp;$A527&amp;IF($B527="","","."&amp;$B527)&amp;IF($C527="","",".dec."&amp;$C527)&amp;"."&amp;K$5</f>
        <v>egy.distn.abud.app.dec.ove.1</v>
      </c>
      <c r="L527" s="124">
        <f>L325*L193/PctPerUnit</f>
        <v>1249.217877658238</v>
      </c>
      <c r="M527" s="125">
        <f>M325*M193/PctPerUnit</f>
        <v>533.7015165168981</v>
      </c>
      <c r="N527" s="125">
        <f>N325*N193/PctPerUnit</f>
        <v>656.4679477660464</v>
      </c>
      <c r="O527" s="125">
        <f>O325*O193/PctPerUnit</f>
        <v>787.4813016818983</v>
      </c>
      <c r="P527" s="125">
        <f>P325*P193/PctPerUnit</f>
        <v>891.9872678674665</v>
      </c>
      <c r="Q527" s="125">
        <f>Q325*Q193/PctPerUnit</f>
        <v>1025.5023363300927</v>
      </c>
      <c r="R527" s="125">
        <f>R325*R193/PctPerUnit</f>
        <v>1051.0881307820578</v>
      </c>
      <c r="S527" s="125">
        <f>S325*S193/PctPerUnit</f>
        <v>1453.896252472775</v>
      </c>
      <c r="T527" s="125">
        <f>T325*T193/PctPerUnit</f>
        <v>1638.734955251093</v>
      </c>
      <c r="U527" s="125">
        <f>U325*U193/PctPerUnit</f>
        <v>1773.255600181937</v>
      </c>
      <c r="V527" s="125">
        <f>V325*V193/PctPerUnit</f>
        <v>2762.949949103738</v>
      </c>
      <c r="W527" s="207" t="str">
        <f>IF(X$5=K$5,SUM(Y527:AI527)-SUM(L527:V527),"")</f>
        <v/>
      </c>
      <c r="X527" s="9" t="str">
        <f>LOWER(CtryCode)&amp;".distn."&amp;$A527&amp;IF($B527="","","."&amp;$B527)&amp;IF($C527="","",".dec."&amp;$C527)&amp;"."&amp;X$5</f>
        <v>egy.distn.abud.app.dec.ove.2</v>
      </c>
      <c r="Y527" s="124">
        <f>Y325*Y193/PctPerUnit</f>
        <v>1249.217877658238</v>
      </c>
      <c r="Z527" s="125">
        <f>Z325*Z193/PctPerUnit</f>
        <v>533.7015165168981</v>
      </c>
      <c r="AA527" s="125">
        <f>AA325*AA193/PctPerUnit</f>
        <v>656.4679477660464</v>
      </c>
      <c r="AB527" s="125">
        <f>AB325*AB193/PctPerUnit</f>
        <v>787.4813016818983</v>
      </c>
      <c r="AC527" s="125">
        <f>AC325*AC193/PctPerUnit</f>
        <v>891.9872678674665</v>
      </c>
      <c r="AD527" s="125">
        <f>AD325*AD193/PctPerUnit</f>
        <v>1025.5023363300927</v>
      </c>
      <c r="AE527" s="125">
        <f>AE325*AE193/PctPerUnit</f>
        <v>1051.0881307820578</v>
      </c>
      <c r="AF527" s="125">
        <f>AF325*AF193/PctPerUnit</f>
        <v>1453.896252472775</v>
      </c>
      <c r="AG527" s="125">
        <f>AG325*AG193/PctPerUnit</f>
        <v>1638.734955251093</v>
      </c>
      <c r="AH527" s="125">
        <f>AH325*AH193/PctPerUnit</f>
        <v>1773.255600181937</v>
      </c>
      <c r="AI527" s="125">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33" t="inlineStr">
        <is>
          <t>consumption x budget share</t>
        </is>
      </c>
      <c r="K528" s="9" t="str">
        <f>LOWER(CtryCode)&amp;".distn."&amp;$A528&amp;IF($B528="","","."&amp;$B528)&amp;IF($C528="","",".dec."&amp;$C528)&amp;"."&amp;K$5</f>
        <v>egy.distn.abud.che.dec.ove.1</v>
      </c>
      <c r="L528" s="124">
        <f>L325*L194/PctPerUnit</f>
        <v>2730.8550256047665</v>
      </c>
      <c r="M528" s="125">
        <f>M325*M194/PctPerUnit</f>
        <v>1351.2946452675183</v>
      </c>
      <c r="N528" s="125">
        <f>N325*N194/PctPerUnit</f>
        <v>1554.1893710292463</v>
      </c>
      <c r="O528" s="125">
        <f>O325*O194/PctPerUnit</f>
        <v>1686.138875489889</v>
      </c>
      <c r="P528" s="125">
        <f>P325*P194/PctPerUnit</f>
        <v>2110.024023659474</v>
      </c>
      <c r="Q528" s="125">
        <f>Q325*Q194/PctPerUnit</f>
        <v>2338.11382306091</v>
      </c>
      <c r="R528" s="125">
        <f>R325*R194/PctPerUnit</f>
        <v>2354.3476037289597</v>
      </c>
      <c r="S528" s="125">
        <f>S325*S194/PctPerUnit</f>
        <v>2863.0401672425633</v>
      </c>
      <c r="T528" s="125">
        <f>T325*T194/PctPerUnit</f>
        <v>3391.057781042942</v>
      </c>
      <c r="U528" s="125">
        <f>U325*U194/PctPerUnit</f>
        <v>4088.078174121858</v>
      </c>
      <c r="V528" s="125">
        <f>V325*V194/PctPerUnit</f>
        <v>5508.658366665226</v>
      </c>
      <c r="W528" s="207" t="str">
        <f>IF(X$5=K$5,SUM(Y528:AI528)-SUM(L528:V528),"")</f>
        <v/>
      </c>
      <c r="X528" s="9" t="str">
        <f>LOWER(CtryCode)&amp;".distn."&amp;$A528&amp;IF($B528="","","."&amp;$B528)&amp;IF($C528="","",".dec."&amp;$C528)&amp;"."&amp;X$5</f>
        <v>egy.distn.abud.che.dec.ove.2</v>
      </c>
      <c r="Y528" s="124">
        <f>Y325*Y194/PctPerUnit</f>
        <v>2730.8550256047665</v>
      </c>
      <c r="Z528" s="125">
        <f>Z325*Z194/PctPerUnit</f>
        <v>1351.2946452675183</v>
      </c>
      <c r="AA528" s="125">
        <f>AA325*AA194/PctPerUnit</f>
        <v>1554.1893710292463</v>
      </c>
      <c r="AB528" s="125">
        <f>AB325*AB194/PctPerUnit</f>
        <v>1686.138875489889</v>
      </c>
      <c r="AC528" s="125">
        <f>AC325*AC194/PctPerUnit</f>
        <v>2110.024023659474</v>
      </c>
      <c r="AD528" s="125">
        <f>AD325*AD194/PctPerUnit</f>
        <v>2338.11382306091</v>
      </c>
      <c r="AE528" s="125">
        <f>AE325*AE194/PctPerUnit</f>
        <v>2354.3476037289597</v>
      </c>
      <c r="AF528" s="125">
        <f>AF325*AF194/PctPerUnit</f>
        <v>2863.0401672425633</v>
      </c>
      <c r="AG528" s="125">
        <f>AG325*AG194/PctPerUnit</f>
        <v>3391.057781042942</v>
      </c>
      <c r="AH528" s="125">
        <f>AH325*AH194/PctPerUnit</f>
        <v>4088.078174121858</v>
      </c>
      <c r="AI528" s="125">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33" t="inlineStr">
        <is>
          <t>consumption x budget share</t>
        </is>
      </c>
      <c r="K529" s="9" t="str">
        <f>LOWER(CtryCode)&amp;".distn."&amp;$A529&amp;IF($B529="","","."&amp;$B529)&amp;IF($C529="","",".dec."&amp;$C529)&amp;"."&amp;K$5</f>
        <v>egy.distn.abud.clo.dec.ove.1</v>
      </c>
      <c r="L529" s="124">
        <f>L325*L195/PctPerUnit</f>
        <v>4202.042423346195</v>
      </c>
      <c r="M529" s="125">
        <f>M325*M195/PctPerUnit</f>
        <v>1834.5589591129453</v>
      </c>
      <c r="N529" s="125">
        <f>N325*N195/PctPerUnit</f>
        <v>2160.0624057278087</v>
      </c>
      <c r="O529" s="125">
        <f>O325*O195/PctPerUnit</f>
        <v>3076.9529335439665</v>
      </c>
      <c r="P529" s="125">
        <f>P325*P195/PctPerUnit</f>
        <v>3284.564044598889</v>
      </c>
      <c r="Q529" s="125">
        <f>Q325*Q195/PctPerUnit</f>
        <v>3629.8067321725803</v>
      </c>
      <c r="R529" s="125">
        <f>R325*R195/PctPerUnit</f>
        <v>3694.835505400009</v>
      </c>
      <c r="S529" s="125">
        <f>S325*S195/PctPerUnit</f>
        <v>4829.043005907528</v>
      </c>
      <c r="T529" s="125">
        <f>T325*T195/PctPerUnit</f>
        <v>4724.267114110761</v>
      </c>
      <c r="U529" s="125">
        <f>U325*U195/PctPerUnit</f>
        <v>5722.110064521858</v>
      </c>
      <c r="V529" s="125">
        <f>V325*V195/PctPerUnit</f>
        <v>6512.059004321808</v>
      </c>
      <c r="W529" s="207" t="str">
        <f>IF(X$5=K$5,SUM(Y529:AI529)-SUM(L529:V529),"")</f>
        <v/>
      </c>
      <c r="X529" s="9" t="str">
        <f>LOWER(CtryCode)&amp;".distn."&amp;$A529&amp;IF($B529="","","."&amp;$B529)&amp;IF($C529="","",".dec."&amp;$C529)&amp;"."&amp;X$5</f>
        <v>egy.distn.abud.clo.dec.ove.2</v>
      </c>
      <c r="Y529" s="124">
        <f>Y325*Y195/PctPerUnit</f>
        <v>4202.042423346195</v>
      </c>
      <c r="Z529" s="125">
        <f>Z325*Z195/PctPerUnit</f>
        <v>1834.5589591129453</v>
      </c>
      <c r="AA529" s="125">
        <f>AA325*AA195/PctPerUnit</f>
        <v>2160.0624057278087</v>
      </c>
      <c r="AB529" s="125">
        <f>AB325*AB195/PctPerUnit</f>
        <v>3076.9529335439665</v>
      </c>
      <c r="AC529" s="125">
        <f>AC325*AC195/PctPerUnit</f>
        <v>3284.564044598889</v>
      </c>
      <c r="AD529" s="125">
        <f>AD325*AD195/PctPerUnit</f>
        <v>3629.8067321725803</v>
      </c>
      <c r="AE529" s="125">
        <f>AE325*AE195/PctPerUnit</f>
        <v>3694.835505400009</v>
      </c>
      <c r="AF529" s="125">
        <f>AF325*AF195/PctPerUnit</f>
        <v>4829.043005907528</v>
      </c>
      <c r="AG529" s="125">
        <f>AG325*AG195/PctPerUnit</f>
        <v>4724.267114110761</v>
      </c>
      <c r="AH529" s="125">
        <f>AH325*AH195/PctPerUnit</f>
        <v>5722.110064521858</v>
      </c>
      <c r="AI529" s="125">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33" t="inlineStr">
        <is>
          <t>consumption x budget share</t>
        </is>
      </c>
      <c r="K530" s="9" t="str">
        <f>LOWER(CtryCode)&amp;".distn."&amp;$A530&amp;IF($B530="","","."&amp;$B530)&amp;IF($C530="","",".dec."&amp;$C530)&amp;"."&amp;K$5</f>
        <v>egy.distn.abud.com.dec.ove.1</v>
      </c>
      <c r="L530" s="124">
        <f>L325*L196/PctPerUnit</f>
        <v>1840.1893468242106</v>
      </c>
      <c r="M530" s="125">
        <f>M325*M196/PctPerUnit</f>
        <v>662.5381366971928</v>
      </c>
      <c r="N530" s="125">
        <f>N325*N196/PctPerUnit</f>
        <v>901.949982614351</v>
      </c>
      <c r="O530" s="125">
        <f>O325*O196/PctPerUnit</f>
        <v>1137.2908899009265</v>
      </c>
      <c r="P530" s="125">
        <f>P325*P196/PctPerUnit</f>
        <v>1608.9715247285626</v>
      </c>
      <c r="Q530" s="125">
        <f>Q325*Q196/PctPerUnit</f>
        <v>1715.0170314828124</v>
      </c>
      <c r="R530" s="125">
        <f>R325*R196/PctPerUnit</f>
        <v>1859.302976813748</v>
      </c>
      <c r="S530" s="125">
        <f>S325*S196/PctPerUnit</f>
        <v>2253.5068717903655</v>
      </c>
      <c r="T530" s="125">
        <f>T325*T196/PctPerUnit</f>
        <v>2707.886761094408</v>
      </c>
      <c r="U530" s="125">
        <f>U325*U196/PctPerUnit</f>
        <v>3649.011802715683</v>
      </c>
      <c r="V530" s="125">
        <f>V325*V196/PctPerUnit</f>
        <v>5107.022160560162</v>
      </c>
      <c r="W530" s="207" t="str">
        <f>IF(X$5=K$5,SUM(Y530:AI530)-SUM(L530:V530),"")</f>
        <v/>
      </c>
      <c r="X530" s="9" t="str">
        <f>LOWER(CtryCode)&amp;".distn."&amp;$A530&amp;IF($B530="","","."&amp;$B530)&amp;IF($C530="","",".dec."&amp;$C530)&amp;"."&amp;X$5</f>
        <v>egy.distn.abud.com.dec.ove.2</v>
      </c>
      <c r="Y530" s="124">
        <f>Y325*Y196/PctPerUnit</f>
        <v>1840.1893468242106</v>
      </c>
      <c r="Z530" s="125">
        <f>Z325*Z196/PctPerUnit</f>
        <v>662.5381366971928</v>
      </c>
      <c r="AA530" s="125">
        <f>AA325*AA196/PctPerUnit</f>
        <v>901.949982614351</v>
      </c>
      <c r="AB530" s="125">
        <f>AB325*AB196/PctPerUnit</f>
        <v>1137.2908899009265</v>
      </c>
      <c r="AC530" s="125">
        <f>AC325*AC196/PctPerUnit</f>
        <v>1608.9715247285626</v>
      </c>
      <c r="AD530" s="125">
        <f>AD325*AD196/PctPerUnit</f>
        <v>1715.0170314828124</v>
      </c>
      <c r="AE530" s="125">
        <f>AE325*AE196/PctPerUnit</f>
        <v>1859.302976813748</v>
      </c>
      <c r="AF530" s="125">
        <f>AF325*AF196/PctPerUnit</f>
        <v>2253.5068717903655</v>
      </c>
      <c r="AG530" s="125">
        <f>AG325*AG196/PctPerUnit</f>
        <v>2707.886761094408</v>
      </c>
      <c r="AH530" s="125">
        <f>AH325*AH196/PctPerUnit</f>
        <v>3649.011802715683</v>
      </c>
      <c r="AI530" s="125">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33" t="inlineStr">
        <is>
          <t>consumption x budget share</t>
        </is>
      </c>
      <c r="K531" s="9" t="str">
        <f>LOWER(CtryCode)&amp;".distn."&amp;$A531&amp;IF($B531="","","."&amp;$B531)&amp;IF($C531="","",".dec."&amp;$C531)&amp;"."&amp;K$5</f>
        <v>egy.distn.abud.edu.dec.ove.1</v>
      </c>
      <c r="L531" s="124">
        <f>L325*L197/PctPerUnit</f>
        <v>2555.0799003598268</v>
      </c>
      <c r="M531" s="125">
        <f>M325*M197/PctPerUnit</f>
        <v>896.0824752706254</v>
      </c>
      <c r="N531" s="125">
        <f>N325*N197/PctPerUnit</f>
        <v>1534.2889305273036</v>
      </c>
      <c r="O531" s="125">
        <f>O325*O197/PctPerUnit</f>
        <v>2016.9092256253941</v>
      </c>
      <c r="P531" s="125">
        <f>P325*P197/PctPerUnit</f>
        <v>2335.0736663386656</v>
      </c>
      <c r="Q531" s="125">
        <f>Q325*Q197/PctPerUnit</f>
        <v>2752.0212205004127</v>
      </c>
      <c r="R531" s="125">
        <f>R325*R197/PctPerUnit</f>
        <v>2718.762318817599</v>
      </c>
      <c r="S531" s="125">
        <f>S325*S197/PctPerUnit</f>
        <v>3509.7242243532105</v>
      </c>
      <c r="T531" s="125">
        <f>T325*T197/PctPerUnit</f>
        <v>3416.1023450736147</v>
      </c>
      <c r="U531" s="125">
        <f>U325*U197/PctPerUnit</f>
        <v>2992.1883097225045</v>
      </c>
      <c r="V531" s="125">
        <f>V325*V197/PctPerUnit</f>
        <v>2275.357417916394</v>
      </c>
      <c r="W531" s="207" t="str">
        <f>IF(X$5=K$5,SUM(Y531:AI531)-SUM(L531:V531),"")</f>
        <v/>
      </c>
      <c r="X531" s="9" t="str">
        <f>LOWER(CtryCode)&amp;".distn."&amp;$A531&amp;IF($B531="","","."&amp;$B531)&amp;IF($C531="","",".dec."&amp;$C531)&amp;"."&amp;X$5</f>
        <v>egy.distn.abud.edu.dec.ove.2</v>
      </c>
      <c r="Y531" s="124">
        <f>Y325*Y197/PctPerUnit</f>
        <v>2555.0799003598268</v>
      </c>
      <c r="Z531" s="125">
        <f>Z325*Z197/PctPerUnit</f>
        <v>896.0824752706254</v>
      </c>
      <c r="AA531" s="125">
        <f>AA325*AA197/PctPerUnit</f>
        <v>1534.2889305273036</v>
      </c>
      <c r="AB531" s="125">
        <f>AB325*AB197/PctPerUnit</f>
        <v>2016.9092256253941</v>
      </c>
      <c r="AC531" s="125">
        <f>AC325*AC197/PctPerUnit</f>
        <v>2335.0736663386656</v>
      </c>
      <c r="AD531" s="125">
        <f>AD325*AD197/PctPerUnit</f>
        <v>2752.0212205004127</v>
      </c>
      <c r="AE531" s="125">
        <f>AE325*AE197/PctPerUnit</f>
        <v>2718.762318817599</v>
      </c>
      <c r="AF531" s="125">
        <f>AF325*AF197/PctPerUnit</f>
        <v>3509.7242243532105</v>
      </c>
      <c r="AG531" s="125">
        <f>AG325*AG197/PctPerUnit</f>
        <v>3416.1023450736147</v>
      </c>
      <c r="AH531" s="125">
        <f>AH325*AH197/PctPerUnit</f>
        <v>2992.1883097225045</v>
      </c>
      <c r="AI531" s="125">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33" t="inlineStr">
        <is>
          <t>consumption x budget share</t>
        </is>
      </c>
      <c r="K532" s="9" t="str">
        <f>LOWER(CtryCode)&amp;".distn."&amp;$A532&amp;IF($B532="","","."&amp;$B532)&amp;IF($C532="","",".dec."&amp;$C532)&amp;"."&amp;K$5</f>
        <v>egy.distn.abud.food.dec.ove.1</v>
      </c>
      <c r="L532" s="124">
        <f>L325*L198/PctPerUnit</f>
        <v>37584.81472944483</v>
      </c>
      <c r="M532" s="125">
        <f>M325*M198/PctPerUnit</f>
        <v>16597.745701163396</v>
      </c>
      <c r="N532" s="125">
        <f>N325*N198/PctPerUnit</f>
        <v>23218.477296153294</v>
      </c>
      <c r="O532" s="125">
        <f>O325*O198/PctPerUnit</f>
        <v>26448.335083610466</v>
      </c>
      <c r="P532" s="125">
        <f>P325*P198/PctPerUnit</f>
        <v>31820.558023809717</v>
      </c>
      <c r="Q532" s="125">
        <f>Q325*Q198/PctPerUnit</f>
        <v>32138.402665608628</v>
      </c>
      <c r="R532" s="125">
        <f>R325*R198/PctPerUnit</f>
        <v>37941.32447214507</v>
      </c>
      <c r="S532" s="125">
        <f>S325*S198/PctPerUnit</f>
        <v>42568.49075540657</v>
      </c>
      <c r="T532" s="125">
        <f>T325*T198/PctPerUnit</f>
        <v>52547.68160031084</v>
      </c>
      <c r="U532" s="125">
        <f>U325*U198/PctPerUnit</f>
        <v>63954.738643216864</v>
      </c>
      <c r="V532" s="125">
        <f>V325*V198/PctPerUnit</f>
        <v>76640.44648607582</v>
      </c>
      <c r="W532" s="207" t="str">
        <f>IF(X$5=K$5,SUM(Y532:AI532)-SUM(L532:V532),"")</f>
        <v/>
      </c>
      <c r="X532" s="9" t="str">
        <f>LOWER(CtryCode)&amp;".distn."&amp;$A532&amp;IF($B532="","","."&amp;$B532)&amp;IF($C532="","",".dec."&amp;$C532)&amp;"."&amp;X$5</f>
        <v>egy.distn.abud.food.dec.ove.2</v>
      </c>
      <c r="Y532" s="124">
        <f>Y325*Y198/PctPerUnit</f>
        <v>37584.81472944483</v>
      </c>
      <c r="Z532" s="125">
        <f>Z325*Z198/PctPerUnit</f>
        <v>16597.745701163396</v>
      </c>
      <c r="AA532" s="125">
        <f>AA325*AA198/PctPerUnit</f>
        <v>23218.477296153294</v>
      </c>
      <c r="AB532" s="125">
        <f>AB325*AB198/PctPerUnit</f>
        <v>26448.335083610466</v>
      </c>
      <c r="AC532" s="125">
        <f>AC325*AC198/PctPerUnit</f>
        <v>31820.558023809717</v>
      </c>
      <c r="AD532" s="125">
        <f>AD325*AD198/PctPerUnit</f>
        <v>32138.402665608628</v>
      </c>
      <c r="AE532" s="125">
        <f>AE325*AE198/PctPerUnit</f>
        <v>37941.32447214507</v>
      </c>
      <c r="AF532" s="125">
        <f>AF325*AF198/PctPerUnit</f>
        <v>42568.49075540657</v>
      </c>
      <c r="AG532" s="125">
        <f>AG325*AG198/PctPerUnit</f>
        <v>52547.68160031084</v>
      </c>
      <c r="AH532" s="125">
        <f>AH325*AH198/PctPerUnit</f>
        <v>63954.738643216864</v>
      </c>
      <c r="AI532" s="125">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33" t="inlineStr">
        <is>
          <t>consumption x budget share</t>
        </is>
      </c>
      <c r="K533" s="9" t="str">
        <f>LOWER(CtryCode)&amp;".distn."&amp;$A533&amp;IF($B533="","","."&amp;$B533)&amp;IF($C533="","",".dec."&amp;$C533)&amp;"."&amp;K$5</f>
        <v>egy.distn.abud.hea.dec.ove.1</v>
      </c>
      <c r="L533" s="124">
        <f>L325*L199/PctPerUnit</f>
        <v>2908.782480999616</v>
      </c>
      <c r="M533" s="125">
        <f>M325*M199/PctPerUnit</f>
        <v>935.742045188147</v>
      </c>
      <c r="N533" s="125">
        <f>N325*N199/PctPerUnit</f>
        <v>1186.2242092979625</v>
      </c>
      <c r="O533" s="125">
        <f>O325*O199/PctPerUnit</f>
        <v>1799.7013016449844</v>
      </c>
      <c r="P533" s="125">
        <f>P325*P199/PctPerUnit</f>
        <v>2115.9530567818274</v>
      </c>
      <c r="Q533" s="125">
        <f>Q325*Q199/PctPerUnit</f>
        <v>2426.572599681646</v>
      </c>
      <c r="R533" s="125">
        <f>R325*R199/PctPerUnit</f>
        <v>2557.5073838658222</v>
      </c>
      <c r="S533" s="125">
        <f>S325*S199/PctPerUnit</f>
        <v>3912.4834722907713</v>
      </c>
      <c r="T533" s="125">
        <f>T325*T199/PctPerUnit</f>
        <v>4263.85885316382</v>
      </c>
      <c r="U533" s="125">
        <f>U325*U199/PctPerUnit</f>
        <v>5596.632124048355</v>
      </c>
      <c r="V533" s="125">
        <f>V325*V199/PctPerUnit</f>
        <v>9170.74197162328</v>
      </c>
      <c r="W533" s="207" t="str">
        <f>IF(X$5=K$5,SUM(Y533:AI533)-SUM(L533:V533),"")</f>
        <v/>
      </c>
      <c r="X533" s="9" t="str">
        <f>LOWER(CtryCode)&amp;".distn."&amp;$A533&amp;IF($B533="","","."&amp;$B533)&amp;IF($C533="","",".dec."&amp;$C533)&amp;"."&amp;X$5</f>
        <v>egy.distn.abud.hea.dec.ove.2</v>
      </c>
      <c r="Y533" s="124">
        <f>Y325*Y199/PctPerUnit</f>
        <v>2908.782480999616</v>
      </c>
      <c r="Z533" s="125">
        <f>Z325*Z199/PctPerUnit</f>
        <v>935.742045188147</v>
      </c>
      <c r="AA533" s="125">
        <f>AA325*AA199/PctPerUnit</f>
        <v>1186.2242092979625</v>
      </c>
      <c r="AB533" s="125">
        <f>AB325*AB199/PctPerUnit</f>
        <v>1799.7013016449844</v>
      </c>
      <c r="AC533" s="125">
        <f>AC325*AC199/PctPerUnit</f>
        <v>2115.9530567818274</v>
      </c>
      <c r="AD533" s="125">
        <f>AD325*AD199/PctPerUnit</f>
        <v>2426.572599681646</v>
      </c>
      <c r="AE533" s="125">
        <f>AE325*AE199/PctPerUnit</f>
        <v>2557.5073838658222</v>
      </c>
      <c r="AF533" s="125">
        <f>AF325*AF199/PctPerUnit</f>
        <v>3912.4834722907713</v>
      </c>
      <c r="AG533" s="125">
        <f>AG325*AG199/PctPerUnit</f>
        <v>4263.85885316382</v>
      </c>
      <c r="AH533" s="125">
        <f>AH325*AH199/PctPerUnit</f>
        <v>5596.632124048355</v>
      </c>
      <c r="AI533" s="125">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33" t="inlineStr">
        <is>
          <t>consumption x budget share</t>
        </is>
      </c>
      <c r="K534" s="9" t="str">
        <f>LOWER(CtryCode)&amp;".distn."&amp;$A534&amp;IF($B534="","","."&amp;$B534)&amp;IF($C534="","",".dec."&amp;$C534)&amp;"."&amp;K$5</f>
        <v>egy.distn.abud.hou.dec.ove.1</v>
      </c>
      <c r="L534" s="124">
        <f>L325*L200/PctPerUnit</f>
        <v>3386.590485625665</v>
      </c>
      <c r="M534" s="125">
        <f>M325*M200/PctPerUnit</f>
        <v>1589.3791287861789</v>
      </c>
      <c r="N534" s="125">
        <f>N325*N200/PctPerUnit</f>
        <v>1737.2808284008245</v>
      </c>
      <c r="O534" s="125">
        <f>O325*O200/PctPerUnit</f>
        <v>2294.1040051331333</v>
      </c>
      <c r="P534" s="125">
        <f>P325*P200/PctPerUnit</f>
        <v>2368.2591770224635</v>
      </c>
      <c r="Q534" s="125">
        <f>Q325*Q200/PctPerUnit</f>
        <v>2867.9979962383873</v>
      </c>
      <c r="R534" s="125">
        <f>R325*R200/PctPerUnit</f>
        <v>2958.2412401102906</v>
      </c>
      <c r="S534" s="125">
        <f>S325*S200/PctPerUnit</f>
        <v>3770.6095057459443</v>
      </c>
      <c r="T534" s="125">
        <f>T325*T200/PctPerUnit</f>
        <v>4088.2599795166902</v>
      </c>
      <c r="U534" s="125">
        <f>U325*U200/PctPerUnit</f>
        <v>4861.117896487234</v>
      </c>
      <c r="V534" s="125">
        <f>V325*V200/PctPerUnit</f>
        <v>9175.91179468987</v>
      </c>
      <c r="W534" s="207" t="str">
        <f>IF(X$5=K$5,SUM(Y534:AI534)-SUM(L534:V534),"")</f>
        <v/>
      </c>
      <c r="X534" s="9" t="str">
        <f>LOWER(CtryCode)&amp;".distn."&amp;$A534&amp;IF($B534="","","."&amp;$B534)&amp;IF($C534="","",".dec."&amp;$C534)&amp;"."&amp;X$5</f>
        <v>egy.distn.abud.hou.dec.ove.2</v>
      </c>
      <c r="Y534" s="124">
        <f>Y325*Y200/PctPerUnit</f>
        <v>3386.590485625665</v>
      </c>
      <c r="Z534" s="125">
        <f>Z325*Z200/PctPerUnit</f>
        <v>1589.3791287861789</v>
      </c>
      <c r="AA534" s="125">
        <f>AA325*AA200/PctPerUnit</f>
        <v>1737.2808284008245</v>
      </c>
      <c r="AB534" s="125">
        <f>AB325*AB200/PctPerUnit</f>
        <v>2294.1040051331333</v>
      </c>
      <c r="AC534" s="125">
        <f>AC325*AC200/PctPerUnit</f>
        <v>2368.2591770224635</v>
      </c>
      <c r="AD534" s="125">
        <f>AD325*AD200/PctPerUnit</f>
        <v>2867.9979962383873</v>
      </c>
      <c r="AE534" s="125">
        <f>AE325*AE200/PctPerUnit</f>
        <v>2958.2412401102906</v>
      </c>
      <c r="AF534" s="125">
        <f>AF325*AF200/PctPerUnit</f>
        <v>3770.6095057459443</v>
      </c>
      <c r="AG534" s="125">
        <f>AG325*AG200/PctPerUnit</f>
        <v>4088.2599795166902</v>
      </c>
      <c r="AH534" s="125">
        <f>AH325*AH200/PctPerUnit</f>
        <v>4861.117896487234</v>
      </c>
      <c r="AI534" s="125">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33" t="inlineStr">
        <is>
          <t>consumption x budget share</t>
        </is>
      </c>
      <c r="K535" s="9" t="str">
        <f>LOWER(CtryCode)&amp;".distn."&amp;$A535&amp;IF($B535="","","."&amp;$B535)&amp;IF($C535="","",".dec."&amp;$C535)&amp;"."&amp;K$5</f>
        <v>egy.distn.abud.oth.dec.ove.1</v>
      </c>
      <c r="L535" s="124">
        <f>L325*L201/PctPerUnit</f>
        <v>11.176276484169495</v>
      </c>
      <c r="M535" s="125">
        <f>M325*M201/PctPerUnit</f>
        <v>3.9863114968479754</v>
      </c>
      <c r="N535" s="125">
        <f>N325*N201/PctPerUnit</f>
        <v>3.470366495569333</v>
      </c>
      <c r="O535" s="125">
        <f>O325*O201/PctPerUnit</f>
        <v>3.117847413932695</v>
      </c>
      <c r="P535" s="125">
        <f>P325*P201/PctPerUnit</f>
        <v>5.122652507472975</v>
      </c>
      <c r="Q535" s="125">
        <f>Q325*Q201/PctPerUnit</f>
        <v>12.40066295896488</v>
      </c>
      <c r="R535" s="125">
        <f>R325*R201/PctPerUnit</f>
        <v>9.848028737547832</v>
      </c>
      <c r="S535" s="125">
        <f>S325*S201/PctPerUnit</f>
        <v>11.387286749529972</v>
      </c>
      <c r="T535" s="125">
        <f>T325*T201/PctPerUnit</f>
        <v>17.049185408013944</v>
      </c>
      <c r="U535" s="125">
        <f>U325*U201/PctPerUnit</f>
        <v>18.449090653163474</v>
      </c>
      <c r="V535" s="125">
        <f>V325*V201/PctPerUnit</f>
        <v>43.440744828897124</v>
      </c>
      <c r="W535" s="207" t="str">
        <f>IF(X$5=K$5,SUM(Y535:AI535)-SUM(L535:V535),"")</f>
        <v/>
      </c>
      <c r="X535" s="9" t="str">
        <f>LOWER(CtryCode)&amp;".distn."&amp;$A535&amp;IF($B535="","","."&amp;$B535)&amp;IF($C535="","",".dec."&amp;$C535)&amp;"."&amp;X$5</f>
        <v>egy.distn.abud.oth.dec.ove.2</v>
      </c>
      <c r="Y535" s="124">
        <f>Y325*Y201/PctPerUnit</f>
        <v>11.176276484169495</v>
      </c>
      <c r="Z535" s="125">
        <f>Z325*Z201/PctPerUnit</f>
        <v>3.9863114968479754</v>
      </c>
      <c r="AA535" s="125">
        <f>AA325*AA201/PctPerUnit</f>
        <v>3.470366495569333</v>
      </c>
      <c r="AB535" s="125">
        <f>AB325*AB201/PctPerUnit</f>
        <v>3.117847413932695</v>
      </c>
      <c r="AC535" s="125">
        <f>AC325*AC201/PctPerUnit</f>
        <v>5.122652507472975</v>
      </c>
      <c r="AD535" s="125">
        <f>AD325*AD201/PctPerUnit</f>
        <v>12.40066295896488</v>
      </c>
      <c r="AE535" s="125">
        <f>AE325*AE201/PctPerUnit</f>
        <v>9.848028737547832</v>
      </c>
      <c r="AF535" s="125">
        <f>AF325*AF201/PctPerUnit</f>
        <v>11.387286749529972</v>
      </c>
      <c r="AG535" s="125">
        <f>AG325*AG201/PctPerUnit</f>
        <v>17.049185408013944</v>
      </c>
      <c r="AH535" s="125">
        <f>AH325*AH201/PctPerUnit</f>
        <v>18.449090653163474</v>
      </c>
      <c r="AI535" s="125">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33" t="inlineStr">
        <is>
          <t>consumption x budget share</t>
        </is>
      </c>
      <c r="K536" s="9" t="str">
        <f>LOWER(CtryCode)&amp;".distn."&amp;$A536&amp;IF($B536="","","."&amp;$B536)&amp;IF($C536="","",".dec."&amp;$C536)&amp;"."&amp;K$5</f>
        <v>egy.distn.abud.pap.dec.ove.1</v>
      </c>
      <c r="L536" s="124">
        <f>L325*L202/PctPerUnit</f>
        <v>1202.4892484057332</v>
      </c>
      <c r="M536" s="125">
        <f>M325*M202/PctPerUnit</f>
        <v>691.2402138274098</v>
      </c>
      <c r="N536" s="125">
        <f>N325*N202/PctPerUnit</f>
        <v>873.7529914103485</v>
      </c>
      <c r="O536" s="125">
        <f>O325*O202/PctPerUnit</f>
        <v>1082.6162168306587</v>
      </c>
      <c r="P536" s="125">
        <f>P325*P202/PctPerUnit</f>
        <v>1168.922329366437</v>
      </c>
      <c r="Q536" s="125">
        <f>Q325*Q202/PctPerUnit</f>
        <v>1214.9677526932164</v>
      </c>
      <c r="R536" s="125">
        <f>R325*R202/PctPerUnit</f>
        <v>1215.8114564003588</v>
      </c>
      <c r="S536" s="125">
        <f>S325*S202/PctPerUnit</f>
        <v>1376.399741287548</v>
      </c>
      <c r="T536" s="125">
        <f>T325*T202/PctPerUnit</f>
        <v>1210.8621816430343</v>
      </c>
      <c r="U536" s="125">
        <f>U325*U202/PctPerUnit</f>
        <v>1297.766449038383</v>
      </c>
      <c r="V536" s="125">
        <f>V325*V202/PctPerUnit</f>
        <v>1308.8553080652077</v>
      </c>
      <c r="W536" s="207" t="str">
        <f>IF(X$5=K$5,SUM(Y536:AI536)-SUM(L536:V536),"")</f>
        <v/>
      </c>
      <c r="X536" s="9" t="str">
        <f>LOWER(CtryCode)&amp;".distn."&amp;$A536&amp;IF($B536="","","."&amp;$B536)&amp;IF($C536="","",".dec."&amp;$C536)&amp;"."&amp;X$5</f>
        <v>egy.distn.abud.pap.dec.ove.2</v>
      </c>
      <c r="Y536" s="124">
        <f>Y325*Y202/PctPerUnit</f>
        <v>1202.4892484057332</v>
      </c>
      <c r="Z536" s="125">
        <f>Z325*Z202/PctPerUnit</f>
        <v>691.2402138274098</v>
      </c>
      <c r="AA536" s="125">
        <f>AA325*AA202/PctPerUnit</f>
        <v>873.7529914103485</v>
      </c>
      <c r="AB536" s="125">
        <f>AB325*AB202/PctPerUnit</f>
        <v>1082.6162168306587</v>
      </c>
      <c r="AC536" s="125">
        <f>AC325*AC202/PctPerUnit</f>
        <v>1168.922329366437</v>
      </c>
      <c r="AD536" s="125">
        <f>AD325*AD202/PctPerUnit</f>
        <v>1214.9677526932164</v>
      </c>
      <c r="AE536" s="125">
        <f>AE325*AE202/PctPerUnit</f>
        <v>1215.8114564003588</v>
      </c>
      <c r="AF536" s="125">
        <f>AF325*AF202/PctPerUnit</f>
        <v>1376.399741287548</v>
      </c>
      <c r="AG536" s="125">
        <f>AG325*AG202/PctPerUnit</f>
        <v>1210.8621816430343</v>
      </c>
      <c r="AH536" s="125">
        <f>AH325*AH202/PctPerUnit</f>
        <v>1297.766449038383</v>
      </c>
      <c r="AI536" s="125">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33" t="inlineStr">
        <is>
          <t>consumption x budget share</t>
        </is>
      </c>
      <c r="K537" s="9" t="str">
        <f>LOWER(CtryCode)&amp;".distn."&amp;$A537&amp;IF($B537="","","."&amp;$B537)&amp;IF($C537="","",".dec."&amp;$C537)&amp;"."&amp;K$5</f>
        <v>egy.distn.abud.pha.dec.ove.1</v>
      </c>
      <c r="L537" s="124">
        <f>L325*L203/PctPerUnit</f>
        <v>5002.180110764904</v>
      </c>
      <c r="M537" s="125">
        <f>M325*M203/PctPerUnit</f>
        <v>1501.6288926341163</v>
      </c>
      <c r="N537" s="125">
        <f>N325*N203/PctPerUnit</f>
        <v>1866.574141485362</v>
      </c>
      <c r="O537" s="125">
        <f>O325*O203/PctPerUnit</f>
        <v>2343.9094683714457</v>
      </c>
      <c r="P537" s="125">
        <f>P325*P203/PctPerUnit</f>
        <v>2935.7503540172934</v>
      </c>
      <c r="Q537" s="125">
        <f>Q325*Q203/PctPerUnit</f>
        <v>3526.051876256201</v>
      </c>
      <c r="R537" s="125">
        <f>R325*R203/PctPerUnit</f>
        <v>4220.029368848033</v>
      </c>
      <c r="S537" s="125">
        <f>S325*S203/PctPerUnit</f>
        <v>5206.724636645121</v>
      </c>
      <c r="T537" s="125">
        <f>T325*T203/PctPerUnit</f>
        <v>7620.744426299938</v>
      </c>
      <c r="U537" s="125">
        <f>U325*U203/PctPerUnit</f>
        <v>9212.125688769973</v>
      </c>
      <c r="V537" s="125">
        <f>V325*V203/PctPerUnit</f>
        <v>15628.082606532153</v>
      </c>
      <c r="W537" s="207" t="str">
        <f>IF(X$5=K$5,SUM(Y537:AI537)-SUM(L537:V537),"")</f>
        <v/>
      </c>
      <c r="X537" s="9" t="str">
        <f>LOWER(CtryCode)&amp;".distn."&amp;$A537&amp;IF($B537="","","."&amp;$B537)&amp;IF($C537="","",".dec."&amp;$C537)&amp;"."&amp;X$5</f>
        <v>egy.distn.abud.pha.dec.ove.2</v>
      </c>
      <c r="Y537" s="124">
        <f>Y325*Y203/PctPerUnit</f>
        <v>5002.180110764904</v>
      </c>
      <c r="Z537" s="125">
        <f>Z325*Z203/PctPerUnit</f>
        <v>1501.6288926341163</v>
      </c>
      <c r="AA537" s="125">
        <f>AA325*AA203/PctPerUnit</f>
        <v>1866.574141485362</v>
      </c>
      <c r="AB537" s="125">
        <f>AB325*AB203/PctPerUnit</f>
        <v>2343.9094683714457</v>
      </c>
      <c r="AC537" s="125">
        <f>AC325*AC203/PctPerUnit</f>
        <v>2935.7503540172934</v>
      </c>
      <c r="AD537" s="125">
        <f>AD325*AD203/PctPerUnit</f>
        <v>3526.051876256201</v>
      </c>
      <c r="AE537" s="125">
        <f>AE325*AE203/PctPerUnit</f>
        <v>4220.029368848033</v>
      </c>
      <c r="AF537" s="125">
        <f>AF325*AF203/PctPerUnit</f>
        <v>5206.724636645121</v>
      </c>
      <c r="AG537" s="125">
        <f>AG325*AG203/PctPerUnit</f>
        <v>7620.744426299938</v>
      </c>
      <c r="AH537" s="125">
        <f>AH325*AH203/PctPerUnit</f>
        <v>9212.125688769973</v>
      </c>
      <c r="AI537" s="125">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33" t="inlineStr">
        <is>
          <t>consumption x budget share</t>
        </is>
      </c>
      <c r="K538" s="9" t="str">
        <f>LOWER(CtryCode)&amp;".distn."&amp;$A538&amp;IF($B538="","","."&amp;$B538)&amp;IF($C538="","",".dec."&amp;$C538)&amp;"."&amp;K$5</f>
        <v>egy.distn.abud.ret.dec.ove.1</v>
      </c>
      <c r="L538" s="124">
        <f>L325*L204/PctPerUnit</f>
        <v>5339.84873178832</v>
      </c>
      <c r="M538" s="125">
        <f>M325*M204/PctPerUnit</f>
        <v>2098.7113108746294</v>
      </c>
      <c r="N538" s="125">
        <f>N325*N204/PctPerUnit</f>
        <v>2601.280711052074</v>
      </c>
      <c r="O538" s="125">
        <f>O325*O204/PctPerUnit</f>
        <v>3297.6427282192058</v>
      </c>
      <c r="P538" s="125">
        <f>P325*P204/PctPerUnit</f>
        <v>3659.6200796049666</v>
      </c>
      <c r="Q538" s="125">
        <f>Q325*Q204/PctPerUnit</f>
        <v>4365.31108024872</v>
      </c>
      <c r="R538" s="125">
        <f>R325*R204/PctPerUnit</f>
        <v>4131.797291948747</v>
      </c>
      <c r="S538" s="125">
        <f>S325*S204/PctPerUnit</f>
        <v>5072.934630383667</v>
      </c>
      <c r="T538" s="125">
        <f>T325*T204/PctPerUnit</f>
        <v>5888.433308624125</v>
      </c>
      <c r="U538" s="125">
        <f>U325*U204/PctPerUnit</f>
        <v>7227.1199643813525</v>
      </c>
      <c r="V538" s="125">
        <f>V325*V204/PctPerUnit</f>
        <v>12252.123516267493</v>
      </c>
      <c r="W538" s="207" t="str">
        <f>IF(X$5=K$5,SUM(Y538:AI538)-SUM(L538:V538),"")</f>
        <v/>
      </c>
      <c r="X538" s="9" t="str">
        <f>LOWER(CtryCode)&amp;".distn."&amp;$A538&amp;IF($B538="","","."&amp;$B538)&amp;IF($C538="","",".dec."&amp;$C538)&amp;"."&amp;X$5</f>
        <v>egy.distn.abud.ret.dec.ove.2</v>
      </c>
      <c r="Y538" s="124">
        <f>Y325*Y204/PctPerUnit</f>
        <v>5339.84873178832</v>
      </c>
      <c r="Z538" s="125">
        <f>Z325*Z204/PctPerUnit</f>
        <v>2098.7113108746294</v>
      </c>
      <c r="AA538" s="125">
        <f>AA325*AA204/PctPerUnit</f>
        <v>2601.280711052074</v>
      </c>
      <c r="AB538" s="125">
        <f>AB325*AB204/PctPerUnit</f>
        <v>3297.6427282192058</v>
      </c>
      <c r="AC538" s="125">
        <f>AC325*AC204/PctPerUnit</f>
        <v>3659.6200796049666</v>
      </c>
      <c r="AD538" s="125">
        <f>AD325*AD204/PctPerUnit</f>
        <v>4365.31108024872</v>
      </c>
      <c r="AE538" s="125">
        <f>AE325*AE204/PctPerUnit</f>
        <v>4131.797291948747</v>
      </c>
      <c r="AF538" s="125">
        <f>AF325*AF204/PctPerUnit</f>
        <v>5072.934630383667</v>
      </c>
      <c r="AG538" s="125">
        <f>AG325*AG204/PctPerUnit</f>
        <v>5888.433308624125</v>
      </c>
      <c r="AH538" s="125">
        <f>AH325*AH204/PctPerUnit</f>
        <v>7227.1199643813525</v>
      </c>
      <c r="AI538" s="125">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33" t="inlineStr">
        <is>
          <t>consumption x budget share</t>
        </is>
      </c>
      <c r="K539" s="9" t="str">
        <f>LOWER(CtryCode)&amp;".distn."&amp;$A539&amp;IF($B539="","","."&amp;$B539)&amp;IF($C539="","",".dec."&amp;$C539)&amp;"."&amp;K$5</f>
        <v>egy.distn.abud.teq.dec.ove.1</v>
      </c>
      <c r="L539" s="124">
        <f>L325*L205/PctPerUnit</f>
        <v>305.2372248386505</v>
      </c>
      <c r="M539" s="125">
        <f>M325*M205/PctPerUnit</f>
        <v>97.34149908361424</v>
      </c>
      <c r="N539" s="125">
        <f>N325*N205/PctPerUnit</f>
        <v>119.44716833743523</v>
      </c>
      <c r="O539" s="125">
        <f>O325*O205/PctPerUnit</f>
        <v>149.33301054651102</v>
      </c>
      <c r="P539" s="125">
        <f>P325*P205/PctPerUnit</f>
        <v>162.31603983123384</v>
      </c>
      <c r="Q539" s="125">
        <f>Q325*Q205/PctPerUnit</f>
        <v>228.3923285118744</v>
      </c>
      <c r="R539" s="125">
        <f>R325*R205/PctPerUnit</f>
        <v>292.6998034451671</v>
      </c>
      <c r="S539" s="125">
        <f>S325*S205/PctPerUnit</f>
        <v>416.8120981249673</v>
      </c>
      <c r="T539" s="125">
        <f>T325*T205/PctPerUnit</f>
        <v>560.5782022345654</v>
      </c>
      <c r="U539" s="125">
        <f>U325*U205/PctPerUnit</f>
        <v>750.1573842434958</v>
      </c>
      <c r="V539" s="125">
        <f>V325*V205/PctPerUnit</f>
        <v>1347.1291924477541</v>
      </c>
      <c r="W539" s="207" t="str">
        <f>IF(X$5=K$5,SUM(Y539:AI539)-SUM(L539:V539),"")</f>
        <v/>
      </c>
      <c r="X539" s="9" t="str">
        <f>LOWER(CtryCode)&amp;".distn."&amp;$A539&amp;IF($B539="","","."&amp;$B539)&amp;IF($C539="","",".dec."&amp;$C539)&amp;"."&amp;X$5</f>
        <v>egy.distn.abud.teq.dec.ove.2</v>
      </c>
      <c r="Y539" s="124">
        <f>Y325*Y205/PctPerUnit</f>
        <v>305.2372248386505</v>
      </c>
      <c r="Z539" s="125">
        <f>Z325*Z205/PctPerUnit</f>
        <v>97.34149908361424</v>
      </c>
      <c r="AA539" s="125">
        <f>AA325*AA205/PctPerUnit</f>
        <v>119.44716833743523</v>
      </c>
      <c r="AB539" s="125">
        <f>AB325*AB205/PctPerUnit</f>
        <v>149.33301054651102</v>
      </c>
      <c r="AC539" s="125">
        <f>AC325*AC205/PctPerUnit</f>
        <v>162.31603983123384</v>
      </c>
      <c r="AD539" s="125">
        <f>AD325*AD205/PctPerUnit</f>
        <v>228.3923285118744</v>
      </c>
      <c r="AE539" s="125">
        <f>AE325*AE205/PctPerUnit</f>
        <v>292.6998034451671</v>
      </c>
      <c r="AF539" s="125">
        <f>AF325*AF205/PctPerUnit</f>
        <v>416.8120981249673</v>
      </c>
      <c r="AG539" s="125">
        <f>AG325*AG205/PctPerUnit</f>
        <v>560.5782022345654</v>
      </c>
      <c r="AH539" s="125">
        <f>AH325*AH205/PctPerUnit</f>
        <v>750.1573842434958</v>
      </c>
      <c r="AI539" s="125">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33" t="inlineStr">
        <is>
          <t>consumption x budget share</t>
        </is>
      </c>
      <c r="K540" s="9" t="str">
        <f>LOWER(CtryCode)&amp;".distn."&amp;$A540&amp;IF($B540="","","."&amp;$B540)&amp;IF($C540="","",".dec."&amp;$C540)&amp;"."&amp;K$5</f>
        <v>egy.distn.abud.tpu.dec.ove.1</v>
      </c>
      <c r="L540" s="124">
        <f>L325*L206/PctPerUnit</f>
        <v>3083.8244703552127</v>
      </c>
      <c r="M540" s="125">
        <f>M325*M206/PctPerUnit</f>
        <v>1431.7279550031412</v>
      </c>
      <c r="N540" s="125">
        <f>N325*N206/PctPerUnit</f>
        <v>1680.120484134906</v>
      </c>
      <c r="O540" s="125">
        <f>O325*O206/PctPerUnit</f>
        <v>2043.348263780128</v>
      </c>
      <c r="P540" s="125">
        <f>P325*P206/PctPerUnit</f>
        <v>2471.415333993651</v>
      </c>
      <c r="Q540" s="125">
        <f>Q325*Q206/PctPerUnit</f>
        <v>2690.9346663274914</v>
      </c>
      <c r="R540" s="125">
        <f>R325*R206/PctPerUnit</f>
        <v>2907.9021566856873</v>
      </c>
      <c r="S540" s="125">
        <f>S325*S206/PctPerUnit</f>
        <v>4062.2322051449714</v>
      </c>
      <c r="T540" s="125">
        <f>T325*T206/PctPerUnit</f>
        <v>4574.4228727180935</v>
      </c>
      <c r="U540" s="125">
        <f>U325*U206/PctPerUnit</f>
        <v>5027.191757866825</v>
      </c>
      <c r="V540" s="125">
        <f>V325*V206/PctPerUnit</f>
        <v>6378.606650995204</v>
      </c>
      <c r="W540" s="207" t="str">
        <f>IF(X$5=K$5,SUM(Y540:AI540)-SUM(L540:V540),"")</f>
        <v/>
      </c>
      <c r="X540" s="9" t="str">
        <f>LOWER(CtryCode)&amp;".distn."&amp;$A540&amp;IF($B540="","","."&amp;$B540)&amp;IF($C540="","",".dec."&amp;$C540)&amp;"."&amp;X$5</f>
        <v>egy.distn.abud.tpu.dec.ove.2</v>
      </c>
      <c r="Y540" s="124">
        <f>Y325*Y206/PctPerUnit</f>
        <v>3083.8244703552127</v>
      </c>
      <c r="Z540" s="125">
        <f>Z325*Z206/PctPerUnit</f>
        <v>1431.7279550031412</v>
      </c>
      <c r="AA540" s="125">
        <f>AA325*AA206/PctPerUnit</f>
        <v>1680.120484134906</v>
      </c>
      <c r="AB540" s="125">
        <f>AB325*AB206/PctPerUnit</f>
        <v>2043.348263780128</v>
      </c>
      <c r="AC540" s="125">
        <f>AC325*AC206/PctPerUnit</f>
        <v>2471.415333993651</v>
      </c>
      <c r="AD540" s="125">
        <f>AD325*AD206/PctPerUnit</f>
        <v>2690.9346663274914</v>
      </c>
      <c r="AE540" s="125">
        <f>AE325*AE206/PctPerUnit</f>
        <v>2907.9021566856873</v>
      </c>
      <c r="AF540" s="125">
        <f>AF325*AF206/PctPerUnit</f>
        <v>4062.2322051449714</v>
      </c>
      <c r="AG540" s="125">
        <f>AG325*AG206/PctPerUnit</f>
        <v>4574.4228727180935</v>
      </c>
      <c r="AH540" s="125">
        <f>AH325*AH206/PctPerUnit</f>
        <v>5027.191757866825</v>
      </c>
      <c r="AI540" s="125">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33" t="inlineStr">
        <is>
          <t>legacy rows 3064-3072</t>
        </is>
      </c>
      <c r="K541" s="9" t="str">
        <f>LOWER(CtryCode)&amp;".distn."&amp;$A541&amp;IF($B541="","","."&amp;$B541)&amp;IF($C541="","",".dec."&amp;$C541)&amp;"."&amp;K$5</f>
        <v>egy.distn.adef.coa.dec.ove.1</v>
      </c>
      <c r="L541" s="124">
        <f>L325*L274/PctPerUnit</f>
        <v>-0.0</v>
      </c>
      <c r="M541" s="125">
        <f>M325*M274/PctPerUnit</f>
        <v>-0.0</v>
      </c>
      <c r="N541" s="125">
        <f>N325*N274/PctPerUnit</f>
        <v>-0.0</v>
      </c>
      <c r="O541" s="125">
        <f>O325*O274/PctPerUnit</f>
        <v>-0.0</v>
      </c>
      <c r="P541" s="125">
        <f>P325*P274/PctPerUnit</f>
        <v>-0.0</v>
      </c>
      <c r="Q541" s="125">
        <f>Q325*Q274/PctPerUnit</f>
        <v>-0.0</v>
      </c>
      <c r="R541" s="125">
        <f>R325*R274/PctPerUnit</f>
        <v>-0.0</v>
      </c>
      <c r="S541" s="125">
        <f>S325*S274/PctPerUnit</f>
        <v>-0.0</v>
      </c>
      <c r="T541" s="125">
        <f>T325*T274/PctPerUnit</f>
        <v>-0.0</v>
      </c>
      <c r="U541" s="125">
        <f>U325*U274/PctPerUnit</f>
        <v>-0.0</v>
      </c>
      <c r="V541" s="125">
        <f>V325*V274/PctPerUnit</f>
        <v>-0.0</v>
      </c>
      <c r="W541" s="207" t="str">
        <f>IF(X$5=K$5,SUM(Y541:AI541)-SUM(L541:V541),"")</f>
        <v/>
      </c>
      <c r="X541" s="9" t="str">
        <f>LOWER(CtryCode)&amp;".distn."&amp;$A541&amp;IF($B541="","","."&amp;$B541)&amp;IF($C541="","",".dec."&amp;$C541)&amp;"."&amp;X$5</f>
        <v>egy.distn.adef.coa.dec.ove.2</v>
      </c>
      <c r="Y541" s="124">
        <f>Y325*Y274/PctPerUnit</f>
        <v>-0.0</v>
      </c>
      <c r="Z541" s="125">
        <f>Z325*Z274/PctPerUnit</f>
        <v>-0.0</v>
      </c>
      <c r="AA541" s="125">
        <f>AA325*AA274/PctPerUnit</f>
        <v>-0.0</v>
      </c>
      <c r="AB541" s="125">
        <f>AB325*AB274/PctPerUnit</f>
        <v>-0.0</v>
      </c>
      <c r="AC541" s="125">
        <f>AC325*AC274/PctPerUnit</f>
        <v>-0.0</v>
      </c>
      <c r="AD541" s="125">
        <f>AD325*AD274/PctPerUnit</f>
        <v>-0.0</v>
      </c>
      <c r="AE541" s="125">
        <f>AE325*AE274/PctPerUnit</f>
        <v>-0.0</v>
      </c>
      <c r="AF541" s="125">
        <f>AF325*AF274/PctPerUnit</f>
        <v>-0.0</v>
      </c>
      <c r="AG541" s="125">
        <f>AG325*AG274/PctPerUnit</f>
        <v>-0.0</v>
      </c>
      <c r="AH541" s="125">
        <f>AH325*AH274/PctPerUnit</f>
        <v>-0.0</v>
      </c>
      <c r="AI541" s="125">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33" t="inlineStr">
        <is>
          <t>legacy rows 3064-3072</t>
        </is>
      </c>
      <c r="K542" s="9" t="str">
        <f>LOWER(CtryCode)&amp;".distn."&amp;$A542&amp;IF($B542="","","."&amp;$B542)&amp;IF($C542="","",".dec."&amp;$C542)&amp;"."&amp;K$5</f>
        <v>egy.distn.adef.ely.dec.ove.1</v>
      </c>
      <c r="L542" s="124">
        <f>L325*L275/PctPerUnit</f>
        <v>-0.0</v>
      </c>
      <c r="M542" s="125">
        <f>M325*M275/PctPerUnit</f>
        <v>-0.0</v>
      </c>
      <c r="N542" s="125">
        <f>N325*N275/PctPerUnit</f>
        <v>-0.0</v>
      </c>
      <c r="O542" s="125">
        <f>O325*O275/PctPerUnit</f>
        <v>-0.0</v>
      </c>
      <c r="P542" s="125">
        <f>P325*P275/PctPerUnit</f>
        <v>-0.0</v>
      </c>
      <c r="Q542" s="125">
        <f>Q325*Q275/PctPerUnit</f>
        <v>-0.0</v>
      </c>
      <c r="R542" s="125">
        <f>R325*R275/PctPerUnit</f>
        <v>-0.0</v>
      </c>
      <c r="S542" s="125">
        <f>S325*S275/PctPerUnit</f>
        <v>-0.0</v>
      </c>
      <c r="T542" s="125">
        <f>T325*T275/PctPerUnit</f>
        <v>-0.0</v>
      </c>
      <c r="U542" s="125">
        <f>U325*U275/PctPerUnit</f>
        <v>-0.0</v>
      </c>
      <c r="V542" s="125">
        <f>V325*V275/PctPerUnit</f>
        <v>-0.0</v>
      </c>
      <c r="W542" s="207" t="str">
        <f>IF(X$5=K$5,SUM(Y542:AI542)-SUM(L542:V542),"")</f>
        <v/>
      </c>
      <c r="X542" s="9" t="str">
        <f>LOWER(CtryCode)&amp;".distn."&amp;$A542&amp;IF($B542="","","."&amp;$B542)&amp;IF($C542="","",".dec."&amp;$C542)&amp;"."&amp;X$5</f>
        <v>egy.distn.adef.ely.dec.ove.2</v>
      </c>
      <c r="Y542" s="124">
        <f>Y325*Y275/PctPerUnit</f>
        <v>-412.90938946143166</v>
      </c>
      <c r="Z542" s="125">
        <f>Z325*Z275/PctPerUnit</f>
        <v>-182.4384109214601</v>
      </c>
      <c r="AA542" s="125">
        <f>AA325*AA275/PctPerUnit</f>
        <v>-216.3346614911592</v>
      </c>
      <c r="AB542" s="125">
        <f>AB325*AB275/PctPerUnit</f>
        <v>-268.0714057333499</v>
      </c>
      <c r="AC542" s="125">
        <f>AC325*AC275/PctPerUnit</f>
        <v>-308.4178176975808</v>
      </c>
      <c r="AD542" s="125">
        <f>AD325*AD275/PctPerUnit</f>
        <v>-318.0752759177834</v>
      </c>
      <c r="AE542" s="125">
        <f>AE325*AE275/PctPerUnit</f>
        <v>-343.1520749705066</v>
      </c>
      <c r="AF542" s="125">
        <f>AF325*AF275/PctPerUnit</f>
        <v>-454.11408983720213</v>
      </c>
      <c r="AG542" s="125">
        <f>AG325*AG275/PctPerUnit</f>
        <v>-551.9785885655853</v>
      </c>
      <c r="AH542" s="125">
        <f>AH325*AH275/PctPerUnit</f>
        <v>-660.4875254851762</v>
      </c>
      <c r="AI542" s="125">
        <f>AI325*AI275/PctPerUnit</f>
        <v>-968.4082412370268</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33" t="inlineStr">
        <is>
          <t>legacy rows 3064-3072</t>
        </is>
      </c>
      <c r="K543" s="9" t="str">
        <f>LOWER(CtryCode)&amp;".distn."&amp;$A543&amp;IF($B543="","","."&amp;$B543)&amp;IF($C543="","",".dec."&amp;$C543)&amp;"."&amp;K$5</f>
        <v>egy.distn.adef.nga.dec.ove.1</v>
      </c>
      <c r="L543" s="124">
        <f>L325*L276/PctPerUnit</f>
        <v>-0.0</v>
      </c>
      <c r="M543" s="125">
        <f>M325*M276/PctPerUnit</f>
        <v>-0.0</v>
      </c>
      <c r="N543" s="125">
        <f>N325*N276/PctPerUnit</f>
        <v>-0.0</v>
      </c>
      <c r="O543" s="125">
        <f>O325*O276/PctPerUnit</f>
        <v>-0.0</v>
      </c>
      <c r="P543" s="125">
        <f>P325*P276/PctPerUnit</f>
        <v>-0.0</v>
      </c>
      <c r="Q543" s="125">
        <f>Q325*Q276/PctPerUnit</f>
        <v>-0.0</v>
      </c>
      <c r="R543" s="125">
        <f>R325*R276/PctPerUnit</f>
        <v>-0.0</v>
      </c>
      <c r="S543" s="125">
        <f>S325*S276/PctPerUnit</f>
        <v>-0.0</v>
      </c>
      <c r="T543" s="125">
        <f>T325*T276/PctPerUnit</f>
        <v>-0.0</v>
      </c>
      <c r="U543" s="125">
        <f>U325*U276/PctPerUnit</f>
        <v>-0.0</v>
      </c>
      <c r="V543" s="125">
        <f>V325*V276/PctPerUnit</f>
        <v>-0.0</v>
      </c>
      <c r="W543" s="207" t="str">
        <f>IF(X$5=K$5,SUM(Y543:AI543)-SUM(L543:V543),"")</f>
        <v/>
      </c>
      <c r="X543" s="9" t="str">
        <f>LOWER(CtryCode)&amp;".distn."&amp;$A543&amp;IF($B543="","","."&amp;$B543)&amp;IF($C543="","",".dec."&amp;$C543)&amp;"."&amp;X$5</f>
        <v>egy.distn.adef.nga.dec.ove.2</v>
      </c>
      <c r="Y543" s="124">
        <f>Y325*Y276/PctPerUnit</f>
        <v>-87.28920957319379</v>
      </c>
      <c r="Z543" s="125">
        <f>Z325*Z276/PctPerUnit</f>
        <v>-29.83960599123983</v>
      </c>
      <c r="AA543" s="125">
        <f>AA325*AA276/PctPerUnit</f>
        <v>-36.02372754053036</v>
      </c>
      <c r="AB543" s="125">
        <f>AB325*AB276/PctPerUnit</f>
        <v>-47.3543983626685</v>
      </c>
      <c r="AC543" s="125">
        <f>AC325*AC276/PctPerUnit</f>
        <v>-59.013291025104955</v>
      </c>
      <c r="AD543" s="125">
        <f>AD325*AD276/PctPerUnit</f>
        <v>-64.07782836572953</v>
      </c>
      <c r="AE543" s="125">
        <f>AE325*AE276/PctPerUnit</f>
        <v>-72.93031412264956</v>
      </c>
      <c r="AF543" s="125">
        <f>AF325*AF276/PctPerUnit</f>
        <v>-102.20392149799072</v>
      </c>
      <c r="AG543" s="125">
        <f>AG325*AG276/PctPerUnit</f>
        <v>-143.36516106525616</v>
      </c>
      <c r="AH543" s="125">
        <f>AH325*AH276/PctPerUnit</f>
        <v>-167.36017348961886</v>
      </c>
      <c r="AI543" s="125">
        <f>AI325*AI276/PctPerUnit</f>
        <v>-310.9174455746598</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33" t="inlineStr">
        <is>
          <t>legacy rows 3064-3072</t>
        </is>
      </c>
      <c r="K544" s="9" t="str">
        <f>LOWER(CtryCode)&amp;".distn."&amp;$A544&amp;IF($B544="","","."&amp;$B544)&amp;IF($C544="","",".dec."&amp;$C544)&amp;"."&amp;K$5</f>
        <v>egy.distn.adef.oil.dec.ove.1</v>
      </c>
      <c r="L544" s="124">
        <f>L325*L277/PctPerUnit</f>
        <v>-0.0</v>
      </c>
      <c r="M544" s="125">
        <f>M325*M277/PctPerUnit</f>
        <v>-0.0</v>
      </c>
      <c r="N544" s="125">
        <f>N325*N277/PctPerUnit</f>
        <v>-0.0</v>
      </c>
      <c r="O544" s="125">
        <f>O325*O277/PctPerUnit</f>
        <v>-0.0</v>
      </c>
      <c r="P544" s="125">
        <f>P325*P277/PctPerUnit</f>
        <v>-0.0</v>
      </c>
      <c r="Q544" s="125">
        <f>Q325*Q277/PctPerUnit</f>
        <v>-0.0</v>
      </c>
      <c r="R544" s="125">
        <f>R325*R277/PctPerUnit</f>
        <v>-0.0</v>
      </c>
      <c r="S544" s="125">
        <f>S325*S277/PctPerUnit</f>
        <v>-0.0</v>
      </c>
      <c r="T544" s="125">
        <f>T325*T277/PctPerUnit</f>
        <v>-0.0</v>
      </c>
      <c r="U544" s="125">
        <f>U325*U277/PctPerUnit</f>
        <v>-0.0</v>
      </c>
      <c r="V544" s="125">
        <f>V325*V277/PctPerUnit</f>
        <v>-0.0</v>
      </c>
      <c r="W544" s="207" t="str">
        <f>IF(X$5=K$5,SUM(Y544:AI544)-SUM(L544:V544),"")</f>
        <v/>
      </c>
      <c r="X544" s="9" t="str">
        <f>LOWER(CtryCode)&amp;".distn."&amp;$A544&amp;IF($B544="","","."&amp;$B544)&amp;IF($C544="","",".dec."&amp;$C544)&amp;"."&amp;X$5</f>
        <v>egy.distn.adef.oil.dec.ove.2</v>
      </c>
      <c r="Y544" s="124">
        <f>Y325*Y277/PctPerUnit</f>
        <v>-29.000526238057493</v>
      </c>
      <c r="Z544" s="125">
        <f>Z325*Z277/PctPerUnit</f>
        <v>-9.25768102123764</v>
      </c>
      <c r="AA544" s="125">
        <f>AA325*AA277/PctPerUnit</f>
        <v>-12.211470133230492</v>
      </c>
      <c r="AB544" s="125">
        <f>AB325*AB277/PctPerUnit</f>
        <v>-19.73260866594991</v>
      </c>
      <c r="AC544" s="125">
        <f>AC325*AC277/PctPerUnit</f>
        <v>-17.426352513461747</v>
      </c>
      <c r="AD544" s="125">
        <f>AD325*AD277/PctPerUnit</f>
        <v>-25.71982957455628</v>
      </c>
      <c r="AE544" s="125">
        <f>AE325*AE277/PctPerUnit</f>
        <v>-26.863351005271316</v>
      </c>
      <c r="AF544" s="125">
        <f>AF325*AF277/PctPerUnit</f>
        <v>-34.44930372889882</v>
      </c>
      <c r="AG544" s="125">
        <f>AG325*AG277/PctPerUnit</f>
        <v>-40.001236248494635</v>
      </c>
      <c r="AH544" s="125">
        <f>AH325*AH277/PctPerUnit</f>
        <v>-48.61171314649368</v>
      </c>
      <c r="AI544" s="125">
        <f>AI325*AI277/PctPerUnit</f>
        <v>-73.58049132597849</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33" t="inlineStr">
        <is>
          <t>legacy rows 3064-3072</t>
        </is>
      </c>
      <c r="K545" s="9" t="str">
        <f>LOWER(CtryCode)&amp;".distn."&amp;$A545&amp;IF($B545="","","."&amp;$B545)&amp;IF($C545="","",".dec."&amp;$C545)&amp;"."&amp;K$5</f>
        <v>egy.distn.adef.gso.dec.ove.1</v>
      </c>
      <c r="L545" s="124">
        <f>L325*L278/PctPerUnit</f>
        <v>-0.0</v>
      </c>
      <c r="M545" s="125">
        <f>M325*M278/PctPerUnit</f>
        <v>-0.0</v>
      </c>
      <c r="N545" s="125">
        <f>N325*N278/PctPerUnit</f>
        <v>-0.0</v>
      </c>
      <c r="O545" s="125">
        <f>O325*O278/PctPerUnit</f>
        <v>-0.0</v>
      </c>
      <c r="P545" s="125">
        <f>P325*P278/PctPerUnit</f>
        <v>-0.0</v>
      </c>
      <c r="Q545" s="125">
        <f>Q325*Q278/PctPerUnit</f>
        <v>-0.0</v>
      </c>
      <c r="R545" s="125">
        <f>R325*R278/PctPerUnit</f>
        <v>-0.0</v>
      </c>
      <c r="S545" s="125">
        <f>S325*S278/PctPerUnit</f>
        <v>-0.0</v>
      </c>
      <c r="T545" s="125">
        <f>T325*T278/PctPerUnit</f>
        <v>-0.0</v>
      </c>
      <c r="U545" s="125">
        <f>U325*U278/PctPerUnit</f>
        <v>-0.0</v>
      </c>
      <c r="V545" s="125">
        <f>V325*V278/PctPerUnit</f>
        <v>-0.0</v>
      </c>
      <c r="W545" s="207" t="str">
        <f>IF(X$5=K$5,SUM(Y545:AI545)-SUM(L545:V545),"")</f>
        <v/>
      </c>
      <c r="X545" s="9" t="str">
        <f>LOWER(CtryCode)&amp;".distn."&amp;$A545&amp;IF($B545="","","."&amp;$B545)&amp;IF($C545="","",".dec."&amp;$C545)&amp;"."&amp;X$5</f>
        <v>egy.distn.adef.gso.dec.ove.2</v>
      </c>
      <c r="Y545" s="124">
        <f>Y325*Y278/PctPerUnit</f>
        <v>-47.59719650626074</v>
      </c>
      <c r="Z545" s="125">
        <f>Z325*Z278/PctPerUnit</f>
        <v>-11.300960193659085</v>
      </c>
      <c r="AA545" s="125">
        <f>AA325*AA278/PctPerUnit</f>
        <v>-17.176390389123522</v>
      </c>
      <c r="AB545" s="125">
        <f>AB325*AB278/PctPerUnit</f>
        <v>-25.4529511021392</v>
      </c>
      <c r="AC545" s="125">
        <f>AC325*AC278/PctPerUnit</f>
        <v>-30.62246421688456</v>
      </c>
      <c r="AD545" s="125">
        <f>AD325*AD278/PctPerUnit</f>
        <v>-38.264828350928596</v>
      </c>
      <c r="AE545" s="125">
        <f>AE325*AE278/PctPerUnit</f>
        <v>-43.38826226592121</v>
      </c>
      <c r="AF545" s="125">
        <f>AF325*AF278/PctPerUnit</f>
        <v>-61.34431449115257</v>
      </c>
      <c r="AG545" s="125">
        <f>AG325*AG278/PctPerUnit</f>
        <v>-76.67208931296913</v>
      </c>
      <c r="AH545" s="125">
        <f>AH325*AH278/PctPerUnit</f>
        <v>-83.21045179377035</v>
      </c>
      <c r="AI545" s="125">
        <f>AI325*AI278/PctPerUnit</f>
        <v>-149.09305099276372</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33" t="inlineStr">
        <is>
          <t>legacy rows 3064-3072</t>
        </is>
      </c>
      <c r="K546" s="9" t="str">
        <f>LOWER(CtryCode)&amp;".distn."&amp;$A546&amp;IF($B546="","","."&amp;$B546)&amp;IF($C546="","",".dec."&amp;$C546)&amp;"."&amp;K$5</f>
        <v>egy.distn.adef.die.dec.ove.1</v>
      </c>
      <c r="L546" s="124">
        <f>L325*L279/PctPerUnit</f>
        <v>-0.0</v>
      </c>
      <c r="M546" s="125">
        <f>M325*M279/PctPerUnit</f>
        <v>-0.0</v>
      </c>
      <c r="N546" s="125">
        <f>N325*N279/PctPerUnit</f>
        <v>-0.0</v>
      </c>
      <c r="O546" s="125">
        <f>O325*O279/PctPerUnit</f>
        <v>-0.0</v>
      </c>
      <c r="P546" s="125">
        <f>P325*P279/PctPerUnit</f>
        <v>-0.0</v>
      </c>
      <c r="Q546" s="125">
        <f>Q325*Q279/PctPerUnit</f>
        <v>-0.0</v>
      </c>
      <c r="R546" s="125">
        <f>R325*R279/PctPerUnit</f>
        <v>-0.0</v>
      </c>
      <c r="S546" s="125">
        <f>S325*S279/PctPerUnit</f>
        <v>-0.0</v>
      </c>
      <c r="T546" s="125">
        <f>T325*T279/PctPerUnit</f>
        <v>-0.0</v>
      </c>
      <c r="U546" s="125">
        <f>U325*U279/PctPerUnit</f>
        <v>-0.0</v>
      </c>
      <c r="V546" s="125">
        <f>V325*V279/PctPerUnit</f>
        <v>-0.0</v>
      </c>
      <c r="W546" s="207" t="str">
        <f>IF(X$5=K$5,SUM(Y546:AI546)-SUM(L546:V546),"")</f>
        <v/>
      </c>
      <c r="X546" s="9" t="str">
        <f>LOWER(CtryCode)&amp;".distn."&amp;$A546&amp;IF($B546="","","."&amp;$B546)&amp;IF($C546="","",".dec."&amp;$C546)&amp;"."&amp;X$5</f>
        <v>egy.distn.adef.die.dec.ove.2</v>
      </c>
      <c r="Y546" s="124">
        <f>Y325*Y279/PctPerUnit</f>
        <v>-0.0</v>
      </c>
      <c r="Z546" s="125">
        <f>Z325*Z279/PctPerUnit</f>
        <v>-0.0</v>
      </c>
      <c r="AA546" s="125">
        <f>AA325*AA279/PctPerUnit</f>
        <v>-0.0</v>
      </c>
      <c r="AB546" s="125">
        <f>AB325*AB279/PctPerUnit</f>
        <v>-0.0</v>
      </c>
      <c r="AC546" s="125">
        <f>AC325*AC279/PctPerUnit</f>
        <v>-0.0</v>
      </c>
      <c r="AD546" s="125">
        <f>AD325*AD279/PctPerUnit</f>
        <v>-0.0</v>
      </c>
      <c r="AE546" s="125">
        <f>AE325*AE279/PctPerUnit</f>
        <v>-0.0</v>
      </c>
      <c r="AF546" s="125">
        <f>AF325*AF279/PctPerUnit</f>
        <v>-0.0</v>
      </c>
      <c r="AG546" s="125">
        <f>AG325*AG279/PctPerUnit</f>
        <v>-0.0</v>
      </c>
      <c r="AH546" s="125">
        <f>AH325*AH279/PctPerUnit</f>
        <v>-0.0</v>
      </c>
      <c r="AI546" s="125">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33" t="inlineStr">
        <is>
          <t>legacy rows 3064-3072</t>
        </is>
      </c>
      <c r="K547" s="9" t="str">
        <f>LOWER(CtryCode)&amp;".distn."&amp;$A547&amp;IF($B547="","","."&amp;$B547)&amp;IF($C547="","",".dec."&amp;$C547)&amp;"."&amp;K$5</f>
        <v>egy.distn.adef.ker.dec.ove.1</v>
      </c>
      <c r="L547" s="124">
        <f>L325*L280/PctPerUnit</f>
        <v>-0.0</v>
      </c>
      <c r="M547" s="125">
        <f>M325*M280/PctPerUnit</f>
        <v>-0.0</v>
      </c>
      <c r="N547" s="125">
        <f>N325*N280/PctPerUnit</f>
        <v>-0.0</v>
      </c>
      <c r="O547" s="125">
        <f>O325*O280/PctPerUnit</f>
        <v>-0.0</v>
      </c>
      <c r="P547" s="125">
        <f>P325*P280/PctPerUnit</f>
        <v>-0.0</v>
      </c>
      <c r="Q547" s="125">
        <f>Q325*Q280/PctPerUnit</f>
        <v>-0.0</v>
      </c>
      <c r="R547" s="125">
        <f>R325*R280/PctPerUnit</f>
        <v>-0.0</v>
      </c>
      <c r="S547" s="125">
        <f>S325*S280/PctPerUnit</f>
        <v>-0.0</v>
      </c>
      <c r="T547" s="125">
        <f>T325*T280/PctPerUnit</f>
        <v>-0.0</v>
      </c>
      <c r="U547" s="125">
        <f>U325*U280/PctPerUnit</f>
        <v>-0.0</v>
      </c>
      <c r="V547" s="125">
        <f>V325*V280/PctPerUnit</f>
        <v>-0.0</v>
      </c>
      <c r="W547" s="207" t="str">
        <f>IF(X$5=K$5,SUM(Y547:AI547)-SUM(L547:V547),"")</f>
        <v/>
      </c>
      <c r="X547" s="9" t="str">
        <f>LOWER(CtryCode)&amp;".distn."&amp;$A547&amp;IF($B547="","","."&amp;$B547)&amp;IF($C547="","",".dec."&amp;$C547)&amp;"."&amp;X$5</f>
        <v>egy.distn.adef.ker.dec.ove.2</v>
      </c>
      <c r="Y547" s="124">
        <f>Y325*Y280/PctPerUnit</f>
        <v>-0.007053595660081766</v>
      </c>
      <c r="Z547" s="125">
        <f>Z325*Z280/PctPerUnit</f>
        <v>-0.0010944326802548867</v>
      </c>
      <c r="AA547" s="125">
        <f>AA325*AA280/PctPerUnit</f>
        <v>-0.0015825351426647066</v>
      </c>
      <c r="AB547" s="125">
        <f>AB325*AB280/PctPerUnit</f>
        <v>-0.0008798258635290238</v>
      </c>
      <c r="AC547" s="125">
        <f>AC325*AC280/PctPerUnit</f>
        <v>-0.005807648221826071</v>
      </c>
      <c r="AD547" s="125">
        <f>AD325*AD280/PctPerUnit</f>
        <v>-0.006110570442310364</v>
      </c>
      <c r="AE547" s="125">
        <f>AE325*AE280/PctPerUnit</f>
        <v>-0.005340176083905123</v>
      </c>
      <c r="AF547" s="125">
        <f>AF325*AF280/PctPerUnit</f>
        <v>-0.003079163914125284</v>
      </c>
      <c r="AG547" s="125">
        <f>AG325*AG280/PctPerUnit</f>
        <v>-0.013537003281877392</v>
      </c>
      <c r="AH547" s="125">
        <f>AH325*AH280/PctPerUnit</f>
        <v>-0.022675822617592448</v>
      </c>
      <c r="AI547" s="125">
        <f>AI325*AI280/PctPerUnit</f>
        <v>-0.02120969267681045</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33" t="inlineStr">
        <is>
          <t>legacy rows 3064-3072</t>
        </is>
      </c>
      <c r="K548" s="9" t="str">
        <f>LOWER(CtryCode)&amp;".distn."&amp;$A548&amp;IF($B548="","","."&amp;$B548)&amp;IF($C548="","",".dec."&amp;$C548)&amp;"."&amp;K$5</f>
        <v>egy.distn.adef.lpg.dec.ove.1</v>
      </c>
      <c r="L548" s="124">
        <f>L325*L281/PctPerUnit</f>
        <v>-0.0</v>
      </c>
      <c r="M548" s="125">
        <f>M325*M281/PctPerUnit</f>
        <v>-0.0</v>
      </c>
      <c r="N548" s="125">
        <f>N325*N281/PctPerUnit</f>
        <v>-0.0</v>
      </c>
      <c r="O548" s="125">
        <f>O325*O281/PctPerUnit</f>
        <v>-0.0</v>
      </c>
      <c r="P548" s="125">
        <f>P325*P281/PctPerUnit</f>
        <v>-0.0</v>
      </c>
      <c r="Q548" s="125">
        <f>Q325*Q281/PctPerUnit</f>
        <v>-0.0</v>
      </c>
      <c r="R548" s="125">
        <f>R325*R281/PctPerUnit</f>
        <v>-0.0</v>
      </c>
      <c r="S548" s="125">
        <f>S325*S281/PctPerUnit</f>
        <v>-0.0</v>
      </c>
      <c r="T548" s="125">
        <f>T325*T281/PctPerUnit</f>
        <v>-0.0</v>
      </c>
      <c r="U548" s="125">
        <f>U325*U281/PctPerUnit</f>
        <v>-0.0</v>
      </c>
      <c r="V548" s="125">
        <f>V325*V281/PctPerUnit</f>
        <v>-0.0</v>
      </c>
      <c r="W548" s="207" t="str">
        <f>IF(X$5=K$5,SUM(Y548:AI548)-SUM(L548:V548),"")</f>
        <v/>
      </c>
      <c r="X548" s="9" t="str">
        <f>LOWER(CtryCode)&amp;".distn."&amp;$A548&amp;IF($B548="","","."&amp;$B548)&amp;IF($C548="","",".dec."&amp;$C548)&amp;"."&amp;X$5</f>
        <v>egy.distn.adef.lpg.dec.ove.2</v>
      </c>
      <c r="Y548" s="124">
        <f>Y325*Y281/PctPerUnit</f>
        <v>-384.9671180956575</v>
      </c>
      <c r="Z548" s="125">
        <f>Z325*Z281/PctPerUnit</f>
        <v>-251.89103853487939</v>
      </c>
      <c r="AA548" s="125">
        <f>AA325*AA281/PctPerUnit</f>
        <v>-275.756234213136</v>
      </c>
      <c r="AB548" s="125">
        <f>AB325*AB281/PctPerUnit</f>
        <v>-299.7556385817017</v>
      </c>
      <c r="AC548" s="125">
        <f>AC325*AC281/PctPerUnit</f>
        <v>-306.9537364179502</v>
      </c>
      <c r="AD548" s="125">
        <f>AD325*AD281/PctPerUnit</f>
        <v>-316.1829219363522</v>
      </c>
      <c r="AE548" s="125">
        <f>AE325*AE281/PctPerUnit</f>
        <v>-311.33861024424186</v>
      </c>
      <c r="AF548" s="125">
        <f>AF325*AF281/PctPerUnit</f>
        <v>-390.1578830318363</v>
      </c>
      <c r="AG548" s="125">
        <f>AG325*AG281/PctPerUnit</f>
        <v>-383.3327222954166</v>
      </c>
      <c r="AH548" s="125">
        <f>AH325*AH281/PctPerUnit</f>
        <v>-394.11782889969663</v>
      </c>
      <c r="AI548" s="125">
        <f>AI325*AI281/PctPerUnit</f>
        <v>-468.03227783480224</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33" t="inlineStr">
        <is>
          <t>legacy rows 3074-3088</t>
        </is>
      </c>
      <c r="K549" s="9" t="str">
        <f>LOWER(CtryCode)&amp;".distn."&amp;$A549&amp;IF($B549="","","."&amp;$B549)&amp;IF($C549="","",".dec."&amp;$C549)&amp;"."&amp;K$5</f>
        <v>egy.distn.aief.app.dec.ove.1</v>
      </c>
      <c r="L549" s="124">
        <f>L325*L285/PctPerUnit</f>
        <v>-0.0</v>
      </c>
      <c r="M549" s="125">
        <f>M325*M285/PctPerUnit</f>
        <v>-0.0</v>
      </c>
      <c r="N549" s="125">
        <f>N325*N285/PctPerUnit</f>
        <v>-0.0</v>
      </c>
      <c r="O549" s="125">
        <f>O325*O285/PctPerUnit</f>
        <v>-0.0</v>
      </c>
      <c r="P549" s="125">
        <f>P325*P285/PctPerUnit</f>
        <v>-0.0</v>
      </c>
      <c r="Q549" s="125">
        <f>Q325*Q285/PctPerUnit</f>
        <v>-0.0</v>
      </c>
      <c r="R549" s="125">
        <f>R325*R285/PctPerUnit</f>
        <v>-0.0</v>
      </c>
      <c r="S549" s="125">
        <f>S325*S285/PctPerUnit</f>
        <v>-0.0</v>
      </c>
      <c r="T549" s="125">
        <f>T325*T285/PctPerUnit</f>
        <v>-0.0</v>
      </c>
      <c r="U549" s="125">
        <f>U325*U285/PctPerUnit</f>
        <v>-0.0</v>
      </c>
      <c r="V549" s="125">
        <f>V325*V285/PctPerUnit</f>
        <v>-0.0</v>
      </c>
      <c r="W549" s="207" t="str">
        <f>IF(X$5=K$5,SUM(Y549:AI549)-SUM(L549:V549),"")</f>
        <v/>
      </c>
      <c r="X549" s="9" t="str">
        <f>LOWER(CtryCode)&amp;".distn."&amp;$A549&amp;IF($B549="","","."&amp;$B549)&amp;IF($C549="","",".dec."&amp;$C549)&amp;"."&amp;X$5</f>
        <v>egy.distn.aief.app.dec.ove.2</v>
      </c>
      <c r="Y549" s="124">
        <f>Y325*Y285/PctPerUnit</f>
        <v>-3.5704643303934605</v>
      </c>
      <c r="Z549" s="125">
        <f>Z325*Z285/PctPerUnit</f>
        <v>-1.525393942085931</v>
      </c>
      <c r="AA549" s="125">
        <f>AA325*AA285/PctPerUnit</f>
        <v>-1.8762776565282726</v>
      </c>
      <c r="AB549" s="125">
        <f>AB325*AB285/PctPerUnit</f>
        <v>-2.2507322349972716</v>
      </c>
      <c r="AC549" s="125">
        <f>AC325*AC285/PctPerUnit</f>
        <v>-2.549450316717753</v>
      </c>
      <c r="AD549" s="125">
        <f>AD325*AD285/PctPerUnit</f>
        <v>-2.931058940339061</v>
      </c>
      <c r="AE549" s="125">
        <f>AE325*AE285/PctPerUnit</f>
        <v>-3.0041874637147212</v>
      </c>
      <c r="AF549" s="125">
        <f>AF325*AF285/PctPerUnit</f>
        <v>-4.155481131701771</v>
      </c>
      <c r="AG549" s="125">
        <f>AG325*AG285/PctPerUnit</f>
        <v>-4.6837779765272725</v>
      </c>
      <c r="AH549" s="125">
        <f>AH325*AH285/PctPerUnit</f>
        <v>-5.068260428736142</v>
      </c>
      <c r="AI549" s="125">
        <f>AI325*AI285/PctPerUnit</f>
        <v>-7.896972039554965</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33" t="inlineStr">
        <is>
          <t>legacy rows 3074-3088</t>
        </is>
      </c>
      <c r="K550" s="9" t="str">
        <f>LOWER(CtryCode)&amp;".distn."&amp;$A550&amp;IF($B550="","","."&amp;$B550)&amp;IF($C550="","",".dec."&amp;$C550)&amp;"."&amp;K$5</f>
        <v>egy.distn.aief.che.dec.ove.1</v>
      </c>
      <c r="L550" s="124">
        <f>L325*L286/PctPerUnit</f>
        <v>-0.0</v>
      </c>
      <c r="M550" s="125">
        <f>M325*M286/PctPerUnit</f>
        <v>-0.0</v>
      </c>
      <c r="N550" s="125">
        <f>N325*N286/PctPerUnit</f>
        <v>-0.0</v>
      </c>
      <c r="O550" s="125">
        <f>O325*O286/PctPerUnit</f>
        <v>-0.0</v>
      </c>
      <c r="P550" s="125">
        <f>P325*P286/PctPerUnit</f>
        <v>-0.0</v>
      </c>
      <c r="Q550" s="125">
        <f>Q325*Q286/PctPerUnit</f>
        <v>-0.0</v>
      </c>
      <c r="R550" s="125">
        <f>R325*R286/PctPerUnit</f>
        <v>-0.0</v>
      </c>
      <c r="S550" s="125">
        <f>S325*S286/PctPerUnit</f>
        <v>-0.0</v>
      </c>
      <c r="T550" s="125">
        <f>T325*T286/PctPerUnit</f>
        <v>-0.0</v>
      </c>
      <c r="U550" s="125">
        <f>U325*U286/PctPerUnit</f>
        <v>-0.0</v>
      </c>
      <c r="V550" s="125">
        <f>V325*V286/PctPerUnit</f>
        <v>-0.0</v>
      </c>
      <c r="W550" s="207" t="str">
        <f>IF(X$5=K$5,SUM(Y550:AI550)-SUM(L550:V550),"")</f>
        <v/>
      </c>
      <c r="X550" s="9" t="str">
        <f>LOWER(CtryCode)&amp;".distn."&amp;$A550&amp;IF($B550="","","."&amp;$B550)&amp;IF($C550="","",".dec."&amp;$C550)&amp;"."&amp;X$5</f>
        <v>egy.distn.aief.che.dec.ove.2</v>
      </c>
      <c r="Y550" s="124">
        <f>Y325*Y286/PctPerUnit</f>
        <v>-17.006690558457375</v>
      </c>
      <c r="Z550" s="125">
        <f>Z325*Z286/PctPerUnit</f>
        <v>-8.397786704018966</v>
      </c>
      <c r="AA550" s="125">
        <f>AA325*AA286/PctPerUnit</f>
        <v>-9.658700921569272</v>
      </c>
      <c r="AB550" s="125">
        <f>AB325*AB286/PctPerUnit</f>
        <v>-10.47871733918936</v>
      </c>
      <c r="AC550" s="125">
        <f>AC325*AC286/PctPerUnit</f>
        <v>-13.15249475306673</v>
      </c>
      <c r="AD550" s="125">
        <f>AD325*AD286/PctPerUnit</f>
        <v>-14.574255764418881</v>
      </c>
      <c r="AE550" s="125">
        <f>AE325*AE286/PctPerUnit</f>
        <v>-14.675446420385278</v>
      </c>
      <c r="AF550" s="125">
        <f>AF325*AF286/PctPerUnit</f>
        <v>-17.846299546944984</v>
      </c>
      <c r="AG550" s="125">
        <f>AG325*AG286/PctPerUnit</f>
        <v>-21.136349010760796</v>
      </c>
      <c r="AH550" s="125">
        <f>AH325*AH286/PctPerUnit</f>
        <v>-25.480853660045355</v>
      </c>
      <c r="AI550" s="125">
        <f>AI325*AI286/PctPerUnit</f>
        <v>-34.33528218533452</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33" t="inlineStr">
        <is>
          <t>legacy rows 3074-3088</t>
        </is>
      </c>
      <c r="K551" s="9" t="str">
        <f>LOWER(CtryCode)&amp;".distn."&amp;$A551&amp;IF($B551="","","."&amp;$B551)&amp;IF($C551="","",".dec."&amp;$C551)&amp;"."&amp;K$5</f>
        <v>egy.distn.aief.clo.dec.ove.1</v>
      </c>
      <c r="L551" s="124">
        <f>L325*L287/PctPerUnit</f>
        <v>-0.0</v>
      </c>
      <c r="M551" s="125">
        <f>M325*M287/PctPerUnit</f>
        <v>-0.0</v>
      </c>
      <c r="N551" s="125">
        <f>N325*N287/PctPerUnit</f>
        <v>-0.0</v>
      </c>
      <c r="O551" s="125">
        <f>O325*O287/PctPerUnit</f>
        <v>-0.0</v>
      </c>
      <c r="P551" s="125">
        <f>P325*P287/PctPerUnit</f>
        <v>-0.0</v>
      </c>
      <c r="Q551" s="125">
        <f>Q325*Q287/PctPerUnit</f>
        <v>-0.0</v>
      </c>
      <c r="R551" s="125">
        <f>R325*R287/PctPerUnit</f>
        <v>-0.0</v>
      </c>
      <c r="S551" s="125">
        <f>S325*S287/PctPerUnit</f>
        <v>-0.0</v>
      </c>
      <c r="T551" s="125">
        <f>T325*T287/PctPerUnit</f>
        <v>-0.0</v>
      </c>
      <c r="U551" s="125">
        <f>U325*U287/PctPerUnit</f>
        <v>-0.0</v>
      </c>
      <c r="V551" s="125">
        <f>V325*V287/PctPerUnit</f>
        <v>-0.0</v>
      </c>
      <c r="W551" s="207" t="str">
        <f>IF(X$5=K$5,SUM(Y551:AI551)-SUM(L551:V551),"")</f>
        <v/>
      </c>
      <c r="X551" s="9" t="str">
        <f>LOWER(CtryCode)&amp;".distn."&amp;$A551&amp;IF($B551="","","."&amp;$B551)&amp;IF($C551="","",".dec."&amp;$C551)&amp;"."&amp;X$5</f>
        <v>egy.distn.aief.clo.dec.ove.2</v>
      </c>
      <c r="Y551" s="124">
        <f>Y325*Y287/PctPerUnit</f>
        <v>-4.920980994678033</v>
      </c>
      <c r="Z551" s="125">
        <f>Z325*Z287/PctPerUnit</f>
        <v>-2.148435980254437</v>
      </c>
      <c r="AA551" s="125">
        <f>AA325*AA287/PctPerUnit</f>
        <v>-2.529630224751404</v>
      </c>
      <c r="AB551" s="125">
        <f>AB325*AB287/PctPerUnit</f>
        <v>-3.6033927168913142</v>
      </c>
      <c r="AC551" s="125">
        <f>AC325*AC287/PctPerUnit</f>
        <v>-3.846530830770811</v>
      </c>
      <c r="AD551" s="125">
        <f>AD325*AD287/PctPerUnit</f>
        <v>-4.250842216945213</v>
      </c>
      <c r="AE551" s="125">
        <f>AE325*AE287/PctPerUnit</f>
        <v>-4.32699697529673</v>
      </c>
      <c r="AF551" s="125">
        <f>AF325*AF287/PctPerUnit</f>
        <v>-5.6552597401430305</v>
      </c>
      <c r="AG551" s="125">
        <f>AG325*AG287/PctPerUnit</f>
        <v>-5.532557133946636</v>
      </c>
      <c r="AH551" s="125">
        <f>AH325*AH287/PctPerUnit</f>
        <v>-6.701124236633506</v>
      </c>
      <c r="AI551" s="125">
        <f>AI325*AI287/PctPerUnit</f>
        <v>-7.626228075341074</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33" t="inlineStr">
        <is>
          <t>legacy rows 3074-3088</t>
        </is>
      </c>
      <c r="K552" s="9" t="str">
        <f>LOWER(CtryCode)&amp;".distn."&amp;$A552&amp;IF($B552="","","."&amp;$B552)&amp;IF($C552="","",".dec."&amp;$C552)&amp;"."&amp;K$5</f>
        <v>egy.distn.aief.com.dec.ove.1</v>
      </c>
      <c r="L552" s="124">
        <f>L325*L288/PctPerUnit</f>
        <v>-0.0</v>
      </c>
      <c r="M552" s="125">
        <f>M325*M288/PctPerUnit</f>
        <v>-0.0</v>
      </c>
      <c r="N552" s="125">
        <f>N325*N288/PctPerUnit</f>
        <v>-0.0</v>
      </c>
      <c r="O552" s="125">
        <f>O325*O288/PctPerUnit</f>
        <v>-0.0</v>
      </c>
      <c r="P552" s="125">
        <f>P325*P288/PctPerUnit</f>
        <v>-0.0</v>
      </c>
      <c r="Q552" s="125">
        <f>Q325*Q288/PctPerUnit</f>
        <v>-0.0</v>
      </c>
      <c r="R552" s="125">
        <f>R325*R288/PctPerUnit</f>
        <v>-0.0</v>
      </c>
      <c r="S552" s="125">
        <f>S325*S288/PctPerUnit</f>
        <v>-0.0</v>
      </c>
      <c r="T552" s="125">
        <f>T325*T288/PctPerUnit</f>
        <v>-0.0</v>
      </c>
      <c r="U552" s="125">
        <f>U325*U288/PctPerUnit</f>
        <v>-0.0</v>
      </c>
      <c r="V552" s="125">
        <f>V325*V288/PctPerUnit</f>
        <v>-0.0</v>
      </c>
      <c r="W552" s="207" t="str">
        <f>IF(X$5=K$5,SUM(Y552:AI552)-SUM(L552:V552),"")</f>
        <v/>
      </c>
      <c r="X552" s="9" t="str">
        <f>LOWER(CtryCode)&amp;".distn."&amp;$A552&amp;IF($B552="","","."&amp;$B552)&amp;IF($C552="","",".dec."&amp;$C552)&amp;"."&amp;X$5</f>
        <v>egy.distn.aief.com.dec.ove.2</v>
      </c>
      <c r="Y552" s="124">
        <f>Y325*Y288/PctPerUnit</f>
        <v>-0.8122708090850408</v>
      </c>
      <c r="Z552" s="125">
        <f>Z325*Z288/PctPerUnit</f>
        <v>-0.2924445207563299</v>
      </c>
      <c r="AA552" s="125">
        <f>AA325*AA288/PctPerUnit</f>
        <v>-0.39812097719649886</v>
      </c>
      <c r="AB552" s="125">
        <f>AB325*AB288/PctPerUnit</f>
        <v>-0.5020005201747739</v>
      </c>
      <c r="AC552" s="125">
        <f>AC325*AC288/PctPerUnit</f>
        <v>-0.710214176782377</v>
      </c>
      <c r="AD552" s="125">
        <f>AD325*AD288/PctPerUnit</f>
        <v>-0.7570235957953364</v>
      </c>
      <c r="AE552" s="125">
        <f>AE325*AE288/PctPerUnit</f>
        <v>-0.8207126805986021</v>
      </c>
      <c r="AF552" s="125">
        <f>AF325*AF288/PctPerUnit</f>
        <v>-0.9947177456058631</v>
      </c>
      <c r="AG552" s="125">
        <f>AG325*AG288/PctPerUnit</f>
        <v>-1.195283799353333</v>
      </c>
      <c r="AH552" s="125">
        <f>AH325*AH288/PctPerUnit</f>
        <v>-1.6107042414404322</v>
      </c>
      <c r="AI552" s="125">
        <f>AI325*AI288/PctPerUnit</f>
        <v>-2.2542821727851403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33" t="inlineStr">
        <is>
          <t>legacy rows 3074-3088</t>
        </is>
      </c>
      <c r="K553" s="9" t="str">
        <f>LOWER(CtryCode)&amp;".distn."&amp;$A553&amp;IF($B553="","","."&amp;$B553)&amp;IF($C553="","",".dec."&amp;$C553)&amp;"."&amp;K$5</f>
        <v>egy.distn.aief.edu.dec.ove.1</v>
      </c>
      <c r="L553" s="124">
        <f>L325*L289/PctPerUnit</f>
        <v>-0.0</v>
      </c>
      <c r="M553" s="125">
        <f>M325*M289/PctPerUnit</f>
        <v>-0.0</v>
      </c>
      <c r="N553" s="125">
        <f>N325*N289/PctPerUnit</f>
        <v>-0.0</v>
      </c>
      <c r="O553" s="125">
        <f>O325*O289/PctPerUnit</f>
        <v>-0.0</v>
      </c>
      <c r="P553" s="125">
        <f>P325*P289/PctPerUnit</f>
        <v>-0.0</v>
      </c>
      <c r="Q553" s="125">
        <f>Q325*Q289/PctPerUnit</f>
        <v>-0.0</v>
      </c>
      <c r="R553" s="125">
        <f>R325*R289/PctPerUnit</f>
        <v>-0.0</v>
      </c>
      <c r="S553" s="125">
        <f>S325*S289/PctPerUnit</f>
        <v>-0.0</v>
      </c>
      <c r="T553" s="125">
        <f>T325*T289/PctPerUnit</f>
        <v>-0.0</v>
      </c>
      <c r="U553" s="125">
        <f>U325*U289/PctPerUnit</f>
        <v>-0.0</v>
      </c>
      <c r="V553" s="125">
        <f>V325*V289/PctPerUnit</f>
        <v>-0.0</v>
      </c>
      <c r="W553" s="207" t="str">
        <f>IF(X$5=K$5,SUM(Y553:AI553)-SUM(L553:V553),"")</f>
        <v/>
      </c>
      <c r="X553" s="9" t="str">
        <f>LOWER(CtryCode)&amp;".distn."&amp;$A553&amp;IF($B553="","","."&amp;$B553)&amp;IF($C553="","",".dec."&amp;$C553)&amp;"."&amp;X$5</f>
        <v>egy.distn.aief.edu.dec.ove.2</v>
      </c>
      <c r="Y553" s="124">
        <f>Y325*Y289/PctPerUnit</f>
        <v>-2.7346087544985034</v>
      </c>
      <c r="Z553" s="125">
        <f>Z325*Z289/PctPerUnit</f>
        <v>-0.9590395757612136</v>
      </c>
      <c r="AA553" s="125">
        <f>AA325*AA289/PctPerUnit</f>
        <v>-1.6420852383968798</v>
      </c>
      <c r="AB553" s="125">
        <f>AB325*AB289/PctPerUnit</f>
        <v>-2.158613544482588</v>
      </c>
      <c r="AC553" s="125">
        <f>AC325*AC289/PctPerUnit</f>
        <v>-2.499150265352245</v>
      </c>
      <c r="AD553" s="125">
        <f>AD325*AD289/PctPerUnit</f>
        <v>-2.94539511220333</v>
      </c>
      <c r="AE553" s="125">
        <f>AE325*AE289/PctPerUnit</f>
        <v>-2.9097992360799623</v>
      </c>
      <c r="AF553" s="125">
        <f>AF325*AF289/PctPerUnit</f>
        <v>-3.7563389768164104</v>
      </c>
      <c r="AG553" s="125">
        <f>AG325*AG289/PctPerUnit</f>
        <v>-3.656135906656732</v>
      </c>
      <c r="AH553" s="125">
        <f>AH325*AH289/PctPerUnit</f>
        <v>-3.2024354113486657</v>
      </c>
      <c r="AI553" s="125">
        <f>AI325*AI289/PctPerUnit</f>
        <v>-2.4352361597476104</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33" t="inlineStr">
        <is>
          <t>legacy rows 3074-3088</t>
        </is>
      </c>
      <c r="K554" s="9" t="str">
        <f>LOWER(CtryCode)&amp;".distn."&amp;$A554&amp;IF($B554="","","."&amp;$B554)&amp;IF($C554="","",".dec."&amp;$C554)&amp;"."&amp;K$5</f>
        <v>egy.distn.aief.food.dec.ove.1</v>
      </c>
      <c r="L554" s="124">
        <f>L325*L290/PctPerUnit</f>
        <v>-0.0</v>
      </c>
      <c r="M554" s="125">
        <f>M325*M290/PctPerUnit</f>
        <v>-0.0</v>
      </c>
      <c r="N554" s="125">
        <f>N325*N290/PctPerUnit</f>
        <v>-0.0</v>
      </c>
      <c r="O554" s="125">
        <f>O325*O290/PctPerUnit</f>
        <v>-0.0</v>
      </c>
      <c r="P554" s="125">
        <f>P325*P290/PctPerUnit</f>
        <v>-0.0</v>
      </c>
      <c r="Q554" s="125">
        <f>Q325*Q290/PctPerUnit</f>
        <v>-0.0</v>
      </c>
      <c r="R554" s="125">
        <f>R325*R290/PctPerUnit</f>
        <v>-0.0</v>
      </c>
      <c r="S554" s="125">
        <f>S325*S290/PctPerUnit</f>
        <v>-0.0</v>
      </c>
      <c r="T554" s="125">
        <f>T325*T290/PctPerUnit</f>
        <v>-0.0</v>
      </c>
      <c r="U554" s="125">
        <f>U325*U290/PctPerUnit</f>
        <v>-0.0</v>
      </c>
      <c r="V554" s="125">
        <f>V325*V290/PctPerUnit</f>
        <v>-0.0</v>
      </c>
      <c r="W554" s="207" t="str">
        <f>IF(X$5=K$5,SUM(Y554:AI554)-SUM(L554:V554),"")</f>
        <v/>
      </c>
      <c r="X554" s="9" t="str">
        <f>LOWER(CtryCode)&amp;".distn."&amp;$A554&amp;IF($B554="","","."&amp;$B554)&amp;IF($C554="","",".dec."&amp;$C554)&amp;"."&amp;X$5</f>
        <v>egy.distn.aief.food.dec.ove.2</v>
      </c>
      <c r="Y554" s="124">
        <f>Y325*Y290/PctPerUnit</f>
        <v>-44.97785764785066</v>
      </c>
      <c r="Z554" s="125">
        <f>Z325*Z290/PctPerUnit</f>
        <v>-19.860997548287624</v>
      </c>
      <c r="AA554" s="125">
        <f>AA325*AA290/PctPerUnit</f>
        <v>-27.78341884232805</v>
      </c>
      <c r="AB554" s="125">
        <f>AB325*AB290/PctPerUnit</f>
        <v>-31.648292949509255</v>
      </c>
      <c r="AC554" s="125">
        <f>AC325*AC290/PctPerUnit</f>
        <v>-38.08132735009796</v>
      </c>
      <c r="AD554" s="125">
        <f>AD325*AD290/PctPerUnit</f>
        <v>-38.4617086696764</v>
      </c>
      <c r="AE554" s="125">
        <f>AE325*AE290/PctPerUnit</f>
        <v>-45.40636893416282</v>
      </c>
      <c r="AF554" s="125">
        <f>AF325*AF290/PctPerUnit</f>
        <v>-50.9439410221309</v>
      </c>
      <c r="AG554" s="125">
        <f>AG325*AG290/PctPerUnit</f>
        <v>-62.885482787582134</v>
      </c>
      <c r="AH554" s="125">
        <f>AH325*AH290/PctPerUnit</f>
        <v>-76.5366709557846</v>
      </c>
      <c r="AI554" s="125">
        <f>AI325*AI290/PctPerUnit</f>
        <v>-91.7180612265912</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33" t="inlineStr">
        <is>
          <t>legacy rows 3074-3088</t>
        </is>
      </c>
      <c r="K555" s="9" t="str">
        <f>LOWER(CtryCode)&amp;".distn."&amp;$A555&amp;IF($B555="","","."&amp;$B555)&amp;IF($C555="","",".dec."&amp;$C555)&amp;"."&amp;K$5</f>
        <v>egy.distn.aief.hea.dec.ove.1</v>
      </c>
      <c r="L555" s="124">
        <f>L325*L291/PctPerUnit</f>
        <v>-0.0</v>
      </c>
      <c r="M555" s="125">
        <f>M325*M291/PctPerUnit</f>
        <v>-0.0</v>
      </c>
      <c r="N555" s="125">
        <f>N325*N291/PctPerUnit</f>
        <v>-0.0</v>
      </c>
      <c r="O555" s="125">
        <f>O325*O291/PctPerUnit</f>
        <v>-0.0</v>
      </c>
      <c r="P555" s="125">
        <f>P325*P291/PctPerUnit</f>
        <v>-0.0</v>
      </c>
      <c r="Q555" s="125">
        <f>Q325*Q291/PctPerUnit</f>
        <v>-0.0</v>
      </c>
      <c r="R555" s="125">
        <f>R325*R291/PctPerUnit</f>
        <v>-0.0</v>
      </c>
      <c r="S555" s="125">
        <f>S325*S291/PctPerUnit</f>
        <v>-0.0</v>
      </c>
      <c r="T555" s="125">
        <f>T325*T291/PctPerUnit</f>
        <v>-0.0</v>
      </c>
      <c r="U555" s="125">
        <f>U325*U291/PctPerUnit</f>
        <v>-0.0</v>
      </c>
      <c r="V555" s="125">
        <f>V325*V291/PctPerUnit</f>
        <v>-0.0</v>
      </c>
      <c r="W555" s="207" t="str">
        <f>IF(X$5=K$5,SUM(Y555:AI555)-SUM(L555:V555),"")</f>
        <v/>
      </c>
      <c r="X555" s="9" t="str">
        <f>LOWER(CtryCode)&amp;".distn."&amp;$A555&amp;IF($B555="","","."&amp;$B555)&amp;IF($C555="","",".dec."&amp;$C555)&amp;"."&amp;X$5</f>
        <v>egy.distn.aief.hea.dec.ove.2</v>
      </c>
      <c r="Y555" s="124">
        <f>Y325*Y291/PctPerUnit</f>
        <v>-3.696372427088175</v>
      </c>
      <c r="Z555" s="125">
        <f>Z325*Z291/PctPerUnit</f>
        <v>-1.18865888755511</v>
      </c>
      <c r="AA555" s="125">
        <f>AA325*AA291/PctPerUnit</f>
        <v>-1.506842570840715</v>
      </c>
      <c r="AB555" s="125">
        <f>AB325*AB291/PctPerUnit</f>
        <v>-2.286133190386547</v>
      </c>
      <c r="AC555" s="125">
        <f>AC325*AC291/PctPerUnit</f>
        <v>-2.689321540070458</v>
      </c>
      <c r="AD555" s="125">
        <f>AD325*AD291/PctPerUnit</f>
        <v>-3.084110935236825</v>
      </c>
      <c r="AE555" s="125">
        <f>AE325*AE291/PctPerUnit</f>
        <v>-3.250525655224296</v>
      </c>
      <c r="AF555" s="125">
        <f>AF325*AF291/PctPerUnit</f>
        <v>-4.972665174908997</v>
      </c>
      <c r="AG555" s="125">
        <f>AG325*AG291/PctPerUnit</f>
        <v>-5.41918993790726</v>
      </c>
      <c r="AH555" s="125">
        <f>AH325*AH291/PctPerUnit</f>
        <v>-7.113090169555412</v>
      </c>
      <c r="AI555" s="125">
        <f>AI325*AI291/PctPerUnit</f>
        <v>-11.655637376196994</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33" t="inlineStr">
        <is>
          <t>legacy rows 3074-3088</t>
        </is>
      </c>
      <c r="K556" s="9" t="str">
        <f>LOWER(CtryCode)&amp;".distn."&amp;$A556&amp;IF($B556="","","."&amp;$B556)&amp;IF($C556="","",".dec."&amp;$C556)&amp;"."&amp;K$5</f>
        <v>egy.distn.aief.hou.dec.ove.1</v>
      </c>
      <c r="L556" s="124">
        <f>L325*L292/PctPerUnit</f>
        <v>-0.0</v>
      </c>
      <c r="M556" s="125">
        <f>M325*M292/PctPerUnit</f>
        <v>-0.0</v>
      </c>
      <c r="N556" s="125">
        <f>N325*N292/PctPerUnit</f>
        <v>-0.0</v>
      </c>
      <c r="O556" s="125">
        <f>O325*O292/PctPerUnit</f>
        <v>-0.0</v>
      </c>
      <c r="P556" s="125">
        <f>P325*P292/PctPerUnit</f>
        <v>-0.0</v>
      </c>
      <c r="Q556" s="125">
        <f>Q325*Q292/PctPerUnit</f>
        <v>-0.0</v>
      </c>
      <c r="R556" s="125">
        <f>R325*R292/PctPerUnit</f>
        <v>-0.0</v>
      </c>
      <c r="S556" s="125">
        <f>S325*S292/PctPerUnit</f>
        <v>-0.0</v>
      </c>
      <c r="T556" s="125">
        <f>T325*T292/PctPerUnit</f>
        <v>-0.0</v>
      </c>
      <c r="U556" s="125">
        <f>U325*U292/PctPerUnit</f>
        <v>-0.0</v>
      </c>
      <c r="V556" s="125">
        <f>V325*V292/PctPerUnit</f>
        <v>-0.0</v>
      </c>
      <c r="W556" s="207" t="str">
        <f>IF(X$5=K$5,SUM(Y556:AI556)-SUM(L556:V556),"")</f>
        <v/>
      </c>
      <c r="X556" s="9" t="str">
        <f>LOWER(CtryCode)&amp;".distn."&amp;$A556&amp;IF($B556="","","."&amp;$B556)&amp;IF($C556="","",".dec."&amp;$C556)&amp;"."&amp;X$5</f>
        <v>egy.distn.aief.hou.dec.ove.2</v>
      </c>
      <c r="Y556" s="124">
        <f>Y325*Y292/PctPerUnit</f>
        <v>-3.351662897674643</v>
      </c>
      <c r="Z556" s="125">
        <f>Z325*Z292/PctPerUnit</f>
        <v>-1.5729804293591698</v>
      </c>
      <c r="AA556" s="125">
        <f>AA325*AA292/PctPerUnit</f>
        <v>-1.7193561271075541</v>
      </c>
      <c r="AB556" s="125">
        <f>AB325*AB292/PctPerUnit</f>
        <v>-2.270434182525606</v>
      </c>
      <c r="AC556" s="125">
        <f>AC325*AC292/PctPerUnit</f>
        <v>-2.3438387634206794</v>
      </c>
      <c r="AD556" s="125">
        <f>AD325*AD292/PctPerUnit</f>
        <v>-2.838424502780933</v>
      </c>
      <c r="AE556" s="125">
        <f>AE325*AE292/PctPerUnit</f>
        <v>-2.9277371992864416</v>
      </c>
      <c r="AF556" s="125">
        <f>AF325*AF292/PctPerUnit</f>
        <v>-3.7317286921278567</v>
      </c>
      <c r="AG556" s="125">
        <f>AG325*AG292/PctPerUnit</f>
        <v>-4.046102185466518</v>
      </c>
      <c r="AH556" s="125">
        <f>AH325*AH292/PctPerUnit</f>
        <v>-4.810990456412364</v>
      </c>
      <c r="AI556" s="125">
        <f>AI325*AI292/PctPerUnit</f>
        <v>-9.081290561793422</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33" t="inlineStr">
        <is>
          <t>legacy rows 3074-3088</t>
        </is>
      </c>
      <c r="K557" s="9" t="str">
        <f>LOWER(CtryCode)&amp;".distn."&amp;$A557&amp;IF($B557="","","."&amp;$B557)&amp;IF($C557="","",".dec."&amp;$C557)&amp;"."&amp;K$5</f>
        <v>egy.distn.aief.oth.dec.ove.1</v>
      </c>
      <c r="L557" s="124">
        <f>L325*L293/PctPerUnit</f>
        <v>-0.0</v>
      </c>
      <c r="M557" s="125">
        <f>M325*M293/PctPerUnit</f>
        <v>-0.0</v>
      </c>
      <c r="N557" s="125">
        <f>N325*N293/PctPerUnit</f>
        <v>-0.0</v>
      </c>
      <c r="O557" s="125">
        <f>O325*O293/PctPerUnit</f>
        <v>-0.0</v>
      </c>
      <c r="P557" s="125">
        <f>P325*P293/PctPerUnit</f>
        <v>-0.0</v>
      </c>
      <c r="Q557" s="125">
        <f>Q325*Q293/PctPerUnit</f>
        <v>-0.0</v>
      </c>
      <c r="R557" s="125">
        <f>R325*R293/PctPerUnit</f>
        <v>-0.0</v>
      </c>
      <c r="S557" s="125">
        <f>S325*S293/PctPerUnit</f>
        <v>-0.0</v>
      </c>
      <c r="T557" s="125">
        <f>T325*T293/PctPerUnit</f>
        <v>-0.0</v>
      </c>
      <c r="U557" s="125">
        <f>U325*U293/PctPerUnit</f>
        <v>-0.0</v>
      </c>
      <c r="V557" s="125">
        <f>V325*V293/PctPerUnit</f>
        <v>-0.0</v>
      </c>
      <c r="W557" s="207" t="str">
        <f>IF(X$5=K$5,SUM(Y557:AI557)-SUM(L557:V557),"")</f>
        <v/>
      </c>
      <c r="X557" s="9" t="str">
        <f>LOWER(CtryCode)&amp;".distn."&amp;$A557&amp;IF($B557="","","."&amp;$B557)&amp;IF($C557="","",".dec."&amp;$C557)&amp;"."&amp;X$5</f>
        <v>egy.distn.aief.oth.dec.ove.2</v>
      </c>
      <c r="Y557" s="124">
        <f>Y325*Y293/PctPerUnit</f>
        <v>-0.00577812880807542</v>
      </c>
      <c r="Z557" s="125">
        <f>Z325*Z293/PctPerUnit</f>
        <v>-0.002060565191670353</v>
      </c>
      <c r="AA557" s="125">
        <f>AA325*AA293/PctPerUnit</f>
        <v>-0.0017938679425236865</v>
      </c>
      <c r="AB557" s="125">
        <f>AB325*AB293/PctPerUnit</f>
        <v>-0.0016116472230454364</v>
      </c>
      <c r="AC557" s="125">
        <f>AC325*AC293/PctPerUnit</f>
        <v>-0.0026486100477410733</v>
      </c>
      <c r="AD557" s="125">
        <f>AD325*AD293/PctPerUnit</f>
        <v>-0.006411623756218293</v>
      </c>
      <c r="AE557" s="125">
        <f>AE325*AE293/PctPerUnit</f>
        <v>-0.005091812850210129</v>
      </c>
      <c r="AF557" s="125">
        <f>AF325*AF293/PctPerUnit</f>
        <v>-0.005887668948326179</v>
      </c>
      <c r="AG557" s="125">
        <f>AG325*AG293/PctPerUnit</f>
        <v>-0.008815046605390542</v>
      </c>
      <c r="AH557" s="125">
        <f>AH325*AH293/PctPerUnit</f>
        <v>-0.00953884834041791</v>
      </c>
      <c r="AI557" s="125">
        <f>AI325*AI293/PctPerUnit</f>
        <v>-0.022460439081131094</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33" t="inlineStr">
        <is>
          <t>legacy rows 3074-3088</t>
        </is>
      </c>
      <c r="K558" s="9" t="str">
        <f>LOWER(CtryCode)&amp;".distn."&amp;$A558&amp;IF($B558="","","."&amp;$B558)&amp;IF($C558="","",".dec."&amp;$C558)&amp;"."&amp;K$5</f>
        <v>egy.distn.aief.pap.dec.ove.1</v>
      </c>
      <c r="L558" s="124">
        <f>L325*L294/PctPerUnit</f>
        <v>-0.0</v>
      </c>
      <c r="M558" s="125">
        <f>M325*M294/PctPerUnit</f>
        <v>-0.0</v>
      </c>
      <c r="N558" s="125">
        <f>N325*N294/PctPerUnit</f>
        <v>-0.0</v>
      </c>
      <c r="O558" s="125">
        <f>O325*O294/PctPerUnit</f>
        <v>-0.0</v>
      </c>
      <c r="P558" s="125">
        <f>P325*P294/PctPerUnit</f>
        <v>-0.0</v>
      </c>
      <c r="Q558" s="125">
        <f>Q325*Q294/PctPerUnit</f>
        <v>-0.0</v>
      </c>
      <c r="R558" s="125">
        <f>R325*R294/PctPerUnit</f>
        <v>-0.0</v>
      </c>
      <c r="S558" s="125">
        <f>S325*S294/PctPerUnit</f>
        <v>-0.0</v>
      </c>
      <c r="T558" s="125">
        <f>T325*T294/PctPerUnit</f>
        <v>-0.0</v>
      </c>
      <c r="U558" s="125">
        <f>U325*U294/PctPerUnit</f>
        <v>-0.0</v>
      </c>
      <c r="V558" s="125">
        <f>V325*V294/PctPerUnit</f>
        <v>-0.0</v>
      </c>
      <c r="W558" s="207" t="str">
        <f>IF(X$5=K$5,SUM(Y558:AI558)-SUM(L558:V558),"")</f>
        <v/>
      </c>
      <c r="X558" s="9" t="str">
        <f>LOWER(CtryCode)&amp;".distn."&amp;$A558&amp;IF($B558="","","."&amp;$B558)&amp;IF($C558="","",".dec."&amp;$C558)&amp;"."&amp;X$5</f>
        <v>egy.distn.aief.pap.dec.ove.2</v>
      </c>
      <c r="Y558" s="124">
        <f>Y325*Y294/PctPerUnit</f>
        <v>-2.5400419022541367</v>
      </c>
      <c r="Z558" s="125">
        <f>Z325*Z294/PctPerUnit</f>
        <v>-1.4590900605329495</v>
      </c>
      <c r="AA558" s="125">
        <f>AA325*AA294/PctPerUnit</f>
        <v>-1.8443433695338896</v>
      </c>
      <c r="AB558" s="125">
        <f>AB325*AB294/PctPerUnit</f>
        <v>-2.285217974519933</v>
      </c>
      <c r="AC558" s="125">
        <f>AC325*AC294/PctPerUnit</f>
        <v>-2.469906347263311</v>
      </c>
      <c r="AD558" s="125">
        <f>AD325*AD294/PctPerUnit</f>
        <v>-2.567199281515735</v>
      </c>
      <c r="AE558" s="125">
        <f>AE325*AE294/PctPerUnit</f>
        <v>-2.5689820082967443</v>
      </c>
      <c r="AF558" s="125">
        <f>AF325*AF294/PctPerUnit</f>
        <v>-2.9083014088885504</v>
      </c>
      <c r="AG558" s="125">
        <f>AG325*AG294/PctPerUnit</f>
        <v>-2.5584725830323705</v>
      </c>
      <c r="AH558" s="125">
        <f>AH325*AH294/PctPerUnit</f>
        <v>-2.7420956153231413</v>
      </c>
      <c r="AI558" s="125">
        <f>AI325*AI294/PctPerUnit</f>
        <v>-2.765525649085321</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33" t="inlineStr">
        <is>
          <t>legacy rows 3074-3088</t>
        </is>
      </c>
      <c r="K559" s="9" t="str">
        <f>LOWER(CtryCode)&amp;".distn."&amp;$A559&amp;IF($B559="","","."&amp;$B559)&amp;IF($C559="","",".dec."&amp;$C559)&amp;"."&amp;K$5</f>
        <v>egy.distn.aief.pha.dec.ove.1</v>
      </c>
      <c r="L559" s="124">
        <f>L325*L295/PctPerUnit</f>
        <v>-0.0</v>
      </c>
      <c r="M559" s="125">
        <f>M325*M295/PctPerUnit</f>
        <v>-0.0</v>
      </c>
      <c r="N559" s="125">
        <f>N325*N295/PctPerUnit</f>
        <v>-0.0</v>
      </c>
      <c r="O559" s="125">
        <f>O325*O295/PctPerUnit</f>
        <v>-0.0</v>
      </c>
      <c r="P559" s="125">
        <f>P325*P295/PctPerUnit</f>
        <v>-0.0</v>
      </c>
      <c r="Q559" s="125">
        <f>Q325*Q295/PctPerUnit</f>
        <v>-0.0</v>
      </c>
      <c r="R559" s="125">
        <f>R325*R295/PctPerUnit</f>
        <v>-0.0</v>
      </c>
      <c r="S559" s="125">
        <f>S325*S295/PctPerUnit</f>
        <v>-0.0</v>
      </c>
      <c r="T559" s="125">
        <f>T325*T295/PctPerUnit</f>
        <v>-0.0</v>
      </c>
      <c r="U559" s="125">
        <f>U325*U295/PctPerUnit</f>
        <v>-0.0</v>
      </c>
      <c r="V559" s="125">
        <f>V325*V295/PctPerUnit</f>
        <v>-0.0</v>
      </c>
      <c r="W559" s="207" t="str">
        <f>IF(X$5=K$5,SUM(Y559:AI559)-SUM(L559:V559),"")</f>
        <v/>
      </c>
      <c r="X559" s="9" t="str">
        <f>LOWER(CtryCode)&amp;".distn."&amp;$A559&amp;IF($B559="","","."&amp;$B559)&amp;IF($C559="","",".dec."&amp;$C559)&amp;"."&amp;X$5</f>
        <v>egy.distn.aief.pha.dec.ove.2</v>
      </c>
      <c r="Y559" s="124">
        <f>Y325*Y295/PctPerUnit</f>
        <v>-11.468444772085467</v>
      </c>
      <c r="Z559" s="125">
        <f>Z325*Z295/PctPerUnit</f>
        <v>-3.4404310376509617</v>
      </c>
      <c r="AA559" s="125">
        <f>AA325*AA295/PctPerUnit</f>
        <v>-4.27656902577171</v>
      </c>
      <c r="AB559" s="125">
        <f>AB325*AB295/PctPerUnit</f>
        <v>-5.370207595222369</v>
      </c>
      <c r="AC559" s="125">
        <f>AC325*AC295/PctPerUnit</f>
        <v>-6.732784595916183</v>
      </c>
      <c r="AD559" s="125">
        <f>AD325*AD295/PctPerUnit</f>
        <v>-8.086568983760143</v>
      </c>
      <c r="AE559" s="125">
        <f>AE325*AE295/PctPerUnit</f>
        <v>-9.678121537144355</v>
      </c>
      <c r="AF559" s="125">
        <f>AF325*AF295/PctPerUnit</f>
        <v>-11.940986528643727</v>
      </c>
      <c r="AG559" s="125">
        <f>AG325*AG295/PctPerUnit</f>
        <v>-17.476871775709245</v>
      </c>
      <c r="AH559" s="125">
        <f>AH325*AH295/PctPerUnit</f>
        <v>-21.126432069907263</v>
      </c>
      <c r="AI559" s="125">
        <f>AI325*AI295/PctPerUnit</f>
        <v>-35.84033009583106</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33" t="inlineStr">
        <is>
          <t>legacy rows 3074-3088</t>
        </is>
      </c>
      <c r="K560" s="9" t="str">
        <f>LOWER(CtryCode)&amp;".distn."&amp;$A560&amp;IF($B560="","","."&amp;$B560)&amp;IF($C560="","",".dec."&amp;$C560)&amp;"."&amp;K$5</f>
        <v>egy.distn.aief.ret.dec.ove.1</v>
      </c>
      <c r="L560" s="124">
        <f>L325*L296/PctPerUnit</f>
        <v>-0.0</v>
      </c>
      <c r="M560" s="125">
        <f>M325*M296/PctPerUnit</f>
        <v>-0.0</v>
      </c>
      <c r="N560" s="125">
        <f>N325*N296/PctPerUnit</f>
        <v>-0.0</v>
      </c>
      <c r="O560" s="125">
        <f>O325*O296/PctPerUnit</f>
        <v>-0.0</v>
      </c>
      <c r="P560" s="125">
        <f>P325*P296/PctPerUnit</f>
        <v>-0.0</v>
      </c>
      <c r="Q560" s="125">
        <f>Q325*Q296/PctPerUnit</f>
        <v>-0.0</v>
      </c>
      <c r="R560" s="125">
        <f>R325*R296/PctPerUnit</f>
        <v>-0.0</v>
      </c>
      <c r="S560" s="125">
        <f>S325*S296/PctPerUnit</f>
        <v>-0.0</v>
      </c>
      <c r="T560" s="125">
        <f>T325*T296/PctPerUnit</f>
        <v>-0.0</v>
      </c>
      <c r="U560" s="125">
        <f>U325*U296/PctPerUnit</f>
        <v>-0.0</v>
      </c>
      <c r="V560" s="125">
        <f>V325*V296/PctPerUnit</f>
        <v>-0.0</v>
      </c>
      <c r="W560" s="207" t="str">
        <f>IF(X$5=K$5,SUM(Y560:AI560)-SUM(L560:V560),"")</f>
        <v/>
      </c>
      <c r="X560" s="9" t="str">
        <f>LOWER(CtryCode)&amp;".distn."&amp;$A560&amp;IF($B560="","","."&amp;$B560)&amp;IF($C560="","",".dec."&amp;$C560)&amp;"."&amp;X$5</f>
        <v>egy.distn.aief.ret.dec.ove.2</v>
      </c>
      <c r="Y560" s="124">
        <f>Y325*Y296/PctPerUnit</f>
        <v>-5.077400312527963</v>
      </c>
      <c r="Z560" s="125">
        <f>Z325*Z296/PctPerUnit</f>
        <v>-1.9939388313234319</v>
      </c>
      <c r="AA560" s="125">
        <f>AA325*AA296/PctPerUnit</f>
        <v>-2.4714188149954657</v>
      </c>
      <c r="AB560" s="125">
        <f>AB325*AB296/PctPerUnit</f>
        <v>-3.1330168439828854</v>
      </c>
      <c r="AC560" s="125">
        <f>AC325*AC296/PctPerUnit</f>
        <v>-3.480989992384816</v>
      </c>
      <c r="AD560" s="125">
        <f>AD325*AD296/PctPerUnit</f>
        <v>-4.15223543795634</v>
      </c>
      <c r="AE560" s="125">
        <f>AE325*AE296/PctPerUnit</f>
        <v>-3.9301197148827542</v>
      </c>
      <c r="AF560" s="125">
        <f>AF325*AF296/PctPerUnit</f>
        <v>-4.825319103149656</v>
      </c>
      <c r="AG560" s="125">
        <f>AG325*AG296/PctPerUnit</f>
        <v>-5.600925191572851</v>
      </c>
      <c r="AH560" s="125">
        <f>AH325*AH296/PctPerUnit</f>
        <v>-6.874249252638765</v>
      </c>
      <c r="AI560" s="125">
        <f>AI325*AI296/PctPerUnit</f>
        <v>-11.65390243140226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33" t="inlineStr">
        <is>
          <t>legacy rows 3074-3088</t>
        </is>
      </c>
      <c r="K561" s="9" t="str">
        <f>LOWER(CtryCode)&amp;".distn."&amp;$A561&amp;IF($B561="","","."&amp;$B561)&amp;IF($C561="","",".dec."&amp;$C561)&amp;"."&amp;K$5</f>
        <v>egy.distn.aief.teq.dec.ove.1</v>
      </c>
      <c r="L561" s="124">
        <f>L325*L297/PctPerUnit</f>
        <v>-0.0</v>
      </c>
      <c r="M561" s="125">
        <f>M325*M297/PctPerUnit</f>
        <v>-0.0</v>
      </c>
      <c r="N561" s="125">
        <f>N325*N297/PctPerUnit</f>
        <v>-0.0</v>
      </c>
      <c r="O561" s="125">
        <f>O325*O297/PctPerUnit</f>
        <v>-0.0</v>
      </c>
      <c r="P561" s="125">
        <f>P325*P297/PctPerUnit</f>
        <v>-0.0</v>
      </c>
      <c r="Q561" s="125">
        <f>Q325*Q297/PctPerUnit</f>
        <v>-0.0</v>
      </c>
      <c r="R561" s="125">
        <f>R325*R297/PctPerUnit</f>
        <v>-0.0</v>
      </c>
      <c r="S561" s="125">
        <f>S325*S297/PctPerUnit</f>
        <v>-0.0</v>
      </c>
      <c r="T561" s="125">
        <f>T325*T297/PctPerUnit</f>
        <v>-0.0</v>
      </c>
      <c r="U561" s="125">
        <f>U325*U297/PctPerUnit</f>
        <v>-0.0</v>
      </c>
      <c r="V561" s="125">
        <f>V325*V297/PctPerUnit</f>
        <v>-0.0</v>
      </c>
      <c r="W561" s="207" t="str">
        <f>IF(X$5=K$5,SUM(Y561:AI561)-SUM(L561:V561),"")</f>
        <v/>
      </c>
      <c r="X561" s="9" t="str">
        <f>LOWER(CtryCode)&amp;".distn."&amp;$A561&amp;IF($B561="","","."&amp;$B561)&amp;IF($C561="","",".dec."&amp;$C561)&amp;"."&amp;X$5</f>
        <v>egy.distn.aief.teq.dec.ove.2</v>
      </c>
      <c r="Y561" s="124">
        <f>Y325*Y297/PctPerUnit</f>
        <v>-0.34557665813665833</v>
      </c>
      <c r="Z561" s="125">
        <f>Z325*Z297/PctPerUnit</f>
        <v>-0.11020219408618422</v>
      </c>
      <c r="AA561" s="125">
        <f>AA325*AA297/PctPerUnit</f>
        <v>-0.1352284498604252</v>
      </c>
      <c r="AB561" s="125">
        <f>AB325*AB297/PctPerUnit</f>
        <v>-0.16906278993694915</v>
      </c>
      <c r="AC561" s="125">
        <f>AC325*AC297/PctPerUnit</f>
        <v>-0.1837702171675675</v>
      </c>
      <c r="AD561" s="125">
        <f>AD325*AD297/PctPerUnit</f>
        <v>-0.258580161601239</v>
      </c>
      <c r="AE561" s="125">
        <f>AE325*AE297/PctPerUnit</f>
        <v>-0.33138749873364143</v>
      </c>
      <c r="AF561" s="125">
        <f>AF325*AF297/PctPerUnit</f>
        <v>-0.47190437784297956</v>
      </c>
      <c r="AG561" s="125">
        <f>AG325*AG297/PctPerUnit</f>
        <v>-0.6346711475854299</v>
      </c>
      <c r="AH561" s="125">
        <f>AH325*AH297/PctPerUnit</f>
        <v>-0.8493074579597828</v>
      </c>
      <c r="AI561" s="125">
        <f>AI325*AI297/PctPerUnit</f>
        <v>-1.5251824403955232</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33" t="inlineStr">
        <is>
          <t>legacy rows 3074-3088</t>
        </is>
      </c>
      <c r="K562" s="9" t="str">
        <f>LOWER(CtryCode)&amp;".distn."&amp;$A562&amp;IF($B562="","","."&amp;$B562)&amp;IF($C562="","",".dec."&amp;$C562)&amp;"."&amp;K$5</f>
        <v>egy.distn.aief.tpu.dec.ove.1</v>
      </c>
      <c r="L562" s="124">
        <f>L325*L298/PctPerUnit</f>
        <v>-0.0</v>
      </c>
      <c r="M562" s="125">
        <f>M325*M298/PctPerUnit</f>
        <v>-0.0</v>
      </c>
      <c r="N562" s="125">
        <f>N325*N298/PctPerUnit</f>
        <v>-0.0</v>
      </c>
      <c r="O562" s="125">
        <f>O325*O298/PctPerUnit</f>
        <v>-0.0</v>
      </c>
      <c r="P562" s="125">
        <f>P325*P298/PctPerUnit</f>
        <v>-0.0</v>
      </c>
      <c r="Q562" s="125">
        <f>Q325*Q298/PctPerUnit</f>
        <v>-0.0</v>
      </c>
      <c r="R562" s="125">
        <f>R325*R298/PctPerUnit</f>
        <v>-0.0</v>
      </c>
      <c r="S562" s="125">
        <f>S325*S298/PctPerUnit</f>
        <v>-0.0</v>
      </c>
      <c r="T562" s="125">
        <f>T325*T298/PctPerUnit</f>
        <v>-0.0</v>
      </c>
      <c r="U562" s="125">
        <f>U325*U298/PctPerUnit</f>
        <v>-0.0</v>
      </c>
      <c r="V562" s="125">
        <f>V325*V298/PctPerUnit</f>
        <v>-0.0</v>
      </c>
      <c r="W562" s="207" t="str">
        <f>IF(X$5=K$5,SUM(Y562:AI562)-SUM(L562:V562),"")</f>
        <v/>
      </c>
      <c r="X562" s="9" t="str">
        <f>LOWER(CtryCode)&amp;".distn."&amp;$A562&amp;IF($B562="","","."&amp;$B562)&amp;IF($C562="","",".dec."&amp;$C562)&amp;"."&amp;X$5</f>
        <v>egy.distn.aief.tpu.dec.ove.2</v>
      </c>
      <c r="Y562" s="124">
        <f>Y325*Y298/PctPerUnit</f>
        <v>-16.65448622370422</v>
      </c>
      <c r="Z562" s="125">
        <f>Z325*Z298/PctPerUnit</f>
        <v>-7.730932712640148</v>
      </c>
      <c r="AA562" s="125">
        <f>AA325*AA298/PctPerUnit</f>
        <v>-9.072183277965575</v>
      </c>
      <c r="AB562" s="125">
        <f>AB325*AB298/PctPerUnit</f>
        <v>-11.033512253897134</v>
      </c>
      <c r="AC562" s="125">
        <f>AC325*AC298/PctPerUnit</f>
        <v>-13.348109143847571</v>
      </c>
      <c r="AD562" s="125">
        <f>AD325*AD298/PctPerUnit</f>
        <v>-14.533732606999628</v>
      </c>
      <c r="AE562" s="125">
        <f>AE325*AE298/PctPerUnit</f>
        <v>-15.705573576881438</v>
      </c>
      <c r="AF562" s="125">
        <f>AF325*AF298/PctPerUnit</f>
        <v>-21.940107798192926</v>
      </c>
      <c r="AG562" s="125">
        <f>AG325*AG298/PctPerUnit</f>
        <v>-24.706138370107407</v>
      </c>
      <c r="AH562" s="125">
        <f>AH325*AH298/PctPerUnit</f>
        <v>-27.151511488731455</v>
      </c>
      <c r="AI562" s="125">
        <f>AI325*AI298/PctPerUnit</f>
        <v>-34.45040891777796</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33" t="inlineStr">
        <is>
          <t>legacy rows 3090, 3099, 3126, 3135, 3163, 3172</t>
        </is>
      </c>
      <c r="K563" s="9" t="str">
        <f>LOWER(CtryCode)&amp;".distn."&amp;$A563&amp;IF($B563="","","."&amp;$B563)&amp;IF($C563="","",".dec."&amp;$C563)&amp;"."&amp;K$5</f>
        <v>egy.distn.adef.tot.dec.ove.1</v>
      </c>
      <c r="L563" s="124">
        <f>L325*L282/PctPerUnit</f>
        <v>0.0</v>
      </c>
      <c r="M563" s="125">
        <f>M325*M282/PctPerUnit</f>
        <v>0.0</v>
      </c>
      <c r="N563" s="125">
        <f>N325*N282/PctPerUnit</f>
        <v>0.0</v>
      </c>
      <c r="O563" s="125">
        <f>O325*O282/PctPerUnit</f>
        <v>0.0</v>
      </c>
      <c r="P563" s="125">
        <f>P325*P282/PctPerUnit</f>
        <v>0.0</v>
      </c>
      <c r="Q563" s="125">
        <f>Q325*Q282/PctPerUnit</f>
        <v>0.0</v>
      </c>
      <c r="R563" s="125">
        <f>R325*R282/PctPerUnit</f>
        <v>0.0</v>
      </c>
      <c r="S563" s="125">
        <f>S325*S282/PctPerUnit</f>
        <v>0.0</v>
      </c>
      <c r="T563" s="125">
        <f>T325*T282/PctPerUnit</f>
        <v>0.0</v>
      </c>
      <c r="U563" s="125">
        <f>U325*U282/PctPerUnit</f>
        <v>0.0</v>
      </c>
      <c r="V563" s="125">
        <f>V325*V282/PctPerUnit</f>
        <v>0.0</v>
      </c>
      <c r="W563" s="207" t="str">
        <f>IF(X$5=K$5,SUM(Y563:AI563)-SUM(L563:V563),"")</f>
        <v/>
      </c>
      <c r="X563" s="9" t="str">
        <f>LOWER(CtryCode)&amp;".distn."&amp;$A563&amp;IF($B563="","","."&amp;$B563)&amp;IF($C563="","",".dec."&amp;$C563)&amp;"."&amp;X$5</f>
        <v>egy.distn.adef.tot.dec.ove.2</v>
      </c>
      <c r="Y563" s="124">
        <f>Y325*Y282/PctPerUnit</f>
        <v>-961.7704934702614</v>
      </c>
      <c r="Z563" s="125">
        <f>Z325*Z282/PctPerUnit</f>
        <v>-484.7287910951563</v>
      </c>
      <c r="AA563" s="125">
        <f>AA325*AA282/PctPerUnit</f>
        <v>-557.5040663023224</v>
      </c>
      <c r="AB563" s="125">
        <f>AB325*AB282/PctPerUnit</f>
        <v>-660.3678822716727</v>
      </c>
      <c r="AC563" s="125">
        <f>AC325*AC282/PctPerUnit</f>
        <v>-722.439469519204</v>
      </c>
      <c r="AD563" s="125">
        <f>AD325*AD282/PctPerUnit</f>
        <v>-762.3267947157925</v>
      </c>
      <c r="AE563" s="125">
        <f>AE325*AE282/PctPerUnit</f>
        <v>-797.6779527846745</v>
      </c>
      <c r="AF563" s="125">
        <f>AF325*AF282/PctPerUnit</f>
        <v>-1042.2725917509947</v>
      </c>
      <c r="AG563" s="125">
        <f>AG325*AG282/PctPerUnit</f>
        <v>-1195.3633344910038</v>
      </c>
      <c r="AH563" s="125">
        <f>AH325*AH282/PctPerUnit</f>
        <v>-1353.8103686373731</v>
      </c>
      <c r="AI563" s="125">
        <f>AI325*AI282/PctPerUnit</f>
        <v>-1970.0527166579077</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33" t="inlineStr">
        <is>
          <t>legacy rows 3090, 3099, 3126, 3135, 3163, 3172</t>
        </is>
      </c>
      <c r="K564" s="9" t="str">
        <f>LOWER(CtryCode)&amp;".distn."&amp;$A564&amp;IF($B564="","","."&amp;$B564)&amp;IF($C564="","",".dec."&amp;$C564)&amp;"."&amp;K$5</f>
        <v>egy.distn.aief.tot.dec.ove.1</v>
      </c>
      <c r="L564" s="124">
        <f>L325*L299/PctPerUnit</f>
        <v>0.0</v>
      </c>
      <c r="M564" s="125">
        <f>M325*M299/PctPerUnit</f>
        <v>0.0</v>
      </c>
      <c r="N564" s="125">
        <f>N325*N299/PctPerUnit</f>
        <v>0.0</v>
      </c>
      <c r="O564" s="125">
        <f>O325*O299/PctPerUnit</f>
        <v>0.0</v>
      </c>
      <c r="P564" s="125">
        <f>P325*P299/PctPerUnit</f>
        <v>0.0</v>
      </c>
      <c r="Q564" s="125">
        <f>Q325*Q299/PctPerUnit</f>
        <v>0.0</v>
      </c>
      <c r="R564" s="125">
        <f>R325*R299/PctPerUnit</f>
        <v>0.0</v>
      </c>
      <c r="S564" s="125">
        <f>S325*S299/PctPerUnit</f>
        <v>0.0</v>
      </c>
      <c r="T564" s="125">
        <f>T325*T299/PctPerUnit</f>
        <v>0.0</v>
      </c>
      <c r="U564" s="125">
        <f>U325*U299/PctPerUnit</f>
        <v>0.0</v>
      </c>
      <c r="V564" s="125">
        <f>V325*V299/PctPerUnit</f>
        <v>0.0</v>
      </c>
      <c r="W564" s="207" t="str">
        <f>IF(X$5=K$5,SUM(Y564:AI564)-SUM(L564:V564),"")</f>
        <v/>
      </c>
      <c r="X564" s="9" t="str">
        <f>LOWER(CtryCode)&amp;".distn."&amp;$A564&amp;IF($B564="","","."&amp;$B564)&amp;IF($C564="","",".dec."&amp;$C564)&amp;"."&amp;X$5</f>
        <v>egy.distn.aief.tot.dec.ove.2</v>
      </c>
      <c r="Y564" s="124">
        <f>Y325*Y299/PctPerUnit</f>
        <v>-117.1626364172424</v>
      </c>
      <c r="Z564" s="125">
        <f>Z325*Z299/PctPerUnit</f>
        <v>-50.68239298950412</v>
      </c>
      <c r="AA564" s="125">
        <f>AA325*AA299/PctPerUnit</f>
        <v>-64.91596936478824</v>
      </c>
      <c r="AB564" s="125">
        <f>AB325*AB299/PctPerUnit</f>
        <v>-77.19094578293904</v>
      </c>
      <c r="AC564" s="125">
        <f>AC325*AC299/PctPerUnit</f>
        <v>-92.09053690290621</v>
      </c>
      <c r="AD564" s="125">
        <f>AD325*AD299/PctPerUnit</f>
        <v>-99.4475478329853</v>
      </c>
      <c r="AE564" s="125">
        <f>AE325*AE299/PctPerUnit</f>
        <v>-109.54105071353801</v>
      </c>
      <c r="AF564" s="125">
        <f>AF325*AF299/PctPerUnit</f>
        <v>-134.14893891604598</v>
      </c>
      <c r="AG564" s="125">
        <f>AG325*AG299/PctPerUnit</f>
        <v>-159.54077285281338</v>
      </c>
      <c r="AH564" s="125">
        <f>AH325*AH299/PctPerUnit</f>
        <v>-189.2772642928573</v>
      </c>
      <c r="AI564" s="125">
        <f>AI325*AI299/PctPerUnit</f>
        <v>-253.2607997709182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33" t="inlineStr">
        <is>
          <t>legacy rows 3090, 3099, 3126, 3135, 3163, 3172</t>
        </is>
      </c>
      <c r="K565" s="9" t="str">
        <f>LOWER(CtryCode)&amp;".distn."&amp;$A565&amp;IF($B565="","","."&amp;$B565)&amp;IF($C565="","",".dec."&amp;$C565)&amp;"."&amp;K$5</f>
        <v>egy.distn.atef.tot.dec.ove.1</v>
      </c>
      <c r="L565" s="124">
        <f>L325*L305/PctPerUnit</f>
        <v>0.0</v>
      </c>
      <c r="M565" s="125">
        <f>M325*M305/PctPerUnit</f>
        <v>0.0</v>
      </c>
      <c r="N565" s="125">
        <f>N325*N305/PctPerUnit</f>
        <v>0.0</v>
      </c>
      <c r="O565" s="125">
        <f>O325*O305/PctPerUnit</f>
        <v>0.0</v>
      </c>
      <c r="P565" s="125">
        <f>P325*P305/PctPerUnit</f>
        <v>0.0</v>
      </c>
      <c r="Q565" s="125">
        <f>Q325*Q305/PctPerUnit</f>
        <v>0.0</v>
      </c>
      <c r="R565" s="125">
        <f>R325*R305/PctPerUnit</f>
        <v>0.0</v>
      </c>
      <c r="S565" s="125">
        <f>S325*S305/PctPerUnit</f>
        <v>0.0</v>
      </c>
      <c r="T565" s="125">
        <f>T325*T305/PctPerUnit</f>
        <v>0.0</v>
      </c>
      <c r="U565" s="125">
        <f>U325*U305/PctPerUnit</f>
        <v>0.0</v>
      </c>
      <c r="V565" s="125">
        <f>V325*V305/PctPerUnit</f>
        <v>0.0</v>
      </c>
      <c r="W565" s="207" t="str">
        <f>IF(X$5=K$5,SUM(Y565:AI565)-SUM(L565:V565),"")</f>
        <v/>
      </c>
      <c r="X565" s="9" t="str">
        <f>LOWER(CtryCode)&amp;".distn."&amp;$A565&amp;IF($B565="","","."&amp;$B565)&amp;IF($C565="","",".dec."&amp;$C565)&amp;"."&amp;X$5</f>
        <v>egy.distn.atef.tot.dec.ove.2</v>
      </c>
      <c r="Y565" s="124">
        <f>Y325*Y305/PctPerUnit</f>
        <v>-1078.9331298875038</v>
      </c>
      <c r="Z565" s="125">
        <f>Z325*Z305/PctPerUnit</f>
        <v>-535.4111840846604</v>
      </c>
      <c r="AA565" s="125">
        <f>AA325*AA305/PctPerUnit</f>
        <v>-622.4200356671105</v>
      </c>
      <c r="AB565" s="125">
        <f>AB325*AB305/PctPerUnit</f>
        <v>-737.5588280546118</v>
      </c>
      <c r="AC565" s="125">
        <f>AC325*AC305/PctPerUnit</f>
        <v>-814.5300064221102</v>
      </c>
      <c r="AD565" s="125">
        <f>AD325*AD305/PctPerUnit</f>
        <v>-861.7743425487777</v>
      </c>
      <c r="AE565" s="125">
        <f>AE325*AE305/PctPerUnit</f>
        <v>-907.2190034982126</v>
      </c>
      <c r="AF565" s="125">
        <f>AF325*AF305/PctPerUnit</f>
        <v>-1176.4215306670405</v>
      </c>
      <c r="AG565" s="125">
        <f>AG325*AG305/PctPerUnit</f>
        <v>-1354.904107343817</v>
      </c>
      <c r="AH565" s="125">
        <f>AH325*AH305/PctPerUnit</f>
        <v>-1543.0876329302305</v>
      </c>
      <c r="AI565" s="125">
        <f>AI325*AI305/PctPerUnit</f>
        <v>-2223.313516428826</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33" t="inlineStr">
        <is>
          <t>legacy rows 3090, 3099, 3126, 3135, 3163, 3172</t>
        </is>
      </c>
      <c r="K566" s="9" t="str">
        <f>LOWER(CtryCode)&amp;".distn."&amp;$A566&amp;IF($B566="","","."&amp;$B566)&amp;IF($C566="","",".dec."&amp;$C566)&amp;"."&amp;K$5</f>
        <v>egy.distn.anet.tot.dec.ove.1</v>
      </c>
      <c r="M566" s="125">
        <f>M325*M447/PctPerUnit</f>
        <v>0.0</v>
      </c>
      <c r="N566" s="125">
        <f>N325*N447/PctPerUnit</f>
        <v>0.0</v>
      </c>
      <c r="O566" s="125">
        <f>O325*O447/PctPerUnit</f>
        <v>0.0</v>
      </c>
      <c r="P566" s="125">
        <f>P325*P447/PctPerUnit</f>
        <v>0.0</v>
      </c>
      <c r="Q566" s="125">
        <f>Q325*Q447/PctPerUnit</f>
        <v>0.0</v>
      </c>
      <c r="R566" s="125">
        <f>R325*R447/PctPerUnit</f>
        <v>0.0</v>
      </c>
      <c r="S566" s="125">
        <f>S325*S447/PctPerUnit</f>
        <v>0.0</v>
      </c>
      <c r="T566" s="125">
        <f>T325*T447/PctPerUnit</f>
        <v>0.0</v>
      </c>
      <c r="U566" s="125">
        <f>U325*U447/PctPerUnit</f>
        <v>0.0</v>
      </c>
      <c r="V566" s="125">
        <f>V325*V447/PctPerUnit</f>
        <v>0.0</v>
      </c>
      <c r="W566" s="207" t="str">
        <f>IF(X$5=K$5,SUM(Y566:AI566)-SUM(L566:V566),"")</f>
        <v/>
      </c>
      <c r="X566" s="9" t="str">
        <f>LOWER(CtryCode)&amp;".distn."&amp;$A566&amp;IF($B566="","","."&amp;$B566)&amp;IF($C566="","",".dec."&amp;$C566)&amp;"."&amp;X$5</f>
        <v>egy.distn.anet.tot.dec.ove.2</v>
      </c>
      <c r="Z566" s="125">
        <f>Z325*Z447/PctPerUnit</f>
        <v>743.1413562917212</v>
      </c>
      <c r="AA566" s="125">
        <f>AA325*AA447/PctPerUnit</f>
        <v>531.3286180536966</v>
      </c>
      <c r="AB566" s="125">
        <f>AB325*AB447/PctPerUnit</f>
        <v>159.95503123526007</v>
      </c>
      <c r="AC566" s="125">
        <f>AC325*AC447/PctPerUnit</f>
        <v>36.658742977330185</v>
      </c>
      <c r="AD566" s="125">
        <f>AD325*AD447/PctPerUnit</f>
        <v>-244.0278521129909</v>
      </c>
      <c r="AE566" s="125">
        <f>AE325*AE447/PctPerUnit</f>
        <v>-517.1663603551958</v>
      </c>
      <c r="AF566" s="125">
        <f>AF325*AF447/PctPerUnit</f>
        <v>-851.5475817735964</v>
      </c>
      <c r="AG566" s="125">
        <f>AG325*AG447/PctPerUnit</f>
        <v>-1068.8169719502432</v>
      </c>
      <c r="AH566" s="125">
        <f>AH325*AH447/PctPerUnit</f>
        <v>-1146.443866712834</v>
      </c>
      <c r="AI566" s="125">
        <f>AI325*AI447/PctPerUnit</f>
        <v>-2001.0150615319553</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33" t="inlineStr">
        <is>
          <t>legacy rows 3090, 3099, 3126, 3135, 3163, 3172</t>
        </is>
      </c>
      <c r="K567" s="9" t="str">
        <f>LOWER(CtryCode)&amp;".distn."&amp;$A567&amp;IF($B567="","","."&amp;$B567)&amp;IF($C567="","",".dec."&amp;$C567)&amp;"."&amp;K$5</f>
        <v>egy.distn.adef.tot.dec.urb.1</v>
      </c>
      <c r="L567" s="124">
        <f>L326*L472/PctPerUnit</f>
        <v>0.0</v>
      </c>
      <c r="M567" s="125">
        <f>M326*M472/PctPerUnit</f>
        <v>0.0</v>
      </c>
      <c r="N567" s="125">
        <f>N326*N472/PctPerUnit</f>
        <v>0.0</v>
      </c>
      <c r="O567" s="125">
        <f>O326*O472/PctPerUnit</f>
        <v>0.0</v>
      </c>
      <c r="P567" s="125">
        <f>P326*P472/PctPerUnit</f>
        <v>0.0</v>
      </c>
      <c r="Q567" s="125">
        <f>Q326*Q472/PctPerUnit</f>
        <v>0.0</v>
      </c>
      <c r="R567" s="125">
        <f>R326*R472/PctPerUnit</f>
        <v>0.0</v>
      </c>
      <c r="S567" s="125">
        <f>S326*S472/PctPerUnit</f>
        <v>0.0</v>
      </c>
      <c r="T567" s="125">
        <f>T326*T472/PctPerUnit</f>
        <v>0.0</v>
      </c>
      <c r="U567" s="125">
        <f>U326*U472/PctPerUnit</f>
        <v>0.0</v>
      </c>
      <c r="V567" s="125">
        <f>V326*V472/PctPerUnit</f>
        <v>0.0</v>
      </c>
      <c r="W567" s="207" t="str">
        <f>IF(X$5=K$5,SUM(Y567:AI567)-SUM(L567:V567),"")</f>
        <v/>
      </c>
      <c r="X567" s="9" t="str">
        <f>LOWER(CtryCode)&amp;".distn."&amp;$A567&amp;IF($B567="","","."&amp;$B567)&amp;IF($C567="","",".dec."&amp;$C567)&amp;"."&amp;X$5</f>
        <v>egy.distn.adef.tot.dec.urb.2</v>
      </c>
      <c r="Y567" s="124">
        <f>Y326*Y472/PctPerUnit</f>
        <v>-977.2820537194341</v>
      </c>
      <c r="Z567" s="125">
        <f>Z326*Z472/PctPerUnit</f>
        <v>-463.8951072226766</v>
      </c>
      <c r="AA567" s="125">
        <f>AA326*AA472/PctPerUnit</f>
        <v>-563.7335726749457</v>
      </c>
      <c r="AB567" s="125">
        <f>AB326*AB472/PctPerUnit</f>
        <v>-640.4279103546075</v>
      </c>
      <c r="AC567" s="125">
        <f>AC326*AC472/PctPerUnit</f>
        <v>-648.0667380545818</v>
      </c>
      <c r="AD567" s="125">
        <f>AD326*AD472/PctPerUnit</f>
        <v>-807.9976182911613</v>
      </c>
      <c r="AE567" s="125">
        <f>AE326*AE472/PctPerUnit</f>
        <v>-812.3186724920342</v>
      </c>
      <c r="AF567" s="125">
        <f>AF326*AF472/PctPerUnit</f>
        <v>-998.5618743750127</v>
      </c>
      <c r="AG567" s="125">
        <f>AG326*AG472/PctPerUnit</f>
        <v>-1088.2196458343153</v>
      </c>
      <c r="AH567" s="125">
        <f>AH326*AH472/PctPerUnit</f>
        <v>-1439.6179587697998</v>
      </c>
      <c r="AI567" s="125">
        <f>AI326*AI472/PctPerUnit</f>
        <v>-2120.2493732699895</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33" t="inlineStr">
        <is>
          <t>legacy rows 3090, 3099, 3126, 3135, 3163, 3172</t>
        </is>
      </c>
      <c r="K568" s="9" t="str">
        <f>LOWER(CtryCode)&amp;".distn."&amp;$A568&amp;IF($B568="","","."&amp;$B568)&amp;IF($C568="","",".dec."&amp;$C568)&amp;"."&amp;K$5</f>
        <v>egy.distn.aief.tot.dec.urb.1</v>
      </c>
      <c r="L568" s="124">
        <f>L326*L487/PctPerUnit</f>
        <v>0.0</v>
      </c>
      <c r="M568" s="125">
        <f>M326*M487/PctPerUnit</f>
        <v>0.0</v>
      </c>
      <c r="N568" s="125">
        <f>N326*N487/PctPerUnit</f>
        <v>0.0</v>
      </c>
      <c r="O568" s="125">
        <f>O326*O487/PctPerUnit</f>
        <v>0.0</v>
      </c>
      <c r="P568" s="125">
        <f>P326*P487/PctPerUnit</f>
        <v>0.0</v>
      </c>
      <c r="Q568" s="125">
        <f>Q326*Q487/PctPerUnit</f>
        <v>0.0</v>
      </c>
      <c r="R568" s="125">
        <f>R326*R487/PctPerUnit</f>
        <v>0.0</v>
      </c>
      <c r="S568" s="125">
        <f>S326*S487/PctPerUnit</f>
        <v>0.0</v>
      </c>
      <c r="T568" s="125">
        <f>T326*T487/PctPerUnit</f>
        <v>0.0</v>
      </c>
      <c r="U568" s="125">
        <f>U326*U487/PctPerUnit</f>
        <v>0.0</v>
      </c>
      <c r="V568" s="125">
        <f>V326*V487/PctPerUnit</f>
        <v>0.0</v>
      </c>
      <c r="W568" s="207" t="str">
        <f>IF(X$5=K$5,SUM(Y568:AI568)-SUM(L568:V568),"")</f>
        <v/>
      </c>
      <c r="X568" s="9" t="str">
        <f>LOWER(CtryCode)&amp;".distn."&amp;$A568&amp;IF($B568="","","."&amp;$B568)&amp;IF($C568="","",".dec."&amp;$C568)&amp;"."&amp;X$5</f>
        <v>egy.distn.aief.tot.dec.urb.2</v>
      </c>
      <c r="Y568" s="124">
        <f>Y326*Y487/PctPerUnit</f>
        <v>-131.59756410279516</v>
      </c>
      <c r="Z568" s="125">
        <f>Z326*Z487/PctPerUnit</f>
        <v>-53.90297095012221</v>
      </c>
      <c r="AA568" s="125">
        <f>AA326*AA487/PctPerUnit</f>
        <v>-77.98859685429186</v>
      </c>
      <c r="AB568" s="125">
        <f>AB326*AB487/PctPerUnit</f>
        <v>-92.05601231733473</v>
      </c>
      <c r="AC568" s="125">
        <f>AC326*AC487/PctPerUnit</f>
        <v>-96.11421691163767</v>
      </c>
      <c r="AD568" s="125">
        <f>AD326*AD487/PctPerUnit</f>
        <v>-120.2980411739649</v>
      </c>
      <c r="AE568" s="125">
        <f>AE326*AE487/PctPerUnit</f>
        <v>-119.46789465096674</v>
      </c>
      <c r="AF568" s="125">
        <f>AF326*AF487/PctPerUnit</f>
        <v>-135.469513155409</v>
      </c>
      <c r="AG568" s="125">
        <f>AG326*AG487/PctPerUnit</f>
        <v>-158.83696717379138</v>
      </c>
      <c r="AH568" s="125">
        <f>AH326*AH487/PctPerUnit</f>
        <v>-199.37610980836928</v>
      </c>
      <c r="AI568" s="125">
        <f>AI326*AI487/PctPerUnit</f>
        <v>-280.2420494507228</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33" t="inlineStr">
        <is>
          <t>legacy rows 3090, 3099, 3126, 3135, 3163, 3172</t>
        </is>
      </c>
      <c r="K569" s="9" t="str">
        <f>LOWER(CtryCode)&amp;".distn."&amp;$A569&amp;IF($B569="","","."&amp;$B569)&amp;IF($C569="","",".dec."&amp;$C569)&amp;"."&amp;K$5</f>
        <v>egy.distn.atef.tot.dec.urb.1</v>
      </c>
      <c r="L569" s="124">
        <f>L326*L302/PctPerUnit</f>
        <v>-0.0</v>
      </c>
      <c r="M569" s="125">
        <f>M326*M302/PctPerUnit</f>
        <v>-0.0</v>
      </c>
      <c r="N569" s="125">
        <f>N326*N302/PctPerUnit</f>
        <v>-0.0</v>
      </c>
      <c r="O569" s="125">
        <f>O326*O302/PctPerUnit</f>
        <v>-0.0</v>
      </c>
      <c r="P569" s="125">
        <f>P326*P302/PctPerUnit</f>
        <v>-0.0</v>
      </c>
      <c r="Q569" s="125">
        <f>Q326*Q302/PctPerUnit</f>
        <v>-0.0</v>
      </c>
      <c r="R569" s="125">
        <f>R326*R302/PctPerUnit</f>
        <v>-0.0</v>
      </c>
      <c r="S569" s="125">
        <f>S326*S302/PctPerUnit</f>
        <v>-0.0</v>
      </c>
      <c r="T569" s="125">
        <f>T326*T302/PctPerUnit</f>
        <v>-0.0</v>
      </c>
      <c r="U569" s="125">
        <f>U326*U302/PctPerUnit</f>
        <v>-0.0</v>
      </c>
      <c r="V569" s="125">
        <f>V326*V302/PctPerUnit</f>
        <v>-0.0</v>
      </c>
      <c r="W569" s="207" t="str">
        <f>IF(X$5=K$5,SUM(Y569:AI569)-SUM(L569:V569),"")</f>
        <v/>
      </c>
      <c r="X569" s="9" t="str">
        <f>LOWER(CtryCode)&amp;".distn."&amp;$A569&amp;IF($B569="","","."&amp;$B569)&amp;IF($C569="","",".dec."&amp;$C569)&amp;"."&amp;X$5</f>
        <v>egy.distn.atef.tot.dec.urb.2</v>
      </c>
      <c r="Y569" s="124">
        <f>Y326*Y302/PctPerUnit</f>
        <v>-1108.8796178222294</v>
      </c>
      <c r="Z569" s="125">
        <f>Z326*Z302/PctPerUnit</f>
        <v>-517.7980781727988</v>
      </c>
      <c r="AA569" s="125">
        <f>AA326*AA302/PctPerUnit</f>
        <v>-641.7221695292376</v>
      </c>
      <c r="AB569" s="125">
        <f>AB326*AB302/PctPerUnit</f>
        <v>-732.4839226719424</v>
      </c>
      <c r="AC569" s="125">
        <f>AC326*AC302/PctPerUnit</f>
        <v>-744.1809549662195</v>
      </c>
      <c r="AD569" s="125">
        <f>AD326*AD302/PctPerUnit</f>
        <v>-928.2956594651263</v>
      </c>
      <c r="AE569" s="125">
        <f>AE326*AE302/PctPerUnit</f>
        <v>-931.7865671430009</v>
      </c>
      <c r="AF569" s="125">
        <f>AF326*AF302/PctPerUnit</f>
        <v>-1134.0313875304216</v>
      </c>
      <c r="AG569" s="125">
        <f>AG326*AG302/PctPerUnit</f>
        <v>-1247.0566130081068</v>
      </c>
      <c r="AH569" s="125">
        <f>AH326*AH302/PctPerUnit</f>
        <v>-1638.9940685781692</v>
      </c>
      <c r="AI569" s="125">
        <f>AI326*AI302/PctPerUnit</f>
        <v>-2400.4914227207123</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33" t="inlineStr">
        <is>
          <t>legacy rows 3090, 3099, 3126, 3135, 3163, 3172</t>
        </is>
      </c>
      <c r="K570" s="9" t="str">
        <f>LOWER(CtryCode)&amp;".distn."&amp;$A570&amp;IF($B570="","","."&amp;$B570)&amp;IF($C570="","",".dec."&amp;$C570)&amp;"."&amp;K$5</f>
        <v>egy.distn.anet.tot.dec.urb.1</v>
      </c>
      <c r="M570" s="125">
        <f>M326*M444/PctPerUnit</f>
        <v>0.0</v>
      </c>
      <c r="N570" s="125">
        <f>N326*N444/PctPerUnit</f>
        <v>0.0</v>
      </c>
      <c r="O570" s="125">
        <f>O326*O444/PctPerUnit</f>
        <v>0.0</v>
      </c>
      <c r="P570" s="125">
        <f>P326*P444/PctPerUnit</f>
        <v>0.0</v>
      </c>
      <c r="Q570" s="125">
        <f>Q326*Q444/PctPerUnit</f>
        <v>0.0</v>
      </c>
      <c r="R570" s="125">
        <f>R326*R444/PctPerUnit</f>
        <v>0.0</v>
      </c>
      <c r="S570" s="125">
        <f>S326*S444/PctPerUnit</f>
        <v>0.0</v>
      </c>
      <c r="T570" s="125">
        <f>T326*T444/PctPerUnit</f>
        <v>0.0</v>
      </c>
      <c r="U570" s="125">
        <f>U326*U444/PctPerUnit</f>
        <v>0.0</v>
      </c>
      <c r="V570" s="125">
        <f>V326*V444/PctPerUnit</f>
        <v>0.0</v>
      </c>
      <c r="W570" s="207" t="str">
        <f>IF(X$5=K$5,SUM(Y570:AI570)-SUM(L570:V570),"")</f>
        <v/>
      </c>
      <c r="X570" s="9" t="str">
        <f>LOWER(CtryCode)&amp;".distn."&amp;$A570&amp;IF($B570="","","."&amp;$B570)&amp;IF($C570="","",".dec."&amp;$C570)&amp;"."&amp;X$5</f>
        <v>egy.distn.anet.tot.dec.urb.2</v>
      </c>
      <c r="Z570" s="125">
        <f>Z326*Z444/PctPerUnit</f>
        <v>383.6139741769278</v>
      </c>
      <c r="AA570" s="125">
        <f>AA326*AA444/PctPerUnit</f>
        <v>101.13516335687069</v>
      </c>
      <c r="AB570" s="125">
        <f>AB326*AB444/PctPerUnit</f>
        <v>-269.431682414611</v>
      </c>
      <c r="AC570" s="125">
        <f>AC326*AC444/PctPerUnit</f>
        <v>24.184269305642875</v>
      </c>
      <c r="AD570" s="125">
        <f>AD326*AD444/PctPerUnit</f>
        <v>-656.7434434330385</v>
      </c>
      <c r="AE570" s="125">
        <f>AE326*AE444/PctPerUnit</f>
        <v>-523.5737407465456</v>
      </c>
      <c r="AF570" s="125">
        <f>AF326*AF444/PctPerUnit</f>
        <v>-848.355657014686</v>
      </c>
      <c r="AG570" s="125">
        <f>AG326*AG444/PctPerUnit</f>
        <v>-1030.3008988074505</v>
      </c>
      <c r="AH570" s="125">
        <f>AH326*AH444/PctPerUnit</f>
        <v>-1458.3552012000987</v>
      </c>
      <c r="AI570" s="125">
        <f>AI326*AI444/PctPerUnit</f>
        <v>-2196.5158807841894</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33" t="inlineStr">
        <is>
          <t>legacy rows 3090, 3099, 3126, 3135, 3163, 3172</t>
        </is>
      </c>
      <c r="K571" s="9" t="str">
        <f>LOWER(CtryCode)&amp;".distn."&amp;$A571&amp;IF($B571="","","."&amp;$B571)&amp;IF($C571="","",".dec."&amp;$C571)&amp;"."&amp;K$5</f>
        <v>egy.distn.adef.tot.dec.rur.1</v>
      </c>
      <c r="L571" s="124">
        <f>L327*L498/PctPerUnit</f>
        <v>0.0</v>
      </c>
      <c r="M571" s="125">
        <f>M327*M498/PctPerUnit</f>
        <v>0.0</v>
      </c>
      <c r="N571" s="125">
        <f>N327*N498/PctPerUnit</f>
        <v>0.0</v>
      </c>
      <c r="O571" s="125">
        <f>O327*O498/PctPerUnit</f>
        <v>0.0</v>
      </c>
      <c r="P571" s="125">
        <f>P327*P498/PctPerUnit</f>
        <v>0.0</v>
      </c>
      <c r="Q571" s="125">
        <f>Q327*Q498/PctPerUnit</f>
        <v>0.0</v>
      </c>
      <c r="R571" s="125">
        <f>R327*R498/PctPerUnit</f>
        <v>0.0</v>
      </c>
      <c r="S571" s="125">
        <f>S327*S498/PctPerUnit</f>
        <v>0.0</v>
      </c>
      <c r="T571" s="125">
        <f>T327*T498/PctPerUnit</f>
        <v>0.0</v>
      </c>
      <c r="U571" s="125">
        <f>U327*U498/PctPerUnit</f>
        <v>0.0</v>
      </c>
      <c r="V571" s="125">
        <f>V327*V498/PctPerUnit</f>
        <v>0.0</v>
      </c>
      <c r="W571" s="207" t="str">
        <f>IF(X$5=K$5,SUM(Y571:AI571)-SUM(L571:V571),"")</f>
        <v/>
      </c>
      <c r="X571" s="9" t="str">
        <f>LOWER(CtryCode)&amp;".distn."&amp;$A571&amp;IF($B571="","","."&amp;$B571)&amp;IF($C571="","",".dec."&amp;$C571)&amp;"."&amp;X$5</f>
        <v>egy.distn.adef.tot.dec.rur.2</v>
      </c>
      <c r="Y571" s="124">
        <f>Y327*Y498/PctPerUnit</f>
        <v>-930.5352680832035</v>
      </c>
      <c r="Z571" s="125">
        <f>Z327*Z498/PctPerUnit</f>
        <v>-470.48212692136457</v>
      </c>
      <c r="AA571" s="125">
        <f>AA327*AA498/PctPerUnit</f>
        <v>-513.2376482111302</v>
      </c>
      <c r="AB571" s="125">
        <f>AB327*AB498/PctPerUnit</f>
        <v>-570.3920562144243</v>
      </c>
      <c r="AC571" s="125">
        <f>AC327*AC498/PctPerUnit</f>
        <v>-676.4868089336611</v>
      </c>
      <c r="AD571" s="125">
        <f>AD327*AD498/PctPerUnit</f>
        <v>-742.8567704558016</v>
      </c>
      <c r="AE571" s="125">
        <f>AE327*AE498/PctPerUnit</f>
        <v>-760.7231366331586</v>
      </c>
      <c r="AF571" s="125">
        <f>AF327*AF498/PctPerUnit</f>
        <v>-854.5664657411025</v>
      </c>
      <c r="AG571" s="125">
        <f>AG327*AG498/PctPerUnit</f>
        <v>-991.4728753165605</v>
      </c>
      <c r="AH571" s="125">
        <f>AH327*AH498/PctPerUnit</f>
        <v>-1162.0561241686464</v>
      </c>
      <c r="AI571" s="125">
        <f>AI327*AI498/PctPerUnit</f>
        <v>-1833.837412687936</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33" t="inlineStr">
        <is>
          <t>legacy rows 3090, 3099, 3126, 3135, 3163, 3172</t>
        </is>
      </c>
      <c r="K572" s="9" t="str">
        <f>LOWER(CtryCode)&amp;".distn."&amp;$A572&amp;IF($B572="","","."&amp;$B572)&amp;IF($C572="","",".dec."&amp;$C572)&amp;"."&amp;K$5</f>
        <v>egy.distn.aief.tot.dec.rur.1</v>
      </c>
      <c r="L572" s="124">
        <f>L327*L513/PctPerUnit</f>
        <v>0.0</v>
      </c>
      <c r="M572" s="125">
        <f>M327*M513/PctPerUnit</f>
        <v>0.0</v>
      </c>
      <c r="N572" s="125">
        <f>N327*N513/PctPerUnit</f>
        <v>0.0</v>
      </c>
      <c r="O572" s="125">
        <f>O327*O513/PctPerUnit</f>
        <v>0.0</v>
      </c>
      <c r="P572" s="125">
        <f>P327*P513/PctPerUnit</f>
        <v>0.0</v>
      </c>
      <c r="Q572" s="125">
        <f>Q327*Q513/PctPerUnit</f>
        <v>0.0</v>
      </c>
      <c r="R572" s="125">
        <f>R327*R513/PctPerUnit</f>
        <v>0.0</v>
      </c>
      <c r="S572" s="125">
        <f>S327*S513/PctPerUnit</f>
        <v>0.0</v>
      </c>
      <c r="T572" s="125">
        <f>T327*T513/PctPerUnit</f>
        <v>0.0</v>
      </c>
      <c r="U572" s="125">
        <f>U327*U513/PctPerUnit</f>
        <v>0.0</v>
      </c>
      <c r="V572" s="125">
        <f>V327*V513/PctPerUnit</f>
        <v>0.0</v>
      </c>
      <c r="W572" s="207" t="str">
        <f>IF(X$5=K$5,SUM(Y572:AI572)-SUM(L572:V572),"")</f>
        <v/>
      </c>
      <c r="X572" s="9" t="str">
        <f>LOWER(CtryCode)&amp;".distn."&amp;$A572&amp;IF($B572="","","."&amp;$B572)&amp;IF($C572="","",".dec."&amp;$C572)&amp;"."&amp;X$5</f>
        <v>egy.distn.aief.tot.dec.rur.2</v>
      </c>
      <c r="Y572" s="124">
        <f>Y327*Y513/PctPerUnit</f>
        <v>-113.12705287424401</v>
      </c>
      <c r="Z572" s="125">
        <f>Z327*Z513/PctPerUnit</f>
        <v>-48.182619941101756</v>
      </c>
      <c r="AA572" s="125">
        <f>AA327*AA513/PctPerUnit</f>
        <v>-57.18171319026175</v>
      </c>
      <c r="AB572" s="125">
        <f>AB327*AB513/PctPerUnit</f>
        <v>-64.41668887805027</v>
      </c>
      <c r="AC572" s="125">
        <f>AC327*AC513/PctPerUnit</f>
        <v>-75.78089078099478</v>
      </c>
      <c r="AD572" s="125">
        <f>AD327*AD513/PctPerUnit</f>
        <v>-87.51964317306603</v>
      </c>
      <c r="AE572" s="125">
        <f>AE327*AE513/PctPerUnit</f>
        <v>-94.82841950358744</v>
      </c>
      <c r="AF572" s="125">
        <f>AF327*AF513/PctPerUnit</f>
        <v>-112.84213243101821</v>
      </c>
      <c r="AG572" s="125">
        <f>AG327*AG513/PctPerUnit</f>
        <v>-118.2925624614191</v>
      </c>
      <c r="AH572" s="125">
        <f>AH327*AH513/PctPerUnit</f>
        <v>-136.6112918980278</v>
      </c>
      <c r="AI572" s="125">
        <f>AI327*AI513/PctPerUnit</f>
        <v>-208.72178190529493</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33" t="inlineStr">
        <is>
          <t>legacy rows 3090, 3099, 3126, 3135, 3163, 3172</t>
        </is>
      </c>
      <c r="K573" s="9" t="str">
        <f>LOWER(CtryCode)&amp;".distn."&amp;$A573&amp;IF($B573="","","."&amp;$B573)&amp;IF($C573="","",".dec."&amp;$C573)&amp;"."&amp;K$5</f>
        <v>egy.distn.atef.tot.dec.rur.1</v>
      </c>
      <c r="L573" s="124">
        <f>L327*L303/PctPerUnit</f>
        <v>-0.0</v>
      </c>
      <c r="M573" s="125">
        <f>M327*M303/PctPerUnit</f>
        <v>-0.0</v>
      </c>
      <c r="N573" s="125">
        <f>N327*N303/PctPerUnit</f>
        <v>-0.0</v>
      </c>
      <c r="O573" s="125">
        <f>O327*O303/PctPerUnit</f>
        <v>-0.0</v>
      </c>
      <c r="P573" s="125">
        <f>P327*P303/PctPerUnit</f>
        <v>-0.0</v>
      </c>
      <c r="Q573" s="125">
        <f>Q327*Q303/PctPerUnit</f>
        <v>-0.0</v>
      </c>
      <c r="R573" s="125">
        <f>R327*R303/PctPerUnit</f>
        <v>-0.0</v>
      </c>
      <c r="S573" s="125">
        <f>S327*S303/PctPerUnit</f>
        <v>-0.0</v>
      </c>
      <c r="T573" s="125">
        <f>T327*T303/PctPerUnit</f>
        <v>-0.0</v>
      </c>
      <c r="U573" s="125">
        <f>U327*U303/PctPerUnit</f>
        <v>-0.0</v>
      </c>
      <c r="V573" s="125">
        <f>V327*V303/PctPerUnit</f>
        <v>-0.0</v>
      </c>
      <c r="W573" s="207" t="str">
        <f>IF(X$5=K$5,SUM(Y573:AI573)-SUM(L573:V573),"")</f>
        <v/>
      </c>
      <c r="X573" s="9" t="str">
        <f>LOWER(CtryCode)&amp;".distn."&amp;$A573&amp;IF($B573="","","."&amp;$B573)&amp;IF($C573="","",".dec."&amp;$C573)&amp;"."&amp;X$5</f>
        <v>egy.distn.atef.tot.dec.rur.2</v>
      </c>
      <c r="Y573" s="124">
        <f>Y327*Y303/PctPerUnit</f>
        <v>-1043.6623209574477</v>
      </c>
      <c r="Z573" s="125">
        <f>Z327*Z303/PctPerUnit</f>
        <v>-518.6647468624664</v>
      </c>
      <c r="AA573" s="125">
        <f>AA327*AA303/PctPerUnit</f>
        <v>-570.4193614013919</v>
      </c>
      <c r="AB573" s="125">
        <f>AB327*AB303/PctPerUnit</f>
        <v>-634.8087450924745</v>
      </c>
      <c r="AC573" s="125">
        <f>AC327*AC303/PctPerUnit</f>
        <v>-752.2676997146559</v>
      </c>
      <c r="AD573" s="125">
        <f>AD327*AD303/PctPerUnit</f>
        <v>-830.3764136288676</v>
      </c>
      <c r="AE573" s="125">
        <f>AE327*AE303/PctPerUnit</f>
        <v>-855.5515561367461</v>
      </c>
      <c r="AF573" s="125">
        <f>AF327*AF303/PctPerUnit</f>
        <v>-967.4085981721207</v>
      </c>
      <c r="AG573" s="125">
        <f>AG327*AG303/PctPerUnit</f>
        <v>-1109.7654377779795</v>
      </c>
      <c r="AH573" s="125">
        <f>AH327*AH303/PctPerUnit</f>
        <v>-1298.6674160666741</v>
      </c>
      <c r="AI573" s="125">
        <f>AI327*AI303/PctPerUnit</f>
        <v>-2042.5591945932308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33" t="inlineStr">
        <is>
          <t>legacy rows 3090, 3099, 3126, 3135, 3163, 3172</t>
        </is>
      </c>
      <c r="K574" s="9" t="str">
        <f>LOWER(CtryCode)&amp;".distn."&amp;$A574&amp;IF($B574="","","."&amp;$B574)&amp;IF($C574="","",".dec."&amp;$C574)&amp;"."&amp;K$5</f>
        <v>egy.distn.anet.tot.dec.rur.1</v>
      </c>
      <c r="M574" s="125">
        <f>M327*M445/PctPerUnit</f>
        <v>0.0</v>
      </c>
      <c r="N574" s="125">
        <f>N327*N445/PctPerUnit</f>
        <v>0.0</v>
      </c>
      <c r="O574" s="125">
        <f>O327*O445/PctPerUnit</f>
        <v>0.0</v>
      </c>
      <c r="P574" s="125">
        <f>P327*P445/PctPerUnit</f>
        <v>0.0</v>
      </c>
      <c r="Q574" s="125">
        <f>Q327*Q445/PctPerUnit</f>
        <v>0.0</v>
      </c>
      <c r="R574" s="125">
        <f>R327*R445/PctPerUnit</f>
        <v>0.0</v>
      </c>
      <c r="S574" s="125">
        <f>S327*S445/PctPerUnit</f>
        <v>0.0</v>
      </c>
      <c r="T574" s="125">
        <f>T327*T445/PctPerUnit</f>
        <v>0.0</v>
      </c>
      <c r="U574" s="125">
        <f>U327*U445/PctPerUnit</f>
        <v>0.0</v>
      </c>
      <c r="V574" s="125">
        <f>V327*V445/PctPerUnit</f>
        <v>0.0</v>
      </c>
      <c r="W574" s="207" t="str">
        <f>IF(X$5=K$5,SUM(Y574:AI574)-SUM(L574:V574),"")</f>
        <v/>
      </c>
      <c r="X574" s="9" t="str">
        <f>LOWER(CtryCode)&amp;".distn."&amp;$A574&amp;IF($B574="","","."&amp;$B574)&amp;IF($C574="","",".dec."&amp;$C574)&amp;"."&amp;X$5</f>
        <v>egy.distn.anet.tot.dec.rur.2</v>
      </c>
      <c r="Z574" s="125">
        <f>Z327*Z445/PctPerUnit</f>
        <v>880.0373195887479</v>
      </c>
      <c r="AA574" s="125">
        <f>AA327*AA445/PctPerUnit</f>
        <v>754.8976993745171</v>
      </c>
      <c r="AB574" s="125">
        <f>AB327*AB445/PctPerUnit</f>
        <v>532.6906559826531</v>
      </c>
      <c r="AC574" s="125">
        <f>AC327*AC445/PctPerUnit</f>
        <v>181.41569073137703</v>
      </c>
      <c r="AD574" s="125">
        <f>AD327*AD445/PctPerUnit</f>
        <v>-255.95470015665603</v>
      </c>
      <c r="AE574" s="125">
        <f>AE327*AE445/PctPerUnit</f>
        <v>-179.27489076596373</v>
      </c>
      <c r="AF574" s="125">
        <f>AF327*AF445/PctPerUnit</f>
        <v>-385.73144089188577</v>
      </c>
      <c r="AG574" s="125">
        <f>AG327*AG445/PctPerUnit</f>
        <v>-461.82491131006</v>
      </c>
      <c r="AH574" s="125">
        <f>AH327*AH445/PctPerUnit</f>
        <v>-604.3645837911943</v>
      </c>
      <c r="AI574" s="125">
        <f>AI327*AI445/PctPerUnit</f>
        <v>-1233.4096440351773</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33" t="inlineStr">
        <is>
          <t>legacy D.III</t>
        </is>
      </c>
      <c r="K577" s="9" t="str">
        <f>LOWER(CtryCode)&amp;".distn."&amp;$A577&amp;IF($B577="","","."&amp;$B577)&amp;IF($C577="","",".dec."&amp;$C577)&amp;"."&amp;K$5</f>
        <v>egy.distn.lzp.dec.ove.1</v>
      </c>
      <c r="M577" s="203">
        <f>L577+M322/SUM(M322:V322)*PctPerUnit</f>
        <v>9.639550948676609</v>
      </c>
      <c r="N577" s="203">
        <f>M577+N322/SUM(M322:V322)*PctPerUnit</f>
        <v>19.11079664706086</v>
      </c>
      <c r="O577" s="203">
        <f>N577+O322/SUM(M322:V322)*PctPerUnit</f>
        <v>29.879386692520985</v>
      </c>
      <c r="P577" s="203">
        <f>O577+P322/SUM(M322:V322)*PctPerUnit</f>
        <v>39.56616653869861</v>
      </c>
      <c r="Q577" s="203">
        <f>P577+Q322/SUM(M322:V322)*PctPerUnit</f>
        <v>49.448412725624955</v>
      </c>
      <c r="R577" s="203">
        <f>Q577+R322/SUM(M322:V322)*PctPerUnit</f>
        <v>60.30125237405195</v>
      </c>
      <c r="S577" s="203">
        <f>R577+S322/SUM(M322:V322)*PctPerUnit</f>
        <v>70.39340441612813</v>
      </c>
      <c r="T577" s="203">
        <f>S577+T322/SUM(M322:V322)*PctPerUnit</f>
        <v>80.95028420460021</v>
      </c>
      <c r="U577" s="203">
        <f>T577+U322/SUM(M322:V322)*PctPerUnit</f>
        <v>90.64424675042763</v>
      </c>
      <c r="V577" s="203">
        <f>U577+V322/SUM(M322:V322)*PctPerUnit</f>
        <v>100.00000000000001</v>
      </c>
      <c r="W577" s="207" t="str">
        <f>IF(X$5=K$5,SUM(Y577:AI577)-SUM(L577:V577),"")</f>
        <v/>
      </c>
      <c r="X577" s="9" t="str">
        <f>LOWER(CtryCode)&amp;".distn."&amp;$A577&amp;IF($B577="","","."&amp;$B577)&amp;IF($C577="","",".dec."&amp;$C577)&amp;"."&amp;X$5</f>
        <v>egy.distn.lzp.dec.ove.2</v>
      </c>
      <c r="Z577" s="203">
        <f>Y577+Z322/SUM(Z322:AI322)*PctPerUnit</f>
        <v>9.639550948676609</v>
      </c>
      <c r="AA577" s="203">
        <f>Z577+AA322/SUM(Z322:AI322)*PctPerUnit</f>
        <v>19.11079664706086</v>
      </c>
      <c r="AB577" s="203">
        <f>AA577+AB322/SUM(Z322:AI322)*PctPerUnit</f>
        <v>29.879386692520985</v>
      </c>
      <c r="AC577" s="203">
        <f>AB577+AC322/SUM(Z322:AI322)*PctPerUnit</f>
        <v>39.56616653869861</v>
      </c>
      <c r="AD577" s="203">
        <f>AC577+AD322/SUM(Z322:AI322)*PctPerUnit</f>
        <v>49.448412725624955</v>
      </c>
      <c r="AE577" s="203">
        <f>AD577+AE322/SUM(Z322:AI322)*PctPerUnit</f>
        <v>60.30125237405195</v>
      </c>
      <c r="AF577" s="203">
        <f>AE577+AF322/SUM(Z322:AI322)*PctPerUnit</f>
        <v>70.39340441612813</v>
      </c>
      <c r="AG577" s="203">
        <f>AF577+AG322/SUM(Z322:AI322)*PctPerUnit</f>
        <v>80.95028420460021</v>
      </c>
      <c r="AH577" s="203">
        <f>AG577+AH322/SUM(Z322:AI322)*PctPerUnit</f>
        <v>90.64424675042763</v>
      </c>
      <c r="AI577" s="203">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33" t="inlineStr">
        <is>
          <t>legacy D.III</t>
        </is>
      </c>
      <c r="K578" s="9" t="str">
        <f>LOWER(CtryCode)&amp;".distn."&amp;$A578&amp;IF($B578="","","."&amp;$B578)&amp;IF($C578="","",".dec."&amp;$C578)&amp;"."&amp;K$5</f>
        <v>egy.distn.lz0.dec.ove.1</v>
      </c>
      <c r="M578" s="203">
        <f>L578+M331/SUM(M331:V331)*PctPerUnit</f>
        <v>4.016167750578294</v>
      </c>
      <c r="N578" s="203">
        <f>M578+N331/SUM(M331:V331)*PctPerUnit</f>
        <v>9.044531559836344</v>
      </c>
      <c r="O578" s="203">
        <f>N578+O331/SUM(M331:V331)*PctPerUnit</f>
        <v>16.106445522769345</v>
      </c>
      <c r="P578" s="203">
        <f>O578+P331/SUM(M331:V331)*PctPerUnit</f>
        <v>23.678348432773433</v>
      </c>
      <c r="Q578" s="203">
        <f>P578+Q331/SUM(M331:V331)*PctPerUnit</f>
        <v>31.825573818186577</v>
      </c>
      <c r="R578" s="203">
        <f>Q578+R331/SUM(M331:V331)*PctPerUnit</f>
        <v>41.34779522770038</v>
      </c>
      <c r="S578" s="203">
        <f>R578+S331/SUM(M331:V331)*PctPerUnit</f>
        <v>52.461089180352985</v>
      </c>
      <c r="T578" s="203">
        <f>S578+T331/SUM(M331:V331)*PctPerUnit</f>
        <v>65.808760603314</v>
      </c>
      <c r="U578" s="203">
        <f>T578+U331/SUM(M331:V331)*PctPerUnit</f>
        <v>80.40570923379923</v>
      </c>
      <c r="V578" s="203">
        <f>U578+V331/SUM(M331:V331)*PctPerUnit</f>
        <v>100.0</v>
      </c>
      <c r="W578" s="207" t="str">
        <f>IF(X$5=K$5,SUM(Y578:AI578)-SUM(L578:V578),"")</f>
        <v/>
      </c>
      <c r="X578" s="9" t="str">
        <f>LOWER(CtryCode)&amp;".distn."&amp;$A578&amp;IF($B578="","","."&amp;$B578)&amp;IF($C578="","",".dec."&amp;$C578)&amp;"."&amp;X$5</f>
        <v>egy.distn.lz0.dec.ove.2</v>
      </c>
      <c r="Z578" s="203">
        <f>Y578+Z331/SUM(Z331:AI331)*PctPerUnit</f>
        <v>4.016167750578294</v>
      </c>
      <c r="AA578" s="203">
        <f>Z578+AA331/SUM(Z331:AI331)*PctPerUnit</f>
        <v>9.044531559836344</v>
      </c>
      <c r="AB578" s="203">
        <f>AA578+AB331/SUM(Z331:AI331)*PctPerUnit</f>
        <v>16.106445522769345</v>
      </c>
      <c r="AC578" s="203">
        <f>AB578+AC331/SUM(Z331:AI331)*PctPerUnit</f>
        <v>23.678348432773433</v>
      </c>
      <c r="AD578" s="203">
        <f>AC578+AD331/SUM(Z331:AI331)*PctPerUnit</f>
        <v>31.825573818186577</v>
      </c>
      <c r="AE578" s="203">
        <f>AD578+AE331/SUM(Z331:AI331)*PctPerUnit</f>
        <v>41.34779522770038</v>
      </c>
      <c r="AF578" s="203">
        <f>AE578+AF331/SUM(Z331:AI331)*PctPerUnit</f>
        <v>52.461089180352985</v>
      </c>
      <c r="AG578" s="203">
        <f>AF578+AG331/SUM(Z331:AI331)*PctPerUnit</f>
        <v>65.808760603314</v>
      </c>
      <c r="AH578" s="203">
        <f>AG578+AH331/SUM(Z331:AI331)*PctPerUnit</f>
        <v>80.40570923379923</v>
      </c>
      <c r="AI578" s="203">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33" t="inlineStr">
        <is>
          <t>legacy D.III</t>
        </is>
      </c>
      <c r="K579" s="9" t="str">
        <f>LOWER(CtryCode)&amp;".distn."&amp;$A579&amp;IF($B579="","","."&amp;$B579)&amp;IF($C579="","",".dec."&amp;$C579)&amp;"."&amp;K$5</f>
        <v>egy.distn.lzx.dec.ove.1</v>
      </c>
      <c r="M579" s="203">
        <f>L579+M420/SUM(M420:V420)*PctPerUnit</f>
        <v>4.016167750578294</v>
      </c>
      <c r="N579" s="203">
        <f>M579+N420/SUM(M420:V420)*PctPerUnit</f>
        <v>9.044531559836344</v>
      </c>
      <c r="O579" s="203">
        <f>N579+O420/SUM(M420:V420)*PctPerUnit</f>
        <v>16.106445522769345</v>
      </c>
      <c r="P579" s="203">
        <f>O579+P420/SUM(M420:V420)*PctPerUnit</f>
        <v>23.678348432773433</v>
      </c>
      <c r="Q579" s="203">
        <f>P579+Q420/SUM(M420:V420)*PctPerUnit</f>
        <v>31.825573818186577</v>
      </c>
      <c r="R579" s="203">
        <f>Q579+R420/SUM(M420:V420)*PctPerUnit</f>
        <v>41.34779522770038</v>
      </c>
      <c r="S579" s="203">
        <f>R579+S420/SUM(M420:V420)*PctPerUnit</f>
        <v>52.461089180352985</v>
      </c>
      <c r="T579" s="203">
        <f>S579+T420/SUM(M420:V420)*PctPerUnit</f>
        <v>65.808760603314</v>
      </c>
      <c r="U579" s="203">
        <f>T579+U420/SUM(M420:V420)*PctPerUnit</f>
        <v>80.40570923379923</v>
      </c>
      <c r="V579" s="203">
        <f>U579+V420/SUM(M420:V420)*PctPerUnit</f>
        <v>100.0</v>
      </c>
      <c r="W579" s="207" t="str">
        <f>IF(X$5=K$5,SUM(Y579:AI579)-SUM(L579:V579),"")</f>
        <v/>
      </c>
      <c r="X579" s="9" t="str">
        <f>LOWER(CtryCode)&amp;".distn."&amp;$A579&amp;IF($B579="","","."&amp;$B579)&amp;IF($C579="","",".dec."&amp;$C579)&amp;"."&amp;X$5</f>
        <v>egy.distn.lzx.dec.ove.2</v>
      </c>
      <c r="Z579" s="203">
        <f>Y579+Z420/SUM(Z420:AI420)*PctPerUnit</f>
        <v>4.004260589072656</v>
      </c>
      <c r="AA579" s="203">
        <f>Z579+AA420/SUM(Z420:AI420)*PctPerUnit</f>
        <v>9.025597422767024</v>
      </c>
      <c r="AB579" s="203">
        <f>AA579+AB420/SUM(Z420:AI420)*PctPerUnit</f>
        <v>16.082324278320964</v>
      </c>
      <c r="AC579" s="203">
        <f>AB579+AC420/SUM(Z420:AI420)*PctPerUnit</f>
        <v>23.657368216576636</v>
      </c>
      <c r="AD579" s="203">
        <f>AC579+AD420/SUM(Z420:AI420)*PctPerUnit</f>
        <v>31.807603581397284</v>
      </c>
      <c r="AE579" s="203">
        <f>AD579+AE420/SUM(Z420:AI420)*PctPerUnit</f>
        <v>41.33483971589916</v>
      </c>
      <c r="AF579" s="203">
        <f>AE579+AF420/SUM(Z420:AI420)*PctPerUnit</f>
        <v>52.448680672313465</v>
      </c>
      <c r="AG579" s="203">
        <f>AF579+AG420/SUM(Z420:AI420)*PctPerUnit</f>
        <v>65.7963987844241</v>
      </c>
      <c r="AH579" s="203">
        <f>AG579+AH420/SUM(Z420:AI420)*PctPerUnit</f>
        <v>80.40290482765053</v>
      </c>
      <c r="AI579" s="203">
        <f>AH579+AI420/SUM(Z420:AI420)*PctPerUnit</f>
        <v>100.00000000000001</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33" t="inlineStr">
        <is>
          <t>legacy D.III</t>
        </is>
      </c>
      <c r="K580" s="9" t="str">
        <f>LOWER(CtryCode)&amp;".distn."&amp;$A580&amp;IF($B580="","","."&amp;$B580)&amp;IF($C580="","",".dec."&amp;$C580)&amp;"."&amp;K$5</f>
        <v>egy.distn.lzi.dec.ove.1</v>
      </c>
      <c r="M580" s="203">
        <f>L580+M421/SUM(M421:V421)*PctPerUnit</f>
        <v>4.016167750578294</v>
      </c>
      <c r="N580" s="203">
        <f>M580+N421/SUM(M421:V421)*PctPerUnit</f>
        <v>9.044531559836344</v>
      </c>
      <c r="O580" s="203">
        <f>N580+O421/SUM(M421:V421)*PctPerUnit</f>
        <v>16.106445522769345</v>
      </c>
      <c r="P580" s="203">
        <f>O580+P421/SUM(M421:V421)*PctPerUnit</f>
        <v>23.678348432773433</v>
      </c>
      <c r="Q580" s="203">
        <f>P580+Q421/SUM(M421:V421)*PctPerUnit</f>
        <v>31.825573818186577</v>
      </c>
      <c r="R580" s="203">
        <f>Q580+R421/SUM(M421:V421)*PctPerUnit</f>
        <v>41.34779522770038</v>
      </c>
      <c r="S580" s="203">
        <f>R580+S421/SUM(M421:V421)*PctPerUnit</f>
        <v>52.461089180352985</v>
      </c>
      <c r="T580" s="203">
        <f>S580+T421/SUM(M421:V421)*PctPerUnit</f>
        <v>65.808760603314</v>
      </c>
      <c r="U580" s="203">
        <f>T580+U421/SUM(M421:V421)*PctPerUnit</f>
        <v>80.40570923379923</v>
      </c>
      <c r="V580" s="203">
        <f>U580+V421/SUM(M421:V421)*PctPerUnit</f>
        <v>100.0</v>
      </c>
      <c r="W580" s="207" t="str">
        <f>IF(X$5=K$5,SUM(Y580:AI580)-SUM(L580:V580),"")</f>
        <v/>
      </c>
      <c r="X580" s="9" t="str">
        <f>LOWER(CtryCode)&amp;".distn."&amp;$A580&amp;IF($B580="","","."&amp;$B580)&amp;IF($C580="","",".dec."&amp;$C580)&amp;"."&amp;X$5</f>
        <v>egy.distn.lzi.dec.ove.2</v>
      </c>
      <c r="Z580" s="203">
        <f>Y580+Z421/SUM(Z421:AI421)*PctPerUnit</f>
        <v>4.138959555390116</v>
      </c>
      <c r="AA580" s="203">
        <f>Z580+AA421/SUM(Z421:AI421)*PctPerUnit</f>
        <v>9.266804688780118</v>
      </c>
      <c r="AB580" s="203">
        <f>AA580+AB421/SUM(Z421:AI421)*PctPerUnit</f>
        <v>16.394762736075073</v>
      </c>
      <c r="AC580" s="203">
        <f>AB580+AC421/SUM(Z421:AI421)*PctPerUnit</f>
        <v>24.016918401475074</v>
      </c>
      <c r="AD580" s="203">
        <f>AC580+AD421/SUM(Z421:AI421)*PctPerUnit</f>
        <v>32.17971086423929</v>
      </c>
      <c r="AE580" s="203">
        <f>AD580+AE421/SUM(Z421:AI421)*PctPerUnit</f>
        <v>41.68161495585243</v>
      </c>
      <c r="AF580" s="203">
        <f>AE580+AF421/SUM(Z421:AI421)*PctPerUnit</f>
        <v>52.743033175943765</v>
      </c>
      <c r="AG580" s="203">
        <f>AF580+AG421/SUM(Z421:AI421)*PctPerUnit</f>
        <v>66.01514588329574</v>
      </c>
      <c r="AH580" s="203">
        <f>AG580+AH421/SUM(Z421:AI421)*PctPerUnit</f>
        <v>80.54635957180541</v>
      </c>
      <c r="AI580" s="203">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33" t="inlineStr">
        <is>
          <t>legacy D.III</t>
        </is>
      </c>
      <c r="K581" s="9" t="str">
        <f>LOWER(CtryCode)&amp;".distn."&amp;$A581&amp;IF($B581="","","."&amp;$B581)&amp;IF($C581="","",".dec."&amp;$C581)&amp;"."&amp;K$5</f>
        <v>egy.distn.lzp.dec.urb.1</v>
      </c>
      <c r="M581" s="203">
        <f>L581+M323/SUM(M323:V323)*PctPerUnit</f>
        <v>9.777080827930517</v>
      </c>
      <c r="N581" s="203">
        <f>M581+N323/SUM(M323:V323)*PctPerUnit</f>
        <v>19.20407536471271</v>
      </c>
      <c r="O581" s="203">
        <f>N581+O323/SUM(M323:V323)*PctPerUnit</f>
        <v>28.77045513881621</v>
      </c>
      <c r="P581" s="203">
        <f>O581+P323/SUM(M323:V323)*PctPerUnit</f>
        <v>38.546261853263374</v>
      </c>
      <c r="Q581" s="203">
        <f>P581+Q323/SUM(M323:V323)*PctPerUnit</f>
        <v>48.935481463181304</v>
      </c>
      <c r="R581" s="203">
        <f>Q581+R323/SUM(M323:V323)*PctPerUnit</f>
        <v>59.12004116432843</v>
      </c>
      <c r="S581" s="203">
        <f>R581+S323/SUM(M323:V323)*PctPerUnit</f>
        <v>69.5913619280425</v>
      </c>
      <c r="T581" s="203">
        <f>S581+T323/SUM(M323:V323)*PctPerUnit</f>
        <v>79.86194342460797</v>
      </c>
      <c r="U581" s="203">
        <f>T581+U323/SUM(M323:V323)*PctPerUnit</f>
        <v>89.58871937771767</v>
      </c>
      <c r="V581" s="203">
        <f>U581+V323/SUM(M323:V323)*PctPerUnit</f>
        <v>100.00000000000001</v>
      </c>
      <c r="W581" s="207" t="str">
        <f>IF(X$5=K$5,SUM(Y581:AI581)-SUM(L581:V581),"")</f>
        <v/>
      </c>
      <c r="X581" s="9" t="str">
        <f>LOWER(CtryCode)&amp;".distn."&amp;$A581&amp;IF($B581="","","."&amp;$B581)&amp;IF($C581="","",".dec."&amp;$C581)&amp;"."&amp;X$5</f>
        <v>egy.distn.lzp.dec.urb.2</v>
      </c>
      <c r="Z581" s="203">
        <f>Y581+Z323/SUM(Z323:AI323)*PctPerUnit</f>
        <v>9.777080827930517</v>
      </c>
      <c r="AA581" s="203">
        <f>Z581+AA323/SUM(Z323:AI323)*PctPerUnit</f>
        <v>19.20407536471271</v>
      </c>
      <c r="AB581" s="203">
        <f>AA581+AB323/SUM(Z323:AI323)*PctPerUnit</f>
        <v>28.77045513881621</v>
      </c>
      <c r="AC581" s="203">
        <f>AB581+AC323/SUM(Z323:AI323)*PctPerUnit</f>
        <v>38.546261853263374</v>
      </c>
      <c r="AD581" s="203">
        <f>AC581+AD323/SUM(Z323:AI323)*PctPerUnit</f>
        <v>48.935481463181304</v>
      </c>
      <c r="AE581" s="203">
        <f>AD581+AE323/SUM(Z323:AI323)*PctPerUnit</f>
        <v>59.12004116432843</v>
      </c>
      <c r="AF581" s="203">
        <f>AE581+AF323/SUM(Z323:AI323)*PctPerUnit</f>
        <v>69.5913619280425</v>
      </c>
      <c r="AG581" s="203">
        <f>AF581+AG323/SUM(Z323:AI323)*PctPerUnit</f>
        <v>79.86194342460797</v>
      </c>
      <c r="AH581" s="203">
        <f>AG581+AH323/SUM(Z323:AI323)*PctPerUnit</f>
        <v>89.58871937771767</v>
      </c>
      <c r="AI581" s="203">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33" t="inlineStr">
        <is>
          <t>legacy D.III</t>
        </is>
      </c>
      <c r="K582" s="9" t="str">
        <f>LOWER(CtryCode)&amp;".distn."&amp;$A582&amp;IF($B582="","","."&amp;$B582)&amp;IF($C582="","",".dec."&amp;$C582)&amp;"."&amp;K$5</f>
        <v>egy.distn.lz0.dec.urb.1</v>
      </c>
      <c r="M582" s="203">
        <f>L582+M328/SUM(M328:V328)*PctPerUnit</f>
        <v>3.95591822464531</v>
      </c>
      <c r="N582" s="203">
        <f>M582+N328/SUM(M328:V328)*PctPerUnit</f>
        <v>9.329030657868877</v>
      </c>
      <c r="O582" s="203">
        <f>N582+O328/SUM(M328:V328)*PctPerUnit</f>
        <v>15.620525184918556</v>
      </c>
      <c r="P582" s="203">
        <f>O582+P328/SUM(M328:V328)*PctPerUnit</f>
        <v>22.47853960713358</v>
      </c>
      <c r="Q582" s="203">
        <f>P582+Q328/SUM(M328:V328)*PctPerUnit</f>
        <v>31.755637452097606</v>
      </c>
      <c r="R582" s="203">
        <f>Q582+R328/SUM(M328:V328)*PctPerUnit</f>
        <v>40.75514839370854</v>
      </c>
      <c r="S582" s="203">
        <f>R582+S328/SUM(M328:V328)*PctPerUnit</f>
        <v>51.10856520310229</v>
      </c>
      <c r="T582" s="203">
        <f>S582+T328/SUM(M328:V328)*PctPerUnit</f>
        <v>63.158820654963975</v>
      </c>
      <c r="U582" s="203">
        <f>T582+U328/SUM(M328:V328)*PctPerUnit</f>
        <v>77.60282445974369</v>
      </c>
      <c r="V582" s="203">
        <f>U582+V328/SUM(M328:V328)*PctPerUnit</f>
        <v>100.00000000000001</v>
      </c>
      <c r="W582" s="207" t="str">
        <f>IF(X$5=K$5,SUM(Y582:AI582)-SUM(L582:V582),"")</f>
        <v/>
      </c>
      <c r="X582" s="9" t="str">
        <f>LOWER(CtryCode)&amp;".distn."&amp;$A582&amp;IF($B582="","","."&amp;$B582)&amp;IF($C582="","",".dec."&amp;$C582)&amp;"."&amp;X$5</f>
        <v>egy.distn.lz0.dec.urb.2</v>
      </c>
      <c r="Z582" s="203">
        <f>Y582+Z328/SUM(Z328:AI328)*PctPerUnit</f>
        <v>3.95591822464531</v>
      </c>
      <c r="AA582" s="203">
        <f>Z582+AA328/SUM(Z328:AI328)*PctPerUnit</f>
        <v>9.329030657868877</v>
      </c>
      <c r="AB582" s="203">
        <f>AA582+AB328/SUM(Z328:AI328)*PctPerUnit</f>
        <v>15.620525184918556</v>
      </c>
      <c r="AC582" s="203">
        <f>AB582+AC328/SUM(Z328:AI328)*PctPerUnit</f>
        <v>22.47853960713358</v>
      </c>
      <c r="AD582" s="203">
        <f>AC582+AD328/SUM(Z328:AI328)*PctPerUnit</f>
        <v>31.755637452097606</v>
      </c>
      <c r="AE582" s="203">
        <f>AD582+AE328/SUM(Z328:AI328)*PctPerUnit</f>
        <v>40.75514839370854</v>
      </c>
      <c r="AF582" s="203">
        <f>AE582+AF328/SUM(Z328:AI328)*PctPerUnit</f>
        <v>51.10856520310229</v>
      </c>
      <c r="AG582" s="203">
        <f>AF582+AG328/SUM(Z328:AI328)*PctPerUnit</f>
        <v>63.158820654963975</v>
      </c>
      <c r="AH582" s="203">
        <f>AG582+AH328/SUM(Z328:AI328)*PctPerUnit</f>
        <v>77.60282445974369</v>
      </c>
      <c r="AI582" s="203">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33" t="inlineStr">
        <is>
          <t>legacy D.III</t>
        </is>
      </c>
      <c r="K583" s="9" t="str">
        <f>LOWER(CtryCode)&amp;".distn."&amp;$A583&amp;IF($B583="","","."&amp;$B583)&amp;IF($C583="","",".dec."&amp;$C583)&amp;"."&amp;K$5</f>
        <v>egy.distn.lzx.dec.urb.1</v>
      </c>
      <c r="M583" s="203">
        <f>L583+M425/SUM(M425:V425)*PctPerUnit</f>
        <v>3.95591822464531</v>
      </c>
      <c r="N583" s="203">
        <f>M583+N425/SUM(M425:V425)*PctPerUnit</f>
        <v>9.329030657868877</v>
      </c>
      <c r="O583" s="203">
        <f>N583+O425/SUM(M425:V425)*PctPerUnit</f>
        <v>15.620525184918556</v>
      </c>
      <c r="P583" s="203">
        <f>O583+P425/SUM(M425:V425)*PctPerUnit</f>
        <v>22.47853960713358</v>
      </c>
      <c r="Q583" s="203">
        <f>P583+Q425/SUM(M425:V425)*PctPerUnit</f>
        <v>31.755637452097606</v>
      </c>
      <c r="R583" s="203">
        <f>Q583+R425/SUM(M425:V425)*PctPerUnit</f>
        <v>40.75514839370854</v>
      </c>
      <c r="S583" s="203">
        <f>R583+S425/SUM(M425:V425)*PctPerUnit</f>
        <v>51.10856520310229</v>
      </c>
      <c r="T583" s="203">
        <f>S583+T425/SUM(M425:V425)*PctPerUnit</f>
        <v>63.158820654963975</v>
      </c>
      <c r="U583" s="203">
        <f>T583+U425/SUM(M425:V425)*PctPerUnit</f>
        <v>77.60282445974369</v>
      </c>
      <c r="V583" s="203">
        <f>U583+V425/SUM(M425:V425)*PctPerUnit</f>
        <v>100.00000000000001</v>
      </c>
      <c r="W583" s="207" t="str">
        <f>IF(X$5=K$5,SUM(Y583:AI583)-SUM(L583:V583),"")</f>
        <v/>
      </c>
      <c r="X583" s="9" t="str">
        <f>LOWER(CtryCode)&amp;".distn."&amp;$A583&amp;IF($B583="","","."&amp;$B583)&amp;IF($C583="","",".dec."&amp;$C583)&amp;"."&amp;X$5</f>
        <v>egy.distn.lzx.dec.urb.2</v>
      </c>
      <c r="Z583" s="203">
        <f>Y583+Z425/SUM(Z425:AI425)*PctPerUnit</f>
        <v>3.9469947630178157</v>
      </c>
      <c r="AA583" s="203">
        <f>Z583+AA425/SUM(Z425:AI425)*PctPerUnit</f>
        <v>9.318446327424347</v>
      </c>
      <c r="AB583" s="203">
        <f>AA583+AB425/SUM(Z425:AI425)*PctPerUnit</f>
        <v>15.60896128642501</v>
      </c>
      <c r="AC583" s="203">
        <f>AB583+AC425/SUM(Z425:AI425)*PctPerUnit</f>
        <v>22.470503443892696</v>
      </c>
      <c r="AD583" s="203">
        <f>AC583+AD425/SUM(Z425:AI425)*PctPerUnit</f>
        <v>31.75486411798936</v>
      </c>
      <c r="AE583" s="203">
        <f>AD583+AE425/SUM(Z425:AI425)*PctPerUnit</f>
        <v>40.759723382829996</v>
      </c>
      <c r="AF583" s="203">
        <f>AE583+AF425/SUM(Z425:AI425)*PctPerUnit</f>
        <v>51.10718117737969</v>
      </c>
      <c r="AG583" s="203">
        <f>AF583+AG425/SUM(Z425:AI425)*PctPerUnit</f>
        <v>63.16331756592965</v>
      </c>
      <c r="AH583" s="203">
        <f>AG583+AH425/SUM(Z425:AI425)*PctPerUnit</f>
        <v>77.60690750326629</v>
      </c>
      <c r="AI583" s="203">
        <f>AH583+AI425/SUM(Z425:AI425)*PctPerUnit</f>
        <v>100.00000000000001</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33" t="inlineStr">
        <is>
          <t>legacy D.III</t>
        </is>
      </c>
      <c r="K584" s="9" t="str">
        <f>LOWER(CtryCode)&amp;".distn."&amp;$A584&amp;IF($B584="","","."&amp;$B584)&amp;IF($C584="","",".dec."&amp;$C584)&amp;"."&amp;K$5</f>
        <v>egy.distn.lzi.dec.urb.1</v>
      </c>
      <c r="M584" s="203">
        <f>L584+M426/SUM(M426:V426)*PctPerUnit</f>
        <v>3.95591822464531</v>
      </c>
      <c r="N584" s="203">
        <f>M584+N426/SUM(M426:V426)*PctPerUnit</f>
        <v>9.329030657868877</v>
      </c>
      <c r="O584" s="203">
        <f>N584+O426/SUM(M426:V426)*PctPerUnit</f>
        <v>15.620525184918556</v>
      </c>
      <c r="P584" s="203">
        <f>O584+P426/SUM(M426:V426)*PctPerUnit</f>
        <v>22.47853960713358</v>
      </c>
      <c r="Q584" s="203">
        <f>P584+Q426/SUM(M426:V426)*PctPerUnit</f>
        <v>31.755637452097606</v>
      </c>
      <c r="R584" s="203">
        <f>Q584+R426/SUM(M426:V426)*PctPerUnit</f>
        <v>40.75514839370854</v>
      </c>
      <c r="S584" s="203">
        <f>R584+S426/SUM(M426:V426)*PctPerUnit</f>
        <v>51.10856520310229</v>
      </c>
      <c r="T584" s="203">
        <f>S584+T426/SUM(M426:V426)*PctPerUnit</f>
        <v>63.158820654963975</v>
      </c>
      <c r="U584" s="203">
        <f>T584+U426/SUM(M426:V426)*PctPerUnit</f>
        <v>77.60282445974369</v>
      </c>
      <c r="V584" s="203">
        <f>U584+V426/SUM(M426:V426)*PctPerUnit</f>
        <v>100.00000000000001</v>
      </c>
      <c r="W584" s="207" t="str">
        <f>IF(X$5=K$5,SUM(Y584:AI584)-SUM(L584:V584),"")</f>
        <v/>
      </c>
      <c r="X584" s="9" t="str">
        <f>LOWER(CtryCode)&amp;".distn."&amp;$A584&amp;IF($B584="","","."&amp;$B584)&amp;IF($C584="","",".dec."&amp;$C584)&amp;"."&amp;X$5</f>
        <v>egy.distn.lzi.dec.urb.2</v>
      </c>
      <c r="Z584" s="203">
        <f>Y584+Z426/SUM(Z426:AI426)*PctPerUnit</f>
        <v>4.036116689322591</v>
      </c>
      <c r="AA584" s="203">
        <f>Z584+AA426/SUM(Z426:AI426)*PctPerUnit</f>
        <v>9.466056170216614</v>
      </c>
      <c r="AB584" s="203">
        <f>AA584+AB426/SUM(Z426:AI426)*PctPerUnit</f>
        <v>15.777613199150263</v>
      </c>
      <c r="AC584" s="203">
        <f>AB584+AC426/SUM(Z426:AI426)*PctPerUnit</f>
        <v>22.69582270611264</v>
      </c>
      <c r="AD584" s="203">
        <f>AC584+AD426/SUM(Z426:AI426)*PctPerUnit</f>
        <v>31.964474109531643</v>
      </c>
      <c r="AE584" s="203">
        <f>AD584+AE426/SUM(Z426:AI426)*PctPerUnit</f>
        <v>40.97197896902476</v>
      </c>
      <c r="AF584" s="203">
        <f>AE584+AF426/SUM(Z426:AI426)*PctPerUnit</f>
        <v>51.30000544158073</v>
      </c>
      <c r="AG584" s="203">
        <f>AF584+AG426/SUM(Z426:AI426)*PctPerUnit</f>
        <v>63.31765843910338</v>
      </c>
      <c r="AH584" s="203">
        <f>AG584+AH426/SUM(Z426:AI426)*PctPerUnit</f>
        <v>77.70369386732824</v>
      </c>
      <c r="AI584" s="203">
        <f>AH584+AI426/SUM(Z426:AI426)*PctPerUnit</f>
        <v>100.0</v>
      </c>
    </row>
    <row r="585" hidden="1" outlineLevel="1">
      <c r="A585" s="62" t="inlineStr">
        <is>
          <t>lzp</t>
        </is>
      </c>
      <c r="B585" s="3" t="inlineStr"/>
      <c r="C585" s="3" t="inlineStr">
        <is>
          <t>rur</t>
        </is>
      </c>
      <c r="D585" s="3" t="n"/>
      <c r="E585" s="3" t="n"/>
      <c r="H585" s="3" t="inlineStr">
        <is>
          <t>Cumulative share of population, rural</t>
        </is>
      </c>
      <c r="I585" s="3" t="inlineStr">
        <is>
          <t>%</t>
        </is>
      </c>
      <c r="J585" s="133" t="inlineStr">
        <is>
          <t>legacy D.III</t>
        </is>
      </c>
      <c r="K585" s="9" t="str">
        <f>LOWER(CtryCode)&amp;".distn."&amp;$A585&amp;IF($B585="","","."&amp;$B585)&amp;IF($C585="","",".dec."&amp;$C585)&amp;"."&amp;K$5</f>
        <v>egy.distn.lzp.dec.rur.1</v>
      </c>
      <c r="M585" s="203">
        <f>L585+M324/SUM(M324:V324)*PctPerUnit</f>
        <v>9.7441936838658</v>
      </c>
      <c r="N585" s="203">
        <f>M585+N324/SUM(M324:V324)*PctPerUnit</f>
        <v>19.21079498746633</v>
      </c>
      <c r="O585" s="203">
        <f>N585+O324/SUM(M324:V324)*PctPerUnit</f>
        <v>29.70862858204105</v>
      </c>
      <c r="P585" s="203">
        <f>O585+P324/SUM(M324:V324)*PctPerUnit</f>
        <v>39.26500758428331</v>
      </c>
      <c r="Q585" s="203">
        <f>P585+Q324/SUM(M324:V324)*PctPerUnit</f>
        <v>48.749457801586914</v>
      </c>
      <c r="R585" s="203">
        <f>Q585+R324/SUM(M324:V324)*PctPerUnit</f>
        <v>59.01461334049242</v>
      </c>
      <c r="S585" s="203">
        <f>R585+S324/SUM(M324:V324)*PctPerUnit</f>
        <v>69.53136004609276</v>
      </c>
      <c r="T585" s="203">
        <f>S585+T324/SUM(M324:V324)*PctPerUnit</f>
        <v>79.64719432542297</v>
      </c>
      <c r="U585" s="203">
        <f>T585+U324/SUM(M324:V324)*PctPerUnit</f>
        <v>89.31251083721168</v>
      </c>
      <c r="V585" s="203">
        <f>U585+V324/SUM(M324:V324)*PctPerUnit</f>
        <v>100.0</v>
      </c>
      <c r="W585" s="207" t="str">
        <f>IF(X$5=K$5,SUM(Y585:AI585)-SUM(L585:V585),"")</f>
        <v/>
      </c>
      <c r="X585" s="9" t="str">
        <f>LOWER(CtryCode)&amp;".distn."&amp;$A585&amp;IF($B585="","","."&amp;$B585)&amp;IF($C585="","",".dec."&amp;$C585)&amp;"."&amp;X$5</f>
        <v>egy.distn.lzp.dec.rur.2</v>
      </c>
      <c r="Z585" s="203">
        <f>Y585+Z324/SUM(Z324:AI324)*PctPerUnit</f>
        <v>9.7441936838658</v>
      </c>
      <c r="AA585" s="203">
        <f>Z585+AA324/SUM(Z324:AI324)*PctPerUnit</f>
        <v>19.21079498746633</v>
      </c>
      <c r="AB585" s="203">
        <f>AA585+AB324/SUM(Z324:AI324)*PctPerUnit</f>
        <v>29.70862858204105</v>
      </c>
      <c r="AC585" s="203">
        <f>AB585+AC324/SUM(Z324:AI324)*PctPerUnit</f>
        <v>39.26500758428331</v>
      </c>
      <c r="AD585" s="203">
        <f>AC585+AD324/SUM(Z324:AI324)*PctPerUnit</f>
        <v>48.749457801586914</v>
      </c>
      <c r="AE585" s="203">
        <f>AD585+AE324/SUM(Z324:AI324)*PctPerUnit</f>
        <v>59.01461334049242</v>
      </c>
      <c r="AF585" s="203">
        <f>AE585+AF324/SUM(Z324:AI324)*PctPerUnit</f>
        <v>69.53136004609276</v>
      </c>
      <c r="AG585" s="203">
        <f>AF585+AG324/SUM(Z324:AI324)*PctPerUnit</f>
        <v>79.64719432542297</v>
      </c>
      <c r="AH585" s="203">
        <f>AG585+AH324/SUM(Z324:AI324)*PctPerUnit</f>
        <v>89.31251083721168</v>
      </c>
      <c r="AI585" s="203">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33" t="inlineStr">
        <is>
          <t>legacy D.III</t>
        </is>
      </c>
      <c r="K586" s="9" t="str">
        <f>LOWER(CtryCode)&amp;".distn."&amp;$A586&amp;IF($B586="","","."&amp;$B586)&amp;IF($C586="","",".dec."&amp;$C586)&amp;"."&amp;K$5</f>
        <v>egy.distn.lz0.dec.rur.1</v>
      </c>
      <c r="M586" s="203">
        <f>L586+M329/SUM(M329:V329)*PctPerUnit</f>
        <v>4.50242235429203</v>
      </c>
      <c r="N586" s="203">
        <f>M586+N329/SUM(M329:V329)*PctPerUnit</f>
        <v>9.875128354292848</v>
      </c>
      <c r="O586" s="203">
        <f>N586+O329/SUM(M329:V329)*PctPerUnit</f>
        <v>16.7930886734728</v>
      </c>
      <c r="P586" s="203">
        <f>O586+P329/SUM(M329:V329)*PctPerUnit</f>
        <v>24.105045605892137</v>
      </c>
      <c r="Q586" s="203">
        <f>P586+Q329/SUM(M329:V329)*PctPerUnit</f>
        <v>32.364303754651566</v>
      </c>
      <c r="R586" s="203">
        <f>Q586+R329/SUM(M329:V329)*PctPerUnit</f>
        <v>41.88905673804062</v>
      </c>
      <c r="S586" s="203">
        <f>R586+S329/SUM(M329:V329)*PctPerUnit</f>
        <v>53.315695026218776</v>
      </c>
      <c r="T586" s="203">
        <f>S586+T329/SUM(M329:V329)*PctPerUnit</f>
        <v>65.07066813123708</v>
      </c>
      <c r="U586" s="203">
        <f>T586+U329/SUM(M329:V329)*PctPerUnit</f>
        <v>78.18234095029223</v>
      </c>
      <c r="V586" s="203">
        <f>U586+V329/SUM(M329:V329)*PctPerUnit</f>
        <v>99.99999999999999</v>
      </c>
      <c r="W586" s="207" t="str">
        <f>IF(X$5=K$5,SUM(Y586:AI586)-SUM(L586:V586),"")</f>
        <v/>
      </c>
      <c r="X586" s="9" t="str">
        <f>LOWER(CtryCode)&amp;".distn."&amp;$A586&amp;IF($B586="","","."&amp;$B586)&amp;IF($C586="","",".dec."&amp;$C586)&amp;"."&amp;X$5</f>
        <v>egy.distn.lz0.dec.rur.2</v>
      </c>
      <c r="Z586" s="203">
        <f>Y586+Z329/SUM(Z329:AI329)*PctPerUnit</f>
        <v>4.50242235429203</v>
      </c>
      <c r="AA586" s="203">
        <f>Z586+AA329/SUM(Z329:AI329)*PctPerUnit</f>
        <v>9.875128354292848</v>
      </c>
      <c r="AB586" s="203">
        <f>AA586+AB329/SUM(Z329:AI329)*PctPerUnit</f>
        <v>16.7930886734728</v>
      </c>
      <c r="AC586" s="203">
        <f>AB586+AC329/SUM(Z329:AI329)*PctPerUnit</f>
        <v>24.105045605892137</v>
      </c>
      <c r="AD586" s="203">
        <f>AC586+AD329/SUM(Z329:AI329)*PctPerUnit</f>
        <v>32.364303754651566</v>
      </c>
      <c r="AE586" s="203">
        <f>AD586+AE329/SUM(Z329:AI329)*PctPerUnit</f>
        <v>41.88905673804062</v>
      </c>
      <c r="AF586" s="203">
        <f>AE586+AF329/SUM(Z329:AI329)*PctPerUnit</f>
        <v>53.315695026218776</v>
      </c>
      <c r="AG586" s="203">
        <f>AF586+AG329/SUM(Z329:AI329)*PctPerUnit</f>
        <v>65.07066813123708</v>
      </c>
      <c r="AH586" s="203">
        <f>AG586+AH329/SUM(Z329:AI329)*PctPerUnit</f>
        <v>78.18234095029223</v>
      </c>
      <c r="AI586" s="203">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33" t="inlineStr">
        <is>
          <t>legacy D.III</t>
        </is>
      </c>
      <c r="K587" s="9" t="str">
        <f>LOWER(CtryCode)&amp;".distn."&amp;$A587&amp;IF($B587="","","."&amp;$B587)&amp;IF($C587="","",".dec."&amp;$C587)&amp;"."&amp;K$5</f>
        <v>egy.distn.lzx.dec.rur.1</v>
      </c>
      <c r="M587" s="203">
        <f>L587+M430/SUM(M430:V430)*PctPerUnit</f>
        <v>4.50242235429203</v>
      </c>
      <c r="N587" s="203">
        <f>M587+N430/SUM(M430:V430)*PctPerUnit</f>
        <v>9.875128354292848</v>
      </c>
      <c r="O587" s="203">
        <f>N587+O430/SUM(M430:V430)*PctPerUnit</f>
        <v>16.7930886734728</v>
      </c>
      <c r="P587" s="203">
        <f>O587+P430/SUM(M430:V430)*PctPerUnit</f>
        <v>24.105045605892137</v>
      </c>
      <c r="Q587" s="203">
        <f>P587+Q430/SUM(M430:V430)*PctPerUnit</f>
        <v>32.364303754651566</v>
      </c>
      <c r="R587" s="203">
        <f>Q587+R430/SUM(M430:V430)*PctPerUnit</f>
        <v>41.88905673804062</v>
      </c>
      <c r="S587" s="203">
        <f>R587+S430/SUM(M430:V430)*PctPerUnit</f>
        <v>53.315695026218776</v>
      </c>
      <c r="T587" s="203">
        <f>S587+T430/SUM(M430:V430)*PctPerUnit</f>
        <v>65.07066813123708</v>
      </c>
      <c r="U587" s="203">
        <f>T587+U430/SUM(M430:V430)*PctPerUnit</f>
        <v>78.18234095029223</v>
      </c>
      <c r="V587" s="203">
        <f>U587+V430/SUM(M430:V430)*PctPerUnit</f>
        <v>99.99999999999999</v>
      </c>
      <c r="W587" s="207" t="str">
        <f>IF(X$5=K$5,SUM(Y587:AI587)-SUM(L587:V587),"")</f>
        <v/>
      </c>
      <c r="X587" s="9" t="str">
        <f>LOWER(CtryCode)&amp;".distn."&amp;$A587&amp;IF($B587="","","."&amp;$B587)&amp;IF($C587="","",".dec."&amp;$C587)&amp;"."&amp;X$5</f>
        <v>egy.distn.lzx.dec.rur.2</v>
      </c>
      <c r="Z587" s="203">
        <f>Y587+Z430/SUM(Z430:AI430)*PctPerUnit</f>
        <v>4.491001541165675</v>
      </c>
      <c r="AA587" s="203">
        <f>Z587+AA430/SUM(Z430:AI430)*PctPerUnit</f>
        <v>9.860402459489613</v>
      </c>
      <c r="AB587" s="203">
        <f>AA587+AB430/SUM(Z430:AI430)*PctPerUnit</f>
        <v>16.778834116627067</v>
      </c>
      <c r="AC587" s="203">
        <f>AB587+AC430/SUM(Z430:AI430)*PctPerUnit</f>
        <v>24.08891184609083</v>
      </c>
      <c r="AD587" s="203">
        <f>AC587+AD430/SUM(Z430:AI430)*PctPerUnit</f>
        <v>32.35005041310896</v>
      </c>
      <c r="AE587" s="203">
        <f>AD587+AE430/SUM(Z430:AI430)*PctPerUnit</f>
        <v>41.881880763266196</v>
      </c>
      <c r="AF587" s="203">
        <f>AE587+AF430/SUM(Z430:AI430)*PctPerUnit</f>
        <v>53.322933086672464</v>
      </c>
      <c r="AG587" s="203">
        <f>AF587+AG430/SUM(Z430:AI430)*PctPerUnit</f>
        <v>65.08030139210071</v>
      </c>
      <c r="AH587" s="203">
        <f>AG587+AH430/SUM(Z430:AI430)*PctPerUnit</f>
        <v>78.19415243125106</v>
      </c>
      <c r="AI587" s="203">
        <f>AH587+AI430/SUM(Z430:AI430)*PctPerUnit</f>
        <v>100.00000000000001</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33" t="inlineStr">
        <is>
          <t>legacy D.III</t>
        </is>
      </c>
      <c r="K588" s="9" t="str">
        <f>LOWER(CtryCode)&amp;".distn."&amp;$A588&amp;IF($B588="","","."&amp;$B588)&amp;IF($C588="","",".dec."&amp;$C588)&amp;"."&amp;K$5</f>
        <v>egy.distn.lzi.dec.rur.1</v>
      </c>
      <c r="M588" s="203">
        <f>L588+M431/SUM(M431:V431)*PctPerUnit</f>
        <v>4.50242235429203</v>
      </c>
      <c r="N588" s="203">
        <f>M588+N431/SUM(M431:V431)*PctPerUnit</f>
        <v>9.875128354292848</v>
      </c>
      <c r="O588" s="203">
        <f>N588+O431/SUM(M431:V431)*PctPerUnit</f>
        <v>16.7930886734728</v>
      </c>
      <c r="P588" s="203">
        <f>O588+P431/SUM(M431:V431)*PctPerUnit</f>
        <v>24.105045605892137</v>
      </c>
      <c r="Q588" s="203">
        <f>P588+Q431/SUM(M431:V431)*PctPerUnit</f>
        <v>32.364303754651566</v>
      </c>
      <c r="R588" s="203">
        <f>Q588+R431/SUM(M431:V431)*PctPerUnit</f>
        <v>41.88905673804062</v>
      </c>
      <c r="S588" s="203">
        <f>R588+S431/SUM(M431:V431)*PctPerUnit</f>
        <v>53.315695026218776</v>
      </c>
      <c r="T588" s="203">
        <f>S588+T431/SUM(M431:V431)*PctPerUnit</f>
        <v>65.07066813123708</v>
      </c>
      <c r="U588" s="203">
        <f>T588+U431/SUM(M431:V431)*PctPerUnit</f>
        <v>78.18234095029223</v>
      </c>
      <c r="V588" s="203">
        <f>U588+V431/SUM(M431:V431)*PctPerUnit</f>
        <v>99.99999999999999</v>
      </c>
      <c r="W588" s="207" t="str">
        <f>IF(X$5=K$5,SUM(Y588:AI588)-SUM(L588:V588),"")</f>
        <v/>
      </c>
      <c r="X588" s="9" t="str">
        <f>LOWER(CtryCode)&amp;".distn."&amp;$A588&amp;IF($B588="","","."&amp;$B588)&amp;IF($C588="","",".dec."&amp;$C588)&amp;"."&amp;X$5</f>
        <v>egy.distn.lzi.dec.rur.2</v>
      </c>
      <c r="Z588" s="203">
        <f>Y588+Z431/SUM(Z431:AI431)*PctPerUnit</f>
        <v>4.647260348619007</v>
      </c>
      <c r="AA588" s="203">
        <f>Z588+AA431/SUM(Z431:AI431)*PctPerUnit</f>
        <v>10.143014610964393</v>
      </c>
      <c r="AB588" s="203">
        <f>AA588+AB431/SUM(Z431:AI431)*PctPerUnit</f>
        <v>17.161189529570056</v>
      </c>
      <c r="AC588" s="203">
        <f>AB588+AC431/SUM(Z431:AI431)*PctPerUnit</f>
        <v>24.511693635978737</v>
      </c>
      <c r="AD588" s="203">
        <f>AC588+AD431/SUM(Z431:AI431)*PctPerUnit</f>
        <v>32.743747305544076</v>
      </c>
      <c r="AE588" s="203">
        <f>AD588+AE431/SUM(Z431:AI431)*PctPerUnit</f>
        <v>42.25260075127588</v>
      </c>
      <c r="AF588" s="203">
        <f>AE588+AF431/SUM(Z431:AI431)*PctPerUnit</f>
        <v>53.63034147527287</v>
      </c>
      <c r="AG588" s="203">
        <f>AF588+AG431/SUM(Z431:AI431)*PctPerUnit</f>
        <v>65.32697036082081</v>
      </c>
      <c r="AH588" s="203">
        <f>AG588+AH431/SUM(Z431:AI431)*PctPerUnit</f>
        <v>78.363395927194</v>
      </c>
      <c r="AI588" s="203">
        <f>AH588+AI431/SUM(Z431:AI431)*PctPerUnit</f>
        <v>100.0</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33" t="inlineStr">
        <is>
          <t>legacy rows 3267-3271</t>
        </is>
      </c>
      <c r="K591" s="9" t="str">
        <f>LOWER(CtryCode)&amp;".distn."&amp;$A591&amp;IF($B591="","","."&amp;$B591)&amp;IF($C591="","",".dec."&amp;$C591)&amp;"."&amp;K$5</f>
        <v>egy.distn.ccomp.dec.ove.1</v>
      </c>
      <c r="M591" s="203">
        <f>L591+M413</f>
        <v>0.0</v>
      </c>
      <c r="N591" s="203">
        <f>M591+N413</f>
        <v>0.0</v>
      </c>
      <c r="O591" s="203">
        <f>N591+O413</f>
        <v>0.0</v>
      </c>
      <c r="P591" s="203">
        <f>O591+P413</f>
        <v>0.0</v>
      </c>
      <c r="Q591" s="203">
        <f>P591+Q413</f>
        <v>0.0</v>
      </c>
      <c r="R591" s="203">
        <f>Q591+R413</f>
        <v>0.0</v>
      </c>
      <c r="S591" s="203">
        <f>R591+S413</f>
        <v>0.0</v>
      </c>
      <c r="T591" s="203">
        <f>S591+T413</f>
        <v>0.0</v>
      </c>
      <c r="U591" s="203">
        <f>T591+U413</f>
        <v>0.0</v>
      </c>
      <c r="V591" s="203">
        <f>U591+V413</f>
        <v>0.0</v>
      </c>
      <c r="W591" s="207" t="str">
        <f>IF(X$5=K$5,SUM(Y591:AI591)-SUM(L591:V591),"")</f>
        <v/>
      </c>
      <c r="X591" s="9" t="str">
        <f>LOWER(CtryCode)&amp;".distn."&amp;$A591&amp;IF($B591="","","."&amp;$B591)&amp;IF($C591="","",".dec."&amp;$C591)&amp;"."&amp;X$5</f>
        <v>egy.distn.ccomp.dec.ove.2</v>
      </c>
      <c r="Z591" s="203">
        <f>Y591+Z413</f>
        <v>4.815081863341982</v>
      </c>
      <c r="AA591" s="203">
        <f>Z591+AA413</f>
        <v>10.314922434312873</v>
      </c>
      <c r="AB591" s="203">
        <f>AA591+AB413</f>
        <v>17.724866722322936</v>
      </c>
      <c r="AC591" s="203">
        <f>AB591+AC413</f>
        <v>25.08602152098339</v>
      </c>
      <c r="AD591" s="203">
        <f>AC591+AD413</f>
        <v>33.031291551491464</v>
      </c>
      <c r="AE591" s="203">
        <f>AD591+AE413</f>
        <v>42.2170486774983</v>
      </c>
      <c r="AF591" s="203">
        <f>AE591+AF413</f>
        <v>53.29364126981826</v>
      </c>
      <c r="AG591" s="203">
        <f>AF591+AG413</f>
        <v>66.63818007208474</v>
      </c>
      <c r="AH591" s="203">
        <f>AG591+AH413</f>
        <v>80.5938715971858</v>
      </c>
      <c r="AI591" s="203">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33" t="inlineStr">
        <is>
          <t>legacy rows 3267-3271</t>
        </is>
      </c>
      <c r="K592" s="9" t="str">
        <f>LOWER(CtryCode)&amp;".distn."&amp;$A592&amp;IF($B592="","","."&amp;$B592)&amp;IF($C592="","",".dec."&amp;$C592)&amp;"."&amp;K$5</f>
        <v>egy.distn.ccomp.dec.urb.1</v>
      </c>
      <c r="M592" s="203">
        <f>L592+M415</f>
        <v>0.0</v>
      </c>
      <c r="N592" s="203">
        <f>M592+N415</f>
        <v>0.0</v>
      </c>
      <c r="O592" s="203">
        <f>N592+O415</f>
        <v>0.0</v>
      </c>
      <c r="P592" s="203">
        <f>O592+P415</f>
        <v>0.0</v>
      </c>
      <c r="Q592" s="203">
        <f>P592+Q415</f>
        <v>0.0</v>
      </c>
      <c r="R592" s="203">
        <f>Q592+R415</f>
        <v>0.0</v>
      </c>
      <c r="S592" s="203">
        <f>R592+S415</f>
        <v>0.0</v>
      </c>
      <c r="T592" s="203">
        <f>S592+T415</f>
        <v>0.0</v>
      </c>
      <c r="U592" s="203">
        <f>T592+U415</f>
        <v>0.0</v>
      </c>
      <c r="V592" s="203">
        <f>U592+V415</f>
        <v>0.0</v>
      </c>
      <c r="W592" s="207" t="str">
        <f>IF(X$5=K$5,SUM(Y592:AI592)-SUM(L592:V592),"")</f>
        <v/>
      </c>
      <c r="X592" s="9" t="str">
        <f>LOWER(CtryCode)&amp;".distn."&amp;$A592&amp;IF($B592="","","."&amp;$B592)&amp;IF($C592="","",".dec."&amp;$C592)&amp;"."&amp;X$5</f>
        <v>egy.distn.ccomp.dec.urb.2</v>
      </c>
      <c r="Z592" s="203">
        <f>Y592+Z415</f>
        <v>4.596242858668532</v>
      </c>
      <c r="AA592" s="203">
        <f>Z592+AA415</f>
        <v>10.088534962497887</v>
      </c>
      <c r="AB592" s="203">
        <f>AA592+AB415</f>
        <v>16.450320770966197</v>
      </c>
      <c r="AC592" s="203">
        <f>AB592+AC415</f>
        <v>23.05519399317541</v>
      </c>
      <c r="AD592" s="203">
        <f>AC592+AD415</f>
        <v>31.811129916850778</v>
      </c>
      <c r="AE592" s="203">
        <f>AD592+AE415</f>
        <v>40.42685895210509</v>
      </c>
      <c r="AF592" s="203">
        <f>AE592+AF415</f>
        <v>51.207879325950046</v>
      </c>
      <c r="AG592" s="203">
        <f>AF592+AG415</f>
        <v>62.83613390081673</v>
      </c>
      <c r="AH592" s="203">
        <f>AG592+AH415</f>
        <v>77.30983576786019</v>
      </c>
      <c r="AI592" s="203">
        <f>AH592+AI415</f>
        <v>99.99999999999999</v>
      </c>
    </row>
    <row r="593" hidden="1" outlineLevel="1">
      <c r="A593" s="62" t="inlineStr">
        <is>
          <t>ccomp</t>
        </is>
      </c>
      <c r="B593" s="3" t="inlineStr"/>
      <c r="C593" s="3" t="inlineStr">
        <is>
          <t>rur</t>
        </is>
      </c>
      <c r="D593" s="3" t="n"/>
      <c r="E593" s="3" t="n"/>
      <c r="H593" s="3" t="inlineStr">
        <is>
          <t>Cumulative compensation share, rural</t>
        </is>
      </c>
      <c r="I593" s="3" t="inlineStr">
        <is>
          <t>%</t>
        </is>
      </c>
      <c r="J593" s="133" t="inlineStr">
        <is>
          <t>legacy rows 3267-3271</t>
        </is>
      </c>
      <c r="K593" s="9" t="str">
        <f>LOWER(CtryCode)&amp;".distn."&amp;$A593&amp;IF($B593="","","."&amp;$B593)&amp;IF($C593="","",".dec."&amp;$C593)&amp;"."&amp;K$5</f>
        <v>egy.distn.ccomp.dec.rur.1</v>
      </c>
      <c r="M593" s="203">
        <f>L593+M417</f>
        <v>0.0</v>
      </c>
      <c r="N593" s="203">
        <f>M593+N417</f>
        <v>0.0</v>
      </c>
      <c r="O593" s="203">
        <f>N593+O417</f>
        <v>0.0</v>
      </c>
      <c r="P593" s="203">
        <f>O593+P417</f>
        <v>0.0</v>
      </c>
      <c r="Q593" s="203">
        <f>P593+Q417</f>
        <v>0.0</v>
      </c>
      <c r="R593" s="203">
        <f>Q593+R417</f>
        <v>0.0</v>
      </c>
      <c r="S593" s="203">
        <f>R593+S417</f>
        <v>0.0</v>
      </c>
      <c r="T593" s="203">
        <f>S593+T417</f>
        <v>0.0</v>
      </c>
      <c r="U593" s="203">
        <f>T593+U417</f>
        <v>0.0</v>
      </c>
      <c r="V593" s="203">
        <f>U593+V417</f>
        <v>0.0</v>
      </c>
      <c r="W593" s="207" t="str">
        <f>IF(X$5=K$5,SUM(Y593:AI593)-SUM(L593:V593),"")</f>
        <v/>
      </c>
      <c r="X593" s="9" t="str">
        <f>LOWER(CtryCode)&amp;".distn."&amp;$A593&amp;IF($B593="","","."&amp;$B593)&amp;IF($C593="","",".dec."&amp;$C593)&amp;"."&amp;X$5</f>
        <v>egy.distn.ccomp.dec.rur.2</v>
      </c>
      <c r="Z593" s="203">
        <f>Y593+Z417</f>
        <v>5.223899917715944</v>
      </c>
      <c r="AA593" s="203">
        <f>Z593+AA417</f>
        <v>10.80539510363298</v>
      </c>
      <c r="AB593" s="203">
        <f>AA593+AB417</f>
        <v>17.693579980612274</v>
      </c>
      <c r="AC593" s="203">
        <f>AB593+AC417</f>
        <v>25.124250244084905</v>
      </c>
      <c r="AD593" s="203">
        <f>AC593+AD417</f>
        <v>33.26471828845399</v>
      </c>
      <c r="AE593" s="203">
        <f>AD593+AE417</f>
        <v>42.342378645874405</v>
      </c>
      <c r="AF593" s="203">
        <f>AE593+AF417</f>
        <v>52.85845103121911</v>
      </c>
      <c r="AG593" s="203">
        <f>AF593+AG417</f>
        <v>64.4621141255976</v>
      </c>
      <c r="AH593" s="203">
        <f>AG593+AH417</f>
        <v>77.43618405162768</v>
      </c>
      <c r="AI593" s="203">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33"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7"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33" t="inlineStr">
        <is>
          <t>price factors x the budget shares of the percentile x loss scale</t>
        </is>
      </c>
      <c r="K597" s="9" t="str">
        <f>LOWER(CtryCode)&amp;".distn."&amp;$A597&amp;IF($B597="","","."&amp;$B597)&amp;IF($C597="","",".dec."&amp;$C597)&amp;"."&amp;K$5</f>
        <v>egy.distn.htef.p25.dec.ove.1</v>
      </c>
      <c r="M597" s="203">
        <f>-SUMPRODUCT(M157:M178,SUMIF(DHHVar,$D$185:$D$206,INDEX(DHHVal,M596,0)))*M$271</f>
        <v>-0.0</v>
      </c>
      <c r="N597" s="203">
        <f>-SUMPRODUCT(N157:N178,SUMIF(DHHVar,$D$185:$D$206,INDEX(DHHVal,N596,0)))*N$271</f>
        <v>-0.0</v>
      </c>
      <c r="O597" s="203">
        <f>-SUMPRODUCT(O157:O178,SUMIF(DHHVar,$D$185:$D$206,INDEX(DHHVal,O596,0)))*O$271</f>
        <v>-0.0</v>
      </c>
      <c r="P597" s="203">
        <f>-SUMPRODUCT(P157:P178,SUMIF(DHHVar,$D$185:$D$206,INDEX(DHHVal,P596,0)))*P$271</f>
        <v>-0.0</v>
      </c>
      <c r="Q597" s="203">
        <f>-SUMPRODUCT(Q157:Q178,SUMIF(DHHVar,$D$185:$D$206,INDEX(DHHVal,Q596,0)))*Q$271</f>
        <v>-0.0</v>
      </c>
      <c r="R597" s="203">
        <f>-SUMPRODUCT(R157:R178,SUMIF(DHHVar,$D$185:$D$206,INDEX(DHHVal,R596,0)))*R$271</f>
        <v>-0.0</v>
      </c>
      <c r="S597" s="203">
        <f>-SUMPRODUCT(S157:S178,SUMIF(DHHVar,$D$185:$D$206,INDEX(DHHVal,S596,0)))*S$271</f>
        <v>-0.0</v>
      </c>
      <c r="T597" s="203">
        <f>-SUMPRODUCT(T157:T178,SUMIF(DHHVar,$D$185:$D$206,INDEX(DHHVal,T596,0)))*T$271</f>
        <v>-0.0</v>
      </c>
      <c r="U597" s="203">
        <f>-SUMPRODUCT(U157:U178,SUMIF(DHHVar,$D$185:$D$206,INDEX(DHHVal,U596,0)))*U$271</f>
        <v>-0.0</v>
      </c>
      <c r="V597" s="203">
        <f>-SUMPRODUCT(V157:V178,SUMIF(DHHVar,$D$185:$D$206,INDEX(DHHVal,V596,0)))*V$271</f>
        <v>-0.0</v>
      </c>
      <c r="W597" s="207" t="str">
        <f>IF(X$5=K$5,SUM(Y597:AI597)-SUM(L597:V597),"")</f>
        <v/>
      </c>
      <c r="X597" s="9" t="str">
        <f>LOWER(CtryCode)&amp;".distn."&amp;$A597&amp;IF($B597="","","."&amp;$B597)&amp;IF($C597="","",".dec."&amp;$C597)&amp;"."&amp;X$5</f>
        <v>egy.distn.htef.p25.dec.ove.2</v>
      </c>
      <c r="Z597" s="203">
        <f>-SUMPRODUCT(Z157:Z178,SUMIF(DHHVar,$D$185:$D$206,INDEX(DHHVal,Z596,0)))*Z$271</f>
        <v>-1.0639409585793544</v>
      </c>
      <c r="AA597" s="203">
        <f>-SUMPRODUCT(AA157:AA178,SUMIF(DHHVar,$D$185:$D$206,INDEX(DHHVal,AA596,0)))*AA$271</f>
        <v>-0.9782735852376051</v>
      </c>
      <c r="AB597" s="203">
        <f>-SUMPRODUCT(AB157:AB178,SUMIF(DHHVar,$D$185:$D$206,INDEX(DHHVal,AB596,0)))*AB$271</f>
        <v>-0.8824092874195335</v>
      </c>
      <c r="AC597" s="203">
        <f>-SUMPRODUCT(AC157:AC178,SUMIF(DHHVar,$D$185:$D$206,INDEX(DHHVal,AC596,0)))*AC$271</f>
        <v>-0.779648217309338</v>
      </c>
      <c r="AD597" s="203">
        <f>-SUMPRODUCT(AD157:AD178,SUMIF(DHHVar,$D$185:$D$206,INDEX(DHHVal,AD596,0)))*AD$271</f>
        <v>-0.48875226660955495</v>
      </c>
      <c r="AE597" s="203">
        <f>-SUMPRODUCT(AE157:AE178,SUMIF(DHHVar,$D$185:$D$206,INDEX(DHHVal,AE596,0)))*AE$271</f>
        <v>-0.4559952664407388</v>
      </c>
      <c r="AF597" s="203">
        <f>-SUMPRODUCT(AF157:AF178,SUMIF(DHHVar,$D$185:$D$206,INDEX(DHHVal,AF596,0)))*AF$271</f>
        <v>-0.47222805601791934</v>
      </c>
      <c r="AG597" s="203">
        <f>-SUMPRODUCT(AG157:AG178,SUMIF(DHHVar,$D$185:$D$206,INDEX(DHHVal,AG596,0)))*AG$271</f>
        <v>-0.46460379230352233</v>
      </c>
      <c r="AH597" s="203">
        <f>-SUMPRODUCT(AH157:AH178,SUMIF(DHHVar,$D$185:$D$206,INDEX(DHHVal,AH596,0)))*AH$271</f>
        <v>-0.4668800477990175</v>
      </c>
      <c r="AI597" s="203">
        <f>-SUMPRODUCT(AI157:AI178,SUMIF(DHHVar,$D$185:$D$206,INDEX(DHHVal,AI596,0)))*AI$271</f>
        <v>-0.4535450279603574</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33" t="inlineStr">
        <is>
          <t>HHSurvey cons_pc_acrent x adjustment</t>
        </is>
      </c>
      <c r="K598" s="9" t="str">
        <f>LOWER(CtryCode)&amp;".distn."&amp;$A598&amp;IF($B598="","","."&amp;$B598)&amp;IF($C598="","",".dec."&amp;$C598)&amp;"."&amp;K$5</f>
        <v>egy.distn.hcpc.p25.dec.ove.1</v>
      </c>
      <c r="M598" s="125">
        <f>INDEX(DHHVal,M596,MATCH("cons_pc_acrent",DHHVar,0))*M$320</f>
        <v>27745.814856031677</v>
      </c>
      <c r="N598" s="125">
        <f>INDEX(DHHVal,N596,MATCH("cons_pc_acrent",DHHVar,0))*N$320</f>
        <v>37866.56929883166</v>
      </c>
      <c r="O598" s="125">
        <f>INDEX(DHHVal,O596,MATCH("cons_pc_acrent",DHHVar,0))*O$320</f>
        <v>44209.667383107444</v>
      </c>
      <c r="P598" s="125">
        <f>INDEX(DHHVal,P596,MATCH("cons_pc_acrent",DHHVar,0))*P$320</f>
        <v>47940.550529035034</v>
      </c>
      <c r="Q598" s="125">
        <f>INDEX(DHHVal,Q596,MATCH("cons_pc_acrent",DHHVar,0))*Q$320</f>
        <v>60636.24048324464</v>
      </c>
      <c r="R598" s="125">
        <f>INDEX(DHHVal,R596,MATCH("cons_pc_acrent",DHHVar,0))*R$320</f>
        <v>65940.39123976893</v>
      </c>
      <c r="S598" s="125">
        <f>INDEX(DHHVal,S596,MATCH("cons_pc_acrent",DHHVar,0))*S$320</f>
        <v>73866.30538494987</v>
      </c>
      <c r="T598" s="125">
        <f>INDEX(DHHVal,T596,MATCH("cons_pc_acrent",DHHVar,0))*T$320</f>
        <v>84412.58783703469</v>
      </c>
      <c r="U598" s="125">
        <f>INDEX(DHHVal,U596,MATCH("cons_pc_acrent",DHHVar,0))*U$320</f>
        <v>88085.6151848951</v>
      </c>
      <c r="V598" s="125">
        <f>INDEX(DHHVal,V596,MATCH("cons_pc_acrent",DHHVar,0))*V$320</f>
        <v>125420.70776786814</v>
      </c>
      <c r="W598" s="207" t="str">
        <f>IF(X$5=K$5,SUM(Y598:AI598)-SUM(L598:V598),"")</f>
        <v/>
      </c>
      <c r="X598" s="9" t="str">
        <f>LOWER(CtryCode)&amp;".distn."&amp;$A598&amp;IF($B598="","","."&amp;$B598)&amp;IF($C598="","",".dec."&amp;$C598)&amp;"."&amp;X$5</f>
        <v>egy.distn.hcpc.p25.dec.ove.2</v>
      </c>
      <c r="Z598" s="125">
        <f>INDEX(DHHVal,Z596,MATCH("cons_pc_acrent",DHHVar,0))*Z$320</f>
        <v>27745.814856031677</v>
      </c>
      <c r="AA598" s="125">
        <f>INDEX(DHHVal,AA596,MATCH("cons_pc_acrent",DHHVar,0))*AA$320</f>
        <v>37866.56929883166</v>
      </c>
      <c r="AB598" s="125">
        <f>INDEX(DHHVal,AB596,MATCH("cons_pc_acrent",DHHVar,0))*AB$320</f>
        <v>44209.667383107444</v>
      </c>
      <c r="AC598" s="125">
        <f>INDEX(DHHVal,AC596,MATCH("cons_pc_acrent",DHHVar,0))*AC$320</f>
        <v>47940.550529035034</v>
      </c>
      <c r="AD598" s="125">
        <f>INDEX(DHHVal,AD596,MATCH("cons_pc_acrent",DHHVar,0))*AD$320</f>
        <v>60636.24048324464</v>
      </c>
      <c r="AE598" s="125">
        <f>INDEX(DHHVal,AE596,MATCH("cons_pc_acrent",DHHVar,0))*AE$320</f>
        <v>65940.39123976893</v>
      </c>
      <c r="AF598" s="125">
        <f>INDEX(DHHVal,AF596,MATCH("cons_pc_acrent",DHHVar,0))*AF$320</f>
        <v>73866.30538494987</v>
      </c>
      <c r="AG598" s="125">
        <f>INDEX(DHHVal,AG596,MATCH("cons_pc_acrent",DHHVar,0))*AG$320</f>
        <v>84412.58783703469</v>
      </c>
      <c r="AH598" s="125">
        <f>INDEX(DHHVal,AH596,MATCH("cons_pc_acrent",DHHVar,0))*AH$320</f>
        <v>88085.6151848951</v>
      </c>
      <c r="AI598" s="125">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33" t="inlineStr">
        <is>
          <t>recycling per capita / consumption of the percentile</t>
        </is>
      </c>
      <c r="K599" s="9" t="str">
        <f>LOWER(CtryCode)&amp;".distn."&amp;$A599&amp;IF($B599="","","."&amp;$B599)&amp;IF($C599="","",".dec."&amp;$C599)&amp;"."&amp;K$5</f>
        <v>egy.distn.hrec.p25.dec.ove.1</v>
      </c>
      <c r="M599" s="203">
        <f>(M355+M380+M387+M370)/M598*PctPerUnit</f>
        <v>0.0</v>
      </c>
      <c r="N599" s="203">
        <f>(N355+N380+N387+N370)/N598*PctPerUnit</f>
        <v>0.0</v>
      </c>
      <c r="O599" s="203">
        <f>(O355+O380+O387+O370)/O598*PctPerUnit</f>
        <v>0.0</v>
      </c>
      <c r="P599" s="203">
        <f>(P355+P380+P387+P370)/P598*PctPerUnit</f>
        <v>0.0</v>
      </c>
      <c r="Q599" s="203">
        <f>(Q355+Q380+Q387+Q370)/Q598*PctPerUnit</f>
        <v>0.0</v>
      </c>
      <c r="R599" s="203">
        <f>(R355+R380+R387+R370)/R598*PctPerUnit</f>
        <v>0.0</v>
      </c>
      <c r="S599" s="203">
        <f>(S355+S380+S387+S370)/S598*PctPerUnit</f>
        <v>0.0</v>
      </c>
      <c r="T599" s="203">
        <f>(T355+T380+T387+T370)/T598*PctPerUnit</f>
        <v>0.0</v>
      </c>
      <c r="U599" s="203">
        <f>(U355+U380+U387+U370)/U598*PctPerUnit</f>
        <v>0.0</v>
      </c>
      <c r="V599" s="203">
        <f>(V355+V380+V387+V370)/V598*PctPerUnit</f>
        <v>0.0</v>
      </c>
      <c r="W599" s="207" t="str">
        <f>IF(X$5=K$5,SUM(Y599:AI599)-SUM(L599:V599),"")</f>
        <v/>
      </c>
      <c r="X599" s="9" t="str">
        <f>LOWER(CtryCode)&amp;".distn."&amp;$A599&amp;IF($B599="","","."&amp;$B599)&amp;IF($C599="","",".dec."&amp;$C599)&amp;"."&amp;X$5</f>
        <v>egy.distn.hrec.p25.dec.ove.2</v>
      </c>
      <c r="Z599" s="203">
        <f>(Z355+Z380+Z387+Z370)/Z598*PctPerUnit</f>
        <v>4.60809151582166</v>
      </c>
      <c r="AA599" s="203">
        <f>(AA355+AA380+AA387+AA370)/AA598*PctPerUnit</f>
        <v>3.0468792792285124</v>
      </c>
      <c r="AB599" s="203">
        <f>(AB355+AB380+AB387+AB370)/AB598*PctPerUnit</f>
        <v>2.030130314060704</v>
      </c>
      <c r="AC599" s="203">
        <f>(AC355+AC380+AC387+AC370)/AC598*PctPerUnit</f>
        <v>1.7755089167862619</v>
      </c>
      <c r="AD599" s="203">
        <f>(AD355+AD380+AD387+AD370)/AD598*PctPerUnit</f>
        <v>1.0187743921994739</v>
      </c>
      <c r="AE599" s="203">
        <f>(AE355+AE380+AE387+AE370)/AE598*PctPerUnit</f>
        <v>0.5915230950400765</v>
      </c>
      <c r="AF599" s="203">
        <f>(AF355+AF380+AF387+AF370)/AF598*PctPerUnit</f>
        <v>0.43981345378028974</v>
      </c>
      <c r="AG599" s="203">
        <f>(AG355+AG380+AG387+AG370)/AG598*PctPerUnit</f>
        <v>0.33891525271786266</v>
      </c>
      <c r="AH599" s="203">
        <f>(AH355+AH380+AH387+AH370)/AH598*PctPerUnit</f>
        <v>0.4502934620877945</v>
      </c>
      <c r="AI599" s="203">
        <f>(AI355+AI380+AI387+AI370)/AI598*PctPerUnit</f>
        <v>0.17724222646574925</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33" t="inlineStr">
        <is>
          <t>total effect + recycling</t>
        </is>
      </c>
      <c r="K600" s="9" t="str">
        <f>LOWER(CtryCode)&amp;".distn."&amp;$A600&amp;IF($B600="","","."&amp;$B600)&amp;IF($C600="","",".dec."&amp;$C600)&amp;"."&amp;K$5</f>
        <v>egy.distn.hnet.p25.dec.ove.1</v>
      </c>
      <c r="M600" s="203">
        <f>M597+M599</f>
        <v>0.0</v>
      </c>
      <c r="N600" s="203">
        <f>N597+N599</f>
        <v>0.0</v>
      </c>
      <c r="O600" s="203">
        <f>O597+O599</f>
        <v>0.0</v>
      </c>
      <c r="P600" s="203">
        <f>P597+P599</f>
        <v>0.0</v>
      </c>
      <c r="Q600" s="203">
        <f>Q597+Q599</f>
        <v>0.0</v>
      </c>
      <c r="R600" s="203">
        <f>R597+R599</f>
        <v>0.0</v>
      </c>
      <c r="S600" s="203">
        <f>S597+S599</f>
        <v>0.0</v>
      </c>
      <c r="T600" s="203">
        <f>T597+T599</f>
        <v>0.0</v>
      </c>
      <c r="U600" s="203">
        <f>U597+U599</f>
        <v>0.0</v>
      </c>
      <c r="V600" s="203">
        <f>V597+V599</f>
        <v>0.0</v>
      </c>
      <c r="W600" s="207" t="str">
        <f>IF(X$5=K$5,SUM(Y600:AI600)-SUM(L600:V600),"")</f>
        <v/>
      </c>
      <c r="X600" s="9" t="str">
        <f>LOWER(CtryCode)&amp;".distn."&amp;$A600&amp;IF($B600="","","."&amp;$B600)&amp;IF($C600="","",".dec."&amp;$C600)&amp;"."&amp;X$5</f>
        <v>egy.distn.hnet.p25.dec.ove.2</v>
      </c>
      <c r="Z600" s="203">
        <f>Z597+Z599</f>
        <v>3.5441505572423058</v>
      </c>
      <c r="AA600" s="203">
        <f>AA597+AA599</f>
        <v>2.068605693990907</v>
      </c>
      <c r="AB600" s="203">
        <f>AB597+AB599</f>
        <v>1.1477210266411704</v>
      </c>
      <c r="AC600" s="203">
        <f>AC597+AC599</f>
        <v>0.9958606994769239</v>
      </c>
      <c r="AD600" s="203">
        <f>AD597+AD599</f>
        <v>0.5300221255899189</v>
      </c>
      <c r="AE600" s="203">
        <f>AE597+AE599</f>
        <v>0.1355278285993377</v>
      </c>
      <c r="AF600" s="203">
        <f>AF597+AF599</f>
        <v>-0.0324146022376296</v>
      </c>
      <c r="AG600" s="203">
        <f>AG597+AG599</f>
        <v>-0.12568853958565968</v>
      </c>
      <c r="AH600" s="203">
        <f>AH597+AH599</f>
        <v>-0.016586585711222956</v>
      </c>
      <c r="AI600" s="203">
        <f>AI597+AI599</f>
        <v>-0.2763028014946082</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33"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7"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33" t="inlineStr">
        <is>
          <t>price factors x the budget shares of the percentile x loss scale</t>
        </is>
      </c>
      <c r="K602" s="9" t="str">
        <f>LOWER(CtryCode)&amp;".distn."&amp;$A602&amp;IF($B602="","","."&amp;$B602)&amp;IF($C602="","",".dec."&amp;$C602)&amp;"."&amp;K$5</f>
        <v>egy.distn.htef.p75.dec.ove.1</v>
      </c>
      <c r="M602" s="203">
        <f>-SUMPRODUCT(M157:M178,SUMIF(DHHVar,$D$185:$D$206,INDEX(DHHVal,M601,0)))*M$271</f>
        <v>-0.0</v>
      </c>
      <c r="N602" s="203">
        <f>-SUMPRODUCT(N157:N178,SUMIF(DHHVar,$D$185:$D$206,INDEX(DHHVal,N601,0)))*N$271</f>
        <v>-0.0</v>
      </c>
      <c r="O602" s="203">
        <f>-SUMPRODUCT(O157:O178,SUMIF(DHHVar,$D$185:$D$206,INDEX(DHHVal,O601,0)))*O$271</f>
        <v>-0.0</v>
      </c>
      <c r="P602" s="203">
        <f>-SUMPRODUCT(P157:P178,SUMIF(DHHVar,$D$185:$D$206,INDEX(DHHVal,P601,0)))*P$271</f>
        <v>-0.0</v>
      </c>
      <c r="Q602" s="203">
        <f>-SUMPRODUCT(Q157:Q178,SUMIF(DHHVar,$D$185:$D$206,INDEX(DHHVal,Q601,0)))*Q$271</f>
        <v>-0.0</v>
      </c>
      <c r="R602" s="203">
        <f>-SUMPRODUCT(R157:R178,SUMIF(DHHVar,$D$185:$D$206,INDEX(DHHVal,R601,0)))*R$271</f>
        <v>-0.0</v>
      </c>
      <c r="S602" s="203">
        <f>-SUMPRODUCT(S157:S178,SUMIF(DHHVar,$D$185:$D$206,INDEX(DHHVal,S601,0)))*S$271</f>
        <v>-0.0</v>
      </c>
      <c r="T602" s="203">
        <f>-SUMPRODUCT(T157:T178,SUMIF(DHHVar,$D$185:$D$206,INDEX(DHHVal,T601,0)))*T$271</f>
        <v>-0.0</v>
      </c>
      <c r="U602" s="203">
        <f>-SUMPRODUCT(U157:U178,SUMIF(DHHVar,$D$185:$D$206,INDEX(DHHVal,U601,0)))*U$271</f>
        <v>-0.0</v>
      </c>
      <c r="V602" s="203">
        <f>-SUMPRODUCT(V157:V178,SUMIF(DHHVar,$D$185:$D$206,INDEX(DHHVal,V601,0)))*V$271</f>
        <v>-0.0</v>
      </c>
      <c r="W602" s="207" t="str">
        <f>IF(X$5=K$5,SUM(Y602:AI602)-SUM(L602:V602),"")</f>
        <v/>
      </c>
      <c r="X602" s="9" t="str">
        <f>LOWER(CtryCode)&amp;".distn."&amp;$A602&amp;IF($B602="","","."&amp;$B602)&amp;IF($C602="","",".dec."&amp;$C602)&amp;"."&amp;X$5</f>
        <v>egy.distn.htef.p75.dec.ove.2</v>
      </c>
      <c r="Z602" s="203">
        <f>-SUMPRODUCT(Z157:Z178,SUMIF(DHHVar,$D$185:$D$206,INDEX(DHHVal,Z601,0)))*Z$271</f>
        <v>-2.087557241145005</v>
      </c>
      <c r="AA602" s="203">
        <f>-SUMPRODUCT(AA157:AA178,SUMIF(DHHVar,$D$185:$D$206,INDEX(DHHVal,AA601,0)))*AA$271</f>
        <v>-1.8384980027744011</v>
      </c>
      <c r="AB602" s="203">
        <f>-SUMPRODUCT(AB157:AB178,SUMIF(DHHVar,$D$185:$D$206,INDEX(DHHVal,AB601,0)))*AB$271</f>
        <v>-1.727514781776668</v>
      </c>
      <c r="AC602" s="203">
        <f>-SUMPRODUCT(AC157:AC178,SUMIF(DHHVar,$D$185:$D$206,INDEX(DHHVal,AC601,0)))*AC$271</f>
        <v>-1.5722232828010383</v>
      </c>
      <c r="AD602" s="203">
        <f>-SUMPRODUCT(AD157:AD178,SUMIF(DHHVar,$D$185:$D$206,INDEX(DHHVal,AD601,0)))*AD$271</f>
        <v>-1.7791983893106855</v>
      </c>
      <c r="AE602" s="203">
        <f>-SUMPRODUCT(AE157:AE178,SUMIF(DHHVar,$D$185:$D$206,INDEX(DHHVal,AE601,0)))*AE$271</f>
        <v>-1.803102023030727</v>
      </c>
      <c r="AF602" s="203">
        <f>-SUMPRODUCT(AF157:AF178,SUMIF(DHHVar,$D$185:$D$206,INDEX(DHHVal,AF601,0)))*AF$271</f>
        <v>-1.7857433939628897</v>
      </c>
      <c r="AG602" s="203">
        <f>-SUMPRODUCT(AG157:AG178,SUMIF(DHHVar,$D$185:$D$206,INDEX(DHHVal,AG601,0)))*AG$271</f>
        <v>-1.8924591585778034</v>
      </c>
      <c r="AH602" s="203">
        <f>-SUMPRODUCT(AH157:AH178,SUMIF(DHHVar,$D$185:$D$206,INDEX(DHHVal,AH601,0)))*AH$271</f>
        <v>-1.7959385488962862</v>
      </c>
      <c r="AI602" s="203">
        <f>-SUMPRODUCT(AI157:AI178,SUMIF(DHHVar,$D$185:$D$206,INDEX(DHHVal,AI601,0)))*AI$271</f>
        <v>-1.9021351848275894</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33" t="inlineStr">
        <is>
          <t>HHSurvey cons_pc_acrent x adjustment</t>
        </is>
      </c>
      <c r="K603" s="9" t="str">
        <f>LOWER(CtryCode)&amp;".distn."&amp;$A603&amp;IF($B603="","","."&amp;$B603)&amp;IF($C603="","",".dec."&amp;$C603)&amp;"."&amp;K$5</f>
        <v>egy.distn.hcpc.p75.dec.ove.1</v>
      </c>
      <c r="M603" s="125">
        <f>INDEX(DHHVal,M601,MATCH("cons_pc_acrent",DHHVar,0))*M$320</f>
        <v>32135.33548609588</v>
      </c>
      <c r="N603" s="125">
        <f>INDEX(DHHVal,N601,MATCH("cons_pc_acrent",DHHVar,0))*N$320</f>
        <v>41082.38573860925</v>
      </c>
      <c r="O603" s="125">
        <f>INDEX(DHHVal,O601,MATCH("cons_pc_acrent",DHHVar,0))*O$320</f>
        <v>52015.16208507613</v>
      </c>
      <c r="P603" s="125">
        <f>INDEX(DHHVal,P601,MATCH("cons_pc_acrent",DHHVar,0))*P$320</f>
        <v>53544.69072881806</v>
      </c>
      <c r="Q603" s="125">
        <f>INDEX(DHHVal,Q601,MATCH("cons_pc_acrent",DHHVar,0))*Q$320</f>
        <v>61862.18998326373</v>
      </c>
      <c r="R603" s="125">
        <f>INDEX(DHHVal,R601,MATCH("cons_pc_acrent",DHHVar,0))*R$320</f>
        <v>69869.40863839451</v>
      </c>
      <c r="S603" s="125">
        <f>INDEX(DHHVal,S601,MATCH("cons_pc_acrent",DHHVar,0))*S$320</f>
        <v>79020.62585091221</v>
      </c>
      <c r="T603" s="125">
        <f>INDEX(DHHVal,T601,MATCH("cons_pc_acrent",DHHVar,0))*T$320</f>
        <v>97832.18494053696</v>
      </c>
      <c r="U603" s="125">
        <f>INDEX(DHHVal,U601,MATCH("cons_pc_acrent",DHHVar,0))*U$320</f>
        <v>107739.73643927135</v>
      </c>
      <c r="V603" s="125">
        <f>INDEX(DHHVal,V601,MATCH("cons_pc_acrent",DHHVar,0))*V$320</f>
        <v>172408.62751519328</v>
      </c>
      <c r="W603" s="207" t="str">
        <f>IF(X$5=K$5,SUM(Y603:AI603)-SUM(L603:V603),"")</f>
        <v/>
      </c>
      <c r="X603" s="9" t="str">
        <f>LOWER(CtryCode)&amp;".distn."&amp;$A603&amp;IF($B603="","","."&amp;$B603)&amp;IF($C603="","",".dec."&amp;$C603)&amp;"."&amp;X$5</f>
        <v>egy.distn.hcpc.p75.dec.ove.2</v>
      </c>
      <c r="Z603" s="125">
        <f>INDEX(DHHVal,Z601,MATCH("cons_pc_acrent",DHHVar,0))*Z$320</f>
        <v>32135.33548609588</v>
      </c>
      <c r="AA603" s="125">
        <f>INDEX(DHHVal,AA601,MATCH("cons_pc_acrent",DHHVar,0))*AA$320</f>
        <v>41082.38573860925</v>
      </c>
      <c r="AB603" s="125">
        <f>INDEX(DHHVal,AB601,MATCH("cons_pc_acrent",DHHVar,0))*AB$320</f>
        <v>52015.16208507613</v>
      </c>
      <c r="AC603" s="125">
        <f>INDEX(DHHVal,AC601,MATCH("cons_pc_acrent",DHHVar,0))*AC$320</f>
        <v>53544.69072881806</v>
      </c>
      <c r="AD603" s="125">
        <f>INDEX(DHHVal,AD601,MATCH("cons_pc_acrent",DHHVar,0))*AD$320</f>
        <v>61862.18998326373</v>
      </c>
      <c r="AE603" s="125">
        <f>INDEX(DHHVal,AE601,MATCH("cons_pc_acrent",DHHVar,0))*AE$320</f>
        <v>69869.40863839451</v>
      </c>
      <c r="AF603" s="125">
        <f>INDEX(DHHVal,AF601,MATCH("cons_pc_acrent",DHHVar,0))*AF$320</f>
        <v>79020.62585091221</v>
      </c>
      <c r="AG603" s="125">
        <f>INDEX(DHHVal,AG601,MATCH("cons_pc_acrent",DHHVar,0))*AG$320</f>
        <v>97832.18494053696</v>
      </c>
      <c r="AH603" s="125">
        <f>INDEX(DHHVal,AH601,MATCH("cons_pc_acrent",DHHVar,0))*AH$320</f>
        <v>107739.73643927135</v>
      </c>
      <c r="AI603" s="125">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33" t="inlineStr">
        <is>
          <t>recycling per capita / consumption of the percentile</t>
        </is>
      </c>
      <c r="K604" s="9" t="str">
        <f>LOWER(CtryCode)&amp;".distn."&amp;$A604&amp;IF($B604="","","."&amp;$B604)&amp;IF($C604="","",".dec."&amp;$C604)&amp;"."&amp;K$5</f>
        <v>egy.distn.hrec.p75.dec.ove.1</v>
      </c>
      <c r="M604" s="203">
        <f>(M355+M380+M387+M370)/M603*PctPerUnit</f>
        <v>0.0</v>
      </c>
      <c r="N604" s="203">
        <f>(N355+N380+N387+N370)/N603*PctPerUnit</f>
        <v>0.0</v>
      </c>
      <c r="O604" s="203">
        <f>(O355+O380+O387+O370)/O603*PctPerUnit</f>
        <v>0.0</v>
      </c>
      <c r="P604" s="203">
        <f>(P355+P380+P387+P370)/P603*PctPerUnit</f>
        <v>0.0</v>
      </c>
      <c r="Q604" s="203">
        <f>(Q355+Q380+Q387+Q370)/Q603*PctPerUnit</f>
        <v>0.0</v>
      </c>
      <c r="R604" s="203">
        <f>(R355+R380+R387+R370)/R603*PctPerUnit</f>
        <v>0.0</v>
      </c>
      <c r="S604" s="203">
        <f>(S355+S380+S387+S370)/S603*PctPerUnit</f>
        <v>0.0</v>
      </c>
      <c r="T604" s="203">
        <f>(T355+T380+T387+T370)/T603*PctPerUnit</f>
        <v>0.0</v>
      </c>
      <c r="U604" s="203">
        <f>(U355+U380+U387+U370)/U603*PctPerUnit</f>
        <v>0.0</v>
      </c>
      <c r="V604" s="203">
        <f>(V355+V380+V387+V370)/V603*PctPerUnit</f>
        <v>0.0</v>
      </c>
      <c r="W604" s="207" t="str">
        <f>IF(X$5=K$5,SUM(Y604:AI604)-SUM(L604:V604),"")</f>
        <v/>
      </c>
      <c r="X604" s="9" t="str">
        <f>LOWER(CtryCode)&amp;".distn."&amp;$A604&amp;IF($B604="","","."&amp;$B604)&amp;IF($C604="","",".dec."&amp;$C604)&amp;"."&amp;X$5</f>
        <v>egy.distn.hrec.p75.dec.ove.2</v>
      </c>
      <c r="Z604" s="203">
        <f>(Z355+Z380+Z387+Z370)/Z603*PctPerUnit</f>
        <v>3.978650046860652</v>
      </c>
      <c r="AA604" s="203">
        <f>(AA355+AA380+AA387+AA370)/AA603*PctPerUnit</f>
        <v>2.8083779288321944</v>
      </c>
      <c r="AB604" s="203">
        <f>(AB355+AB380+AB387+AB370)/AB603*PctPerUnit</f>
        <v>1.7254850764896124</v>
      </c>
      <c r="AC604" s="203">
        <f>(AC355+AC380+AC387+AC370)/AC603*PctPerUnit</f>
        <v>1.5896790845433453</v>
      </c>
      <c r="AD604" s="203">
        <f>(AD355+AD380+AD387+AD370)/AD603*PctPerUnit</f>
        <v>0.9985849039662398</v>
      </c>
      <c r="AE604" s="203">
        <f>(AE355+AE380+AE387+AE370)/AE603*PctPerUnit</f>
        <v>0.5582595455497752</v>
      </c>
      <c r="AF604" s="203">
        <f>(AF355+AF380+AF387+AF370)/AF603*PctPerUnit</f>
        <v>0.4111255072901878</v>
      </c>
      <c r="AG604" s="203">
        <f>(AG355+AG380+AG387+AG370)/AG603*PctPerUnit</f>
        <v>0.2924263989069237</v>
      </c>
      <c r="AH604" s="203">
        <f>(AH355+AH380+AH387+AH370)/AH603*PctPerUnit</f>
        <v>0.36814993179509836</v>
      </c>
      <c r="AI604" s="203">
        <f>(AI355+AI380+AI387+AI370)/AI603*PctPerUnit</f>
        <v>0.12893696684481795</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33" t="inlineStr">
        <is>
          <t>total effect + recycling</t>
        </is>
      </c>
      <c r="K605" s="9" t="str">
        <f>LOWER(CtryCode)&amp;".distn."&amp;$A605&amp;IF($B605="","","."&amp;$B605)&amp;IF($C605="","",".dec."&amp;$C605)&amp;"."&amp;K$5</f>
        <v>egy.distn.hnet.p75.dec.ove.1</v>
      </c>
      <c r="M605" s="203">
        <f>M602+M604</f>
        <v>0.0</v>
      </c>
      <c r="N605" s="203">
        <f>N602+N604</f>
        <v>0.0</v>
      </c>
      <c r="O605" s="203">
        <f>O602+O604</f>
        <v>0.0</v>
      </c>
      <c r="P605" s="203">
        <f>P602+P604</f>
        <v>0.0</v>
      </c>
      <c r="Q605" s="203">
        <f>Q602+Q604</f>
        <v>0.0</v>
      </c>
      <c r="R605" s="203">
        <f>R602+R604</f>
        <v>0.0</v>
      </c>
      <c r="S605" s="203">
        <f>S602+S604</f>
        <v>0.0</v>
      </c>
      <c r="T605" s="203">
        <f>T602+T604</f>
        <v>0.0</v>
      </c>
      <c r="U605" s="203">
        <f>U602+U604</f>
        <v>0.0</v>
      </c>
      <c r="V605" s="203">
        <f>V602+V604</f>
        <v>0.0</v>
      </c>
      <c r="W605" s="207" t="str">
        <f>IF(X$5=K$5,SUM(Y605:AI605)-SUM(L605:V605),"")</f>
        <v/>
      </c>
      <c r="X605" s="9" t="str">
        <f>LOWER(CtryCode)&amp;".distn."&amp;$A605&amp;IF($B605="","","."&amp;$B605)&amp;IF($C605="","",".dec."&amp;$C605)&amp;"."&amp;X$5</f>
        <v>egy.distn.hnet.p75.dec.ove.2</v>
      </c>
      <c r="Z605" s="203">
        <f>Z602+Z604</f>
        <v>1.8910928057156466</v>
      </c>
      <c r="AA605" s="203">
        <f>AA602+AA604</f>
        <v>0.9698799260577933</v>
      </c>
      <c r="AB605" s="203">
        <f>AB602+AB604</f>
        <v>-0.0020297052870557053</v>
      </c>
      <c r="AC605" s="203">
        <f>AC602+AC604</f>
        <v>0.017455801742306987</v>
      </c>
      <c r="AD605" s="203">
        <f>AD602+AD604</f>
        <v>-0.7806134853444457</v>
      </c>
      <c r="AE605" s="203">
        <f>AE602+AE604</f>
        <v>-1.244842477480952</v>
      </c>
      <c r="AF605" s="203">
        <f>AF602+AF604</f>
        <v>-1.374617886672702</v>
      </c>
      <c r="AG605" s="203">
        <f>AG602+AG604</f>
        <v>-1.6000327596708797</v>
      </c>
      <c r="AH605" s="203">
        <f>AH602+AH604</f>
        <v>-1.427788617101188</v>
      </c>
      <c r="AI605" s="203">
        <f>AI602+AI604</f>
        <v>-1.7731982179827714</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33"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7"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33" t="inlineStr">
        <is>
          <t>price factors x the budget shares of the percentile x loss scale</t>
        </is>
      </c>
      <c r="K607" s="9" t="str">
        <f>LOWER(CtryCode)&amp;".distn."&amp;$A607&amp;IF($B607="","","."&amp;$B607)&amp;IF($C607="","",".dec."&amp;$C607)&amp;"."&amp;K$5</f>
        <v>egy.distn.htef.p25.dec.urb.1</v>
      </c>
      <c r="M607" s="203">
        <f>-SUMPRODUCT(M157:M178,SUMIF(DHHVar,$D$185:$D$206,INDEX(DHHVal,M606,0)))*M$271</f>
        <v>-0.0</v>
      </c>
      <c r="N607" s="203">
        <f>-SUMPRODUCT(N157:N178,SUMIF(DHHVar,$D$185:$D$206,INDEX(DHHVal,N606,0)))*N$271</f>
        <v>-0.0</v>
      </c>
      <c r="O607" s="203">
        <f>-SUMPRODUCT(O157:O178,SUMIF(DHHVar,$D$185:$D$206,INDEX(DHHVal,O606,0)))*O$271</f>
        <v>-0.0</v>
      </c>
      <c r="P607" s="203">
        <f>-SUMPRODUCT(P157:P178,SUMIF(DHHVar,$D$185:$D$206,INDEX(DHHVal,P606,0)))*P$271</f>
        <v>-0.0</v>
      </c>
      <c r="Q607" s="203">
        <f>-SUMPRODUCT(Q157:Q178,SUMIF(DHHVar,$D$185:$D$206,INDEX(DHHVal,Q606,0)))*Q$271</f>
        <v>-0.0</v>
      </c>
      <c r="R607" s="203">
        <f>-SUMPRODUCT(R157:R178,SUMIF(DHHVar,$D$185:$D$206,INDEX(DHHVal,R606,0)))*R$271</f>
        <v>-0.0</v>
      </c>
      <c r="S607" s="203">
        <f>-SUMPRODUCT(S157:S178,SUMIF(DHHVar,$D$185:$D$206,INDEX(DHHVal,S606,0)))*S$271</f>
        <v>-0.0</v>
      </c>
      <c r="T607" s="203">
        <f>-SUMPRODUCT(T157:T178,SUMIF(DHHVar,$D$185:$D$206,INDEX(DHHVal,T606,0)))*T$271</f>
        <v>-0.0</v>
      </c>
      <c r="U607" s="203">
        <f>-SUMPRODUCT(U157:U178,SUMIF(DHHVar,$D$185:$D$206,INDEX(DHHVal,U606,0)))*U$271</f>
        <v>-0.0</v>
      </c>
      <c r="V607" s="203">
        <f>-SUMPRODUCT(V157:V178,SUMIF(DHHVar,$D$185:$D$206,INDEX(DHHVal,V606,0)))*V$271</f>
        <v>-0.0</v>
      </c>
      <c r="W607" s="207" t="str">
        <f>IF(X$5=K$5,SUM(Y607:AI607)-SUM(L607:V607),"")</f>
        <v/>
      </c>
      <c r="X607" s="9" t="str">
        <f>LOWER(CtryCode)&amp;".distn."&amp;$A607&amp;IF($B607="","","."&amp;$B607)&amp;IF($C607="","",".dec."&amp;$C607)&amp;"."&amp;X$5</f>
        <v>egy.distn.htef.p25.dec.urb.2</v>
      </c>
      <c r="Z607" s="203">
        <f>-SUMPRODUCT(Z157:Z178,SUMIF(DHHVar,$D$185:$D$206,INDEX(DHHVal,Z606,0)))*Z$271</f>
        <v>-0.45268303744220556</v>
      </c>
      <c r="AA607" s="203">
        <f>-SUMPRODUCT(AA157:AA178,SUMIF(DHHVar,$D$185:$D$206,INDEX(DHHVal,AA606,0)))*AA$271</f>
        <v>-0.4367764135078724</v>
      </c>
      <c r="AB607" s="203">
        <f>-SUMPRODUCT(AB157:AB178,SUMIF(DHHVar,$D$185:$D$206,INDEX(DHHVal,AB606,0)))*AB$271</f>
        <v>-0.456462006201231</v>
      </c>
      <c r="AC607" s="203">
        <f>-SUMPRODUCT(AC157:AC178,SUMIF(DHHVar,$D$185:$D$206,INDEX(DHHVal,AC606,0)))*AC$271</f>
        <v>-0.4444785471938723</v>
      </c>
      <c r="AD607" s="203">
        <f>-SUMPRODUCT(AD157:AD178,SUMIF(DHHVar,$D$185:$D$206,INDEX(DHHVal,AD606,0)))*AD$271</f>
        <v>-0.4495801917626153</v>
      </c>
      <c r="AE607" s="203">
        <f>-SUMPRODUCT(AE157:AE178,SUMIF(DHHVar,$D$185:$D$206,INDEX(DHHVal,AE606,0)))*AE$271</f>
        <v>-0.46096009743627236</v>
      </c>
      <c r="AF607" s="203">
        <f>-SUMPRODUCT(AF157:AF178,SUMIF(DHHVar,$D$185:$D$206,INDEX(DHHVal,AF606,0)))*AF$271</f>
        <v>-0.4611259150552928</v>
      </c>
      <c r="AG607" s="203">
        <f>-SUMPRODUCT(AG157:AG178,SUMIF(DHHVar,$D$185:$D$206,INDEX(DHHVal,AG606,0)))*AG$271</f>
        <v>-0.4280280375890493</v>
      </c>
      <c r="AH607" s="203">
        <f>-SUMPRODUCT(AH157:AH178,SUMIF(DHHVar,$D$185:$D$206,INDEX(DHHVal,AH606,0)))*AH$271</f>
        <v>-0.48284031522607185</v>
      </c>
      <c r="AI607" s="203">
        <f>-SUMPRODUCT(AI157:AI178,SUMIF(DHHVar,$D$185:$D$206,INDEX(DHHVal,AI606,0)))*AI$271</f>
        <v>-0.46187451769973215</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33" t="inlineStr">
        <is>
          <t>HHSurvey cons_pc_acrent x adjustment</t>
        </is>
      </c>
      <c r="K608" s="9" t="str">
        <f>LOWER(CtryCode)&amp;".distn."&amp;$A608&amp;IF($B608="","","."&amp;$B608)&amp;IF($C608="","",".dec."&amp;$C608)&amp;"."&amp;K$5</f>
        <v>egy.distn.hcpc.p25.dec.urb.1</v>
      </c>
      <c r="M608" s="125">
        <f>INDEX(DHHVal,M606,MATCH("cons_pc_acrent",DHHVar,0))*M$320</f>
        <v>29044.665804521235</v>
      </c>
      <c r="N608" s="125">
        <f>INDEX(DHHVal,N606,MATCH("cons_pc_acrent",DHHVar,0))*N$320</f>
        <v>42194.77181565797</v>
      </c>
      <c r="O608" s="125">
        <f>INDEX(DHHVal,O606,MATCH("cons_pc_acrent",DHHVar,0))*O$320</f>
        <v>50292.35212993795</v>
      </c>
      <c r="P608" s="125">
        <f>INDEX(DHHVal,P606,MATCH("cons_pc_acrent",DHHVar,0))*P$320</f>
        <v>60111.71810421707</v>
      </c>
      <c r="Q608" s="125">
        <f>INDEX(DHHVal,Q606,MATCH("cons_pc_acrent",DHHVar,0))*Q$320</f>
        <v>62150.51909557001</v>
      </c>
      <c r="R608" s="125">
        <f>INDEX(DHHVal,R606,MATCH("cons_pc_acrent",DHHVar,0))*R$320</f>
        <v>67969.30369261415</v>
      </c>
      <c r="S608" s="125">
        <f>INDEX(DHHVal,S606,MATCH("cons_pc_acrent",DHHVar,0))*S$320</f>
        <v>83734.2401701381</v>
      </c>
      <c r="T608" s="125">
        <f>INDEX(DHHVal,T606,MATCH("cons_pc_acrent",DHHVar,0))*T$320</f>
        <v>83699.45719805802</v>
      </c>
      <c r="U608" s="125">
        <f>INDEX(DHHVal,U606,MATCH("cons_pc_acrent",DHHVar,0))*U$320</f>
        <v>99552.14698778398</v>
      </c>
      <c r="V608" s="125">
        <f>INDEX(DHHVal,V606,MATCH("cons_pc_acrent",DHHVar,0))*V$320</f>
        <v>142458.12061804187</v>
      </c>
      <c r="W608" s="207" t="str">
        <f>IF(X$5=K$5,SUM(Y608:AI608)-SUM(L608:V608),"")</f>
        <v/>
      </c>
      <c r="X608" s="9" t="str">
        <f>LOWER(CtryCode)&amp;".distn."&amp;$A608&amp;IF($B608="","","."&amp;$B608)&amp;IF($C608="","",".dec."&amp;$C608)&amp;"."&amp;X$5</f>
        <v>egy.distn.hcpc.p25.dec.urb.2</v>
      </c>
      <c r="Z608" s="125">
        <f>INDEX(DHHVal,Z606,MATCH("cons_pc_acrent",DHHVar,0))*Z$320</f>
        <v>29044.665804521235</v>
      </c>
      <c r="AA608" s="125">
        <f>INDEX(DHHVal,AA606,MATCH("cons_pc_acrent",DHHVar,0))*AA$320</f>
        <v>42194.77181565797</v>
      </c>
      <c r="AB608" s="125">
        <f>INDEX(DHHVal,AB606,MATCH("cons_pc_acrent",DHHVar,0))*AB$320</f>
        <v>50292.35212993795</v>
      </c>
      <c r="AC608" s="125">
        <f>INDEX(DHHVal,AC606,MATCH("cons_pc_acrent",DHHVar,0))*AC$320</f>
        <v>60111.71810421707</v>
      </c>
      <c r="AD608" s="125">
        <f>INDEX(DHHVal,AD606,MATCH("cons_pc_acrent",DHHVar,0))*AD$320</f>
        <v>62150.51909557001</v>
      </c>
      <c r="AE608" s="125">
        <f>INDEX(DHHVal,AE606,MATCH("cons_pc_acrent",DHHVar,0))*AE$320</f>
        <v>67969.30369261415</v>
      </c>
      <c r="AF608" s="125">
        <f>INDEX(DHHVal,AF606,MATCH("cons_pc_acrent",DHHVar,0))*AF$320</f>
        <v>83734.2401701381</v>
      </c>
      <c r="AG608" s="125">
        <f>INDEX(DHHVal,AG606,MATCH("cons_pc_acrent",DHHVar,0))*AG$320</f>
        <v>83699.45719805802</v>
      </c>
      <c r="AH608" s="125">
        <f>INDEX(DHHVal,AH606,MATCH("cons_pc_acrent",DHHVar,0))*AH$320</f>
        <v>99552.14698778398</v>
      </c>
      <c r="AI608" s="125">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33" t="inlineStr">
        <is>
          <t>recycling per capita / consumption of the percentile</t>
        </is>
      </c>
      <c r="K609" s="9" t="str">
        <f>LOWER(CtryCode)&amp;".distn."&amp;$A609&amp;IF($B609="","","."&amp;$B609)&amp;IF($C609="","",".dec."&amp;$C609)&amp;"."&amp;K$5</f>
        <v>egy.distn.hrec.p25.dec.urb.1</v>
      </c>
      <c r="M609" s="203">
        <f>(M355+M381+M387+M370)/M608*PctPerUnit</f>
        <v>0.0</v>
      </c>
      <c r="N609" s="203">
        <f>(N355+N381+N387+N370)/N608*PctPerUnit</f>
        <v>0.0</v>
      </c>
      <c r="O609" s="203">
        <f>(O355+O381+O387+O370)/O608*PctPerUnit</f>
        <v>0.0</v>
      </c>
      <c r="P609" s="203">
        <f>(P355+P381+P387+P370)/P608*PctPerUnit</f>
        <v>0.0</v>
      </c>
      <c r="Q609" s="203">
        <f>(Q355+Q381+Q387+Q370)/Q608*PctPerUnit</f>
        <v>0.0</v>
      </c>
      <c r="R609" s="203">
        <f>(R355+R381+R387+R370)/R608*PctPerUnit</f>
        <v>0.0</v>
      </c>
      <c r="S609" s="203">
        <f>(S355+S381+S387+S370)/S608*PctPerUnit</f>
        <v>0.0</v>
      </c>
      <c r="T609" s="203">
        <f>(T355+T381+T387+T370)/T608*PctPerUnit</f>
        <v>0.0</v>
      </c>
      <c r="U609" s="203">
        <f>(U355+U381+U387+U370)/U608*PctPerUnit</f>
        <v>0.0</v>
      </c>
      <c r="V609" s="203">
        <f>(V355+V381+V387+V370)/V608*PctPerUnit</f>
        <v>0.0</v>
      </c>
      <c r="W609" s="207" t="str">
        <f>IF(X$5=K$5,SUM(Y609:AI609)-SUM(L609:V609),"")</f>
        <v/>
      </c>
      <c r="X609" s="9" t="str">
        <f>LOWER(CtryCode)&amp;".distn."&amp;$A609&amp;IF($B609="","","."&amp;$B609)&amp;IF($C609="","",".dec."&amp;$C609)&amp;"."&amp;X$5</f>
        <v>egy.distn.hrec.p25.dec.urb.2</v>
      </c>
      <c r="Z609" s="203">
        <f>(Z355+Z381+Z387+Z370)/Z608*PctPerUnit</f>
        <v>3.1035373531803843</v>
      </c>
      <c r="AA609" s="203">
        <f>(AA355+AA381+AA387+AA370)/AA608*PctPerUnit</f>
        <v>1.7605435482185565</v>
      </c>
      <c r="AB609" s="203">
        <f>(AB355+AB381+AB387+AB370)/AB608*PctPerUnit</f>
        <v>0.9207209856897633</v>
      </c>
      <c r="AC609" s="203">
        <f>(AC355+AC381+AC387+AC370)/AC608*PctPerUnit</f>
        <v>1.2782286856944098</v>
      </c>
      <c r="AD609" s="203">
        <f>(AD355+AD381+AD387+AD370)/AD608*PctPerUnit</f>
        <v>0.43692670629913305</v>
      </c>
      <c r="AE609" s="203">
        <f>(AE355+AE381+AE387+AE370)/AE608*PctPerUnit</f>
        <v>0.6005840934351274</v>
      </c>
      <c r="AF609" s="203">
        <f>(AF355+AF381+AF387+AF370)/AF608*PctPerUnit</f>
        <v>0.3411695501568728</v>
      </c>
      <c r="AG609" s="203">
        <f>(AG355+AG381+AG387+AG370)/AG608*PctPerUnit</f>
        <v>0.25896907991619</v>
      </c>
      <c r="AH609" s="203">
        <f>(AH355+AH381+AH387+AH370)/AH608*PctPerUnit</f>
        <v>0.18145150340176633</v>
      </c>
      <c r="AI609" s="203">
        <f>(AI355+AI381+AI387+AI370)/AI608*PctPerUnit</f>
        <v>0.1431828112371502</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33" t="inlineStr">
        <is>
          <t>total effect + recycling</t>
        </is>
      </c>
      <c r="K610" s="9" t="str">
        <f>LOWER(CtryCode)&amp;".distn."&amp;$A610&amp;IF($B610="","","."&amp;$B610)&amp;IF($C610="","",".dec."&amp;$C610)&amp;"."&amp;K$5</f>
        <v>egy.distn.hnet.p25.dec.urb.1</v>
      </c>
      <c r="M610" s="203">
        <f>M607+M609</f>
        <v>0.0</v>
      </c>
      <c r="N610" s="203">
        <f>N607+N609</f>
        <v>0.0</v>
      </c>
      <c r="O610" s="203">
        <f>O607+O609</f>
        <v>0.0</v>
      </c>
      <c r="P610" s="203">
        <f>P607+P609</f>
        <v>0.0</v>
      </c>
      <c r="Q610" s="203">
        <f>Q607+Q609</f>
        <v>0.0</v>
      </c>
      <c r="R610" s="203">
        <f>R607+R609</f>
        <v>0.0</v>
      </c>
      <c r="S610" s="203">
        <f>S607+S609</f>
        <v>0.0</v>
      </c>
      <c r="T610" s="203">
        <f>T607+T609</f>
        <v>0.0</v>
      </c>
      <c r="U610" s="203">
        <f>U607+U609</f>
        <v>0.0</v>
      </c>
      <c r="V610" s="203">
        <f>V607+V609</f>
        <v>0.0</v>
      </c>
      <c r="W610" s="207" t="str">
        <f>IF(X$5=K$5,SUM(Y610:AI610)-SUM(L610:V610),"")</f>
        <v/>
      </c>
      <c r="X610" s="9" t="str">
        <f>LOWER(CtryCode)&amp;".distn."&amp;$A610&amp;IF($B610="","","."&amp;$B610)&amp;IF($C610="","",".dec."&amp;$C610)&amp;"."&amp;X$5</f>
        <v>egy.distn.hnet.p25.dec.urb.2</v>
      </c>
      <c r="Z610" s="203">
        <f>Z607+Z609</f>
        <v>2.6508543157381785</v>
      </c>
      <c r="AA610" s="203">
        <f>AA607+AA609</f>
        <v>1.323767134710684</v>
      </c>
      <c r="AB610" s="203">
        <f>AB607+AB609</f>
        <v>0.46425897948853234</v>
      </c>
      <c r="AC610" s="203">
        <f>AC607+AC609</f>
        <v>0.8337501385005375</v>
      </c>
      <c r="AD610" s="203">
        <f>AD607+AD609</f>
        <v>-0.012653485463482272</v>
      </c>
      <c r="AE610" s="203">
        <f>AE607+AE609</f>
        <v>0.13962399599885505</v>
      </c>
      <c r="AF610" s="203">
        <f>AF607+AF609</f>
        <v>-0.11995636489842004</v>
      </c>
      <c r="AG610" s="203">
        <f>AG607+AG609</f>
        <v>-0.16905895767285928</v>
      </c>
      <c r="AH610" s="203">
        <f>AH607+AH609</f>
        <v>-0.30138881182430555</v>
      </c>
      <c r="AI610" s="203">
        <f>AI607+AI609</f>
        <v>-0.31869170646258194</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33"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7"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33" t="inlineStr">
        <is>
          <t>price factors x the budget shares of the percentile x loss scale</t>
        </is>
      </c>
      <c r="K612" s="9" t="str">
        <f>LOWER(CtryCode)&amp;".distn."&amp;$A612&amp;IF($B612="","","."&amp;$B612)&amp;IF($C612="","",".dec."&amp;$C612)&amp;"."&amp;K$5</f>
        <v>egy.distn.htef.p75.dec.urb.1</v>
      </c>
      <c r="M612" s="203">
        <f>-SUMPRODUCT(M157:M178,SUMIF(DHHVar,$D$185:$D$206,INDEX(DHHVal,M611,0)))*M$271</f>
        <v>-0.0</v>
      </c>
      <c r="N612" s="203">
        <f>-SUMPRODUCT(N157:N178,SUMIF(DHHVar,$D$185:$D$206,INDEX(DHHVal,N611,0)))*N$271</f>
        <v>-0.0</v>
      </c>
      <c r="O612" s="203">
        <f>-SUMPRODUCT(O157:O178,SUMIF(DHHVar,$D$185:$D$206,INDEX(DHHVal,O611,0)))*O$271</f>
        <v>-0.0</v>
      </c>
      <c r="P612" s="203">
        <f>-SUMPRODUCT(P157:P178,SUMIF(DHHVar,$D$185:$D$206,INDEX(DHHVal,P611,0)))*P$271</f>
        <v>-0.0</v>
      </c>
      <c r="Q612" s="203">
        <f>-SUMPRODUCT(Q157:Q178,SUMIF(DHHVar,$D$185:$D$206,INDEX(DHHVal,Q611,0)))*Q$271</f>
        <v>-0.0</v>
      </c>
      <c r="R612" s="203">
        <f>-SUMPRODUCT(R157:R178,SUMIF(DHHVar,$D$185:$D$206,INDEX(DHHVal,R611,0)))*R$271</f>
        <v>-0.0</v>
      </c>
      <c r="S612" s="203">
        <f>-SUMPRODUCT(S157:S178,SUMIF(DHHVar,$D$185:$D$206,INDEX(DHHVal,S611,0)))*S$271</f>
        <v>-0.0</v>
      </c>
      <c r="T612" s="203">
        <f>-SUMPRODUCT(T157:T178,SUMIF(DHHVar,$D$185:$D$206,INDEX(DHHVal,T611,0)))*T$271</f>
        <v>-0.0</v>
      </c>
      <c r="U612" s="203">
        <f>-SUMPRODUCT(U157:U178,SUMIF(DHHVar,$D$185:$D$206,INDEX(DHHVal,U611,0)))*U$271</f>
        <v>-0.0</v>
      </c>
      <c r="V612" s="203">
        <f>-SUMPRODUCT(V157:V178,SUMIF(DHHVar,$D$185:$D$206,INDEX(DHHVal,V611,0)))*V$271</f>
        <v>-0.0</v>
      </c>
      <c r="W612" s="207" t="str">
        <f>IF(X$5=K$5,SUM(Y612:AI612)-SUM(L612:V612),"")</f>
        <v/>
      </c>
      <c r="X612" s="9" t="str">
        <f>LOWER(CtryCode)&amp;".distn."&amp;$A612&amp;IF($B612="","","."&amp;$B612)&amp;IF($C612="","",".dec."&amp;$C612)&amp;"."&amp;X$5</f>
        <v>egy.distn.htef.p75.dec.urb.2</v>
      </c>
      <c r="Z612" s="203">
        <f>-SUMPRODUCT(Z157:Z178,SUMIF(DHHVar,$D$185:$D$206,INDEX(DHHVal,Z611,0)))*Z$271</f>
        <v>-2.2825671412430215</v>
      </c>
      <c r="AA612" s="203">
        <f>-SUMPRODUCT(AA157:AA178,SUMIF(DHHVar,$D$185:$D$206,INDEX(DHHVal,AA611,0)))*AA$271</f>
        <v>-2.060955313096418</v>
      </c>
      <c r="AB612" s="203">
        <f>-SUMPRODUCT(AB157:AB178,SUMIF(DHHVar,$D$185:$D$206,INDEX(DHHVal,AB611,0)))*AB$271</f>
        <v>-1.9487856266742154</v>
      </c>
      <c r="AC612" s="203">
        <f>-SUMPRODUCT(AC157:AC178,SUMIF(DHHVar,$D$185:$D$206,INDEX(DHHVal,AC611,0)))*AC$271</f>
        <v>-1.8820266884874857</v>
      </c>
      <c r="AD612" s="203">
        <f>-SUMPRODUCT(AD157:AD178,SUMIF(DHHVar,$D$185:$D$206,INDEX(DHHVal,AD611,0)))*AD$271</f>
        <v>-1.9031925121932618</v>
      </c>
      <c r="AE612" s="203">
        <f>-SUMPRODUCT(AE157:AE178,SUMIF(DHHVar,$D$185:$D$206,INDEX(DHHVal,AE611,0)))*AE$271</f>
        <v>-1.7304676738499951</v>
      </c>
      <c r="AF612" s="203">
        <f>-SUMPRODUCT(AF157:AF178,SUMIF(DHHVar,$D$185:$D$206,INDEX(DHHVal,AF611,0)))*AF$271</f>
        <v>-1.8077007214801903</v>
      </c>
      <c r="AG612" s="203">
        <f>-SUMPRODUCT(AG157:AG178,SUMIF(DHHVar,$D$185:$D$206,INDEX(DHHVal,AG611,0)))*AG$271</f>
        <v>-1.7314435775807921</v>
      </c>
      <c r="AH612" s="203">
        <f>-SUMPRODUCT(AH157:AH178,SUMIF(DHHVar,$D$185:$D$206,INDEX(DHHVal,AH611,0)))*AH$271</f>
        <v>-1.7008997676042907</v>
      </c>
      <c r="AI612" s="203">
        <f>-SUMPRODUCT(AI157:AI178,SUMIF(DHHVar,$D$185:$D$206,INDEX(DHHVal,AI611,0)))*AI$271</f>
        <v>-1.6636006594600694</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33" t="inlineStr">
        <is>
          <t>HHSurvey cons_pc_acrent x adjustment</t>
        </is>
      </c>
      <c r="K613" s="9" t="str">
        <f>LOWER(CtryCode)&amp;".distn."&amp;$A613&amp;IF($B613="","","."&amp;$B613)&amp;IF($C613="","",".dec."&amp;$C613)&amp;"."&amp;K$5</f>
        <v>egy.distn.hcpc.p75.dec.urb.1</v>
      </c>
      <c r="M613" s="125">
        <f>INDEX(DHHVal,M611,MATCH("cons_pc_acrent",DHHVar,0))*M$320</f>
        <v>38604.76052168123</v>
      </c>
      <c r="N613" s="125">
        <f>INDEX(DHHVal,N611,MATCH("cons_pc_acrent",DHHVar,0))*N$320</f>
        <v>49861.42155009398</v>
      </c>
      <c r="O613" s="125">
        <f>INDEX(DHHVal,O611,MATCH("cons_pc_acrent",DHHVar,0))*O$320</f>
        <v>59039.79110267243</v>
      </c>
      <c r="P613" s="125">
        <f>INDEX(DHHVal,P611,MATCH("cons_pc_acrent",DHHVar,0))*P$320</f>
        <v>62725.98261572717</v>
      </c>
      <c r="Q613" s="125">
        <f>INDEX(DHHVal,Q611,MATCH("cons_pc_acrent",DHHVar,0))*Q$320</f>
        <v>75346.55728276163</v>
      </c>
      <c r="R613" s="125">
        <f>INDEX(DHHVal,R611,MATCH("cons_pc_acrent",DHHVar,0))*R$320</f>
        <v>80524.34134289573</v>
      </c>
      <c r="S613" s="125">
        <f>INDEX(DHHVal,S611,MATCH("cons_pc_acrent",DHHVar,0))*S$320</f>
        <v>91659.1332604693</v>
      </c>
      <c r="T613" s="125">
        <f>INDEX(DHHVal,T611,MATCH("cons_pc_acrent",DHHVar,0))*T$320</f>
        <v>113742.3842194859</v>
      </c>
      <c r="U613" s="125">
        <f>INDEX(DHHVal,U611,MATCH("cons_pc_acrent",DHHVar,0))*U$320</f>
        <v>121744.5469773661</v>
      </c>
      <c r="V613" s="125">
        <f>INDEX(DHHVal,V611,MATCH("cons_pc_acrent",DHHVar,0))*V$320</f>
        <v>181092.59839157067</v>
      </c>
      <c r="W613" s="207" t="str">
        <f>IF(X$5=K$5,SUM(Y613:AI613)-SUM(L613:V613),"")</f>
        <v/>
      </c>
      <c r="X613" s="9" t="str">
        <f>LOWER(CtryCode)&amp;".distn."&amp;$A613&amp;IF($B613="","","."&amp;$B613)&amp;IF($C613="","",".dec."&amp;$C613)&amp;"."&amp;X$5</f>
        <v>egy.distn.hcpc.p75.dec.urb.2</v>
      </c>
      <c r="Z613" s="125">
        <f>INDEX(DHHVal,Z611,MATCH("cons_pc_acrent",DHHVar,0))*Z$320</f>
        <v>38604.76052168123</v>
      </c>
      <c r="AA613" s="125">
        <f>INDEX(DHHVal,AA611,MATCH("cons_pc_acrent",DHHVar,0))*AA$320</f>
        <v>49861.42155009398</v>
      </c>
      <c r="AB613" s="125">
        <f>INDEX(DHHVal,AB611,MATCH("cons_pc_acrent",DHHVar,0))*AB$320</f>
        <v>59039.79110267243</v>
      </c>
      <c r="AC613" s="125">
        <f>INDEX(DHHVal,AC611,MATCH("cons_pc_acrent",DHHVar,0))*AC$320</f>
        <v>62725.98261572717</v>
      </c>
      <c r="AD613" s="125">
        <f>INDEX(DHHVal,AD611,MATCH("cons_pc_acrent",DHHVar,0))*AD$320</f>
        <v>75346.55728276163</v>
      </c>
      <c r="AE613" s="125">
        <f>INDEX(DHHVal,AE611,MATCH("cons_pc_acrent",DHHVar,0))*AE$320</f>
        <v>80524.34134289573</v>
      </c>
      <c r="AF613" s="125">
        <f>INDEX(DHHVal,AF611,MATCH("cons_pc_acrent",DHHVar,0))*AF$320</f>
        <v>91659.1332604693</v>
      </c>
      <c r="AG613" s="125">
        <f>INDEX(DHHVal,AG611,MATCH("cons_pc_acrent",DHHVar,0))*AG$320</f>
        <v>113742.3842194859</v>
      </c>
      <c r="AH613" s="125">
        <f>INDEX(DHHVal,AH611,MATCH("cons_pc_acrent",DHHVar,0))*AH$320</f>
        <v>121744.5469773661</v>
      </c>
      <c r="AI613" s="125">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33" t="inlineStr">
        <is>
          <t>recycling per capita / consumption of the percentile</t>
        </is>
      </c>
      <c r="K614" s="9" t="str">
        <f>LOWER(CtryCode)&amp;".distn."&amp;$A614&amp;IF($B614="","","."&amp;$B614)&amp;IF($C614="","",".dec."&amp;$C614)&amp;"."&amp;K$5</f>
        <v>egy.distn.hrec.p75.dec.urb.1</v>
      </c>
      <c r="M614" s="203">
        <f>(M355+M381+M387+M370)/M613*PctPerUnit</f>
        <v>0.0</v>
      </c>
      <c r="N614" s="203">
        <f>(N355+N381+N387+N370)/N613*PctPerUnit</f>
        <v>0.0</v>
      </c>
      <c r="O614" s="203">
        <f>(O355+O381+O387+O370)/O613*PctPerUnit</f>
        <v>0.0</v>
      </c>
      <c r="P614" s="203">
        <f>(P355+P381+P387+P370)/P613*PctPerUnit</f>
        <v>0.0</v>
      </c>
      <c r="Q614" s="203">
        <f>(Q355+Q381+Q387+Q370)/Q613*PctPerUnit</f>
        <v>0.0</v>
      </c>
      <c r="R614" s="203">
        <f>(R355+R381+R387+R370)/R613*PctPerUnit</f>
        <v>0.0</v>
      </c>
      <c r="S614" s="203">
        <f>(S355+S381+S387+S370)/S613*PctPerUnit</f>
        <v>0.0</v>
      </c>
      <c r="T614" s="203">
        <f>(T355+T381+T387+T370)/T613*PctPerUnit</f>
        <v>0.0</v>
      </c>
      <c r="U614" s="203">
        <f>(U355+U381+U387+U370)/U613*PctPerUnit</f>
        <v>0.0</v>
      </c>
      <c r="V614" s="203">
        <f>(V355+V381+V387+V370)/V613*PctPerUnit</f>
        <v>0.0</v>
      </c>
      <c r="W614" s="207" t="str">
        <f>IF(X$5=K$5,SUM(Y614:AI614)-SUM(L614:V614),"")</f>
        <v/>
      </c>
      <c r="X614" s="9" t="str">
        <f>LOWER(CtryCode)&amp;".distn."&amp;$A614&amp;IF($B614="","","."&amp;$B614)&amp;IF($C614="","",".dec."&amp;$C614)&amp;"."&amp;X$5</f>
        <v>egy.distn.hrec.p75.dec.urb.2</v>
      </c>
      <c r="Z614" s="203">
        <f>(Z355+Z381+Z387+Z370)/Z613*PctPerUnit</f>
        <v>2.3349764126718906</v>
      </c>
      <c r="AA614" s="203">
        <f>(AA355+AA381+AA387+AA370)/AA613*PctPerUnit</f>
        <v>1.4898438708567225</v>
      </c>
      <c r="AB614" s="203">
        <f>(AB355+AB381+AB387+AB370)/AB613*PctPerUnit</f>
        <v>0.784305350017357</v>
      </c>
      <c r="AC614" s="203">
        <f>(AC355+AC381+AC387+AC370)/AC613*PctPerUnit</f>
        <v>1.2249552613293166</v>
      </c>
      <c r="AD614" s="203">
        <f>(AD355+AD381+AD387+AD370)/AD613*PctPerUnit</f>
        <v>0.3604042783441356</v>
      </c>
      <c r="AE614" s="203">
        <f>(AE355+AE381+AE387+AE370)/AE613*PctPerUnit</f>
        <v>0.5069433907669831</v>
      </c>
      <c r="AF614" s="203">
        <f>(AF355+AF381+AF387+AF370)/AF613*PctPerUnit</f>
        <v>0.31167186548003467</v>
      </c>
      <c r="AG614" s="203">
        <f>(AG355+AG381+AG387+AG370)/AG613*PctPerUnit</f>
        <v>0.19056723286403768</v>
      </c>
      <c r="AH614" s="203">
        <f>(AH355+AH381+AH387+AH370)/AH613*PctPerUnit</f>
        <v>0.14837532510729487</v>
      </c>
      <c r="AI614" s="203">
        <f>(AI355+AI381+AI387+AI370)/AI613*PctPerUnit</f>
        <v>0.11263604572919812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33" t="inlineStr">
        <is>
          <t>total effect + recycling</t>
        </is>
      </c>
      <c r="K615" s="9" t="str">
        <f>LOWER(CtryCode)&amp;".distn."&amp;$A615&amp;IF($B615="","","."&amp;$B615)&amp;IF($C615="","",".dec."&amp;$C615)&amp;"."&amp;K$5</f>
        <v>egy.distn.hnet.p75.dec.urb.1</v>
      </c>
      <c r="M615" s="203">
        <f>M612+M614</f>
        <v>0.0</v>
      </c>
      <c r="N615" s="203">
        <f>N612+N614</f>
        <v>0.0</v>
      </c>
      <c r="O615" s="203">
        <f>O612+O614</f>
        <v>0.0</v>
      </c>
      <c r="P615" s="203">
        <f>P612+P614</f>
        <v>0.0</v>
      </c>
      <c r="Q615" s="203">
        <f>Q612+Q614</f>
        <v>0.0</v>
      </c>
      <c r="R615" s="203">
        <f>R612+R614</f>
        <v>0.0</v>
      </c>
      <c r="S615" s="203">
        <f>S612+S614</f>
        <v>0.0</v>
      </c>
      <c r="T615" s="203">
        <f>T612+T614</f>
        <v>0.0</v>
      </c>
      <c r="U615" s="203">
        <f>U612+U614</f>
        <v>0.0</v>
      </c>
      <c r="V615" s="203">
        <f>V612+V614</f>
        <v>0.0</v>
      </c>
      <c r="W615" s="207" t="str">
        <f>IF(X$5=K$5,SUM(Y615:AI615)-SUM(L615:V615),"")</f>
        <v/>
      </c>
      <c r="X615" s="9" t="str">
        <f>LOWER(CtryCode)&amp;".distn."&amp;$A615&amp;IF($B615="","","."&amp;$B615)&amp;IF($C615="","",".dec."&amp;$C615)&amp;"."&amp;X$5</f>
        <v>egy.distn.hnet.p75.dec.urb.2</v>
      </c>
      <c r="Z615" s="203">
        <f>Z612+Z614</f>
        <v>0.052409271428869086</v>
      </c>
      <c r="AA615" s="203">
        <f>AA612+AA614</f>
        <v>-0.5711114422396955</v>
      </c>
      <c r="AB615" s="203">
        <f>AB612+AB614</f>
        <v>-1.1644802766568585</v>
      </c>
      <c r="AC615" s="203">
        <f>AC612+AC614</f>
        <v>-0.657071427158169</v>
      </c>
      <c r="AD615" s="203">
        <f>AD612+AD614</f>
        <v>-1.5427882338491261</v>
      </c>
      <c r="AE615" s="203">
        <f>AE612+AE614</f>
        <v>-1.223524283083012</v>
      </c>
      <c r="AF615" s="203">
        <f>AF612+AF614</f>
        <v>-1.4960288560001556</v>
      </c>
      <c r="AG615" s="203">
        <f>AG612+AG614</f>
        <v>-1.5408763447167544</v>
      </c>
      <c r="AH615" s="203">
        <f>AH612+AH614</f>
        <v>-1.552524442496996</v>
      </c>
      <c r="AI615" s="203">
        <f>AI612+AI614</f>
        <v>-1.5509646137308712</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33"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7"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33" t="inlineStr">
        <is>
          <t>price factors x the budget shares of the percentile x loss scale</t>
        </is>
      </c>
      <c r="K617" s="9" t="str">
        <f>LOWER(CtryCode)&amp;".distn."&amp;$A617&amp;IF($B617="","","."&amp;$B617)&amp;IF($C617="","",".dec."&amp;$C617)&amp;"."&amp;K$5</f>
        <v>egy.distn.htef.p25.dec.rur.1</v>
      </c>
      <c r="M617" s="203">
        <f>-SUMPRODUCT(M157:M178,SUMIF(DHHVar,$D$185:$D$206,INDEX(DHHVal,M616,0)))*M$271</f>
        <v>-0.0</v>
      </c>
      <c r="N617" s="203">
        <f>-SUMPRODUCT(N157:N178,SUMIF(DHHVar,$D$185:$D$206,INDEX(DHHVal,N616,0)))*N$271</f>
        <v>-0.0</v>
      </c>
      <c r="O617" s="203">
        <f>-SUMPRODUCT(O157:O178,SUMIF(DHHVar,$D$185:$D$206,INDEX(DHHVal,O616,0)))*O$271</f>
        <v>-0.0</v>
      </c>
      <c r="P617" s="203">
        <f>-SUMPRODUCT(P157:P178,SUMIF(DHHVar,$D$185:$D$206,INDEX(DHHVal,P616,0)))*P$271</f>
        <v>-0.0</v>
      </c>
      <c r="Q617" s="203">
        <f>-SUMPRODUCT(Q157:Q178,SUMIF(DHHVar,$D$185:$D$206,INDEX(DHHVal,Q616,0)))*Q$271</f>
        <v>-0.0</v>
      </c>
      <c r="R617" s="203">
        <f>-SUMPRODUCT(R157:R178,SUMIF(DHHVar,$D$185:$D$206,INDEX(DHHVal,R616,0)))*R$271</f>
        <v>-0.0</v>
      </c>
      <c r="S617" s="203">
        <f>-SUMPRODUCT(S157:S178,SUMIF(DHHVar,$D$185:$D$206,INDEX(DHHVal,S616,0)))*S$271</f>
        <v>-0.0</v>
      </c>
      <c r="T617" s="203">
        <f>-SUMPRODUCT(T157:T178,SUMIF(DHHVar,$D$185:$D$206,INDEX(DHHVal,T616,0)))*T$271</f>
        <v>-0.0</v>
      </c>
      <c r="U617" s="203">
        <f>-SUMPRODUCT(U157:U178,SUMIF(DHHVar,$D$185:$D$206,INDEX(DHHVal,U616,0)))*U$271</f>
        <v>-0.0</v>
      </c>
      <c r="V617" s="203">
        <f>-SUMPRODUCT(V157:V178,SUMIF(DHHVar,$D$185:$D$206,INDEX(DHHVal,V616,0)))*V$271</f>
        <v>-0.0</v>
      </c>
      <c r="W617" s="207" t="str">
        <f>IF(X$5=K$5,SUM(Y617:AI617)-SUM(L617:V617),"")</f>
        <v/>
      </c>
      <c r="X617" s="9" t="str">
        <f>LOWER(CtryCode)&amp;".distn."&amp;$A617&amp;IF($B617="","","."&amp;$B617)&amp;IF($C617="","",".dec."&amp;$C617)&amp;"."&amp;X$5</f>
        <v>egy.distn.htef.p25.dec.rur.2</v>
      </c>
      <c r="Z617" s="203">
        <f>-SUMPRODUCT(Z157:Z178,SUMIF(DHHVar,$D$185:$D$206,INDEX(DHHVal,Z616,0)))*Z$271</f>
        <v>-1.26403923575909</v>
      </c>
      <c r="AA617" s="203">
        <f>-SUMPRODUCT(AA157:AA178,SUMIF(DHHVar,$D$185:$D$206,INDEX(DHHVal,AA616,0)))*AA$271</f>
        <v>-1.163545151875409</v>
      </c>
      <c r="AB617" s="203">
        <f>-SUMPRODUCT(AB157:AB178,SUMIF(DHHVar,$D$185:$D$206,INDEX(DHHVal,AB616,0)))*AB$271</f>
        <v>-1.0503051016975322</v>
      </c>
      <c r="AC617" s="203">
        <f>-SUMPRODUCT(AC157:AC178,SUMIF(DHHVar,$D$185:$D$206,INDEX(DHHVal,AC616,0)))*AC$271</f>
        <v>-1.0148674317409694</v>
      </c>
      <c r="AD617" s="203">
        <f>-SUMPRODUCT(AD157:AD178,SUMIF(DHHVar,$D$185:$D$206,INDEX(DHHVal,AD616,0)))*AD$271</f>
        <v>-0.9547558965331614</v>
      </c>
      <c r="AE617" s="203">
        <f>-SUMPRODUCT(AE157:AE178,SUMIF(DHHVar,$D$185:$D$206,INDEX(DHHVal,AE616,0)))*AE$271</f>
        <v>-0.9765515765451622</v>
      </c>
      <c r="AF617" s="203">
        <f>-SUMPRODUCT(AF157:AF178,SUMIF(DHHVar,$D$185:$D$206,INDEX(DHHVal,AF616,0)))*AF$271</f>
        <v>-0.8819623936189255</v>
      </c>
      <c r="AG617" s="203">
        <f>-SUMPRODUCT(AG157:AG178,SUMIF(DHHVar,$D$185:$D$206,INDEX(DHHVal,AG616,0)))*AG$271</f>
        <v>-0.9154003501832957</v>
      </c>
      <c r="AH617" s="203">
        <f>-SUMPRODUCT(AH157:AH178,SUMIF(DHHVar,$D$185:$D$206,INDEX(DHHVal,AH616,0)))*AH$271</f>
        <v>-0.9158744466748465</v>
      </c>
      <c r="AI617" s="203">
        <f>-SUMPRODUCT(AI157:AI178,SUMIF(DHHVar,$D$185:$D$206,INDEX(DHHVal,AI616,0)))*AI$271</f>
        <v>-0.9550678330895047</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33" t="inlineStr">
        <is>
          <t>HHSurvey cons_pc_acrent x adjustment</t>
        </is>
      </c>
      <c r="K618" s="9" t="str">
        <f>LOWER(CtryCode)&amp;".distn."&amp;$A618&amp;IF($B618="","","."&amp;$B618)&amp;IF($C618="","",".dec."&amp;$C618)&amp;"."&amp;K$5</f>
        <v>egy.distn.hcpc.p25.dec.rur.1</v>
      </c>
      <c r="M618" s="125">
        <f>INDEX(DHHVal,M616,MATCH("cons_pc_acrent",DHHVar,0))*M$320</f>
        <v>24992.924846931488</v>
      </c>
      <c r="N618" s="125">
        <f>INDEX(DHHVal,N616,MATCH("cons_pc_acrent",DHHVar,0))*N$320</f>
        <v>36448.24986839604</v>
      </c>
      <c r="O618" s="125">
        <f>INDEX(DHHVal,O616,MATCH("cons_pc_acrent",DHHVar,0))*O$320</f>
        <v>43782.60942297018</v>
      </c>
      <c r="P618" s="125">
        <f>INDEX(DHHVal,P616,MATCH("cons_pc_acrent",DHHVar,0))*P$320</f>
        <v>44046.21605455303</v>
      </c>
      <c r="Q618" s="125">
        <f>INDEX(DHHVal,Q616,MATCH("cons_pc_acrent",DHHVar,0))*Q$320</f>
        <v>51399.39240055344</v>
      </c>
      <c r="R618" s="125">
        <f>INDEX(DHHVal,R616,MATCH("cons_pc_acrent",DHHVar,0))*R$320</f>
        <v>56561.61313353787</v>
      </c>
      <c r="S618" s="125">
        <f>INDEX(DHHVal,S616,MATCH("cons_pc_acrent",DHHVar,0))*S$320</f>
        <v>62011.48159025871</v>
      </c>
      <c r="T618" s="125">
        <f>INDEX(DHHVal,T616,MATCH("cons_pc_acrent",DHHVar,0))*T$320</f>
        <v>70451.45663348302</v>
      </c>
      <c r="U618" s="125">
        <f>INDEX(DHHVal,U616,MATCH("cons_pc_acrent",DHHVar,0))*U$320</f>
        <v>91109.17671304385</v>
      </c>
      <c r="V618" s="125">
        <f>INDEX(DHHVal,V616,MATCH("cons_pc_acrent",DHHVar,0))*V$320</f>
        <v>107596.01416701135</v>
      </c>
      <c r="W618" s="207" t="str">
        <f>IF(X$5=K$5,SUM(Y618:AI618)-SUM(L618:V618),"")</f>
        <v/>
      </c>
      <c r="X618" s="9" t="str">
        <f>LOWER(CtryCode)&amp;".distn."&amp;$A618&amp;IF($B618="","","."&amp;$B618)&amp;IF($C618="","",".dec."&amp;$C618)&amp;"."&amp;X$5</f>
        <v>egy.distn.hcpc.p25.dec.rur.2</v>
      </c>
      <c r="Z618" s="125">
        <f>INDEX(DHHVal,Z616,MATCH("cons_pc_acrent",DHHVar,0))*Z$320</f>
        <v>24992.924846931488</v>
      </c>
      <c r="AA618" s="125">
        <f>INDEX(DHHVal,AA616,MATCH("cons_pc_acrent",DHHVar,0))*AA$320</f>
        <v>36448.24986839604</v>
      </c>
      <c r="AB618" s="125">
        <f>INDEX(DHHVal,AB616,MATCH("cons_pc_acrent",DHHVar,0))*AB$320</f>
        <v>43782.60942297018</v>
      </c>
      <c r="AC618" s="125">
        <f>INDEX(DHHVal,AC616,MATCH("cons_pc_acrent",DHHVar,0))*AC$320</f>
        <v>44046.21605455303</v>
      </c>
      <c r="AD618" s="125">
        <f>INDEX(DHHVal,AD616,MATCH("cons_pc_acrent",DHHVar,0))*AD$320</f>
        <v>51399.39240055344</v>
      </c>
      <c r="AE618" s="125">
        <f>INDEX(DHHVal,AE616,MATCH("cons_pc_acrent",DHHVar,0))*AE$320</f>
        <v>56561.61313353787</v>
      </c>
      <c r="AF618" s="125">
        <f>INDEX(DHHVal,AF616,MATCH("cons_pc_acrent",DHHVar,0))*AF$320</f>
        <v>62011.48159025871</v>
      </c>
      <c r="AG618" s="125">
        <f>INDEX(DHHVal,AG616,MATCH("cons_pc_acrent",DHHVar,0))*AG$320</f>
        <v>70451.45663348302</v>
      </c>
      <c r="AH618" s="125">
        <f>INDEX(DHHVal,AH616,MATCH("cons_pc_acrent",DHHVar,0))*AH$320</f>
        <v>91109.17671304385</v>
      </c>
      <c r="AI618" s="125">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33" t="inlineStr">
        <is>
          <t>recycling per capita / consumption of the percentile</t>
        </is>
      </c>
      <c r="K619" s="9" t="str">
        <f>LOWER(CtryCode)&amp;".distn."&amp;$A619&amp;IF($B619="","","."&amp;$B619)&amp;IF($C619="","",".dec."&amp;$C619)&amp;"."&amp;K$5</f>
        <v>egy.distn.hrec.p25.dec.rur.1</v>
      </c>
      <c r="M619" s="203">
        <f>(M355+M382+M387+M370)/M618*PctPerUnit</f>
        <v>0.0</v>
      </c>
      <c r="N619" s="203">
        <f>(N355+N382+N387+N370)/N618*PctPerUnit</f>
        <v>0.0</v>
      </c>
      <c r="O619" s="203">
        <f>(O355+O382+O387+O370)/O618*PctPerUnit</f>
        <v>0.0</v>
      </c>
      <c r="P619" s="203">
        <f>(P355+P382+P387+P370)/P618*PctPerUnit</f>
        <v>0.0</v>
      </c>
      <c r="Q619" s="203">
        <f>(Q355+Q382+Q387+Q370)/Q618*PctPerUnit</f>
        <v>0.0</v>
      </c>
      <c r="R619" s="203">
        <f>(R355+R382+R387+R370)/R618*PctPerUnit</f>
        <v>0.0</v>
      </c>
      <c r="S619" s="203">
        <f>(S355+S382+S387+S370)/S618*PctPerUnit</f>
        <v>0.0</v>
      </c>
      <c r="T619" s="203">
        <f>(T355+T382+T387+T370)/T618*PctPerUnit</f>
        <v>0.0</v>
      </c>
      <c r="U619" s="203">
        <f>(U355+U382+U387+U370)/U618*PctPerUnit</f>
        <v>0.0</v>
      </c>
      <c r="V619" s="203">
        <f>(V355+V382+V387+V370)/V618*PctPerUnit</f>
        <v>0.0</v>
      </c>
      <c r="W619" s="207" t="str">
        <f>IF(X$5=K$5,SUM(Y619:AI619)-SUM(L619:V619),"")</f>
        <v/>
      </c>
      <c r="X619" s="9" t="str">
        <f>LOWER(CtryCode)&amp;".distn."&amp;$A619&amp;IF($B619="","","."&amp;$B619)&amp;IF($C619="","",".dec."&amp;$C619)&amp;"."&amp;X$5</f>
        <v>egy.distn.hrec.p25.dec.rur.2</v>
      </c>
      <c r="Z619" s="203">
        <f>(Z355+Z382+Z387+Z370)/Z618*PctPerUnit</f>
        <v>5.596392079028478</v>
      </c>
      <c r="AA619" s="203">
        <f>(AA355+AA382+AA387+AA370)/AA618*PctPerUnit</f>
        <v>3.636161038077935</v>
      </c>
      <c r="AB619" s="203">
        <f>(AB355+AB382+AB387+AB370)/AB618*PctPerUnit</f>
        <v>2.6665825003628236</v>
      </c>
      <c r="AC619" s="203">
        <f>(AC355+AC382+AC387+AC370)/AC618*PctPerUnit</f>
        <v>2.119781161881484</v>
      </c>
      <c r="AD619" s="203">
        <f>(AD355+AD382+AD387+AD370)/AD618*PctPerUnit</f>
        <v>1.1175651824748543</v>
      </c>
      <c r="AE619" s="203">
        <f>(AE355+AE382+AE387+AE370)/AE618*PctPerUnit</f>
        <v>1.195646000714552</v>
      </c>
      <c r="AF619" s="203">
        <f>(AF355+AF382+AF387+AF370)/AF618*PctPerUnit</f>
        <v>0.9380152551807596</v>
      </c>
      <c r="AG619" s="203">
        <f>(AG355+AG382+AG387+AG370)/AG618*PctPerUnit</f>
        <v>0.9196978422160501</v>
      </c>
      <c r="AH619" s="203">
        <f>(AH355+AH382+AH387+AH370)/AH618*PctPerUnit</f>
        <v>0.762055873320254</v>
      </c>
      <c r="AI619" s="203">
        <f>(AI355+AI382+AI387+AI370)/AI618*PctPerUnit</f>
        <v>0.7520255808938101</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33" t="inlineStr">
        <is>
          <t>total effect + recycling</t>
        </is>
      </c>
      <c r="K620" s="9" t="str">
        <f>LOWER(CtryCode)&amp;".distn."&amp;$A620&amp;IF($B620="","","."&amp;$B620)&amp;IF($C620="","",".dec."&amp;$C620)&amp;"."&amp;K$5</f>
        <v>egy.distn.hnet.p25.dec.rur.1</v>
      </c>
      <c r="M620" s="203">
        <f>M617+M619</f>
        <v>0.0</v>
      </c>
      <c r="N620" s="203">
        <f>N617+N619</f>
        <v>0.0</v>
      </c>
      <c r="O620" s="203">
        <f>O617+O619</f>
        <v>0.0</v>
      </c>
      <c r="P620" s="203">
        <f>P617+P619</f>
        <v>0.0</v>
      </c>
      <c r="Q620" s="203">
        <f>Q617+Q619</f>
        <v>0.0</v>
      </c>
      <c r="R620" s="203">
        <f>R617+R619</f>
        <v>0.0</v>
      </c>
      <c r="S620" s="203">
        <f>S617+S619</f>
        <v>0.0</v>
      </c>
      <c r="T620" s="203">
        <f>T617+T619</f>
        <v>0.0</v>
      </c>
      <c r="U620" s="203">
        <f>U617+U619</f>
        <v>0.0</v>
      </c>
      <c r="V620" s="203">
        <f>V617+V619</f>
        <v>0.0</v>
      </c>
      <c r="W620" s="207" t="str">
        <f>IF(X$5=K$5,SUM(Y620:AI620)-SUM(L620:V620),"")</f>
        <v/>
      </c>
      <c r="X620" s="9" t="str">
        <f>LOWER(CtryCode)&amp;".distn."&amp;$A620&amp;IF($B620="","","."&amp;$B620)&amp;IF($C620="","",".dec."&amp;$C620)&amp;"."&amp;X$5</f>
        <v>egy.distn.hnet.p25.dec.rur.2</v>
      </c>
      <c r="Z620" s="203">
        <f>Z617+Z619</f>
        <v>4.332352843269388</v>
      </c>
      <c r="AA620" s="203">
        <f>AA617+AA619</f>
        <v>2.472615886202526</v>
      </c>
      <c r="AB620" s="203">
        <f>AB617+AB619</f>
        <v>1.6162773986652914</v>
      </c>
      <c r="AC620" s="203">
        <f>AC617+AC619</f>
        <v>1.1049137301405145</v>
      </c>
      <c r="AD620" s="203">
        <f>AD617+AD619</f>
        <v>0.16280928594169286</v>
      </c>
      <c r="AE620" s="203">
        <f>AE617+AE619</f>
        <v>0.21909442416938973</v>
      </c>
      <c r="AF620" s="203">
        <f>AF617+AF619</f>
        <v>0.05605286156183409</v>
      </c>
      <c r="AG620" s="203">
        <f>AG617+AG619</f>
        <v>0.004297492032754424</v>
      </c>
      <c r="AH620" s="203">
        <f>AH617+AH619</f>
        <v>-0.15381857335459248</v>
      </c>
      <c r="AI620" s="203">
        <f>AI617+AI619</f>
        <v>-0.2030422521956946</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33"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7"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33" t="inlineStr">
        <is>
          <t>price factors x the budget shares of the percentile x loss scale</t>
        </is>
      </c>
      <c r="K622" s="9" t="str">
        <f>LOWER(CtryCode)&amp;".distn."&amp;$A622&amp;IF($B622="","","."&amp;$B622)&amp;IF($C622="","",".dec."&amp;$C622)&amp;"."&amp;K$5</f>
        <v>egy.distn.htef.p75.dec.rur.1</v>
      </c>
      <c r="M622" s="203">
        <f>-SUMPRODUCT(M157:M178,SUMIF(DHHVar,$D$185:$D$206,INDEX(DHHVal,M621,0)))*M$271</f>
        <v>-0.0</v>
      </c>
      <c r="N622" s="203">
        <f>-SUMPRODUCT(N157:N178,SUMIF(DHHVar,$D$185:$D$206,INDEX(DHHVal,N621,0)))*N$271</f>
        <v>-0.0</v>
      </c>
      <c r="O622" s="203">
        <f>-SUMPRODUCT(O157:O178,SUMIF(DHHVar,$D$185:$D$206,INDEX(DHHVal,O621,0)))*O$271</f>
        <v>-0.0</v>
      </c>
      <c r="P622" s="203">
        <f>-SUMPRODUCT(P157:P178,SUMIF(DHHVar,$D$185:$D$206,INDEX(DHHVal,P621,0)))*P$271</f>
        <v>-0.0</v>
      </c>
      <c r="Q622" s="203">
        <f>-SUMPRODUCT(Q157:Q178,SUMIF(DHHVar,$D$185:$D$206,INDEX(DHHVal,Q621,0)))*Q$271</f>
        <v>-0.0</v>
      </c>
      <c r="R622" s="203">
        <f>-SUMPRODUCT(R157:R178,SUMIF(DHHVar,$D$185:$D$206,INDEX(DHHVal,R621,0)))*R$271</f>
        <v>-0.0</v>
      </c>
      <c r="S622" s="203">
        <f>-SUMPRODUCT(S157:S178,SUMIF(DHHVar,$D$185:$D$206,INDEX(DHHVal,S621,0)))*S$271</f>
        <v>-0.0</v>
      </c>
      <c r="T622" s="203">
        <f>-SUMPRODUCT(T157:T178,SUMIF(DHHVar,$D$185:$D$206,INDEX(DHHVal,T621,0)))*T$271</f>
        <v>-0.0</v>
      </c>
      <c r="U622" s="203">
        <f>-SUMPRODUCT(U157:U178,SUMIF(DHHVar,$D$185:$D$206,INDEX(DHHVal,U621,0)))*U$271</f>
        <v>-0.0</v>
      </c>
      <c r="V622" s="203">
        <f>-SUMPRODUCT(V157:V178,SUMIF(DHHVar,$D$185:$D$206,INDEX(DHHVal,V621,0)))*V$271</f>
        <v>-0.0</v>
      </c>
      <c r="W622" s="207" t="str">
        <f>IF(X$5=K$5,SUM(Y622:AI622)-SUM(L622:V622),"")</f>
        <v/>
      </c>
      <c r="X622" s="9" t="str">
        <f>LOWER(CtryCode)&amp;".distn."&amp;$A622&amp;IF($B622="","","."&amp;$B622)&amp;IF($C622="","",".dec."&amp;$C622)&amp;"."&amp;X$5</f>
        <v>egy.distn.htef.p75.dec.rur.2</v>
      </c>
      <c r="Z622" s="203">
        <f>-SUMPRODUCT(Z157:Z178,SUMIF(DHHVar,$D$185:$D$206,INDEX(DHHVal,Z621,0)))*Z$271</f>
        <v>-2.106669332926427</v>
      </c>
      <c r="AA622" s="203">
        <f>-SUMPRODUCT(AA157:AA178,SUMIF(DHHVar,$D$185:$D$206,INDEX(DHHVal,AA621,0)))*AA$271</f>
        <v>-1.8409053534815052</v>
      </c>
      <c r="AB622" s="203">
        <f>-SUMPRODUCT(AB157:AB178,SUMIF(DHHVar,$D$185:$D$206,INDEX(DHHVal,AB621,0)))*AB$271</f>
        <v>-1.7590009359008913</v>
      </c>
      <c r="AC622" s="203">
        <f>-SUMPRODUCT(AC157:AC178,SUMIF(DHHVar,$D$185:$D$206,INDEX(DHHVal,AC621,0)))*AC$271</f>
        <v>-1.7214026614697948</v>
      </c>
      <c r="AD622" s="203">
        <f>-SUMPRODUCT(AD157:AD178,SUMIF(DHHVar,$D$185:$D$206,INDEX(DHHVal,AD621,0)))*AD$271</f>
        <v>-1.6119802769110665</v>
      </c>
      <c r="AE622" s="203">
        <f>-SUMPRODUCT(AE157:AE178,SUMIF(DHHVar,$D$185:$D$206,INDEX(DHHVal,AE621,0)))*AE$271</f>
        <v>-1.6261151202127957</v>
      </c>
      <c r="AF622" s="203">
        <f>-SUMPRODUCT(AF157:AF178,SUMIF(DHHVar,$D$185:$D$206,INDEX(DHHVal,AF621,0)))*AF$271</f>
        <v>-1.664344766588003</v>
      </c>
      <c r="AG622" s="203">
        <f>-SUMPRODUCT(AG157:AG178,SUMIF(DHHVar,$D$185:$D$206,INDEX(DHHVal,AG621,0)))*AG$271</f>
        <v>-1.7274176619138224</v>
      </c>
      <c r="AH622" s="203">
        <f>-SUMPRODUCT(AH157:AH178,SUMIF(DHHVar,$D$185:$D$206,INDEX(DHHVal,AH621,0)))*AH$271</f>
        <v>-1.7007455656856025</v>
      </c>
      <c r="AI622" s="203">
        <f>-SUMPRODUCT(AI157:AI178,SUMIF(DHHVar,$D$185:$D$206,INDEX(DHHVal,AI621,0)))*AI$271</f>
        <v>-1.8548668559572277</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33" t="inlineStr">
        <is>
          <t>HHSurvey cons_pc_acrent x adjustment</t>
        </is>
      </c>
      <c r="K623" s="9" t="str">
        <f>LOWER(CtryCode)&amp;".distn."&amp;$A623&amp;IF($B623="","","."&amp;$B623)&amp;IF($C623="","",".dec."&amp;$C623)&amp;"."&amp;K$5</f>
        <v>egy.distn.hcpc.p75.dec.rur.1</v>
      </c>
      <c r="M623" s="125">
        <f>INDEX(DHHVal,M621,MATCH("cons_pc_acrent",DHHVar,0))*M$320</f>
        <v>31361.298684733476</v>
      </c>
      <c r="N623" s="125">
        <f>INDEX(DHHVal,N621,MATCH("cons_pc_acrent",DHHVar,0))*N$320</f>
        <v>38297.23850201383</v>
      </c>
      <c r="O623" s="125">
        <f>INDEX(DHHVal,O621,MATCH("cons_pc_acrent",DHHVar,0))*O$320</f>
        <v>44930.128151739686</v>
      </c>
      <c r="P623" s="125">
        <f>INDEX(DHHVal,P621,MATCH("cons_pc_acrent",DHHVar,0))*P$320</f>
        <v>48739.57285019163</v>
      </c>
      <c r="Q623" s="125">
        <f>INDEX(DHHVal,Q621,MATCH("cons_pc_acrent",DHHVar,0))*Q$320</f>
        <v>53645.42370337981</v>
      </c>
      <c r="R623" s="125">
        <f>INDEX(DHHVal,R621,MATCH("cons_pc_acrent",DHHVar,0))*R$320</f>
        <v>60670.068559273204</v>
      </c>
      <c r="S623" s="125">
        <f>INDEX(DHHVal,S621,MATCH("cons_pc_acrent",DHHVar,0))*S$320</f>
        <v>69230.91478131544</v>
      </c>
      <c r="T623" s="125">
        <f>INDEX(DHHVal,T621,MATCH("cons_pc_acrent",DHHVar,0))*T$320</f>
        <v>81073.33734105989</v>
      </c>
      <c r="U623" s="125">
        <f>INDEX(DHHVal,U621,MATCH("cons_pc_acrent",DHHVar,0))*U$320</f>
        <v>95516.41315912898</v>
      </c>
      <c r="V623" s="125">
        <f>INDEX(DHHVal,V621,MATCH("cons_pc_acrent",DHHVar,0))*V$320</f>
        <v>132067.95526057764</v>
      </c>
      <c r="W623" s="207" t="str">
        <f>IF(X$5=K$5,SUM(Y623:AI623)-SUM(L623:V623),"")</f>
        <v/>
      </c>
      <c r="X623" s="9" t="str">
        <f>LOWER(CtryCode)&amp;".distn."&amp;$A623&amp;IF($B623="","","."&amp;$B623)&amp;IF($C623="","",".dec."&amp;$C623)&amp;"."&amp;X$5</f>
        <v>egy.distn.hcpc.p75.dec.rur.2</v>
      </c>
      <c r="Z623" s="125">
        <f>INDEX(DHHVal,Z621,MATCH("cons_pc_acrent",DHHVar,0))*Z$320</f>
        <v>31361.298684733476</v>
      </c>
      <c r="AA623" s="125">
        <f>INDEX(DHHVal,AA621,MATCH("cons_pc_acrent",DHHVar,0))*AA$320</f>
        <v>38297.23850201383</v>
      </c>
      <c r="AB623" s="125">
        <f>INDEX(DHHVal,AB621,MATCH("cons_pc_acrent",DHHVar,0))*AB$320</f>
        <v>44930.128151739686</v>
      </c>
      <c r="AC623" s="125">
        <f>INDEX(DHHVal,AC621,MATCH("cons_pc_acrent",DHHVar,0))*AC$320</f>
        <v>48739.57285019163</v>
      </c>
      <c r="AD623" s="125">
        <f>INDEX(DHHVal,AD621,MATCH("cons_pc_acrent",DHHVar,0))*AD$320</f>
        <v>53645.42370337981</v>
      </c>
      <c r="AE623" s="125">
        <f>INDEX(DHHVal,AE621,MATCH("cons_pc_acrent",DHHVar,0))*AE$320</f>
        <v>60670.068559273204</v>
      </c>
      <c r="AF623" s="125">
        <f>INDEX(DHHVal,AF621,MATCH("cons_pc_acrent",DHHVar,0))*AF$320</f>
        <v>69230.91478131544</v>
      </c>
      <c r="AG623" s="125">
        <f>INDEX(DHHVal,AG621,MATCH("cons_pc_acrent",DHHVar,0))*AG$320</f>
        <v>81073.33734105989</v>
      </c>
      <c r="AH623" s="125">
        <f>INDEX(DHHVal,AH621,MATCH("cons_pc_acrent",DHHVar,0))*AH$320</f>
        <v>95516.41315912898</v>
      </c>
      <c r="AI623" s="125">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33" t="inlineStr">
        <is>
          <t>recycling per capita / consumption of the percentile</t>
        </is>
      </c>
      <c r="K624" s="9" t="str">
        <f>LOWER(CtryCode)&amp;".distn."&amp;$A624&amp;IF($B624="","","."&amp;$B624)&amp;IF($C624="","",".dec."&amp;$C624)&amp;"."&amp;K$5</f>
        <v>egy.distn.hrec.p75.dec.rur.1</v>
      </c>
      <c r="M624" s="203">
        <f>(M355+M382+M387+M370)/M623*PctPerUnit</f>
        <v>0.0</v>
      </c>
      <c r="N624" s="203">
        <f>(N355+N382+N387+N370)/N623*PctPerUnit</f>
        <v>0.0</v>
      </c>
      <c r="O624" s="203">
        <f>(O355+O382+O387+O370)/O623*PctPerUnit</f>
        <v>0.0</v>
      </c>
      <c r="P624" s="203">
        <f>(P355+P382+P387+P370)/P623*PctPerUnit</f>
        <v>0.0</v>
      </c>
      <c r="Q624" s="203">
        <f>(Q355+Q382+Q387+Q370)/Q623*PctPerUnit</f>
        <v>0.0</v>
      </c>
      <c r="R624" s="203">
        <f>(R355+R382+R387+R370)/R623*PctPerUnit</f>
        <v>0.0</v>
      </c>
      <c r="S624" s="203">
        <f>(S355+S382+S387+S370)/S623*PctPerUnit</f>
        <v>0.0</v>
      </c>
      <c r="T624" s="203">
        <f>(T355+T382+T387+T370)/T623*PctPerUnit</f>
        <v>0.0</v>
      </c>
      <c r="U624" s="203">
        <f>(U355+U382+U387+U370)/U623*PctPerUnit</f>
        <v>0.0</v>
      </c>
      <c r="V624" s="203">
        <f>(V355+V382+V387+V370)/V623*PctPerUnit</f>
        <v>0.0</v>
      </c>
      <c r="W624" s="207" t="str">
        <f>IF(X$5=K$5,SUM(Y624:AI624)-SUM(L624:V624),"")</f>
        <v/>
      </c>
      <c r="X624" s="9" t="str">
        <f>LOWER(CtryCode)&amp;".distn."&amp;$A624&amp;IF($B624="","","."&amp;$B624)&amp;IF($C624="","",".dec."&amp;$C624)&amp;"."&amp;X$5</f>
        <v>egy.distn.hrec.p75.dec.rur.2</v>
      </c>
      <c r="Z624" s="203">
        <f>(Z355+Z382+Z387+Z370)/Z623*PctPerUnit</f>
        <v>4.4599621989892135</v>
      </c>
      <c r="AA624" s="203">
        <f>(AA355+AA382+AA387+AA370)/AA623*PctPerUnit</f>
        <v>3.4606073769684933</v>
      </c>
      <c r="AB624" s="203">
        <f>(AB355+AB382+AB387+AB370)/AB623*PctPerUnit</f>
        <v>2.5984777900748592</v>
      </c>
      <c r="AC624" s="203">
        <f>(AC355+AC382+AC387+AC370)/AC623*PctPerUnit</f>
        <v>1.9156577209157095</v>
      </c>
      <c r="AD624" s="203">
        <f>(AD355+AD382+AD387+AD370)/AD623*PctPerUnit</f>
        <v>1.070774865435579</v>
      </c>
      <c r="AE624" s="203">
        <f>(AE355+AE382+AE387+AE370)/AE623*PctPerUnit</f>
        <v>1.1146792502963405</v>
      </c>
      <c r="AF624" s="203">
        <f>(AF355+AF382+AF387+AF370)/AF623*PctPerUnit</f>
        <v>0.8401985718629018</v>
      </c>
      <c r="AG624" s="203">
        <f>(AG355+AG382+AG387+AG370)/AG623*PctPerUnit</f>
        <v>0.7992029780915009</v>
      </c>
      <c r="AH624" s="203">
        <f>(AH355+AH382+AH387+AH370)/AH623*PctPerUnit</f>
        <v>0.7268937445533904</v>
      </c>
      <c r="AI624" s="203">
        <f>(AI355+AI382+AI387+AI370)/AI623*PctPerUnit</f>
        <v>0.6126766700987798</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33" t="inlineStr">
        <is>
          <t>total effect + recycling</t>
        </is>
      </c>
      <c r="K625" s="9" t="str">
        <f>LOWER(CtryCode)&amp;".distn."&amp;$A625&amp;IF($B625="","","."&amp;$B625)&amp;IF($C625="","",".dec."&amp;$C625)&amp;"."&amp;K$5</f>
        <v>egy.distn.hnet.p75.dec.rur.1</v>
      </c>
      <c r="M625" s="203">
        <f>M622+M624</f>
        <v>0.0</v>
      </c>
      <c r="N625" s="203">
        <f>N622+N624</f>
        <v>0.0</v>
      </c>
      <c r="O625" s="203">
        <f>O622+O624</f>
        <v>0.0</v>
      </c>
      <c r="P625" s="203">
        <f>P622+P624</f>
        <v>0.0</v>
      </c>
      <c r="Q625" s="203">
        <f>Q622+Q624</f>
        <v>0.0</v>
      </c>
      <c r="R625" s="203">
        <f>R622+R624</f>
        <v>0.0</v>
      </c>
      <c r="S625" s="203">
        <f>S622+S624</f>
        <v>0.0</v>
      </c>
      <c r="T625" s="203">
        <f>T622+T624</f>
        <v>0.0</v>
      </c>
      <c r="U625" s="203">
        <f>U622+U624</f>
        <v>0.0</v>
      </c>
      <c r="V625" s="203">
        <f>V622+V624</f>
        <v>0.0</v>
      </c>
      <c r="W625" s="207" t="str">
        <f>IF(X$5=K$5,SUM(Y625:AI625)-SUM(L625:V625),"")</f>
        <v/>
      </c>
      <c r="X625" s="9" t="str">
        <f>LOWER(CtryCode)&amp;".distn."&amp;$A625&amp;IF($B625="","","."&amp;$B625)&amp;IF($C625="","",".dec."&amp;$C625)&amp;"."&amp;X$5</f>
        <v>egy.distn.hnet.p75.dec.rur.2</v>
      </c>
      <c r="Z625" s="203">
        <f>Z622+Z624</f>
        <v>2.3532928660627865</v>
      </c>
      <c r="AA625" s="203">
        <f>AA622+AA624</f>
        <v>1.619702023486988</v>
      </c>
      <c r="AB625" s="203">
        <f>AB622+AB624</f>
        <v>0.8394768541739679</v>
      </c>
      <c r="AC625" s="203">
        <f>AC622+AC624</f>
        <v>0.1942550594459147</v>
      </c>
      <c r="AD625" s="203">
        <f>AD622+AD624</f>
        <v>-0.5412054114754874</v>
      </c>
      <c r="AE625" s="203">
        <f>AE622+AE624</f>
        <v>-0.5114358699164552</v>
      </c>
      <c r="AF625" s="203">
        <f>AF622+AF624</f>
        <v>-0.8241461947251011</v>
      </c>
      <c r="AG625" s="203">
        <f>AG622+AG624</f>
        <v>-0.9282146838223215</v>
      </c>
      <c r="AH625" s="203">
        <f>AH622+AH624</f>
        <v>-0.9738518211322121</v>
      </c>
      <c r="AI625" s="203">
        <f>AI622+AI624</f>
        <v>-1.2421901858584479</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33"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7" t="str">
        <f>IF(X$5=K$5,SUM(Y627:AI627)-SUM(L627:V627),"")</f>
        <v/>
      </c>
      <c r="X627" s="9" t="str">
        <f>LOWER(CtryCode)&amp;".distn."&amp;$A627&amp;IF($B627="","","."&amp;$B627)&amp;IF($C627="","",".dec."&amp;$C627)&amp;"."&amp;X$5</f>
        <v>egy.distn.gini.ptx.dec.urb.2</v>
      </c>
      <c r="Y627" s="59">
        <f>Y428-Y427</f>
        <v>4.018997463595131e-05</v>
      </c>
      <c r="Z627" s="60">
        <f>Y627</f>
        <v>4.018997463595131e-05</v>
      </c>
      <c r="AA627" s="60">
        <f>Z627</f>
        <v>4.018997463595131e-05</v>
      </c>
      <c r="AB627" s="60">
        <f>AA627</f>
        <v>4.018997463595131e-05</v>
      </c>
      <c r="AC627" s="60">
        <f>AB627</f>
        <v>4.018997463595131e-05</v>
      </c>
      <c r="AD627" s="60">
        <f>AC627</f>
        <v>4.018997463595131e-05</v>
      </c>
      <c r="AE627" s="60">
        <f>AD627</f>
        <v>4.018997463595131e-05</v>
      </c>
      <c r="AF627" s="60">
        <f>AE627</f>
        <v>4.018997463595131e-05</v>
      </c>
      <c r="AG627" s="60">
        <f>AF627</f>
        <v>4.018997463595131e-05</v>
      </c>
      <c r="AH627" s="60">
        <f>AG627</f>
        <v>4.018997463595131e-05</v>
      </c>
      <c r="AI627" s="60">
        <f>AH627</f>
        <v>4.018997463595131e-05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33"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7" t="str">
        <f>IF(X$5=K$5,SUM(Y628:AI628)-SUM(L628:V628),"")</f>
        <v/>
      </c>
      <c r="X628" s="9" t="str">
        <f>LOWER(CtryCode)&amp;".distn."&amp;$A628&amp;IF($B628="","","."&amp;$B628)&amp;IF($C628="","",".dec."&amp;$C628)&amp;"."&amp;X$5</f>
        <v>egy.distn.gini.ptx.dec.rur.2</v>
      </c>
      <c r="Y628" s="59">
        <f>Y433-Y432</f>
        <v>8.954593673726752e-05</v>
      </c>
      <c r="Z628" s="60">
        <f>Y628</f>
        <v>8.954593673726752e-05</v>
      </c>
      <c r="AA628" s="60">
        <f>Z628</f>
        <v>8.954593673726752e-05</v>
      </c>
      <c r="AB628" s="60">
        <f>AA628</f>
        <v>8.954593673726752e-05</v>
      </c>
      <c r="AC628" s="60">
        <f>AB628</f>
        <v>8.954593673726752e-05</v>
      </c>
      <c r="AD628" s="60">
        <f>AC628</f>
        <v>8.954593673726752e-05</v>
      </c>
      <c r="AE628" s="60">
        <f>AD628</f>
        <v>8.954593673726752e-05</v>
      </c>
      <c r="AF628" s="60">
        <f>AE628</f>
        <v>8.954593673726752e-05</v>
      </c>
      <c r="AG628" s="60">
        <f>AF628</f>
        <v>8.954593673726752e-05</v>
      </c>
      <c r="AH628" s="60">
        <f>AG628</f>
        <v>8.954593673726752e-05</v>
      </c>
      <c r="AI628" s="60">
        <f>AH628</f>
        <v>8.954593673726752e-05</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33"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7" t="str">
        <f>IF(X$5=K$5,SUM(Y629:AI629)-SUM(L629:V629),"")</f>
        <v/>
      </c>
      <c r="X629" s="9" t="str">
        <f>LOWER(CtryCode)&amp;".distn."&amp;$A629&amp;IF($B629="","","."&amp;$B629)&amp;IF($C629="","",".dec."&amp;$C629)&amp;"."&amp;X$5</f>
        <v>egy.distn.gini.ptx.dec.ove.2</v>
      </c>
      <c r="Y629" s="59">
        <f>Y423-Y422</f>
        <v>0.00025919109767680304</v>
      </c>
      <c r="Z629" s="60">
        <f>Y629</f>
        <v>0.00025919109767680304</v>
      </c>
      <c r="AA629" s="60">
        <f>Z629</f>
        <v>0.00025919109767680304</v>
      </c>
      <c r="AB629" s="60">
        <f>AA629</f>
        <v>0.00025919109767680304</v>
      </c>
      <c r="AC629" s="60">
        <f>AB629</f>
        <v>0.00025919109767680304</v>
      </c>
      <c r="AD629" s="60">
        <f>AC629</f>
        <v>0.00025919109767680304</v>
      </c>
      <c r="AE629" s="60">
        <f>AD629</f>
        <v>0.00025919109767680304</v>
      </c>
      <c r="AF629" s="60">
        <f>AE629</f>
        <v>0.00025919109767680304</v>
      </c>
      <c r="AG629" s="60">
        <f>AF629</f>
        <v>0.00025919109767680304</v>
      </c>
      <c r="AH629" s="60">
        <f>AG629</f>
        <v>0.00025919109767680304</v>
      </c>
      <c r="AI629" s="60">
        <f>AH629</f>
        <v>0.00025919109767680304</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33"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7" t="str">
        <f>IF(X$5=K$5,SUM(Y630:AI630)-SUM(L630:V630),"")</f>
        <v/>
      </c>
      <c r="X630" s="9" t="str">
        <f>LOWER(CtryCode)&amp;".distn."&amp;$A630&amp;IF($B630="","","."&amp;$B630)&amp;IF($C630="","",".dec."&amp;$C630)&amp;"."&amp;X$5</f>
        <v>egy.distn.gini.pti.dec.urb.2</v>
      </c>
      <c r="Y630" s="59">
        <f>Y429-Y427</f>
        <v>-0.0029615791488183385</v>
      </c>
      <c r="Z630" s="60">
        <f>Y630</f>
        <v>-0.0029615791488183385</v>
      </c>
      <c r="AA630" s="60">
        <f>Z630</f>
        <v>-0.0029615791488183385</v>
      </c>
      <c r="AB630" s="60">
        <f>AA630</f>
        <v>-0.0029615791488183385</v>
      </c>
      <c r="AC630" s="60">
        <f>AB630</f>
        <v>-0.0029615791488183385</v>
      </c>
      <c r="AD630" s="60">
        <f>AC630</f>
        <v>-0.0029615791488183385</v>
      </c>
      <c r="AE630" s="60">
        <f>AD630</f>
        <v>-0.0029615791488183385</v>
      </c>
      <c r="AF630" s="60">
        <f>AE630</f>
        <v>-0.0029615791488183385</v>
      </c>
      <c r="AG630" s="60">
        <f>AF630</f>
        <v>-0.0029615791488183385</v>
      </c>
      <c r="AH630" s="60">
        <f>AG630</f>
        <v>-0.0029615791488183385</v>
      </c>
      <c r="AI630" s="60">
        <f>AH630</f>
        <v>-0.0029615791488183385</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33"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7" t="str">
        <f>IF(X$5=K$5,SUM(Y631:AI631)-SUM(L631:V631),"")</f>
        <v/>
      </c>
      <c r="X631" s="9" t="str">
        <f>LOWER(CtryCode)&amp;".distn."&amp;$A631&amp;IF($B631="","","."&amp;$B631)&amp;IF($C631="","",".dec."&amp;$C631)&amp;"."&amp;X$5</f>
        <v>egy.distn.gini.pti.dec.rur.2</v>
      </c>
      <c r="Y631" s="59">
        <f>Y434-Y432</f>
        <v>-0.005372867841818674</v>
      </c>
      <c r="Z631" s="60">
        <f>Y631</f>
        <v>-0.005372867841818674</v>
      </c>
      <c r="AA631" s="60">
        <f>Z631</f>
        <v>-0.005372867841818674</v>
      </c>
      <c r="AB631" s="60">
        <f>AA631</f>
        <v>-0.005372867841818674</v>
      </c>
      <c r="AC631" s="60">
        <f>AB631</f>
        <v>-0.005372867841818674</v>
      </c>
      <c r="AD631" s="60">
        <f>AC631</f>
        <v>-0.005372867841818674</v>
      </c>
      <c r="AE631" s="60">
        <f>AD631</f>
        <v>-0.005372867841818674</v>
      </c>
      <c r="AF631" s="60">
        <f>AE631</f>
        <v>-0.005372867841818674</v>
      </c>
      <c r="AG631" s="60">
        <f>AF631</f>
        <v>-0.005372867841818674</v>
      </c>
      <c r="AH631" s="60">
        <f>AG631</f>
        <v>-0.005372867841818674</v>
      </c>
      <c r="AI631" s="60">
        <f>AH631</f>
        <v>-0.005372867841818674</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33" t="inlineStr">
        <is>
          <t>legacy rows 3103, 3141, 3176</t>
        </is>
      </c>
      <c r="K633" s="9" t="str">
        <f>LOWER(CtryCode)&amp;".distn."&amp;$A633&amp;IF($B633="","","."&amp;$B633)&amp;IF($C633="","",".dec."&amp;$C633)&amp;"."&amp;K$5</f>
        <v>egy.distn.gini.pti.dec.ove.1</v>
      </c>
      <c r="L633" s="164">
        <f>L424-L422</f>
        <v>0.0</v>
      </c>
      <c r="M633" s="165">
        <f>L633</f>
        <v>0.0</v>
      </c>
      <c r="N633" s="165">
        <f>M633</f>
        <v>0.0</v>
      </c>
      <c r="O633" s="165">
        <f>N633</f>
        <v>0.0</v>
      </c>
      <c r="P633" s="165">
        <f>O633</f>
        <v>0.0</v>
      </c>
      <c r="Q633" s="165">
        <f>P633</f>
        <v>0.0</v>
      </c>
      <c r="R633" s="165">
        <f>Q633</f>
        <v>0.0</v>
      </c>
      <c r="S633" s="165">
        <f>R633</f>
        <v>0.0</v>
      </c>
      <c r="T633" s="165">
        <f>S633</f>
        <v>0.0</v>
      </c>
      <c r="U633" s="165">
        <f>T633</f>
        <v>0.0</v>
      </c>
      <c r="V633" s="165">
        <f>U633</f>
        <v>0.0</v>
      </c>
      <c r="W633" s="207" t="str">
        <f>IF(X$5=K$5,SUM(Y633:AI633)-SUM(L633:V633),"")</f>
        <v/>
      </c>
      <c r="X633" s="9" t="str">
        <f>LOWER(CtryCode)&amp;".distn."&amp;$A633&amp;IF($B633="","","."&amp;$B633)&amp;IF($C633="","",".dec."&amp;$C633)&amp;"."&amp;X$5</f>
        <v>egy.distn.gini.pti.dec.ove.2</v>
      </c>
      <c r="Y633" s="164">
        <f>Y424-Y422</f>
        <v>-0.004621599229248763</v>
      </c>
      <c r="Z633" s="165">
        <f>Y633</f>
        <v>-0.004621599229248763</v>
      </c>
      <c r="AA633" s="165">
        <f>Z633</f>
        <v>-0.004621599229248763</v>
      </c>
      <c r="AB633" s="165">
        <f>AA633</f>
        <v>-0.004621599229248763</v>
      </c>
      <c r="AC633" s="165">
        <f>AB633</f>
        <v>-0.004621599229248763</v>
      </c>
      <c r="AD633" s="165">
        <f>AC633</f>
        <v>-0.004621599229248763</v>
      </c>
      <c r="AE633" s="165">
        <f>AD633</f>
        <v>-0.004621599229248763</v>
      </c>
      <c r="AF633" s="165">
        <f>AE633</f>
        <v>-0.004621599229248763</v>
      </c>
      <c r="AG633" s="165">
        <f>AF633</f>
        <v>-0.004621599229248763</v>
      </c>
      <c r="AH633" s="165">
        <f>AG633</f>
        <v>-0.004621599229248763</v>
      </c>
      <c r="AI633" s="165">
        <f>AH633</f>
        <v>-0.004621599229248763</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33"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7" t="str">
        <f>IF(X$5=K$5,SUM(Y638:AI638)-SUM(L638:V638),"")</f>
        <v/>
      </c>
      <c r="X638" s="9" t="str">
        <f>LOWER(CtryCode)&amp;".distn."&amp;$A638&amp;IF($B638="","","."&amp;$B638)&amp;IF($C638="","",".dec."&amp;$C638)&amp;"."&amp;X$5</f>
        <v>egy.distn.dps.afs.2</v>
      </c>
      <c r="Y638" s="37">
        <f>IF(INDEX(DSecFuel,$D638),0,MMULT(INDEX(DSecLeon,$D638,0),Y$106:Y$110))</f>
        <v>0.0008109578191410374</v>
      </c>
      <c r="Z638" s="38">
        <f>Y638</f>
        <v>0.0008109578191410374</v>
      </c>
      <c r="AA638" s="38">
        <f>Z638</f>
        <v>0.0008109578191410374</v>
      </c>
      <c r="AB638" s="38">
        <f>AA638</f>
        <v>0.0008109578191410374</v>
      </c>
      <c r="AC638" s="38">
        <f>AB638</f>
        <v>0.0008109578191410374</v>
      </c>
      <c r="AD638" s="38">
        <f>AC638</f>
        <v>0.0008109578191410374</v>
      </c>
      <c r="AE638" s="38">
        <f>AD638</f>
        <v>0.0008109578191410374</v>
      </c>
      <c r="AF638" s="38">
        <f>AE638</f>
        <v>0.0008109578191410374</v>
      </c>
      <c r="AG638" s="38">
        <f>AF638</f>
        <v>0.0008109578191410374</v>
      </c>
      <c r="AH638" s="38">
        <f>AG638</f>
        <v>0.0008109578191410374</v>
      </c>
      <c r="AI638" s="38">
        <f>AH638</f>
        <v>0.0008109578191410374</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33"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7" t="str">
        <f>IF(X$5=K$5,SUM(Y639:AI639)-SUM(L639:V639),"")</f>
        <v/>
      </c>
      <c r="X639" s="9" t="str">
        <f>LOWER(CtryCode)&amp;".distn."&amp;$A639&amp;IF($B639="","","."&amp;$B639)&amp;IF($C639="","",".dec."&amp;$C639)&amp;"."&amp;X$5</f>
        <v>egy.distn.dps.atp.2</v>
      </c>
      <c r="Y639" s="37">
        <f>IF(INDEX(DSecFuel,$D639),0,MMULT(INDEX(DSecLeon,$D639,0),Y$106:Y$110))</f>
        <v>0.007945517124091769</v>
      </c>
      <c r="Z639" s="38">
        <f>Y639</f>
        <v>0.007945517124091769</v>
      </c>
      <c r="AA639" s="38">
        <f>Z639</f>
        <v>0.007945517124091769</v>
      </c>
      <c r="AB639" s="38">
        <f>AA639</f>
        <v>0.007945517124091769</v>
      </c>
      <c r="AC639" s="38">
        <f>AB639</f>
        <v>0.007945517124091769</v>
      </c>
      <c r="AD639" s="38">
        <f>AC639</f>
        <v>0.007945517124091769</v>
      </c>
      <c r="AE639" s="38">
        <f>AD639</f>
        <v>0.007945517124091769</v>
      </c>
      <c r="AF639" s="38">
        <f>AE639</f>
        <v>0.007945517124091769</v>
      </c>
      <c r="AG639" s="38">
        <f>AF639</f>
        <v>0.007945517124091769</v>
      </c>
      <c r="AH639" s="38">
        <f>AG639</f>
        <v>0.007945517124091769</v>
      </c>
      <c r="AI639" s="38">
        <f>AH639</f>
        <v>0.007945517124091769</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33"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7" t="str">
        <f>IF(X$5=K$5,SUM(Y640:AI640)-SUM(L640:V640),"")</f>
        <v/>
      </c>
      <c r="X640" s="9" t="str">
        <f>LOWER(CtryCode)&amp;".distn."&amp;$A640&amp;IF($B640="","","."&amp;$B640)&amp;IF($C640="","",".dec."&amp;$C640)&amp;"."&amp;X$5</f>
        <v>egy.distn.dps.b_t.2</v>
      </c>
      <c r="Y640" s="37">
        <f>IF(INDEX(DSecFuel,$D640),0,MMULT(INDEX(DSecLeon,$D640,0),Y$106:Y$110))</f>
        <v>0.0006768535860157208</v>
      </c>
      <c r="Z640" s="38">
        <f>Y640</f>
        <v>0.0006768535860157208</v>
      </c>
      <c r="AA640" s="38">
        <f>Z640</f>
        <v>0.0006768535860157208</v>
      </c>
      <c r="AB640" s="38">
        <f>AA640</f>
        <v>0.0006768535860157208</v>
      </c>
      <c r="AC640" s="38">
        <f>AB640</f>
        <v>0.0006768535860157208</v>
      </c>
      <c r="AD640" s="38">
        <f>AC640</f>
        <v>0.0006768535860157208</v>
      </c>
      <c r="AE640" s="38">
        <f>AD640</f>
        <v>0.0006768535860157208</v>
      </c>
      <c r="AF640" s="38">
        <f>AE640</f>
        <v>0.0006768535860157208</v>
      </c>
      <c r="AG640" s="38">
        <f>AF640</f>
        <v>0.0006768535860157208</v>
      </c>
      <c r="AH640" s="38">
        <f>AG640</f>
        <v>0.0006768535860157208</v>
      </c>
      <c r="AI640" s="38">
        <f>AH640</f>
        <v>0.0006768535860157208</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33"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7" t="str">
        <f>IF(X$5=K$5,SUM(Y641:AI641)-SUM(L641:V641),"")</f>
        <v/>
      </c>
      <c r="X641" s="9" t="str">
        <f>LOWER(CtryCode)&amp;".distn."&amp;$A641&amp;IF($B641="","","."&amp;$B641)&amp;IF($C641="","",".dec."&amp;$C641)&amp;"."&amp;X$5</f>
        <v>egy.distn.dps.bph.2</v>
      </c>
      <c r="Y641" s="37">
        <f>IF(INDEX(DSecFuel,$D641),0,MMULT(INDEX(DSecLeon,$D641,0),Y$106:Y$110))</f>
        <v>0.002298771116464237</v>
      </c>
      <c r="Z641" s="38">
        <f>Y641</f>
        <v>0.002298771116464237</v>
      </c>
      <c r="AA641" s="38">
        <f>Z641</f>
        <v>0.002298771116464237</v>
      </c>
      <c r="AB641" s="38">
        <f>AA641</f>
        <v>0.002298771116464237</v>
      </c>
      <c r="AC641" s="38">
        <f>AB641</f>
        <v>0.002298771116464237</v>
      </c>
      <c r="AD641" s="38">
        <f>AC641</f>
        <v>0.002298771116464237</v>
      </c>
      <c r="AE641" s="38">
        <f>AD641</f>
        <v>0.002298771116464237</v>
      </c>
      <c r="AF641" s="38">
        <f>AE641</f>
        <v>0.002298771116464237</v>
      </c>
      <c r="AG641" s="38">
        <f>AF641</f>
        <v>0.002298771116464237</v>
      </c>
      <c r="AH641" s="38">
        <f>AG641</f>
        <v>0.002298771116464237</v>
      </c>
      <c r="AI641" s="38">
        <f>AH641</f>
        <v>0.002298771116464237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33"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7" t="str">
        <f>IF(X$5=K$5,SUM(Y642:AI642)-SUM(L642:V642),"")</f>
        <v/>
      </c>
      <c r="X642" s="9" t="str">
        <f>LOWER(CtryCode)&amp;".distn."&amp;$A642&amp;IF($B642="","","."&amp;$B642)&amp;IF($C642="","",".dec."&amp;$C642)&amp;"."&amp;X$5</f>
        <v>egy.distn.dps.c_b.2</v>
      </c>
      <c r="Y642" s="37">
        <f>IF(INDEX(DSecFuel,$D642),0,MMULT(INDEX(DSecLeon,$D642,0),Y$106:Y$110))</f>
        <v>0.00142447417499236</v>
      </c>
      <c r="Z642" s="38">
        <f>Y642</f>
        <v>0.00142447417499236</v>
      </c>
      <c r="AA642" s="38">
        <f>Z642</f>
        <v>0.00142447417499236</v>
      </c>
      <c r="AB642" s="38">
        <f>AA642</f>
        <v>0.00142447417499236</v>
      </c>
      <c r="AC642" s="38">
        <f>AB642</f>
        <v>0.00142447417499236</v>
      </c>
      <c r="AD642" s="38">
        <f>AC642</f>
        <v>0.00142447417499236</v>
      </c>
      <c r="AE642" s="38">
        <f>AD642</f>
        <v>0.00142447417499236</v>
      </c>
      <c r="AF642" s="38">
        <f>AE642</f>
        <v>0.00142447417499236</v>
      </c>
      <c r="AG642" s="38">
        <f>AF642</f>
        <v>0.00142447417499236</v>
      </c>
      <c r="AH642" s="38">
        <f>AG642</f>
        <v>0.00142447417499236</v>
      </c>
      <c r="AI642" s="38">
        <f>AH642</f>
        <v>0.00142447417499236</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33"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7" t="str">
        <f>IF(X$5=K$5,SUM(Y643:AI643)-SUM(L643:V643),"")</f>
        <v/>
      </c>
      <c r="X643" s="9" t="str">
        <f>LOWER(CtryCode)&amp;".distn."&amp;$A643&amp;IF($B643="","","."&amp;$B643)&amp;IF($C643="","",".dec."&amp;$C643)&amp;"."&amp;X$5</f>
        <v>egy.distn.dps.chm.2</v>
      </c>
      <c r="Y643" s="37">
        <f>IF(INDEX(DSecFuel,$D643),0,MMULT(INDEX(DSecLeon,$D643,0),Y$106:Y$110))</f>
        <v>0.007208253614210871</v>
      </c>
      <c r="Z643" s="38">
        <f>Y643</f>
        <v>0.007208253614210871</v>
      </c>
      <c r="AA643" s="38">
        <f>Z643</f>
        <v>0.007208253614210871</v>
      </c>
      <c r="AB643" s="38">
        <f>AA643</f>
        <v>0.007208253614210871</v>
      </c>
      <c r="AC643" s="38">
        <f>AB643</f>
        <v>0.007208253614210871</v>
      </c>
      <c r="AD643" s="38">
        <f>AC643</f>
        <v>0.007208253614210871</v>
      </c>
      <c r="AE643" s="38">
        <f>AD643</f>
        <v>0.007208253614210871</v>
      </c>
      <c r="AF643" s="38">
        <f>AE643</f>
        <v>0.007208253614210871</v>
      </c>
      <c r="AG643" s="38">
        <f>AF643</f>
        <v>0.007208253614210871</v>
      </c>
      <c r="AH643" s="38">
        <f>AG643</f>
        <v>0.007208253614210871</v>
      </c>
      <c r="AI643" s="38">
        <f>AH643</f>
        <v>0.007208253614210871</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33"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7" t="str">
        <f>IF(X$5=K$5,SUM(Y644:AI644)-SUM(L644:V644),"")</f>
        <v/>
      </c>
      <c r="X644" s="9" t="str">
        <f>LOWER(CtryCode)&amp;".distn."&amp;$A644&amp;IF($B644="","","."&amp;$B644)&amp;IF($C644="","",".dec."&amp;$C644)&amp;"."&amp;X$5</f>
        <v>egy.distn.dps.cmn.2</v>
      </c>
      <c r="Y644" s="37">
        <f>IF(INDEX(DSecFuel,$D644),0,MMULT(INDEX(DSecLeon,$D644,0),Y$106:Y$110))</f>
        <v>0.00044157641414113263</v>
      </c>
      <c r="Z644" s="38">
        <f>Y644</f>
        <v>0.00044157641414113263</v>
      </c>
      <c r="AA644" s="38">
        <f>Z644</f>
        <v>0.00044157641414113263</v>
      </c>
      <c r="AB644" s="38">
        <f>AA644</f>
        <v>0.00044157641414113263</v>
      </c>
      <c r="AC644" s="38">
        <f>AB644</f>
        <v>0.00044157641414113263</v>
      </c>
      <c r="AD644" s="38">
        <f>AC644</f>
        <v>0.00044157641414113263</v>
      </c>
      <c r="AE644" s="38">
        <f>AD644</f>
        <v>0.00044157641414113263</v>
      </c>
      <c r="AF644" s="38">
        <f>AE644</f>
        <v>0.00044157641414113263</v>
      </c>
      <c r="AG644" s="38">
        <f>AF644</f>
        <v>0.00044157641414113263</v>
      </c>
      <c r="AH644" s="38">
        <f>AG644</f>
        <v>0.00044157641414113263</v>
      </c>
      <c r="AI644" s="38">
        <f>AH644</f>
        <v>0.00044157641414113263</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33"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7" t="str">
        <f>IF(X$5=K$5,SUM(Y645:AI645)-SUM(L645:V645),"")</f>
        <v/>
      </c>
      <c r="X645" s="9" t="str">
        <f>LOWER(CtryCode)&amp;".distn."&amp;$A645&amp;IF($B645="","","."&amp;$B645)&amp;IF($C645="","",".dec."&amp;$C645)&amp;"."&amp;X$5</f>
        <v>egy.distn.dps.cmt.2</v>
      </c>
      <c r="Y645" s="37">
        <f>IF(INDEX(DSecFuel,$D645),0,MMULT(INDEX(DSecLeon,$D645,0),Y$106:Y$110))</f>
        <v>0.0003681923656945813</v>
      </c>
      <c r="Z645" s="38">
        <f>Y645</f>
        <v>0.0003681923656945813</v>
      </c>
      <c r="AA645" s="38">
        <f>Z645</f>
        <v>0.0003681923656945813</v>
      </c>
      <c r="AB645" s="38">
        <f>AA645</f>
        <v>0.0003681923656945813</v>
      </c>
      <c r="AC645" s="38">
        <f>AB645</f>
        <v>0.0003681923656945813</v>
      </c>
      <c r="AD645" s="38">
        <f>AC645</f>
        <v>0.0003681923656945813</v>
      </c>
      <c r="AE645" s="38">
        <f>AD645</f>
        <v>0.0003681923656945813</v>
      </c>
      <c r="AF645" s="38">
        <f>AE645</f>
        <v>0.0003681923656945813</v>
      </c>
      <c r="AG645" s="38">
        <f>AF645</f>
        <v>0.0003681923656945813</v>
      </c>
      <c r="AH645" s="38">
        <f>AG645</f>
        <v>0.0003681923656945813</v>
      </c>
      <c r="AI645" s="38">
        <f>AH645</f>
        <v>0.0003681923656945813</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33"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7" t="str">
        <f>IF(X$5=K$5,SUM(Y646:AI646)-SUM(L646:V646),"")</f>
        <v/>
      </c>
      <c r="X646" s="9" t="str">
        <f>LOWER(CtryCode)&amp;".distn."&amp;$A646&amp;IF($B646="","","."&amp;$B646)&amp;IF($C646="","",".dec."&amp;$C646)&amp;"."&amp;X$5</f>
        <v>egy.distn.dps.cns.2</v>
      </c>
      <c r="Y646" s="37">
        <f>IF(INDEX(DSecFuel,$D646),0,MMULT(INDEX(DSecLeon,$D646,0),Y$106:Y$110))</f>
        <v>0.0020275813393545285</v>
      </c>
      <c r="Z646" s="38">
        <f>Y646</f>
        <v>0.0020275813393545285</v>
      </c>
      <c r="AA646" s="38">
        <f>Z646</f>
        <v>0.0020275813393545285</v>
      </c>
      <c r="AB646" s="38">
        <f>AA646</f>
        <v>0.0020275813393545285</v>
      </c>
      <c r="AC646" s="38">
        <f>AB646</f>
        <v>0.0020275813393545285</v>
      </c>
      <c r="AD646" s="38">
        <f>AC646</f>
        <v>0.0020275813393545285</v>
      </c>
      <c r="AE646" s="38">
        <f>AD646</f>
        <v>0.0020275813393545285</v>
      </c>
      <c r="AF646" s="38">
        <f>AE646</f>
        <v>0.0020275813393545285</v>
      </c>
      <c r="AG646" s="38">
        <f>AF646</f>
        <v>0.0020275813393545285</v>
      </c>
      <c r="AH646" s="38">
        <f>AG646</f>
        <v>0.0020275813393545285</v>
      </c>
      <c r="AI646" s="38">
        <f>AH646</f>
        <v>0.0020275813393545285</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33"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7"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33"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7" t="str">
        <f>IF(X$5=K$5,SUM(Y648:AI648)-SUM(L648:V648),"")</f>
        <v/>
      </c>
      <c r="X648" s="9" t="str">
        <f>LOWER(CtryCode)&amp;".distn."&amp;$A648&amp;IF($B648="","","."&amp;$B648)&amp;IF($C648="","",".dec."&amp;$C648)&amp;"."&amp;X$5</f>
        <v>egy.distn.dps.ctl.2</v>
      </c>
      <c r="Y648" s="37">
        <f>IF(INDEX(DSecFuel,$D648),0,MMULT(INDEX(DSecLeon,$D648,0),Y$106:Y$110))</f>
        <v>0.0011602990652967763</v>
      </c>
      <c r="Z648" s="38">
        <f>Y648</f>
        <v>0.0011602990652967763</v>
      </c>
      <c r="AA648" s="38">
        <f>Z648</f>
        <v>0.0011602990652967763</v>
      </c>
      <c r="AB648" s="38">
        <f>AA648</f>
        <v>0.0011602990652967763</v>
      </c>
      <c r="AC648" s="38">
        <f>AB648</f>
        <v>0.0011602990652967763</v>
      </c>
      <c r="AD648" s="38">
        <f>AC648</f>
        <v>0.0011602990652967763</v>
      </c>
      <c r="AE648" s="38">
        <f>AD648</f>
        <v>0.0011602990652967763</v>
      </c>
      <c r="AF648" s="38">
        <f>AE648</f>
        <v>0.0011602990652967763</v>
      </c>
      <c r="AG648" s="38">
        <f>AF648</f>
        <v>0.0011602990652967763</v>
      </c>
      <c r="AH648" s="38">
        <f>AG648</f>
        <v>0.0011602990652967763</v>
      </c>
      <c r="AI648" s="38">
        <f>AH648</f>
        <v>0.0011602990652967763</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33"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7" t="str">
        <f>IF(X$5=K$5,SUM(Y649:AI649)-SUM(L649:V649),"")</f>
        <v/>
      </c>
      <c r="X649" s="9" t="str">
        <f>LOWER(CtryCode)&amp;".distn."&amp;$A649&amp;IF($B649="","","."&amp;$B649)&amp;IF($C649="","",".dec."&amp;$C649)&amp;"."&amp;X$5</f>
        <v>egy.distn.dps.dwe.2</v>
      </c>
      <c r="Y649" s="37">
        <f>IF(INDEX(DSecFuel,$D649),0,MMULT(INDEX(DSecLeon,$D649,0),Y$106:Y$110))</f>
        <v>0.00014876371594401376</v>
      </c>
      <c r="Z649" s="38">
        <f>Y649</f>
        <v>0.00014876371594401376</v>
      </c>
      <c r="AA649" s="38">
        <f>Z649</f>
        <v>0.00014876371594401376</v>
      </c>
      <c r="AB649" s="38">
        <f>AA649</f>
        <v>0.00014876371594401376</v>
      </c>
      <c r="AC649" s="38">
        <f>AB649</f>
        <v>0.00014876371594401376</v>
      </c>
      <c r="AD649" s="38">
        <f>AC649</f>
        <v>0.00014876371594401376</v>
      </c>
      <c r="AE649" s="38">
        <f>AD649</f>
        <v>0.00014876371594401376</v>
      </c>
      <c r="AF649" s="38">
        <f>AE649</f>
        <v>0.00014876371594401376</v>
      </c>
      <c r="AG649" s="38">
        <f>AF649</f>
        <v>0.00014876371594401376</v>
      </c>
      <c r="AH649" s="38">
        <f>AG649</f>
        <v>0.00014876371594401376</v>
      </c>
      <c r="AI649" s="38">
        <f>AH649</f>
        <v>0.00014876371594401376</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33"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7" t="str">
        <f>IF(X$5=K$5,SUM(Y650:AI650)-SUM(L650:V650),"")</f>
        <v/>
      </c>
      <c r="X650" s="9" t="str">
        <f>LOWER(CtryCode)&amp;".distn."&amp;$A650&amp;IF($B650="","","."&amp;$B650)&amp;IF($C650="","",".dec."&amp;$C650)&amp;"."&amp;X$5</f>
        <v>egy.distn.dps.edu.2</v>
      </c>
      <c r="Y650" s="37">
        <f>IF(INDEX(DSecFuel,$D650),0,MMULT(INDEX(DSecLeon,$D650,0),Y$106:Y$110))</f>
        <v>0.001071043192213508</v>
      </c>
      <c r="Z650" s="38">
        <f>Y650</f>
        <v>0.001071043192213508</v>
      </c>
      <c r="AA650" s="38">
        <f>Z650</f>
        <v>0.001071043192213508</v>
      </c>
      <c r="AB650" s="38">
        <f>AA650</f>
        <v>0.001071043192213508</v>
      </c>
      <c r="AC650" s="38">
        <f>AB650</f>
        <v>0.001071043192213508</v>
      </c>
      <c r="AD650" s="38">
        <f>AC650</f>
        <v>0.001071043192213508</v>
      </c>
      <c r="AE650" s="38">
        <f>AD650</f>
        <v>0.001071043192213508</v>
      </c>
      <c r="AF650" s="38">
        <f>AE650</f>
        <v>0.001071043192213508</v>
      </c>
      <c r="AG650" s="38">
        <f>AF650</f>
        <v>0.001071043192213508</v>
      </c>
      <c r="AH650" s="38">
        <f>AG650</f>
        <v>0.001071043192213508</v>
      </c>
      <c r="AI650" s="38">
        <f>AH650</f>
        <v>0.001071043192213508</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33"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7" t="str">
        <f>IF(X$5=K$5,SUM(Y651:AI651)-SUM(L651:V651),"")</f>
        <v/>
      </c>
      <c r="X651" s="9" t="str">
        <f>LOWER(CtryCode)&amp;".distn."&amp;$A651&amp;IF($B651="","","."&amp;$B651)&amp;IF($C651="","",".dec."&amp;$C651)&amp;"."&amp;X$5</f>
        <v>egy.distn.dps.eeq.2</v>
      </c>
      <c r="Y651" s="37">
        <f>IF(INDEX(DSecFuel,$D651),0,MMULT(INDEX(DSecLeon,$D651,0),Y$106:Y$110))</f>
        <v>0.002473608937865726</v>
      </c>
      <c r="Z651" s="38">
        <f>Y651</f>
        <v>0.002473608937865726</v>
      </c>
      <c r="AA651" s="38">
        <f>Z651</f>
        <v>0.002473608937865726</v>
      </c>
      <c r="AB651" s="38">
        <f>AA651</f>
        <v>0.002473608937865726</v>
      </c>
      <c r="AC651" s="38">
        <f>AB651</f>
        <v>0.002473608937865726</v>
      </c>
      <c r="AD651" s="38">
        <f>AC651</f>
        <v>0.002473608937865726</v>
      </c>
      <c r="AE651" s="38">
        <f>AD651</f>
        <v>0.002473608937865726</v>
      </c>
      <c r="AF651" s="38">
        <f>AE651</f>
        <v>0.002473608937865726</v>
      </c>
      <c r="AG651" s="38">
        <f>AF651</f>
        <v>0.002473608937865726</v>
      </c>
      <c r="AH651" s="38">
        <f>AG651</f>
        <v>0.002473608937865726</v>
      </c>
      <c r="AI651" s="38">
        <f>AH651</f>
        <v>0.002473608937865726</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33"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7" t="str">
        <f>IF(X$5=K$5,SUM(Y652:AI652)-SUM(L652:V652),"")</f>
        <v/>
      </c>
      <c r="X652" s="9" t="str">
        <f>LOWER(CtryCode)&amp;".distn."&amp;$A652&amp;IF($B652="","","."&amp;$B652)&amp;IF($C652="","",".dec."&amp;$C652)&amp;"."&amp;X$5</f>
        <v>egy.distn.dps.ele.2</v>
      </c>
      <c r="Y652" s="37">
        <f>IF(INDEX(DSecFuel,$D652),0,MMULT(INDEX(DSecLeon,$D652,0),Y$106:Y$110))</f>
        <v>0.002183473192775979</v>
      </c>
      <c r="Z652" s="38">
        <f>Y652</f>
        <v>0.002183473192775979</v>
      </c>
      <c r="AA652" s="38">
        <f>Z652</f>
        <v>0.002183473192775979</v>
      </c>
      <c r="AB652" s="38">
        <f>AA652</f>
        <v>0.002183473192775979</v>
      </c>
      <c r="AC652" s="38">
        <f>AB652</f>
        <v>0.002183473192775979</v>
      </c>
      <c r="AD652" s="38">
        <f>AC652</f>
        <v>0.002183473192775979</v>
      </c>
      <c r="AE652" s="38">
        <f>AD652</f>
        <v>0.002183473192775979</v>
      </c>
      <c r="AF652" s="38">
        <f>AE652</f>
        <v>0.002183473192775979</v>
      </c>
      <c r="AG652" s="38">
        <f>AF652</f>
        <v>0.002183473192775979</v>
      </c>
      <c r="AH652" s="38">
        <f>AG652</f>
        <v>0.002183473192775979</v>
      </c>
      <c r="AI652" s="38">
        <f>AH652</f>
        <v>0.002183473192775979</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33"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7"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33"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7" t="str">
        <f>IF(X$5=K$5,SUM(Y654:AI654)-SUM(L654:V654),"")</f>
        <v/>
      </c>
      <c r="X654" s="9" t="str">
        <f>LOWER(CtryCode)&amp;".distn."&amp;$A654&amp;IF($B654="","","."&amp;$B654)&amp;IF($C654="","",".dec."&amp;$C654)&amp;"."&amp;X$5</f>
        <v>egy.distn.dps.fmp.2</v>
      </c>
      <c r="Y654" s="37">
        <f>IF(INDEX(DSecFuel,$D654),0,MMULT(INDEX(DSecLeon,$D654,0),Y$106:Y$110))</f>
        <v>0.0030774774418020844</v>
      </c>
      <c r="Z654" s="38">
        <f>Y654</f>
        <v>0.0030774774418020844</v>
      </c>
      <c r="AA654" s="38">
        <f>Z654</f>
        <v>0.0030774774418020844</v>
      </c>
      <c r="AB654" s="38">
        <f>AA654</f>
        <v>0.0030774774418020844</v>
      </c>
      <c r="AC654" s="38">
        <f>AB654</f>
        <v>0.0030774774418020844</v>
      </c>
      <c r="AD654" s="38">
        <f>AC654</f>
        <v>0.0030774774418020844</v>
      </c>
      <c r="AE654" s="38">
        <f>AD654</f>
        <v>0.0030774774418020844</v>
      </c>
      <c r="AF654" s="38">
        <f>AE654</f>
        <v>0.0030774774418020844</v>
      </c>
      <c r="AG654" s="38">
        <f>AF654</f>
        <v>0.0030774774418020844</v>
      </c>
      <c r="AH654" s="38">
        <f>AG654</f>
        <v>0.0030774774418020844</v>
      </c>
      <c r="AI654" s="38">
        <f>AH654</f>
        <v>0.0030774774418020844</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33"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7" t="str">
        <f>IF(X$5=K$5,SUM(Y655:AI655)-SUM(L655:V655),"")</f>
        <v/>
      </c>
      <c r="X655" s="9" t="str">
        <f>LOWER(CtryCode)&amp;".distn."&amp;$A655&amp;IF($B655="","","."&amp;$B655)&amp;IF($C655="","",".dec."&amp;$C655)&amp;"."&amp;X$5</f>
        <v>egy.distn.dps.frs.2</v>
      </c>
      <c r="Y655" s="37">
        <f>IF(INDEX(DSecFuel,$D655),0,MMULT(INDEX(DSecLeon,$D655,0),Y$106:Y$110))</f>
        <v>0.0017835876796317728</v>
      </c>
      <c r="Z655" s="38">
        <f>Y655</f>
        <v>0.0017835876796317728</v>
      </c>
      <c r="AA655" s="38">
        <f>Z655</f>
        <v>0.0017835876796317728</v>
      </c>
      <c r="AB655" s="38">
        <f>AA655</f>
        <v>0.0017835876796317728</v>
      </c>
      <c r="AC655" s="38">
        <f>AB655</f>
        <v>0.0017835876796317728</v>
      </c>
      <c r="AD655" s="38">
        <f>AC655</f>
        <v>0.0017835876796317728</v>
      </c>
      <c r="AE655" s="38">
        <f>AD655</f>
        <v>0.0017835876796317728</v>
      </c>
      <c r="AF655" s="38">
        <f>AE655</f>
        <v>0.0017835876796317728</v>
      </c>
      <c r="AG655" s="38">
        <f>AF655</f>
        <v>0.0017835876796317728</v>
      </c>
      <c r="AH655" s="38">
        <f>AG655</f>
        <v>0.0017835876796317728</v>
      </c>
      <c r="AI655" s="38">
        <f>AH655</f>
        <v>0.0017835876796317728</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33"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7" t="str">
        <f>IF(X$5=K$5,SUM(Y656:AI656)-SUM(L656:V656),"")</f>
        <v/>
      </c>
      <c r="X656" s="9" t="str">
        <f>LOWER(CtryCode)&amp;".distn."&amp;$A656&amp;IF($B656="","","."&amp;$B656)&amp;IF($C656="","",".dec."&amp;$C656)&amp;"."&amp;X$5</f>
        <v>egy.distn.dps.fsh.2</v>
      </c>
      <c r="Y656" s="37">
        <f>IF(INDEX(DSecFuel,$D656),0,MMULT(INDEX(DSecLeon,$D656,0),Y$106:Y$110))</f>
        <v>0.0011319743333123597</v>
      </c>
      <c r="Z656" s="38">
        <f>Y656</f>
        <v>0.0011319743333123597</v>
      </c>
      <c r="AA656" s="38">
        <f>Z656</f>
        <v>0.0011319743333123597</v>
      </c>
      <c r="AB656" s="38">
        <f>AA656</f>
        <v>0.0011319743333123597</v>
      </c>
      <c r="AC656" s="38">
        <f>AB656</f>
        <v>0.0011319743333123597</v>
      </c>
      <c r="AD656" s="38">
        <f>AC656</f>
        <v>0.0011319743333123597</v>
      </c>
      <c r="AE656" s="38">
        <f>AD656</f>
        <v>0.0011319743333123597</v>
      </c>
      <c r="AF656" s="38">
        <f>AE656</f>
        <v>0.0011319743333123597</v>
      </c>
      <c r="AG656" s="38">
        <f>AF656</f>
        <v>0.0011319743333123597</v>
      </c>
      <c r="AH656" s="38">
        <f>AG656</f>
        <v>0.0011319743333123597</v>
      </c>
      <c r="AI656" s="38">
        <f>AH656</f>
        <v>0.0011319743333123597</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33"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7" t="str">
        <f>IF(X$5=K$5,SUM(Y657:AI657)-SUM(L657:V657),"")</f>
        <v/>
      </c>
      <c r="X657" s="9" t="str">
        <f>LOWER(CtryCode)&amp;".distn."&amp;$A657&amp;IF($B657="","","."&amp;$B657)&amp;IF($C657="","",".dec."&amp;$C657)&amp;"."&amp;X$5</f>
        <v>egy.distn.dps.gro.2</v>
      </c>
      <c r="Y657" s="37">
        <f>IF(INDEX(DSecFuel,$D657),0,MMULT(INDEX(DSecLeon,$D657,0),Y$106:Y$110))</f>
        <v>0.0013063672090467596</v>
      </c>
      <c r="Z657" s="38">
        <f>Y657</f>
        <v>0.0013063672090467596</v>
      </c>
      <c r="AA657" s="38">
        <f>Z657</f>
        <v>0.0013063672090467596</v>
      </c>
      <c r="AB657" s="38">
        <f>AA657</f>
        <v>0.0013063672090467596</v>
      </c>
      <c r="AC657" s="38">
        <f>AB657</f>
        <v>0.0013063672090467596</v>
      </c>
      <c r="AD657" s="38">
        <f>AC657</f>
        <v>0.0013063672090467596</v>
      </c>
      <c r="AE657" s="38">
        <f>AD657</f>
        <v>0.0013063672090467596</v>
      </c>
      <c r="AF657" s="38">
        <f>AE657</f>
        <v>0.0013063672090467596</v>
      </c>
      <c r="AG657" s="38">
        <f>AF657</f>
        <v>0.0013063672090467596</v>
      </c>
      <c r="AH657" s="38">
        <f>AG657</f>
        <v>0.0013063672090467596</v>
      </c>
      <c r="AI657" s="38">
        <f>AH657</f>
        <v>0.0013063672090467596</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33"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7" t="str">
        <f>IF(X$5=K$5,SUM(Y658:AI658)-SUM(L658:V658),"")</f>
        <v/>
      </c>
      <c r="X658" s="9" t="str">
        <f>LOWER(CtryCode)&amp;".distn."&amp;$A658&amp;IF($B658="","","."&amp;$B658)&amp;IF($C658="","",".dec."&amp;$C658)&amp;"."&amp;X$5</f>
        <v>egy.distn.dps.hht.2</v>
      </c>
      <c r="Y658" s="37">
        <f>IF(INDEX(DSecFuel,$D658),0,MMULT(INDEX(DSecLeon,$D658,0),Y$106:Y$110))</f>
        <v>0.0012726288082896956</v>
      </c>
      <c r="Z658" s="38">
        <f>Y658</f>
        <v>0.0012726288082896956</v>
      </c>
      <c r="AA658" s="38">
        <f>Z658</f>
        <v>0.0012726288082896956</v>
      </c>
      <c r="AB658" s="38">
        <f>AA658</f>
        <v>0.0012726288082896956</v>
      </c>
      <c r="AC658" s="38">
        <f>AB658</f>
        <v>0.0012726288082896956</v>
      </c>
      <c r="AD658" s="38">
        <f>AC658</f>
        <v>0.0012726288082896956</v>
      </c>
      <c r="AE658" s="38">
        <f>AD658</f>
        <v>0.0012726288082896956</v>
      </c>
      <c r="AF658" s="38">
        <f>AE658</f>
        <v>0.0012726288082896956</v>
      </c>
      <c r="AG658" s="38">
        <f>AF658</f>
        <v>0.0012726288082896956</v>
      </c>
      <c r="AH658" s="38">
        <f>AG658</f>
        <v>0.0012726288082896956</v>
      </c>
      <c r="AI658" s="38">
        <f>AH658</f>
        <v>0.0012726288082896956</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33"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7" t="str">
        <f>IF(X$5=K$5,SUM(Y659:AI659)-SUM(L659:V659),"")</f>
        <v/>
      </c>
      <c r="X659" s="9" t="str">
        <f>LOWER(CtryCode)&amp;".distn."&amp;$A659&amp;IF($B659="","","."&amp;$B659)&amp;IF($C659="","",".dec."&amp;$C659)&amp;"."&amp;X$5</f>
        <v>egy.distn.dps.i_s.2</v>
      </c>
      <c r="Y659" s="37">
        <f>IF(INDEX(DSecFuel,$D659),0,MMULT(INDEX(DSecLeon,$D659,0),Y$106:Y$110))</f>
        <v>0.0057726575764151305</v>
      </c>
      <c r="Z659" s="38">
        <f>Y659</f>
        <v>0.0057726575764151305</v>
      </c>
      <c r="AA659" s="38">
        <f>Z659</f>
        <v>0.0057726575764151305</v>
      </c>
      <c r="AB659" s="38">
        <f>AA659</f>
        <v>0.0057726575764151305</v>
      </c>
      <c r="AC659" s="38">
        <f>AB659</f>
        <v>0.0057726575764151305</v>
      </c>
      <c r="AD659" s="38">
        <f>AC659</f>
        <v>0.0057726575764151305</v>
      </c>
      <c r="AE659" s="38">
        <f>AD659</f>
        <v>0.0057726575764151305</v>
      </c>
      <c r="AF659" s="38">
        <f>AE659</f>
        <v>0.0057726575764151305</v>
      </c>
      <c r="AG659" s="38">
        <f>AF659</f>
        <v>0.0057726575764151305</v>
      </c>
      <c r="AH659" s="38">
        <f>AG659</f>
        <v>0.0057726575764151305</v>
      </c>
      <c r="AI659" s="38">
        <f>AH659</f>
        <v>0.0057726575764151305</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33"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7" t="str">
        <f>IF(X$5=K$5,SUM(Y660:AI660)-SUM(L660:V660),"")</f>
        <v/>
      </c>
      <c r="X660" s="9" t="str">
        <f>LOWER(CtryCode)&amp;".distn."&amp;$A660&amp;IF($B660="","","."&amp;$B660)&amp;IF($C660="","",".dec."&amp;$C660)&amp;"."&amp;X$5</f>
        <v>egy.distn.dps.ins.2</v>
      </c>
      <c r="Y660" s="37">
        <f>IF(INDEX(DSecFuel,$D660),0,MMULT(INDEX(DSecLeon,$D660,0),Y$106:Y$110))</f>
        <v>0.00044715312538229514</v>
      </c>
      <c r="Z660" s="38">
        <f>Y660</f>
        <v>0.00044715312538229514</v>
      </c>
      <c r="AA660" s="38">
        <f>Z660</f>
        <v>0.00044715312538229514</v>
      </c>
      <c r="AB660" s="38">
        <f>AA660</f>
        <v>0.00044715312538229514</v>
      </c>
      <c r="AC660" s="38">
        <f>AB660</f>
        <v>0.00044715312538229514</v>
      </c>
      <c r="AD660" s="38">
        <f>AC660</f>
        <v>0.00044715312538229514</v>
      </c>
      <c r="AE660" s="38">
        <f>AD660</f>
        <v>0.00044715312538229514</v>
      </c>
      <c r="AF660" s="38">
        <f>AE660</f>
        <v>0.00044715312538229514</v>
      </c>
      <c r="AG660" s="38">
        <f>AF660</f>
        <v>0.00044715312538229514</v>
      </c>
      <c r="AH660" s="38">
        <f>AG660</f>
        <v>0.00044715312538229514</v>
      </c>
      <c r="AI660" s="38">
        <f>AH660</f>
        <v>0.00044715312538229514</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33"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7" t="str">
        <f>IF(X$5=K$5,SUM(Y661:AI661)-SUM(L661:V661),"")</f>
        <v/>
      </c>
      <c r="X661" s="9" t="str">
        <f>LOWER(CtryCode)&amp;".distn."&amp;$A661&amp;IF($B661="","","."&amp;$B661)&amp;IF($C661="","",".dec."&amp;$C661)&amp;"."&amp;X$5</f>
        <v>egy.distn.dps.lea.2</v>
      </c>
      <c r="Y661" s="37">
        <f>IF(INDEX(DSecFuel,$D661),0,MMULT(INDEX(DSecLeon,$D661,0),Y$106:Y$110))</f>
        <v>0.0012959213990988202</v>
      </c>
      <c r="Z661" s="38">
        <f>Y661</f>
        <v>0.0012959213990988202</v>
      </c>
      <c r="AA661" s="38">
        <f>Z661</f>
        <v>0.0012959213990988202</v>
      </c>
      <c r="AB661" s="38">
        <f>AA661</f>
        <v>0.0012959213990988202</v>
      </c>
      <c r="AC661" s="38">
        <f>AB661</f>
        <v>0.0012959213990988202</v>
      </c>
      <c r="AD661" s="38">
        <f>AC661</f>
        <v>0.0012959213990988202</v>
      </c>
      <c r="AE661" s="38">
        <f>AD661</f>
        <v>0.0012959213990988202</v>
      </c>
      <c r="AF661" s="38">
        <f>AE661</f>
        <v>0.0012959213990988202</v>
      </c>
      <c r="AG661" s="38">
        <f>AF661</f>
        <v>0.0012959213990988202</v>
      </c>
      <c r="AH661" s="38">
        <f>AG661</f>
        <v>0.0012959213990988202</v>
      </c>
      <c r="AI661" s="38">
        <f>AH661</f>
        <v>0.0012959213990988202</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33"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7" t="str">
        <f>IF(X$5=K$5,SUM(Y662:AI662)-SUM(L662:V662),"")</f>
        <v/>
      </c>
      <c r="X662" s="9" t="str">
        <f>LOWER(CtryCode)&amp;".distn."&amp;$A662&amp;IF($B662="","","."&amp;$B662)&amp;IF($C662="","",".dec."&amp;$C662)&amp;"."&amp;X$5</f>
        <v>egy.distn.dps.lum.2</v>
      </c>
      <c r="Y662" s="37">
        <f>IF(INDEX(DSecFuel,$D662),0,MMULT(INDEX(DSecLeon,$D662,0),Y$106:Y$110))</f>
        <v>0.0018907188504477845</v>
      </c>
      <c r="Z662" s="38">
        <f>Y662</f>
        <v>0.0018907188504477845</v>
      </c>
      <c r="AA662" s="38">
        <f>Z662</f>
        <v>0.0018907188504477845</v>
      </c>
      <c r="AB662" s="38">
        <f>AA662</f>
        <v>0.0018907188504477845</v>
      </c>
      <c r="AC662" s="38">
        <f>AB662</f>
        <v>0.0018907188504477845</v>
      </c>
      <c r="AD662" s="38">
        <f>AC662</f>
        <v>0.0018907188504477845</v>
      </c>
      <c r="AE662" s="38">
        <f>AD662</f>
        <v>0.0018907188504477845</v>
      </c>
      <c r="AF662" s="38">
        <f>AE662</f>
        <v>0.0018907188504477845</v>
      </c>
      <c r="AG662" s="38">
        <f>AF662</f>
        <v>0.0018907188504477845</v>
      </c>
      <c r="AH662" s="38">
        <f>AG662</f>
        <v>0.0018907188504477845</v>
      </c>
      <c r="AI662" s="38">
        <f>AH662</f>
        <v>0.0018907188504477845</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33"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7" t="str">
        <f>IF(X$5=K$5,SUM(Y663:AI663)-SUM(L663:V663),"")</f>
        <v/>
      </c>
      <c r="X663" s="9" t="str">
        <f>LOWER(CtryCode)&amp;".distn."&amp;$A663&amp;IF($B663="","","."&amp;$B663)&amp;IF($C663="","",".dec."&amp;$C663)&amp;"."&amp;X$5</f>
        <v>egy.distn.dps.mil.2</v>
      </c>
      <c r="Y663" s="37">
        <f>IF(INDEX(DSecFuel,$D663),0,MMULT(INDEX(DSecLeon,$D663,0),Y$106:Y$110))</f>
        <v>0.0006189017115596121</v>
      </c>
      <c r="Z663" s="38">
        <f>Y663</f>
        <v>0.0006189017115596121</v>
      </c>
      <c r="AA663" s="38">
        <f>Z663</f>
        <v>0.0006189017115596121</v>
      </c>
      <c r="AB663" s="38">
        <f>AA663</f>
        <v>0.0006189017115596121</v>
      </c>
      <c r="AC663" s="38">
        <f>AB663</f>
        <v>0.0006189017115596121</v>
      </c>
      <c r="AD663" s="38">
        <f>AC663</f>
        <v>0.0006189017115596121</v>
      </c>
      <c r="AE663" s="38">
        <f>AD663</f>
        <v>0.0006189017115596121</v>
      </c>
      <c r="AF663" s="38">
        <f>AE663</f>
        <v>0.0006189017115596121</v>
      </c>
      <c r="AG663" s="38">
        <f>AF663</f>
        <v>0.0006189017115596121</v>
      </c>
      <c r="AH663" s="38">
        <f>AG663</f>
        <v>0.0006189017115596121</v>
      </c>
      <c r="AI663" s="38">
        <f>AH663</f>
        <v>0.0006189017115596121</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33"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7" t="str">
        <f>IF(X$5=K$5,SUM(Y664:AI664)-SUM(L664:V664),"")</f>
        <v/>
      </c>
      <c r="X664" s="9" t="str">
        <f>LOWER(CtryCode)&amp;".distn."&amp;$A664&amp;IF($B664="","","."&amp;$B664)&amp;IF($C664="","",".dec."&amp;$C664)&amp;"."&amp;X$5</f>
        <v>egy.distn.dps.mvh.2</v>
      </c>
      <c r="Y664" s="37">
        <f>IF(INDEX(DSecFuel,$D664),0,MMULT(INDEX(DSecLeon,$D664,0),Y$106:Y$110))</f>
        <v>0.002072193572752414</v>
      </c>
      <c r="Z664" s="38">
        <f>Y664</f>
        <v>0.002072193572752414</v>
      </c>
      <c r="AA664" s="38">
        <f>Z664</f>
        <v>0.002072193572752414</v>
      </c>
      <c r="AB664" s="38">
        <f>AA664</f>
        <v>0.002072193572752414</v>
      </c>
      <c r="AC664" s="38">
        <f>AB664</f>
        <v>0.002072193572752414</v>
      </c>
      <c r="AD664" s="38">
        <f>AC664</f>
        <v>0.002072193572752414</v>
      </c>
      <c r="AE664" s="38">
        <f>AD664</f>
        <v>0.002072193572752414</v>
      </c>
      <c r="AF664" s="38">
        <f>AE664</f>
        <v>0.002072193572752414</v>
      </c>
      <c r="AG664" s="38">
        <f>AF664</f>
        <v>0.002072193572752414</v>
      </c>
      <c r="AH664" s="38">
        <f>AG664</f>
        <v>0.002072193572752414</v>
      </c>
      <c r="AI664" s="38">
        <f>AH664</f>
        <v>0.002072193572752414</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33"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7" t="str">
        <f>IF(X$5=K$5,SUM(Y665:AI665)-SUM(L665:V665),"")</f>
        <v/>
      </c>
      <c r="X665" s="9" t="str">
        <f>LOWER(CtryCode)&amp;".distn."&amp;$A665&amp;IF($B665="","","."&amp;$B665)&amp;IF($C665="","",".dec."&amp;$C665)&amp;"."&amp;X$5</f>
        <v>egy.distn.dps.nfm.2</v>
      </c>
      <c r="Y665" s="37">
        <f>IF(INDEX(DSecFuel,$D665),0,MMULT(INDEX(DSecLeon,$D665,0),Y$106:Y$110))</f>
        <v>0.004261037871751051</v>
      </c>
      <c r="Z665" s="38">
        <f>Y665</f>
        <v>0.004261037871751051</v>
      </c>
      <c r="AA665" s="38">
        <f>Z665</f>
        <v>0.004261037871751051</v>
      </c>
      <c r="AB665" s="38">
        <f>AA665</f>
        <v>0.004261037871751051</v>
      </c>
      <c r="AC665" s="38">
        <f>AB665</f>
        <v>0.004261037871751051</v>
      </c>
      <c r="AD665" s="38">
        <f>AC665</f>
        <v>0.004261037871751051</v>
      </c>
      <c r="AE665" s="38">
        <f>AD665</f>
        <v>0.004261037871751051</v>
      </c>
      <c r="AF665" s="38">
        <f>AE665</f>
        <v>0.004261037871751051</v>
      </c>
      <c r="AG665" s="38">
        <f>AF665</f>
        <v>0.004261037871751051</v>
      </c>
      <c r="AH665" s="38">
        <f>AG665</f>
        <v>0.004261037871751051</v>
      </c>
      <c r="AI665" s="38">
        <f>AH665</f>
        <v>0.004261037871751051</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33"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7"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33"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7" t="str">
        <f>IF(X$5=K$5,SUM(Y667:AI667)-SUM(L667:V667),"")</f>
        <v/>
      </c>
      <c r="X667" s="9" t="str">
        <f>LOWER(CtryCode)&amp;".distn."&amp;$A667&amp;IF($B667="","","."&amp;$B667)&amp;IF($C667="","",".dec."&amp;$C667)&amp;"."&amp;X$5</f>
        <v>egy.distn.dps.nmm.2</v>
      </c>
      <c r="Y667" s="37">
        <f>IF(INDEX(DSecFuel,$D667),0,MMULT(INDEX(DSecLeon,$D667,0),Y$106:Y$110))</f>
        <v>0.002081291425119216</v>
      </c>
      <c r="Z667" s="38">
        <f>Y667</f>
        <v>0.002081291425119216</v>
      </c>
      <c r="AA667" s="38">
        <f>Z667</f>
        <v>0.002081291425119216</v>
      </c>
      <c r="AB667" s="38">
        <f>AA667</f>
        <v>0.002081291425119216</v>
      </c>
      <c r="AC667" s="38">
        <f>AB667</f>
        <v>0.002081291425119216</v>
      </c>
      <c r="AD667" s="38">
        <f>AC667</f>
        <v>0.002081291425119216</v>
      </c>
      <c r="AE667" s="38">
        <f>AD667</f>
        <v>0.002081291425119216</v>
      </c>
      <c r="AF667" s="38">
        <f>AE667</f>
        <v>0.002081291425119216</v>
      </c>
      <c r="AG667" s="38">
        <f>AF667</f>
        <v>0.002081291425119216</v>
      </c>
      <c r="AH667" s="38">
        <f>AG667</f>
        <v>0.002081291425119216</v>
      </c>
      <c r="AI667" s="38">
        <f>AH667</f>
        <v>0.002081291425119216</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33"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7" t="str">
        <f>IF(X$5=K$5,SUM(Y668:AI668)-SUM(L668:V668),"")</f>
        <v/>
      </c>
      <c r="X668" s="9" t="str">
        <f>LOWER(CtryCode)&amp;".distn."&amp;$A668&amp;IF($B668="","","."&amp;$B668)&amp;IF($C668="","",".dec."&amp;$C668)&amp;"."&amp;X$5</f>
        <v>egy.distn.dps.oap.2</v>
      </c>
      <c r="Y668" s="37">
        <f>IF(INDEX(DSecFuel,$D668),0,MMULT(INDEX(DSecLeon,$D668,0),Y$106:Y$110))</f>
        <v>0.001214444391102556</v>
      </c>
      <c r="Z668" s="38">
        <f>Y668</f>
        <v>0.001214444391102556</v>
      </c>
      <c r="AA668" s="38">
        <f>Z668</f>
        <v>0.001214444391102556</v>
      </c>
      <c r="AB668" s="38">
        <f>AA668</f>
        <v>0.001214444391102556</v>
      </c>
      <c r="AC668" s="38">
        <f>AB668</f>
        <v>0.001214444391102556</v>
      </c>
      <c r="AD668" s="38">
        <f>AC668</f>
        <v>0.001214444391102556</v>
      </c>
      <c r="AE668" s="38">
        <f>AD668</f>
        <v>0.001214444391102556</v>
      </c>
      <c r="AF668" s="38">
        <f>AE668</f>
        <v>0.001214444391102556</v>
      </c>
      <c r="AG668" s="38">
        <f>AF668</f>
        <v>0.001214444391102556</v>
      </c>
      <c r="AH668" s="38">
        <f>AG668</f>
        <v>0.001214444391102556</v>
      </c>
      <c r="AI668" s="38">
        <f>AH668</f>
        <v>0.001214444391102556</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33"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7" t="str">
        <f>IF(X$5=K$5,SUM(Y669:AI669)-SUM(L669:V669),"")</f>
        <v/>
      </c>
      <c r="X669" s="9" t="str">
        <f>LOWER(CtryCode)&amp;".distn."&amp;$A669&amp;IF($B669="","","."&amp;$B669)&amp;IF($C669="","",".dec."&amp;$C669)&amp;"."&amp;X$5</f>
        <v>egy.distn.dps.obs.2</v>
      </c>
      <c r="Y669" s="37">
        <f>IF(INDEX(DSecFuel,$D669),0,MMULT(INDEX(DSecLeon,$D669,0),Y$106:Y$110))</f>
        <v>0.0007206642422590418</v>
      </c>
      <c r="Z669" s="38">
        <f>Y669</f>
        <v>0.0007206642422590418</v>
      </c>
      <c r="AA669" s="38">
        <f>Z669</f>
        <v>0.0007206642422590418</v>
      </c>
      <c r="AB669" s="38">
        <f>AA669</f>
        <v>0.0007206642422590418</v>
      </c>
      <c r="AC669" s="38">
        <f>AB669</f>
        <v>0.0007206642422590418</v>
      </c>
      <c r="AD669" s="38">
        <f>AC669</f>
        <v>0.0007206642422590418</v>
      </c>
      <c r="AE669" s="38">
        <f>AD669</f>
        <v>0.0007206642422590418</v>
      </c>
      <c r="AF669" s="38">
        <f>AE669</f>
        <v>0.0007206642422590418</v>
      </c>
      <c r="AG669" s="38">
        <f>AF669</f>
        <v>0.0007206642422590418</v>
      </c>
      <c r="AH669" s="38">
        <f>AG669</f>
        <v>0.0007206642422590418</v>
      </c>
      <c r="AI669" s="38">
        <f>AH669</f>
        <v>0.0007206642422590418</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33"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7" t="str">
        <f>IF(X$5=K$5,SUM(Y670:AI670)-SUM(L670:V670),"")</f>
        <v/>
      </c>
      <c r="X670" s="9" t="str">
        <f>LOWER(CtryCode)&amp;".distn."&amp;$A670&amp;IF($B670="","","."&amp;$B670)&amp;IF($C670="","",".dec."&amp;$C670)&amp;"."&amp;X$5</f>
        <v>egy.distn.dps.ocr.2</v>
      </c>
      <c r="Y670" s="37">
        <f>IF(INDEX(DSecFuel,$D670),0,MMULT(INDEX(DSecLeon,$D670,0),Y$106:Y$110))</f>
        <v>0.0004396625186060514</v>
      </c>
      <c r="Z670" s="38">
        <f>Y670</f>
        <v>0.0004396625186060514</v>
      </c>
      <c r="AA670" s="38">
        <f>Z670</f>
        <v>0.0004396625186060514</v>
      </c>
      <c r="AB670" s="38">
        <f>AA670</f>
        <v>0.0004396625186060514</v>
      </c>
      <c r="AC670" s="38">
        <f>AB670</f>
        <v>0.0004396625186060514</v>
      </c>
      <c r="AD670" s="38">
        <f>AC670</f>
        <v>0.0004396625186060514</v>
      </c>
      <c r="AE670" s="38">
        <f>AD670</f>
        <v>0.0004396625186060514</v>
      </c>
      <c r="AF670" s="38">
        <f>AE670</f>
        <v>0.0004396625186060514</v>
      </c>
      <c r="AG670" s="38">
        <f>AF670</f>
        <v>0.0004396625186060514</v>
      </c>
      <c r="AH670" s="38">
        <f>AG670</f>
        <v>0.0004396625186060514</v>
      </c>
      <c r="AI670" s="38">
        <f>AH670</f>
        <v>0.0004396625186060514</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33"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7" t="str">
        <f>IF(X$5=K$5,SUM(Y671:AI671)-SUM(L671:V671),"")</f>
        <v/>
      </c>
      <c r="X671" s="9" t="str">
        <f>LOWER(CtryCode)&amp;".distn."&amp;$A671&amp;IF($B671="","","."&amp;$B671)&amp;IF($C671="","",".dec."&amp;$C671)&amp;"."&amp;X$5</f>
        <v>egy.distn.dps.ofd.2</v>
      </c>
      <c r="Y671" s="37">
        <f>IF(INDEX(DSecFuel,$D671),0,MMULT(INDEX(DSecLeon,$D671,0),Y$106:Y$110))</f>
        <v>0.0017424340602762074</v>
      </c>
      <c r="Z671" s="38">
        <f>Y671</f>
        <v>0.0017424340602762074</v>
      </c>
      <c r="AA671" s="38">
        <f>Z671</f>
        <v>0.0017424340602762074</v>
      </c>
      <c r="AB671" s="38">
        <f>AA671</f>
        <v>0.0017424340602762074</v>
      </c>
      <c r="AC671" s="38">
        <f>AB671</f>
        <v>0.0017424340602762074</v>
      </c>
      <c r="AD671" s="38">
        <f>AC671</f>
        <v>0.0017424340602762074</v>
      </c>
      <c r="AE671" s="38">
        <f>AD671</f>
        <v>0.0017424340602762074</v>
      </c>
      <c r="AF671" s="38">
        <f>AE671</f>
        <v>0.0017424340602762074</v>
      </c>
      <c r="AG671" s="38">
        <f>AF671</f>
        <v>0.0017424340602762074</v>
      </c>
      <c r="AH671" s="38">
        <f>AG671</f>
        <v>0.0017424340602762074</v>
      </c>
      <c r="AI671" s="38">
        <f>AH671</f>
        <v>0.0017424340602762074</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33"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7" t="str">
        <f>IF(X$5=K$5,SUM(Y672:AI672)-SUM(L672:V672),"")</f>
        <v/>
      </c>
      <c r="X672" s="9" t="str">
        <f>LOWER(CtryCode)&amp;".distn."&amp;$A672&amp;IF($B672="","","."&amp;$B672)&amp;IF($C672="","",".dec."&amp;$C672)&amp;"."&amp;X$5</f>
        <v>egy.distn.dps.ofi.2</v>
      </c>
      <c r="Y672" s="37">
        <f>IF(INDEX(DSecFuel,$D672),0,MMULT(INDEX(DSecLeon,$D672,0),Y$106:Y$110))</f>
        <v>0.00036744625026916</v>
      </c>
      <c r="Z672" s="38">
        <f>Y672</f>
        <v>0.00036744625026916</v>
      </c>
      <c r="AA672" s="38">
        <f>Z672</f>
        <v>0.00036744625026916</v>
      </c>
      <c r="AB672" s="38">
        <f>AA672</f>
        <v>0.00036744625026916</v>
      </c>
      <c r="AC672" s="38">
        <f>AB672</f>
        <v>0.00036744625026916</v>
      </c>
      <c r="AD672" s="38">
        <f>AC672</f>
        <v>0.00036744625026916</v>
      </c>
      <c r="AE672" s="38">
        <f>AD672</f>
        <v>0.00036744625026916</v>
      </c>
      <c r="AF672" s="38">
        <f>AE672</f>
        <v>0.00036744625026916</v>
      </c>
      <c r="AG672" s="38">
        <f>AF672</f>
        <v>0.00036744625026916</v>
      </c>
      <c r="AH672" s="38">
        <f>AG672</f>
        <v>0.00036744625026916</v>
      </c>
      <c r="AI672" s="38">
        <f>AH672</f>
        <v>0.00036744625026916</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33"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7"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33"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7" t="str">
        <f>IF(X$5=K$5,SUM(Y674:AI674)-SUM(L674:V674),"")</f>
        <v/>
      </c>
      <c r="X674" s="9" t="str">
        <f>LOWER(CtryCode)&amp;".distn."&amp;$A674&amp;IF($B674="","","."&amp;$B674)&amp;IF($C674="","",".dec."&amp;$C674)&amp;"."&amp;X$5</f>
        <v>egy.distn.dps.ome.2</v>
      </c>
      <c r="Y674" s="37">
        <f>IF(INDEX(DSecFuel,$D674),0,MMULT(INDEX(DSecLeon,$D674,0),Y$106:Y$110))</f>
        <v>0.002460519096679889</v>
      </c>
      <c r="Z674" s="38">
        <f>Y674</f>
        <v>0.002460519096679889</v>
      </c>
      <c r="AA674" s="38">
        <f>Z674</f>
        <v>0.002460519096679889</v>
      </c>
      <c r="AB674" s="38">
        <f>AA674</f>
        <v>0.002460519096679889</v>
      </c>
      <c r="AC674" s="38">
        <f>AB674</f>
        <v>0.002460519096679889</v>
      </c>
      <c r="AD674" s="38">
        <f>AC674</f>
        <v>0.002460519096679889</v>
      </c>
      <c r="AE674" s="38">
        <f>AD674</f>
        <v>0.002460519096679889</v>
      </c>
      <c r="AF674" s="38">
        <f>AE674</f>
        <v>0.002460519096679889</v>
      </c>
      <c r="AG674" s="38">
        <f>AF674</f>
        <v>0.002460519096679889</v>
      </c>
      <c r="AH674" s="38">
        <f>AG674</f>
        <v>0.002460519096679889</v>
      </c>
      <c r="AI674" s="38">
        <f>AH674</f>
        <v>0.002460519096679889</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33"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7" t="str">
        <f>IF(X$5=K$5,SUM(Y675:AI675)-SUM(L675:V675),"")</f>
        <v/>
      </c>
      <c r="X675" s="9" t="str">
        <f>LOWER(CtryCode)&amp;".distn."&amp;$A675&amp;IF($B675="","","."&amp;$B675)&amp;IF($C675="","",".dec."&amp;$C675)&amp;"."&amp;X$5</f>
        <v>egy.distn.dps.omf.2</v>
      </c>
      <c r="Y675" s="37">
        <f>IF(INDEX(DSecFuel,$D675),0,MMULT(INDEX(DSecLeon,$D675,0),Y$106:Y$110))</f>
        <v>0.005881932408079233</v>
      </c>
      <c r="Z675" s="38">
        <f>Y675</f>
        <v>0.005881932408079233</v>
      </c>
      <c r="AA675" s="38">
        <f>Z675</f>
        <v>0.005881932408079233</v>
      </c>
      <c r="AB675" s="38">
        <f>AA675</f>
        <v>0.005881932408079233</v>
      </c>
      <c r="AC675" s="38">
        <f>AB675</f>
        <v>0.005881932408079233</v>
      </c>
      <c r="AD675" s="38">
        <f>AC675</f>
        <v>0.005881932408079233</v>
      </c>
      <c r="AE675" s="38">
        <f>AD675</f>
        <v>0.005881932408079233</v>
      </c>
      <c r="AF675" s="38">
        <f>AE675</f>
        <v>0.005881932408079233</v>
      </c>
      <c r="AG675" s="38">
        <f>AF675</f>
        <v>0.005881932408079233</v>
      </c>
      <c r="AH675" s="38">
        <f>AG675</f>
        <v>0.005881932408079233</v>
      </c>
      <c r="AI675" s="38">
        <f>AH675</f>
        <v>0.005881932408079233</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33"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7" t="str">
        <f>IF(X$5=K$5,SUM(Y676:AI676)-SUM(L676:V676),"")</f>
        <v/>
      </c>
      <c r="X676" s="9" t="str">
        <f>LOWER(CtryCode)&amp;".distn."&amp;$A676&amp;IF($B676="","","."&amp;$B676)&amp;IF($C676="","",".dec."&amp;$C676)&amp;"."&amp;X$5</f>
        <v>egy.distn.dps.omt.2</v>
      </c>
      <c r="Y676" s="37">
        <f>IF(INDEX(DSecFuel,$D676),0,MMULT(INDEX(DSecLeon,$D676,0),Y$106:Y$110))</f>
        <v>0.0002287748450467714</v>
      </c>
      <c r="Z676" s="38">
        <f>Y676</f>
        <v>0.0002287748450467714</v>
      </c>
      <c r="AA676" s="38">
        <f>Z676</f>
        <v>0.0002287748450467714</v>
      </c>
      <c r="AB676" s="38">
        <f>AA676</f>
        <v>0.0002287748450467714</v>
      </c>
      <c r="AC676" s="38">
        <f>AB676</f>
        <v>0.0002287748450467714</v>
      </c>
      <c r="AD676" s="38">
        <f>AC676</f>
        <v>0.0002287748450467714</v>
      </c>
      <c r="AE676" s="38">
        <f>AD676</f>
        <v>0.0002287748450467714</v>
      </c>
      <c r="AF676" s="38">
        <f>AE676</f>
        <v>0.0002287748450467714</v>
      </c>
      <c r="AG676" s="38">
        <f>AF676</f>
        <v>0.0002287748450467714</v>
      </c>
      <c r="AH676" s="38">
        <f>AG676</f>
        <v>0.0002287748450467714</v>
      </c>
      <c r="AI676" s="38">
        <f>AH676</f>
        <v>0.0002287748450467714</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33"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7" t="str">
        <f>IF(X$5=K$5,SUM(Y677:AI677)-SUM(L677:V677),"")</f>
        <v/>
      </c>
      <c r="X677" s="9" t="str">
        <f>LOWER(CtryCode)&amp;".distn."&amp;$A677&amp;IF($B677="","","."&amp;$B677)&amp;IF($C677="","",".dec."&amp;$C677)&amp;"."&amp;X$5</f>
        <v>egy.distn.dps.osd.2</v>
      </c>
      <c r="Y677" s="37">
        <f>IF(INDEX(DSecFuel,$D677),0,MMULT(INDEX(DSecLeon,$D677,0),Y$106:Y$110))</f>
        <v>0.0008904268465040913</v>
      </c>
      <c r="Z677" s="38">
        <f>Y677</f>
        <v>0.0008904268465040913</v>
      </c>
      <c r="AA677" s="38">
        <f>Z677</f>
        <v>0.0008904268465040913</v>
      </c>
      <c r="AB677" s="38">
        <f>AA677</f>
        <v>0.0008904268465040913</v>
      </c>
      <c r="AC677" s="38">
        <f>AB677</f>
        <v>0.0008904268465040913</v>
      </c>
      <c r="AD677" s="38">
        <f>AC677</f>
        <v>0.0008904268465040913</v>
      </c>
      <c r="AE677" s="38">
        <f>AD677</f>
        <v>0.0008904268465040913</v>
      </c>
      <c r="AF677" s="38">
        <f>AE677</f>
        <v>0.0008904268465040913</v>
      </c>
      <c r="AG677" s="38">
        <f>AF677</f>
        <v>0.0008904268465040913</v>
      </c>
      <c r="AH677" s="38">
        <f>AG677</f>
        <v>0.0008904268465040913</v>
      </c>
      <c r="AI677" s="38">
        <f>AH677</f>
        <v>0.0008904268465040913</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33"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7" t="str">
        <f>IF(X$5=K$5,SUM(Y678:AI678)-SUM(L678:V678),"")</f>
        <v/>
      </c>
      <c r="X678" s="9" t="str">
        <f>LOWER(CtryCode)&amp;".distn."&amp;$A678&amp;IF($B678="","","."&amp;$B678)&amp;IF($C678="","",".dec."&amp;$C678)&amp;"."&amp;X$5</f>
        <v>egy.distn.dps.osg.2</v>
      </c>
      <c r="Y678" s="37">
        <f>IF(INDEX(DSecFuel,$D678),0,MMULT(INDEX(DSecLeon,$D678,0),Y$106:Y$110))</f>
        <v>0.001176774002321939</v>
      </c>
      <c r="Z678" s="38">
        <f>Y678</f>
        <v>0.001176774002321939</v>
      </c>
      <c r="AA678" s="38">
        <f>Z678</f>
        <v>0.001176774002321939</v>
      </c>
      <c r="AB678" s="38">
        <f>AA678</f>
        <v>0.001176774002321939</v>
      </c>
      <c r="AC678" s="38">
        <f>AB678</f>
        <v>0.001176774002321939</v>
      </c>
      <c r="AD678" s="38">
        <f>AC678</f>
        <v>0.001176774002321939</v>
      </c>
      <c r="AE678" s="38">
        <f>AD678</f>
        <v>0.001176774002321939</v>
      </c>
      <c r="AF678" s="38">
        <f>AE678</f>
        <v>0.001176774002321939</v>
      </c>
      <c r="AG678" s="38">
        <f>AF678</f>
        <v>0.001176774002321939</v>
      </c>
      <c r="AH678" s="38">
        <f>AG678</f>
        <v>0.001176774002321939</v>
      </c>
      <c r="AI678" s="38">
        <f>AH678</f>
        <v>0.001176774002321939</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33"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7" t="str">
        <f>IF(X$5=K$5,SUM(Y679:AI679)-SUM(L679:V679),"")</f>
        <v/>
      </c>
      <c r="X679" s="9" t="str">
        <f>LOWER(CtryCode)&amp;".distn."&amp;$A679&amp;IF($B679="","","."&amp;$B679)&amp;IF($C679="","",".dec."&amp;$C679)&amp;"."&amp;X$5</f>
        <v>egy.distn.dps.otn.2</v>
      </c>
      <c r="Y679" s="37">
        <f>IF(INDEX(DSecFuel,$D679),0,MMULT(INDEX(DSecLeon,$D679,0),Y$106:Y$110))</f>
        <v>0.0019866656050233312</v>
      </c>
      <c r="Z679" s="38">
        <f>Y679</f>
        <v>0.0019866656050233312</v>
      </c>
      <c r="AA679" s="38">
        <f>Z679</f>
        <v>0.0019866656050233312</v>
      </c>
      <c r="AB679" s="38">
        <f>AA679</f>
        <v>0.0019866656050233312</v>
      </c>
      <c r="AC679" s="38">
        <f>AB679</f>
        <v>0.0019866656050233312</v>
      </c>
      <c r="AD679" s="38">
        <f>AC679</f>
        <v>0.0019866656050233312</v>
      </c>
      <c r="AE679" s="38">
        <f>AD679</f>
        <v>0.0019866656050233312</v>
      </c>
      <c r="AF679" s="38">
        <f>AE679</f>
        <v>0.0019866656050233312</v>
      </c>
      <c r="AG679" s="38">
        <f>AF679</f>
        <v>0.0019866656050233312</v>
      </c>
      <c r="AH679" s="38">
        <f>AG679</f>
        <v>0.0019866656050233312</v>
      </c>
      <c r="AI679" s="38">
        <f>AH679</f>
        <v>0.0019866656050233312</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33"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7" t="str">
        <f>IF(X$5=K$5,SUM(Y680:AI680)-SUM(L680:V680),"")</f>
        <v/>
      </c>
      <c r="X680" s="9" t="str">
        <f>LOWER(CtryCode)&amp;".distn."&amp;$A680&amp;IF($B680="","","."&amp;$B680)&amp;IF($C680="","",".dec."&amp;$C680)&amp;"."&amp;X$5</f>
        <v>egy.distn.dps.otp.2</v>
      </c>
      <c r="Y680" s="37">
        <f>IF(INDEX(DSecFuel,$D680),0,MMULT(INDEX(DSecLeon,$D680,0),Y$106:Y$110))</f>
        <v>0.00595874522493562</v>
      </c>
      <c r="Z680" s="38">
        <f>Y680</f>
        <v>0.00595874522493562</v>
      </c>
      <c r="AA680" s="38">
        <f>Z680</f>
        <v>0.00595874522493562</v>
      </c>
      <c r="AB680" s="38">
        <f>AA680</f>
        <v>0.00595874522493562</v>
      </c>
      <c r="AC680" s="38">
        <f>AB680</f>
        <v>0.00595874522493562</v>
      </c>
      <c r="AD680" s="38">
        <f>AC680</f>
        <v>0.00595874522493562</v>
      </c>
      <c r="AE680" s="38">
        <f>AD680</f>
        <v>0.00595874522493562</v>
      </c>
      <c r="AF680" s="38">
        <f>AE680</f>
        <v>0.00595874522493562</v>
      </c>
      <c r="AG680" s="38">
        <f>AF680</f>
        <v>0.00595874522493562</v>
      </c>
      <c r="AH680" s="38">
        <f>AG680</f>
        <v>0.00595874522493562</v>
      </c>
      <c r="AI680" s="38">
        <f>AH680</f>
        <v>0.00595874522493562</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33"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7" t="str">
        <f>IF(X$5=K$5,SUM(Y681:AI681)-SUM(L681:V681),"")</f>
        <v/>
      </c>
      <c r="X681" s="9" t="str">
        <f>LOWER(CtryCode)&amp;".distn."&amp;$A681&amp;IF($B681="","","."&amp;$B681)&amp;IF($C681="","",".dec."&amp;$C681)&amp;"."&amp;X$5</f>
        <v>egy.distn.dps.oxt.2</v>
      </c>
      <c r="Y681" s="37">
        <f>IF(INDEX(DSecFuel,$D681),0,MMULT(INDEX(DSecLeon,$D681,0),Y$106:Y$110))</f>
        <v>0.00634222332438569</v>
      </c>
      <c r="Z681" s="38">
        <f>Y681</f>
        <v>0.00634222332438569</v>
      </c>
      <c r="AA681" s="38">
        <f>Z681</f>
        <v>0.00634222332438569</v>
      </c>
      <c r="AB681" s="38">
        <f>AA681</f>
        <v>0.00634222332438569</v>
      </c>
      <c r="AC681" s="38">
        <f>AB681</f>
        <v>0.00634222332438569</v>
      </c>
      <c r="AD681" s="38">
        <f>AC681</f>
        <v>0.00634222332438569</v>
      </c>
      <c r="AE681" s="38">
        <f>AD681</f>
        <v>0.00634222332438569</v>
      </c>
      <c r="AF681" s="38">
        <f>AE681</f>
        <v>0.00634222332438569</v>
      </c>
      <c r="AG681" s="38">
        <f>AF681</f>
        <v>0.00634222332438569</v>
      </c>
      <c r="AH681" s="38">
        <f>AG681</f>
        <v>0.00634222332438569</v>
      </c>
      <c r="AI681" s="38">
        <f>AH681</f>
        <v>0.00634222332438569</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33"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7"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33"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7" t="str">
        <f>IF(X$5=K$5,SUM(Y683:AI683)-SUM(L683:V683),"")</f>
        <v/>
      </c>
      <c r="X683" s="9" t="str">
        <f>LOWER(CtryCode)&amp;".distn."&amp;$A683&amp;IF($B683="","","."&amp;$B683)&amp;IF($C683="","",".dec."&amp;$C683)&amp;"."&amp;X$5</f>
        <v>egy.distn.dps.pcr.2</v>
      </c>
      <c r="Y683" s="37">
        <f>IF(INDEX(DSecFuel,$D683),0,MMULT(INDEX(DSecLeon,$D683,0),Y$106:Y$110))</f>
        <v>0.0012613798632163309</v>
      </c>
      <c r="Z683" s="38">
        <f>Y683</f>
        <v>0.0012613798632163309</v>
      </c>
      <c r="AA683" s="38">
        <f>Z683</f>
        <v>0.0012613798632163309</v>
      </c>
      <c r="AB683" s="38">
        <f>AA683</f>
        <v>0.0012613798632163309</v>
      </c>
      <c r="AC683" s="38">
        <f>AB683</f>
        <v>0.0012613798632163309</v>
      </c>
      <c r="AD683" s="38">
        <f>AC683</f>
        <v>0.0012613798632163309</v>
      </c>
      <c r="AE683" s="38">
        <f>AD683</f>
        <v>0.0012613798632163309</v>
      </c>
      <c r="AF683" s="38">
        <f>AE683</f>
        <v>0.0012613798632163309</v>
      </c>
      <c r="AG683" s="38">
        <f>AF683</f>
        <v>0.0012613798632163309</v>
      </c>
      <c r="AH683" s="38">
        <f>AG683</f>
        <v>0.0012613798632163309</v>
      </c>
      <c r="AI683" s="38">
        <f>AH683</f>
        <v>0.0012613798632163309</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33"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7" t="str">
        <f>IF(X$5=K$5,SUM(Y684:AI684)-SUM(L684:V684),"")</f>
        <v/>
      </c>
      <c r="X684" s="9" t="str">
        <f>LOWER(CtryCode)&amp;".distn."&amp;$A684&amp;IF($B684="","","."&amp;$B684)&amp;IF($C684="","",".dec."&amp;$C684)&amp;"."&amp;X$5</f>
        <v>egy.distn.dps.pdr.2</v>
      </c>
      <c r="Y684" s="37">
        <f>IF(INDEX(DSecFuel,$D684),0,MMULT(INDEX(DSecLeon,$D684,0),Y$106:Y$110))</f>
        <v>0.001031761603714206</v>
      </c>
      <c r="Z684" s="38">
        <f>Y684</f>
        <v>0.001031761603714206</v>
      </c>
      <c r="AA684" s="38">
        <f>Z684</f>
        <v>0.001031761603714206</v>
      </c>
      <c r="AB684" s="38">
        <f>AA684</f>
        <v>0.001031761603714206</v>
      </c>
      <c r="AC684" s="38">
        <f>AB684</f>
        <v>0.001031761603714206</v>
      </c>
      <c r="AD684" s="38">
        <f>AC684</f>
        <v>0.001031761603714206</v>
      </c>
      <c r="AE684" s="38">
        <f>AD684</f>
        <v>0.001031761603714206</v>
      </c>
      <c r="AF684" s="38">
        <f>AE684</f>
        <v>0.001031761603714206</v>
      </c>
      <c r="AG684" s="38">
        <f>AF684</f>
        <v>0.001031761603714206</v>
      </c>
      <c r="AH684" s="38">
        <f>AG684</f>
        <v>0.001031761603714206</v>
      </c>
      <c r="AI684" s="38">
        <f>AH684</f>
        <v>0.001031761603714206</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33"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7" t="str">
        <f>IF(X$5=K$5,SUM(Y685:AI685)-SUM(L685:V685),"")</f>
        <v/>
      </c>
      <c r="X685" s="9" t="str">
        <f>LOWER(CtryCode)&amp;".distn."&amp;$A685&amp;IF($B685="","","."&amp;$B685)&amp;IF($C685="","",".dec."&amp;$C685)&amp;"."&amp;X$5</f>
        <v>egy.distn.dps.pfb.2</v>
      </c>
      <c r="Y685" s="37">
        <f>IF(INDEX(DSecFuel,$D685),0,MMULT(INDEX(DSecLeon,$D685,0),Y$106:Y$110))</f>
        <v>0.003064718775070867</v>
      </c>
      <c r="Z685" s="38">
        <f>Y685</f>
        <v>0.003064718775070867</v>
      </c>
      <c r="AA685" s="38">
        <f>Z685</f>
        <v>0.003064718775070867</v>
      </c>
      <c r="AB685" s="38">
        <f>AA685</f>
        <v>0.003064718775070867</v>
      </c>
      <c r="AC685" s="38">
        <f>AB685</f>
        <v>0.003064718775070867</v>
      </c>
      <c r="AD685" s="38">
        <f>AC685</f>
        <v>0.003064718775070867</v>
      </c>
      <c r="AE685" s="38">
        <f>AD685</f>
        <v>0.003064718775070867</v>
      </c>
      <c r="AF685" s="38">
        <f>AE685</f>
        <v>0.003064718775070867</v>
      </c>
      <c r="AG685" s="38">
        <f>AF685</f>
        <v>0.003064718775070867</v>
      </c>
      <c r="AH685" s="38">
        <f>AG685</f>
        <v>0.003064718775070867</v>
      </c>
      <c r="AI685" s="38">
        <f>AH685</f>
        <v>0.003064718775070867</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33"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7" t="str">
        <f>IF(X$5=K$5,SUM(Y686:AI686)-SUM(L686:V686),"")</f>
        <v/>
      </c>
      <c r="X686" s="9" t="str">
        <f>LOWER(CtryCode)&amp;".distn."&amp;$A686&amp;IF($B686="","","."&amp;$B686)&amp;IF($C686="","",".dec."&amp;$C686)&amp;"."&amp;X$5</f>
        <v>egy.distn.dps.ppp.2</v>
      </c>
      <c r="Y686" s="37">
        <f>IF(INDEX(DSecFuel,$D686),0,MMULT(INDEX(DSecLeon,$D686,0),Y$106:Y$110))</f>
        <v>0.0028140413871442383</v>
      </c>
      <c r="Z686" s="38">
        <f>Y686</f>
        <v>0.0028140413871442383</v>
      </c>
      <c r="AA686" s="38">
        <f>Z686</f>
        <v>0.0028140413871442383</v>
      </c>
      <c r="AB686" s="38">
        <f>AA686</f>
        <v>0.0028140413871442383</v>
      </c>
      <c r="AC686" s="38">
        <f>AB686</f>
        <v>0.0028140413871442383</v>
      </c>
      <c r="AD686" s="38">
        <f>AC686</f>
        <v>0.0028140413871442383</v>
      </c>
      <c r="AE686" s="38">
        <f>AD686</f>
        <v>0.0028140413871442383</v>
      </c>
      <c r="AF686" s="38">
        <f>AE686</f>
        <v>0.0028140413871442383</v>
      </c>
      <c r="AG686" s="38">
        <f>AF686</f>
        <v>0.0028140413871442383</v>
      </c>
      <c r="AH686" s="38">
        <f>AG686</f>
        <v>0.0028140413871442383</v>
      </c>
      <c r="AI686" s="38">
        <f>AH686</f>
        <v>0.0028140413871442383</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33"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7" t="str">
        <f>IF(X$5=K$5,SUM(Y687:AI687)-SUM(L687:V687),"")</f>
        <v/>
      </c>
      <c r="X687" s="9" t="str">
        <f>LOWER(CtryCode)&amp;".distn."&amp;$A687&amp;IF($B687="","","."&amp;$B687)&amp;IF($C687="","",".dec."&amp;$C687)&amp;"."&amp;X$5</f>
        <v>egy.distn.dps.rmk.2</v>
      </c>
      <c r="Y687" s="37">
        <f>IF(INDEX(DSecFuel,$D687),0,MMULT(INDEX(DSecLeon,$D687,0),Y$106:Y$110))</f>
        <v>0.0011631018938395802</v>
      </c>
      <c r="Z687" s="38">
        <f>Y687</f>
        <v>0.0011631018938395802</v>
      </c>
      <c r="AA687" s="38">
        <f>Z687</f>
        <v>0.0011631018938395802</v>
      </c>
      <c r="AB687" s="38">
        <f>AA687</f>
        <v>0.0011631018938395802</v>
      </c>
      <c r="AC687" s="38">
        <f>AB687</f>
        <v>0.0011631018938395802</v>
      </c>
      <c r="AD687" s="38">
        <f>AC687</f>
        <v>0.0011631018938395802</v>
      </c>
      <c r="AE687" s="38">
        <f>AD687</f>
        <v>0.0011631018938395802</v>
      </c>
      <c r="AF687" s="38">
        <f>AE687</f>
        <v>0.0011631018938395802</v>
      </c>
      <c r="AG687" s="38">
        <f>AF687</f>
        <v>0.0011631018938395802</v>
      </c>
      <c r="AH687" s="38">
        <f>AG687</f>
        <v>0.0011631018938395802</v>
      </c>
      <c r="AI687" s="38">
        <f>AH687</f>
        <v>0.0011631018938395802</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33"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7" t="str">
        <f>IF(X$5=K$5,SUM(Y688:AI688)-SUM(L688:V688),"")</f>
        <v/>
      </c>
      <c r="X688" s="9" t="str">
        <f>LOWER(CtryCode)&amp;".distn."&amp;$A688&amp;IF($B688="","","."&amp;$B688)&amp;IF($C688="","",".dec."&amp;$C688)&amp;"."&amp;X$5</f>
        <v>egy.distn.dps.ros.2</v>
      </c>
      <c r="Y688" s="37">
        <f>IF(INDEX(DSecFuel,$D688),0,MMULT(INDEX(DSecLeon,$D688,0),Y$106:Y$110))</f>
        <v>0.0010668084325739908</v>
      </c>
      <c r="Z688" s="38">
        <f>Y688</f>
        <v>0.0010668084325739908</v>
      </c>
      <c r="AA688" s="38">
        <f>Z688</f>
        <v>0.0010668084325739908</v>
      </c>
      <c r="AB688" s="38">
        <f>AA688</f>
        <v>0.0010668084325739908</v>
      </c>
      <c r="AC688" s="38">
        <f>AB688</f>
        <v>0.0010668084325739908</v>
      </c>
      <c r="AD688" s="38">
        <f>AC688</f>
        <v>0.0010668084325739908</v>
      </c>
      <c r="AE688" s="38">
        <f>AD688</f>
        <v>0.0010668084325739908</v>
      </c>
      <c r="AF688" s="38">
        <f>AE688</f>
        <v>0.0010668084325739908</v>
      </c>
      <c r="AG688" s="38">
        <f>AF688</f>
        <v>0.0010668084325739908</v>
      </c>
      <c r="AH688" s="38">
        <f>AG688</f>
        <v>0.0010668084325739908</v>
      </c>
      <c r="AI688" s="38">
        <f>AH688</f>
        <v>0.0010668084325739908</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33"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7" t="str">
        <f>IF(X$5=K$5,SUM(Y689:AI689)-SUM(L689:V689),"")</f>
        <v/>
      </c>
      <c r="X689" s="9" t="str">
        <f>LOWER(CtryCode)&amp;".distn."&amp;$A689&amp;IF($B689="","","."&amp;$B689)&amp;IF($C689="","",".dec."&amp;$C689)&amp;"."&amp;X$5</f>
        <v>egy.distn.dps.rpp.2</v>
      </c>
      <c r="Y689" s="37">
        <f>IF(INDEX(DSecFuel,$D689),0,MMULT(INDEX(DSecLeon,$D689,0),Y$106:Y$110))</f>
        <v>0.0034111725793582225</v>
      </c>
      <c r="Z689" s="38">
        <f>Y689</f>
        <v>0.0034111725793582225</v>
      </c>
      <c r="AA689" s="38">
        <f>Z689</f>
        <v>0.0034111725793582225</v>
      </c>
      <c r="AB689" s="38">
        <f>AA689</f>
        <v>0.0034111725793582225</v>
      </c>
      <c r="AC689" s="38">
        <f>AB689</f>
        <v>0.0034111725793582225</v>
      </c>
      <c r="AD689" s="38">
        <f>AC689</f>
        <v>0.0034111725793582225</v>
      </c>
      <c r="AE689" s="38">
        <f>AD689</f>
        <v>0.0034111725793582225</v>
      </c>
      <c r="AF689" s="38">
        <f>AE689</f>
        <v>0.0034111725793582225</v>
      </c>
      <c r="AG689" s="38">
        <f>AF689</f>
        <v>0.0034111725793582225</v>
      </c>
      <c r="AH689" s="38">
        <f>AG689</f>
        <v>0.0034111725793582225</v>
      </c>
      <c r="AI689" s="38">
        <f>AH689</f>
        <v>0.0034111725793582225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33"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7" t="str">
        <f>IF(X$5=K$5,SUM(Y690:AI690)-SUM(L690:V690),"")</f>
        <v/>
      </c>
      <c r="X690" s="9" t="str">
        <f>LOWER(CtryCode)&amp;".distn."&amp;$A690&amp;IF($B690="","","."&amp;$B690)&amp;IF($C690="","",".dec."&amp;$C690)&amp;"."&amp;X$5</f>
        <v>egy.distn.dps.rsa.2</v>
      </c>
      <c r="Y690" s="37">
        <f>IF(INDEX(DSecFuel,$D690),0,MMULT(INDEX(DSecLeon,$D690,0),Y$106:Y$110))</f>
        <v>0.0005447640475640063</v>
      </c>
      <c r="Z690" s="38">
        <f>Y690</f>
        <v>0.0005447640475640063</v>
      </c>
      <c r="AA690" s="38">
        <f>Z690</f>
        <v>0.0005447640475640063</v>
      </c>
      <c r="AB690" s="38">
        <f>AA690</f>
        <v>0.0005447640475640063</v>
      </c>
      <c r="AC690" s="38">
        <f>AB690</f>
        <v>0.0005447640475640063</v>
      </c>
      <c r="AD690" s="38">
        <f>AC690</f>
        <v>0.0005447640475640063</v>
      </c>
      <c r="AE690" s="38">
        <f>AD690</f>
        <v>0.0005447640475640063</v>
      </c>
      <c r="AF690" s="38">
        <f>AE690</f>
        <v>0.0005447640475640063</v>
      </c>
      <c r="AG690" s="38">
        <f>AF690</f>
        <v>0.0005447640475640063</v>
      </c>
      <c r="AH690" s="38">
        <f>AG690</f>
        <v>0.0005447640475640063</v>
      </c>
      <c r="AI690" s="38">
        <f>AH690</f>
        <v>0.0005447640475640063</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33"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7" t="str">
        <f>IF(X$5=K$5,SUM(Y691:AI691)-SUM(L691:V691),"")</f>
        <v/>
      </c>
      <c r="X691" s="9" t="str">
        <f>LOWER(CtryCode)&amp;".distn."&amp;$A691&amp;IF($B691="","","."&amp;$B691)&amp;IF($C691="","",".dec."&amp;$C691)&amp;"."&amp;X$5</f>
        <v>egy.distn.dps.sgr.2</v>
      </c>
      <c r="Y691" s="37">
        <f>IF(INDEX(DSecFuel,$D691),0,MMULT(INDEX(DSecLeon,$D691,0),Y$106:Y$110))</f>
        <v>0.001786132507349114</v>
      </c>
      <c r="Z691" s="38">
        <f>Y691</f>
        <v>0.001786132507349114</v>
      </c>
      <c r="AA691" s="38">
        <f>Z691</f>
        <v>0.001786132507349114</v>
      </c>
      <c r="AB691" s="38">
        <f>AA691</f>
        <v>0.001786132507349114</v>
      </c>
      <c r="AC691" s="38">
        <f>AB691</f>
        <v>0.001786132507349114</v>
      </c>
      <c r="AD691" s="38">
        <f>AC691</f>
        <v>0.001786132507349114</v>
      </c>
      <c r="AE691" s="38">
        <f>AD691</f>
        <v>0.001786132507349114</v>
      </c>
      <c r="AF691" s="38">
        <f>AE691</f>
        <v>0.001786132507349114</v>
      </c>
      <c r="AG691" s="38">
        <f>AF691</f>
        <v>0.001786132507349114</v>
      </c>
      <c r="AH691" s="38">
        <f>AG691</f>
        <v>0.001786132507349114</v>
      </c>
      <c r="AI691" s="38">
        <f>AH691</f>
        <v>0.001786132507349114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33"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7" t="str">
        <f>IF(X$5=K$5,SUM(Y692:AI692)-SUM(L692:V692),"")</f>
        <v/>
      </c>
      <c r="X692" s="9" t="str">
        <f>LOWER(CtryCode)&amp;".distn."&amp;$A692&amp;IF($B692="","","."&amp;$B692)&amp;IF($C692="","",".dec."&amp;$C692)&amp;"."&amp;X$5</f>
        <v>egy.distn.dps.tex.2</v>
      </c>
      <c r="Y692" s="37">
        <f>IF(INDEX(DSecFuel,$D692),0,MMULT(INDEX(DSecLeon,$D692,0),Y$106:Y$110))</f>
        <v>0.0013049835834683275</v>
      </c>
      <c r="Z692" s="38">
        <f>Y692</f>
        <v>0.0013049835834683275</v>
      </c>
      <c r="AA692" s="38">
        <f>Z692</f>
        <v>0.0013049835834683275</v>
      </c>
      <c r="AB692" s="38">
        <f>AA692</f>
        <v>0.0013049835834683275</v>
      </c>
      <c r="AC692" s="38">
        <f>AB692</f>
        <v>0.0013049835834683275</v>
      </c>
      <c r="AD692" s="38">
        <f>AC692</f>
        <v>0.0013049835834683275</v>
      </c>
      <c r="AE692" s="38">
        <f>AD692</f>
        <v>0.0013049835834683275</v>
      </c>
      <c r="AF692" s="38">
        <f>AE692</f>
        <v>0.0013049835834683275</v>
      </c>
      <c r="AG692" s="38">
        <f>AF692</f>
        <v>0.0013049835834683275</v>
      </c>
      <c r="AH692" s="38">
        <f>AG692</f>
        <v>0.0013049835834683275</v>
      </c>
      <c r="AI692" s="38">
        <f>AH692</f>
        <v>0.0013049835834683275</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33"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7" t="str">
        <f>IF(X$5=K$5,SUM(Y693:AI693)-SUM(L693:V693),"")</f>
        <v/>
      </c>
      <c r="X693" s="9" t="str">
        <f>LOWER(CtryCode)&amp;".distn."&amp;$A693&amp;IF($B693="","","."&amp;$B693)&amp;IF($C693="","",".dec."&amp;$C693)&amp;"."&amp;X$5</f>
        <v>egy.distn.dps.trd.2</v>
      </c>
      <c r="Y693" s="37">
        <f>IF(INDEX(DSecFuel,$D693),0,MMULT(INDEX(DSecLeon,$D693,0),Y$106:Y$110))</f>
        <v>0.0008563369842381576</v>
      </c>
      <c r="Z693" s="38">
        <f>Y693</f>
        <v>0.0008563369842381576</v>
      </c>
      <c r="AA693" s="38">
        <f>Z693</f>
        <v>0.0008563369842381576</v>
      </c>
      <c r="AB693" s="38">
        <f>AA693</f>
        <v>0.0008563369842381576</v>
      </c>
      <c r="AC693" s="38">
        <f>AB693</f>
        <v>0.0008563369842381576</v>
      </c>
      <c r="AD693" s="38">
        <f>AC693</f>
        <v>0.0008563369842381576</v>
      </c>
      <c r="AE693" s="38">
        <f>AD693</f>
        <v>0.0008563369842381576</v>
      </c>
      <c r="AF693" s="38">
        <f>AE693</f>
        <v>0.0008563369842381576</v>
      </c>
      <c r="AG693" s="38">
        <f>AF693</f>
        <v>0.0008563369842381576</v>
      </c>
      <c r="AH693" s="38">
        <f>AG693</f>
        <v>0.0008563369842381576</v>
      </c>
      <c r="AI693" s="38">
        <f>AH693</f>
        <v>0.0008563369842381576</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33"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7" t="str">
        <f>IF(X$5=K$5,SUM(Y694:AI694)-SUM(L694:V694),"")</f>
        <v/>
      </c>
      <c r="X694" s="9" t="str">
        <f>LOWER(CtryCode)&amp;".distn."&amp;$A694&amp;IF($B694="","","."&amp;$B694)&amp;IF($C694="","",".dec."&amp;$C694)&amp;"."&amp;X$5</f>
        <v>egy.distn.dps.v_f.2</v>
      </c>
      <c r="Y694" s="37">
        <f>IF(INDEX(DSecFuel,$D694),0,MMULT(INDEX(DSecLeon,$D694,0),Y$106:Y$110))</f>
        <v>0.0009057953860309102</v>
      </c>
      <c r="Z694" s="38">
        <f>Y694</f>
        <v>0.0009057953860309102</v>
      </c>
      <c r="AA694" s="38">
        <f>Z694</f>
        <v>0.0009057953860309102</v>
      </c>
      <c r="AB694" s="38">
        <f>AA694</f>
        <v>0.0009057953860309102</v>
      </c>
      <c r="AC694" s="38">
        <f>AB694</f>
        <v>0.0009057953860309102</v>
      </c>
      <c r="AD694" s="38">
        <f>AC694</f>
        <v>0.0009057953860309102</v>
      </c>
      <c r="AE694" s="38">
        <f>AD694</f>
        <v>0.0009057953860309102</v>
      </c>
      <c r="AF694" s="38">
        <f>AE694</f>
        <v>0.0009057953860309102</v>
      </c>
      <c r="AG694" s="38">
        <f>AF694</f>
        <v>0.0009057953860309102</v>
      </c>
      <c r="AH694" s="38">
        <f>AG694</f>
        <v>0.0009057953860309102</v>
      </c>
      <c r="AI694" s="38">
        <f>AH694</f>
        <v>0.0009057953860309102</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33"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7" t="str">
        <f>IF(X$5=K$5,SUM(Y695:AI695)-SUM(L695:V695),"")</f>
        <v/>
      </c>
      <c r="X695" s="9" t="str">
        <f>LOWER(CtryCode)&amp;".distn."&amp;$A695&amp;IF($B695="","","."&amp;$B695)&amp;IF($C695="","",".dec."&amp;$C695)&amp;"."&amp;X$5</f>
        <v>egy.distn.dps.vol.2</v>
      </c>
      <c r="Y695" s="37">
        <f>IF(INDEX(DSecFuel,$D695),0,MMULT(INDEX(DSecLeon,$D695,0),Y$106:Y$110))</f>
        <v>0.0008942540323245212</v>
      </c>
      <c r="Z695" s="38">
        <f>Y695</f>
        <v>0.0008942540323245212</v>
      </c>
      <c r="AA695" s="38">
        <f>Z695</f>
        <v>0.0008942540323245212</v>
      </c>
      <c r="AB695" s="38">
        <f>AA695</f>
        <v>0.0008942540323245212</v>
      </c>
      <c r="AC695" s="38">
        <f>AB695</f>
        <v>0.0008942540323245212</v>
      </c>
      <c r="AD695" s="38">
        <f>AC695</f>
        <v>0.0008942540323245212</v>
      </c>
      <c r="AE695" s="38">
        <f>AD695</f>
        <v>0.0008942540323245212</v>
      </c>
      <c r="AF695" s="38">
        <f>AE695</f>
        <v>0.0008942540323245212</v>
      </c>
      <c r="AG695" s="38">
        <f>AF695</f>
        <v>0.0008942540323245212</v>
      </c>
      <c r="AH695" s="38">
        <f>AG695</f>
        <v>0.0008942540323245212</v>
      </c>
      <c r="AI695" s="38">
        <f>AH695</f>
        <v>0.0008942540323245212</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33"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7" t="str">
        <f>IF(X$5=K$5,SUM(Y696:AI696)-SUM(L696:V696),"")</f>
        <v/>
      </c>
      <c r="X696" s="9" t="str">
        <f>LOWER(CtryCode)&amp;".distn."&amp;$A696&amp;IF($B696="","","."&amp;$B696)&amp;IF($C696="","",".dec."&amp;$C696)&amp;"."&amp;X$5</f>
        <v>egy.distn.dps.wap.2</v>
      </c>
      <c r="Y696" s="37">
        <f>IF(INDEX(DSecFuel,$D696),0,MMULT(INDEX(DSecLeon,$D696,0),Y$106:Y$110))</f>
        <v>0.001110826539143088</v>
      </c>
      <c r="Z696" s="38">
        <f>Y696</f>
        <v>0.001110826539143088</v>
      </c>
      <c r="AA696" s="38">
        <f>Z696</f>
        <v>0.001110826539143088</v>
      </c>
      <c r="AB696" s="38">
        <f>AA696</f>
        <v>0.001110826539143088</v>
      </c>
      <c r="AC696" s="38">
        <f>AB696</f>
        <v>0.001110826539143088</v>
      </c>
      <c r="AD696" s="38">
        <f>AC696</f>
        <v>0.001110826539143088</v>
      </c>
      <c r="AE696" s="38">
        <f>AD696</f>
        <v>0.001110826539143088</v>
      </c>
      <c r="AF696" s="38">
        <f>AE696</f>
        <v>0.001110826539143088</v>
      </c>
      <c r="AG696" s="38">
        <f>AF696</f>
        <v>0.001110826539143088</v>
      </c>
      <c r="AH696" s="38">
        <f>AG696</f>
        <v>0.001110826539143088</v>
      </c>
      <c r="AI696" s="38">
        <f>AH696</f>
        <v>0.001110826539143088</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33"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7" t="str">
        <f>IF(X$5=K$5,SUM(Y697:AI697)-SUM(L697:V697),"")</f>
        <v/>
      </c>
      <c r="X697" s="9" t="str">
        <f>LOWER(CtryCode)&amp;".distn."&amp;$A697&amp;IF($B697="","","."&amp;$B697)&amp;IF($C697="","",".dec."&amp;$C697)&amp;"."&amp;X$5</f>
        <v>egy.distn.dps.whs.2</v>
      </c>
      <c r="Y697" s="37">
        <f>IF(INDEX(DSecFuel,$D697),0,MMULT(INDEX(DSecLeon,$D697,0),Y$106:Y$110))</f>
        <v>0.0011002082462622147</v>
      </c>
      <c r="Z697" s="38">
        <f>Y697</f>
        <v>0.0011002082462622147</v>
      </c>
      <c r="AA697" s="38">
        <f>Z697</f>
        <v>0.0011002082462622147</v>
      </c>
      <c r="AB697" s="38">
        <f>AA697</f>
        <v>0.0011002082462622147</v>
      </c>
      <c r="AC697" s="38">
        <f>AB697</f>
        <v>0.0011002082462622147</v>
      </c>
      <c r="AD697" s="38">
        <f>AC697</f>
        <v>0.0011002082462622147</v>
      </c>
      <c r="AE697" s="38">
        <f>AD697</f>
        <v>0.0011002082462622147</v>
      </c>
      <c r="AF697" s="38">
        <f>AE697</f>
        <v>0.0011002082462622147</v>
      </c>
      <c r="AG697" s="38">
        <f>AF697</f>
        <v>0.0011002082462622147</v>
      </c>
      <c r="AH697" s="38">
        <f>AG697</f>
        <v>0.0011002082462622147</v>
      </c>
      <c r="AI697" s="38">
        <f>AH697</f>
        <v>0.0011002082462622147</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33"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7" t="str">
        <f>IF(X$5=K$5,SUM(Y698:AI698)-SUM(L698:V698),"")</f>
        <v/>
      </c>
      <c r="X698" s="9" t="str">
        <f>LOWER(CtryCode)&amp;".distn."&amp;$A698&amp;IF($B698="","","."&amp;$B698)&amp;IF($C698="","",".dec."&amp;$C698)&amp;"."&amp;X$5</f>
        <v>egy.distn.dps.wht.2</v>
      </c>
      <c r="Y698" s="37">
        <f>IF(INDEX(DSecFuel,$D698),0,MMULT(INDEX(DSecLeon,$D698,0),Y$106:Y$110))</f>
        <v>0.001602632182281869</v>
      </c>
      <c r="Z698" s="38">
        <f>Y698</f>
        <v>0.001602632182281869</v>
      </c>
      <c r="AA698" s="38">
        <f>Z698</f>
        <v>0.001602632182281869</v>
      </c>
      <c r="AB698" s="38">
        <f>AA698</f>
        <v>0.001602632182281869</v>
      </c>
      <c r="AC698" s="38">
        <f>AB698</f>
        <v>0.001602632182281869</v>
      </c>
      <c r="AD698" s="38">
        <f>AC698</f>
        <v>0.001602632182281869</v>
      </c>
      <c r="AE698" s="38">
        <f>AD698</f>
        <v>0.001602632182281869</v>
      </c>
      <c r="AF698" s="38">
        <f>AE698</f>
        <v>0.001602632182281869</v>
      </c>
      <c r="AG698" s="38">
        <f>AF698</f>
        <v>0.001602632182281869</v>
      </c>
      <c r="AH698" s="38">
        <f>AG698</f>
        <v>0.001602632182281869</v>
      </c>
      <c r="AI698" s="38">
        <f>AH698</f>
        <v>0.001602632182281869</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33"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7" t="str">
        <f>IF(X$5=K$5,SUM(Y699:AI699)-SUM(L699:V699),"")</f>
        <v/>
      </c>
      <c r="X699" s="9" t="str">
        <f>LOWER(CtryCode)&amp;".distn."&amp;$A699&amp;IF($B699="","","."&amp;$B699)&amp;IF($C699="","",".dec."&amp;$C699)&amp;"."&amp;X$5</f>
        <v>egy.distn.dps.wol.2</v>
      </c>
      <c r="Y699" s="37">
        <f>IF(INDEX(DSecFuel,$D699),0,MMULT(INDEX(DSecLeon,$D699,0),Y$106:Y$110))</f>
        <v>0.0022531691122356402</v>
      </c>
      <c r="Z699" s="38">
        <f>Y699</f>
        <v>0.0022531691122356402</v>
      </c>
      <c r="AA699" s="38">
        <f>Z699</f>
        <v>0.0022531691122356402</v>
      </c>
      <c r="AB699" s="38">
        <f>AA699</f>
        <v>0.0022531691122356402</v>
      </c>
      <c r="AC699" s="38">
        <f>AB699</f>
        <v>0.0022531691122356402</v>
      </c>
      <c r="AD699" s="38">
        <f>AC699</f>
        <v>0.0022531691122356402</v>
      </c>
      <c r="AE699" s="38">
        <f>AD699</f>
        <v>0.0022531691122356402</v>
      </c>
      <c r="AF699" s="38">
        <f>AE699</f>
        <v>0.0022531691122356402</v>
      </c>
      <c r="AG699" s="38">
        <f>AF699</f>
        <v>0.0022531691122356402</v>
      </c>
      <c r="AH699" s="38">
        <f>AG699</f>
        <v>0.0022531691122356402</v>
      </c>
      <c r="AI699" s="38">
        <f>AH699</f>
        <v>0.0022531691122356402</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33"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7" t="str">
        <f>IF(X$5=K$5,SUM(Y700:AI700)-SUM(L700:V700),"")</f>
        <v/>
      </c>
      <c r="X700" s="9" t="str">
        <f>LOWER(CtryCode)&amp;".distn."&amp;$A700&amp;IF($B700="","","."&amp;$B700)&amp;IF($C700="","",".dec."&amp;$C700)&amp;"."&amp;X$5</f>
        <v>egy.distn.dps.wtp.2</v>
      </c>
      <c r="Y700" s="37">
        <f>IF(INDEX(DSecFuel,$D700),0,MMULT(INDEX(DSecLeon,$D700,0),Y$106:Y$110))</f>
        <v>0.0069593706366506474</v>
      </c>
      <c r="Z700" s="38">
        <f>Y700</f>
        <v>0.0069593706366506474</v>
      </c>
      <c r="AA700" s="38">
        <f>Z700</f>
        <v>0.0069593706366506474</v>
      </c>
      <c r="AB700" s="38">
        <f>AA700</f>
        <v>0.0069593706366506474</v>
      </c>
      <c r="AC700" s="38">
        <f>AB700</f>
        <v>0.0069593706366506474</v>
      </c>
      <c r="AD700" s="38">
        <f>AC700</f>
        <v>0.0069593706366506474</v>
      </c>
      <c r="AE700" s="38">
        <f>AD700</f>
        <v>0.0069593706366506474</v>
      </c>
      <c r="AF700" s="38">
        <f>AE700</f>
        <v>0.0069593706366506474</v>
      </c>
      <c r="AG700" s="38">
        <f>AF700</f>
        <v>0.0069593706366506474</v>
      </c>
      <c r="AH700" s="38">
        <f>AG700</f>
        <v>0.0069593706366506474</v>
      </c>
      <c r="AI700" s="38">
        <f>AH700</f>
        <v>0.0069593706366506474</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33"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7" t="str">
        <f>IF(X$5=K$5,SUM(Y701:AI701)-SUM(L701:V701),"")</f>
        <v/>
      </c>
      <c r="X701" s="9" t="str">
        <f>LOWER(CtryCode)&amp;".distn."&amp;$A701&amp;IF($B701="","","."&amp;$B701)&amp;IF($C701="","",".dec."&amp;$C701)&amp;"."&amp;X$5</f>
        <v>egy.distn.dps.wtr.2</v>
      </c>
      <c r="Y701" s="37">
        <f>IF(INDEX(DSecFuel,$D701),0,MMULT(INDEX(DSecLeon,$D701,0),Y$106:Y$110))</f>
        <v>0.0026715955572220976</v>
      </c>
      <c r="Z701" s="38">
        <f>Y701</f>
        <v>0.0026715955572220976</v>
      </c>
      <c r="AA701" s="38">
        <f>Z701</f>
        <v>0.0026715955572220976</v>
      </c>
      <c r="AB701" s="38">
        <f>AA701</f>
        <v>0.0026715955572220976</v>
      </c>
      <c r="AC701" s="38">
        <f>AB701</f>
        <v>0.0026715955572220976</v>
      </c>
      <c r="AD701" s="38">
        <f>AC701</f>
        <v>0.0026715955572220976</v>
      </c>
      <c r="AE701" s="38">
        <f>AD701</f>
        <v>0.0026715955572220976</v>
      </c>
      <c r="AF701" s="38">
        <f>AE701</f>
        <v>0.0026715955572220976</v>
      </c>
      <c r="AG701" s="38">
        <f>AF701</f>
        <v>0.0026715955572220976</v>
      </c>
      <c r="AH701" s="38">
        <f>AG701</f>
        <v>0.0026715955572220976</v>
      </c>
      <c r="AI701" s="38">
        <f>AH701</f>
        <v>0.0026715955572220976</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33"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7" t="str">
        <f>IF(X$5=K$5,SUM(Y704:AI704)-SUM(L704:V704),"")</f>
        <v/>
      </c>
      <c r="X704" s="9" t="str">
        <f>LOWER(CtryCode)&amp;".distn."&amp;$A704&amp;IF($B704="","","."&amp;$B704)&amp;IF($C704="","",".dec."&amp;$C704)&amp;"."&amp;X$5</f>
        <v>egy.distn.dpsp.afs.2</v>
      </c>
      <c r="Y704" s="37">
        <f>Y638*IF(LEFT(Y$38,3)="Yes",IFERROR(INDEX(DPTVal,MATCH($E704,DPTKey,0)),1),1)</f>
        <v>0.0008109578191410374</v>
      </c>
      <c r="Z704" s="38">
        <f>Y704</f>
        <v>0.0008109578191410374</v>
      </c>
      <c r="AA704" s="38">
        <f>Z704</f>
        <v>0.0008109578191410374</v>
      </c>
      <c r="AB704" s="38">
        <f>AA704</f>
        <v>0.0008109578191410374</v>
      </c>
      <c r="AC704" s="38">
        <f>AB704</f>
        <v>0.0008109578191410374</v>
      </c>
      <c r="AD704" s="38">
        <f>AC704</f>
        <v>0.0008109578191410374</v>
      </c>
      <c r="AE704" s="38">
        <f>AD704</f>
        <v>0.0008109578191410374</v>
      </c>
      <c r="AF704" s="38">
        <f>AE704</f>
        <v>0.0008109578191410374</v>
      </c>
      <c r="AG704" s="38">
        <f>AF704</f>
        <v>0.0008109578191410374</v>
      </c>
      <c r="AH704" s="38">
        <f>AG704</f>
        <v>0.0008109578191410374</v>
      </c>
      <c r="AI704" s="38">
        <f>AH704</f>
        <v>0.0008109578191410374</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33"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7" t="str">
        <f>IF(X$5=K$5,SUM(Y705:AI705)-SUM(L705:V705),"")</f>
        <v/>
      </c>
      <c r="X705" s="9" t="str">
        <f>LOWER(CtryCode)&amp;".distn."&amp;$A705&amp;IF($B705="","","."&amp;$B705)&amp;IF($C705="","",".dec."&amp;$C705)&amp;"."&amp;X$5</f>
        <v>egy.distn.dpsp.atp.2</v>
      </c>
      <c r="Y705" s="37">
        <f>Y639*IF(LEFT(Y$38,3)="Yes",IFERROR(INDEX(DPTVal,MATCH($E705,DPTKey,0)),1),1)</f>
        <v>0.007945517124091769</v>
      </c>
      <c r="Z705" s="38">
        <f>Y705</f>
        <v>0.007945517124091769</v>
      </c>
      <c r="AA705" s="38">
        <f>Z705</f>
        <v>0.007945517124091769</v>
      </c>
      <c r="AB705" s="38">
        <f>AA705</f>
        <v>0.007945517124091769</v>
      </c>
      <c r="AC705" s="38">
        <f>AB705</f>
        <v>0.007945517124091769</v>
      </c>
      <c r="AD705" s="38">
        <f>AC705</f>
        <v>0.007945517124091769</v>
      </c>
      <c r="AE705" s="38">
        <f>AD705</f>
        <v>0.007945517124091769</v>
      </c>
      <c r="AF705" s="38">
        <f>AE705</f>
        <v>0.007945517124091769</v>
      </c>
      <c r="AG705" s="38">
        <f>AF705</f>
        <v>0.007945517124091769</v>
      </c>
      <c r="AH705" s="38">
        <f>AG705</f>
        <v>0.007945517124091769</v>
      </c>
      <c r="AI705" s="38">
        <f>AH705</f>
        <v>0.007945517124091769</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33"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7" t="str">
        <f>IF(X$5=K$5,SUM(Y706:AI706)-SUM(L706:V706),"")</f>
        <v/>
      </c>
      <c r="X706" s="9" t="str">
        <f>LOWER(CtryCode)&amp;".distn."&amp;$A706&amp;IF($B706="","","."&amp;$B706)&amp;IF($C706="","",".dec."&amp;$C706)&amp;"."&amp;X$5</f>
        <v>egy.distn.dpsp.b_t.2</v>
      </c>
      <c r="Y706" s="37">
        <f>Y640*IF(LEFT(Y$38,3)="Yes",IFERROR(INDEX(DPTVal,MATCH($E706,DPTKey,0)),1),1)</f>
        <v>0.0006768535860157208</v>
      </c>
      <c r="Z706" s="38">
        <f>Y706</f>
        <v>0.0006768535860157208</v>
      </c>
      <c r="AA706" s="38">
        <f>Z706</f>
        <v>0.0006768535860157208</v>
      </c>
      <c r="AB706" s="38">
        <f>AA706</f>
        <v>0.0006768535860157208</v>
      </c>
      <c r="AC706" s="38">
        <f>AB706</f>
        <v>0.0006768535860157208</v>
      </c>
      <c r="AD706" s="38">
        <f>AC706</f>
        <v>0.0006768535860157208</v>
      </c>
      <c r="AE706" s="38">
        <f>AD706</f>
        <v>0.0006768535860157208</v>
      </c>
      <c r="AF706" s="38">
        <f>AE706</f>
        <v>0.0006768535860157208</v>
      </c>
      <c r="AG706" s="38">
        <f>AF706</f>
        <v>0.0006768535860157208</v>
      </c>
      <c r="AH706" s="38">
        <f>AG706</f>
        <v>0.0006768535860157208</v>
      </c>
      <c r="AI706" s="38">
        <f>AH706</f>
        <v>0.0006768535860157208</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33"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7" t="str">
        <f>IF(X$5=K$5,SUM(Y707:AI707)-SUM(L707:V707),"")</f>
        <v/>
      </c>
      <c r="X707" s="9" t="str">
        <f>LOWER(CtryCode)&amp;".distn."&amp;$A707&amp;IF($B707="","","."&amp;$B707)&amp;IF($C707="","",".dec."&amp;$C707)&amp;"."&amp;X$5</f>
        <v>egy.distn.dpsp.bph.2</v>
      </c>
      <c r="Y707" s="37">
        <f>Y641*IF(LEFT(Y$38,3)="Yes",IFERROR(INDEX(DPTVal,MATCH($E707,DPTKey,0)),1),1)</f>
        <v>0.002298771116464237</v>
      </c>
      <c r="Z707" s="38">
        <f>Y707</f>
        <v>0.002298771116464237</v>
      </c>
      <c r="AA707" s="38">
        <f>Z707</f>
        <v>0.002298771116464237</v>
      </c>
      <c r="AB707" s="38">
        <f>AA707</f>
        <v>0.002298771116464237</v>
      </c>
      <c r="AC707" s="38">
        <f>AB707</f>
        <v>0.002298771116464237</v>
      </c>
      <c r="AD707" s="38">
        <f>AC707</f>
        <v>0.002298771116464237</v>
      </c>
      <c r="AE707" s="38">
        <f>AD707</f>
        <v>0.002298771116464237</v>
      </c>
      <c r="AF707" s="38">
        <f>AE707</f>
        <v>0.002298771116464237</v>
      </c>
      <c r="AG707" s="38">
        <f>AF707</f>
        <v>0.002298771116464237</v>
      </c>
      <c r="AH707" s="38">
        <f>AG707</f>
        <v>0.002298771116464237</v>
      </c>
      <c r="AI707" s="38">
        <f>AH707</f>
        <v>0.002298771116464237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33"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7" t="str">
        <f>IF(X$5=K$5,SUM(Y708:AI708)-SUM(L708:V708),"")</f>
        <v/>
      </c>
      <c r="X708" s="9" t="str">
        <f>LOWER(CtryCode)&amp;".distn."&amp;$A708&amp;IF($B708="","","."&amp;$B708)&amp;IF($C708="","",".dec."&amp;$C708)&amp;"."&amp;X$5</f>
        <v>egy.distn.dpsp.c_b.2</v>
      </c>
      <c r="Y708" s="37">
        <f>Y642*IF(LEFT(Y$38,3)="Yes",IFERROR(INDEX(DPTVal,MATCH($E708,DPTKey,0)),1),1)</f>
        <v>0.00142447417499236</v>
      </c>
      <c r="Z708" s="38">
        <f>Y708</f>
        <v>0.00142447417499236</v>
      </c>
      <c r="AA708" s="38">
        <f>Z708</f>
        <v>0.00142447417499236</v>
      </c>
      <c r="AB708" s="38">
        <f>AA708</f>
        <v>0.00142447417499236</v>
      </c>
      <c r="AC708" s="38">
        <f>AB708</f>
        <v>0.00142447417499236</v>
      </c>
      <c r="AD708" s="38">
        <f>AC708</f>
        <v>0.00142447417499236</v>
      </c>
      <c r="AE708" s="38">
        <f>AD708</f>
        <v>0.00142447417499236</v>
      </c>
      <c r="AF708" s="38">
        <f>AE708</f>
        <v>0.00142447417499236</v>
      </c>
      <c r="AG708" s="38">
        <f>AF708</f>
        <v>0.00142447417499236</v>
      </c>
      <c r="AH708" s="38">
        <f>AG708</f>
        <v>0.00142447417499236</v>
      </c>
      <c r="AI708" s="38">
        <f>AH708</f>
        <v>0.00142447417499236</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33"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7" t="str">
        <f>IF(X$5=K$5,SUM(Y709:AI709)-SUM(L709:V709),"")</f>
        <v/>
      </c>
      <c r="X709" s="9" t="str">
        <f>LOWER(CtryCode)&amp;".distn."&amp;$A709&amp;IF($B709="","","."&amp;$B709)&amp;IF($C709="","",".dec."&amp;$C709)&amp;"."&amp;X$5</f>
        <v>egy.distn.dpsp.chm.2</v>
      </c>
      <c r="Y709" s="37">
        <f>Y643*IF(LEFT(Y$38,3)="Yes",IFERROR(INDEX(DPTVal,MATCH($E709,DPTKey,0)),1),1)</f>
        <v>0.007208253614210871</v>
      </c>
      <c r="Z709" s="38">
        <f>Y709</f>
        <v>0.007208253614210871</v>
      </c>
      <c r="AA709" s="38">
        <f>Z709</f>
        <v>0.007208253614210871</v>
      </c>
      <c r="AB709" s="38">
        <f>AA709</f>
        <v>0.007208253614210871</v>
      </c>
      <c r="AC709" s="38">
        <f>AB709</f>
        <v>0.007208253614210871</v>
      </c>
      <c r="AD709" s="38">
        <f>AC709</f>
        <v>0.007208253614210871</v>
      </c>
      <c r="AE709" s="38">
        <f>AD709</f>
        <v>0.007208253614210871</v>
      </c>
      <c r="AF709" s="38">
        <f>AE709</f>
        <v>0.007208253614210871</v>
      </c>
      <c r="AG709" s="38">
        <f>AF709</f>
        <v>0.007208253614210871</v>
      </c>
      <c r="AH709" s="38">
        <f>AG709</f>
        <v>0.007208253614210871</v>
      </c>
      <c r="AI709" s="38">
        <f>AH709</f>
        <v>0.007208253614210871</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33"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7" t="str">
        <f>IF(X$5=K$5,SUM(Y710:AI710)-SUM(L710:V710),"")</f>
        <v/>
      </c>
      <c r="X710" s="9" t="str">
        <f>LOWER(CtryCode)&amp;".distn."&amp;$A710&amp;IF($B710="","","."&amp;$B710)&amp;IF($C710="","",".dec."&amp;$C710)&amp;"."&amp;X$5</f>
        <v>egy.distn.dpsp.cmn.2</v>
      </c>
      <c r="Y710" s="37">
        <f>Y644*IF(LEFT(Y$38,3)="Yes",IFERROR(INDEX(DPTVal,MATCH($E710,DPTKey,0)),1),1)</f>
        <v>0.00044157641414113263</v>
      </c>
      <c r="Z710" s="38">
        <f>Y710</f>
        <v>0.00044157641414113263</v>
      </c>
      <c r="AA710" s="38">
        <f>Z710</f>
        <v>0.00044157641414113263</v>
      </c>
      <c r="AB710" s="38">
        <f>AA710</f>
        <v>0.00044157641414113263</v>
      </c>
      <c r="AC710" s="38">
        <f>AB710</f>
        <v>0.00044157641414113263</v>
      </c>
      <c r="AD710" s="38">
        <f>AC710</f>
        <v>0.00044157641414113263</v>
      </c>
      <c r="AE710" s="38">
        <f>AD710</f>
        <v>0.00044157641414113263</v>
      </c>
      <c r="AF710" s="38">
        <f>AE710</f>
        <v>0.00044157641414113263</v>
      </c>
      <c r="AG710" s="38">
        <f>AF710</f>
        <v>0.00044157641414113263</v>
      </c>
      <c r="AH710" s="38">
        <f>AG710</f>
        <v>0.00044157641414113263</v>
      </c>
      <c r="AI710" s="38">
        <f>AH710</f>
        <v>0.00044157641414113263</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33"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7" t="str">
        <f>IF(X$5=K$5,SUM(Y711:AI711)-SUM(L711:V711),"")</f>
        <v/>
      </c>
      <c r="X711" s="9" t="str">
        <f>LOWER(CtryCode)&amp;".distn."&amp;$A711&amp;IF($B711="","","."&amp;$B711)&amp;IF($C711="","",".dec."&amp;$C711)&amp;"."&amp;X$5</f>
        <v>egy.distn.dpsp.cmt.2</v>
      </c>
      <c r="Y711" s="37">
        <f>Y645*IF(LEFT(Y$38,3)="Yes",IFERROR(INDEX(DPTVal,MATCH($E711,DPTKey,0)),1),1)</f>
        <v>0.0003681923656945813</v>
      </c>
      <c r="Z711" s="38">
        <f>Y711</f>
        <v>0.0003681923656945813</v>
      </c>
      <c r="AA711" s="38">
        <f>Z711</f>
        <v>0.0003681923656945813</v>
      </c>
      <c r="AB711" s="38">
        <f>AA711</f>
        <v>0.0003681923656945813</v>
      </c>
      <c r="AC711" s="38">
        <f>AB711</f>
        <v>0.0003681923656945813</v>
      </c>
      <c r="AD711" s="38">
        <f>AC711</f>
        <v>0.0003681923656945813</v>
      </c>
      <c r="AE711" s="38">
        <f>AD711</f>
        <v>0.0003681923656945813</v>
      </c>
      <c r="AF711" s="38">
        <f>AE711</f>
        <v>0.0003681923656945813</v>
      </c>
      <c r="AG711" s="38">
        <f>AF711</f>
        <v>0.0003681923656945813</v>
      </c>
      <c r="AH711" s="38">
        <f>AG711</f>
        <v>0.0003681923656945813</v>
      </c>
      <c r="AI711" s="38">
        <f>AH711</f>
        <v>0.0003681923656945813</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33"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7" t="str">
        <f>IF(X$5=K$5,SUM(Y712:AI712)-SUM(L712:V712),"")</f>
        <v/>
      </c>
      <c r="X712" s="9" t="str">
        <f>LOWER(CtryCode)&amp;".distn."&amp;$A712&amp;IF($B712="","","."&amp;$B712)&amp;IF($C712="","",".dec."&amp;$C712)&amp;"."&amp;X$5</f>
        <v>egy.distn.dpsp.cns.2</v>
      </c>
      <c r="Y712" s="37">
        <f>Y646*IF(LEFT(Y$38,3)="Yes",IFERROR(INDEX(DPTVal,MATCH($E712,DPTKey,0)),1),1)</f>
        <v>0.0020275813393545285</v>
      </c>
      <c r="Z712" s="38">
        <f>Y712</f>
        <v>0.0020275813393545285</v>
      </c>
      <c r="AA712" s="38">
        <f>Z712</f>
        <v>0.0020275813393545285</v>
      </c>
      <c r="AB712" s="38">
        <f>AA712</f>
        <v>0.0020275813393545285</v>
      </c>
      <c r="AC712" s="38">
        <f>AB712</f>
        <v>0.0020275813393545285</v>
      </c>
      <c r="AD712" s="38">
        <f>AC712</f>
        <v>0.0020275813393545285</v>
      </c>
      <c r="AE712" s="38">
        <f>AD712</f>
        <v>0.0020275813393545285</v>
      </c>
      <c r="AF712" s="38">
        <f>AE712</f>
        <v>0.0020275813393545285</v>
      </c>
      <c r="AG712" s="38">
        <f>AF712</f>
        <v>0.0020275813393545285</v>
      </c>
      <c r="AH712" s="38">
        <f>AG712</f>
        <v>0.0020275813393545285</v>
      </c>
      <c r="AI712" s="38">
        <f>AH712</f>
        <v>0.0020275813393545285</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33"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7"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33"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7" t="str">
        <f>IF(X$5=K$5,SUM(Y714:AI714)-SUM(L714:V714),"")</f>
        <v/>
      </c>
      <c r="X714" s="9" t="str">
        <f>LOWER(CtryCode)&amp;".distn."&amp;$A714&amp;IF($B714="","","."&amp;$B714)&amp;IF($C714="","",".dec."&amp;$C714)&amp;"."&amp;X$5</f>
        <v>egy.distn.dpsp.ctl.2</v>
      </c>
      <c r="Y714" s="37">
        <f>Y648*IF(LEFT(Y$38,3)="Yes",IFERROR(INDEX(DPTVal,MATCH($E714,DPTKey,0)),1),1)</f>
        <v>0.0011602990652967763</v>
      </c>
      <c r="Z714" s="38">
        <f>Y714</f>
        <v>0.0011602990652967763</v>
      </c>
      <c r="AA714" s="38">
        <f>Z714</f>
        <v>0.0011602990652967763</v>
      </c>
      <c r="AB714" s="38">
        <f>AA714</f>
        <v>0.0011602990652967763</v>
      </c>
      <c r="AC714" s="38">
        <f>AB714</f>
        <v>0.0011602990652967763</v>
      </c>
      <c r="AD714" s="38">
        <f>AC714</f>
        <v>0.0011602990652967763</v>
      </c>
      <c r="AE714" s="38">
        <f>AD714</f>
        <v>0.0011602990652967763</v>
      </c>
      <c r="AF714" s="38">
        <f>AE714</f>
        <v>0.0011602990652967763</v>
      </c>
      <c r="AG714" s="38">
        <f>AF714</f>
        <v>0.0011602990652967763</v>
      </c>
      <c r="AH714" s="38">
        <f>AG714</f>
        <v>0.0011602990652967763</v>
      </c>
      <c r="AI714" s="38">
        <f>AH714</f>
        <v>0.0011602990652967763</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33"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7" t="str">
        <f>IF(X$5=K$5,SUM(Y715:AI715)-SUM(L715:V715),"")</f>
        <v/>
      </c>
      <c r="X715" s="9" t="str">
        <f>LOWER(CtryCode)&amp;".distn."&amp;$A715&amp;IF($B715="","","."&amp;$B715)&amp;IF($C715="","",".dec."&amp;$C715)&amp;"."&amp;X$5</f>
        <v>egy.distn.dpsp.dwe.2</v>
      </c>
      <c r="Y715" s="37">
        <f>Y649*IF(LEFT(Y$38,3)="Yes",IFERROR(INDEX(DPTVal,MATCH($E715,DPTKey,0)),1),1)</f>
        <v>0.00014876371594401376</v>
      </c>
      <c r="Z715" s="38">
        <f>Y715</f>
        <v>0.00014876371594401376</v>
      </c>
      <c r="AA715" s="38">
        <f>Z715</f>
        <v>0.00014876371594401376</v>
      </c>
      <c r="AB715" s="38">
        <f>AA715</f>
        <v>0.00014876371594401376</v>
      </c>
      <c r="AC715" s="38">
        <f>AB715</f>
        <v>0.00014876371594401376</v>
      </c>
      <c r="AD715" s="38">
        <f>AC715</f>
        <v>0.00014876371594401376</v>
      </c>
      <c r="AE715" s="38">
        <f>AD715</f>
        <v>0.00014876371594401376</v>
      </c>
      <c r="AF715" s="38">
        <f>AE715</f>
        <v>0.00014876371594401376</v>
      </c>
      <c r="AG715" s="38">
        <f>AF715</f>
        <v>0.00014876371594401376</v>
      </c>
      <c r="AH715" s="38">
        <f>AG715</f>
        <v>0.00014876371594401376</v>
      </c>
      <c r="AI715" s="38">
        <f>AH715</f>
        <v>0.00014876371594401376</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33"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7" t="str">
        <f>IF(X$5=K$5,SUM(Y716:AI716)-SUM(L716:V716),"")</f>
        <v/>
      </c>
      <c r="X716" s="9" t="str">
        <f>LOWER(CtryCode)&amp;".distn."&amp;$A716&amp;IF($B716="","","."&amp;$B716)&amp;IF($C716="","",".dec."&amp;$C716)&amp;"."&amp;X$5</f>
        <v>egy.distn.dpsp.edu.2</v>
      </c>
      <c r="Y716" s="37">
        <f>Y650*IF(LEFT(Y$38,3)="Yes",IFERROR(INDEX(DPTVal,MATCH($E716,DPTKey,0)),1),1)</f>
        <v>0.001071043192213508</v>
      </c>
      <c r="Z716" s="38">
        <f>Y716</f>
        <v>0.001071043192213508</v>
      </c>
      <c r="AA716" s="38">
        <f>Z716</f>
        <v>0.001071043192213508</v>
      </c>
      <c r="AB716" s="38">
        <f>AA716</f>
        <v>0.001071043192213508</v>
      </c>
      <c r="AC716" s="38">
        <f>AB716</f>
        <v>0.001071043192213508</v>
      </c>
      <c r="AD716" s="38">
        <f>AC716</f>
        <v>0.001071043192213508</v>
      </c>
      <c r="AE716" s="38">
        <f>AD716</f>
        <v>0.001071043192213508</v>
      </c>
      <c r="AF716" s="38">
        <f>AE716</f>
        <v>0.001071043192213508</v>
      </c>
      <c r="AG716" s="38">
        <f>AF716</f>
        <v>0.001071043192213508</v>
      </c>
      <c r="AH716" s="38">
        <f>AG716</f>
        <v>0.001071043192213508</v>
      </c>
      <c r="AI716" s="38">
        <f>AH716</f>
        <v>0.001071043192213508</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33"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7" t="str">
        <f>IF(X$5=K$5,SUM(Y717:AI717)-SUM(L717:V717),"")</f>
        <v/>
      </c>
      <c r="X717" s="9" t="str">
        <f>LOWER(CtryCode)&amp;".distn."&amp;$A717&amp;IF($B717="","","."&amp;$B717)&amp;IF($C717="","",".dec."&amp;$C717)&amp;"."&amp;X$5</f>
        <v>egy.distn.dpsp.eeq.2</v>
      </c>
      <c r="Y717" s="37">
        <f>Y651*IF(LEFT(Y$38,3)="Yes",IFERROR(INDEX(DPTVal,MATCH($E717,DPTKey,0)),1),1)</f>
        <v>0.002473608937865726</v>
      </c>
      <c r="Z717" s="38">
        <f>Y717</f>
        <v>0.002473608937865726</v>
      </c>
      <c r="AA717" s="38">
        <f>Z717</f>
        <v>0.002473608937865726</v>
      </c>
      <c r="AB717" s="38">
        <f>AA717</f>
        <v>0.002473608937865726</v>
      </c>
      <c r="AC717" s="38">
        <f>AB717</f>
        <v>0.002473608937865726</v>
      </c>
      <c r="AD717" s="38">
        <f>AC717</f>
        <v>0.002473608937865726</v>
      </c>
      <c r="AE717" s="38">
        <f>AD717</f>
        <v>0.002473608937865726</v>
      </c>
      <c r="AF717" s="38">
        <f>AE717</f>
        <v>0.002473608937865726</v>
      </c>
      <c r="AG717" s="38">
        <f>AF717</f>
        <v>0.002473608937865726</v>
      </c>
      <c r="AH717" s="38">
        <f>AG717</f>
        <v>0.002473608937865726</v>
      </c>
      <c r="AI717" s="38">
        <f>AH717</f>
        <v>0.002473608937865726</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33"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7" t="str">
        <f>IF(X$5=K$5,SUM(Y718:AI718)-SUM(L718:V718),"")</f>
        <v/>
      </c>
      <c r="X718" s="9" t="str">
        <f>LOWER(CtryCode)&amp;".distn."&amp;$A718&amp;IF($B718="","","."&amp;$B718)&amp;IF($C718="","",".dec."&amp;$C718)&amp;"."&amp;X$5</f>
        <v>egy.distn.dpsp.ele.2</v>
      </c>
      <c r="Y718" s="37">
        <f>Y652*IF(LEFT(Y$38,3)="Yes",IFERROR(INDEX(DPTVal,MATCH($E718,DPTKey,0)),1),1)</f>
        <v>0.002183473192775979</v>
      </c>
      <c r="Z718" s="38">
        <f>Y718</f>
        <v>0.002183473192775979</v>
      </c>
      <c r="AA718" s="38">
        <f>Z718</f>
        <v>0.002183473192775979</v>
      </c>
      <c r="AB718" s="38">
        <f>AA718</f>
        <v>0.002183473192775979</v>
      </c>
      <c r="AC718" s="38">
        <f>AB718</f>
        <v>0.002183473192775979</v>
      </c>
      <c r="AD718" s="38">
        <f>AC718</f>
        <v>0.002183473192775979</v>
      </c>
      <c r="AE718" s="38">
        <f>AD718</f>
        <v>0.002183473192775979</v>
      </c>
      <c r="AF718" s="38">
        <f>AE718</f>
        <v>0.002183473192775979</v>
      </c>
      <c r="AG718" s="38">
        <f>AF718</f>
        <v>0.002183473192775979</v>
      </c>
      <c r="AH718" s="38">
        <f>AG718</f>
        <v>0.002183473192775979</v>
      </c>
      <c r="AI718" s="38">
        <f>AH718</f>
        <v>0.002183473192775979</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33"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7"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33"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7" t="str">
        <f>IF(X$5=K$5,SUM(Y720:AI720)-SUM(L720:V720),"")</f>
        <v/>
      </c>
      <c r="X720" s="9" t="str">
        <f>LOWER(CtryCode)&amp;".distn."&amp;$A720&amp;IF($B720="","","."&amp;$B720)&amp;IF($C720="","",".dec."&amp;$C720)&amp;"."&amp;X$5</f>
        <v>egy.distn.dpsp.fmp.2</v>
      </c>
      <c r="Y720" s="37">
        <f>Y654*IF(LEFT(Y$38,3)="Yes",IFERROR(INDEX(DPTVal,MATCH($E720,DPTKey,0)),1),1)</f>
        <v>0.0030774774418020844</v>
      </c>
      <c r="Z720" s="38">
        <f>Y720</f>
        <v>0.0030774774418020844</v>
      </c>
      <c r="AA720" s="38">
        <f>Z720</f>
        <v>0.0030774774418020844</v>
      </c>
      <c r="AB720" s="38">
        <f>AA720</f>
        <v>0.0030774774418020844</v>
      </c>
      <c r="AC720" s="38">
        <f>AB720</f>
        <v>0.0030774774418020844</v>
      </c>
      <c r="AD720" s="38">
        <f>AC720</f>
        <v>0.0030774774418020844</v>
      </c>
      <c r="AE720" s="38">
        <f>AD720</f>
        <v>0.0030774774418020844</v>
      </c>
      <c r="AF720" s="38">
        <f>AE720</f>
        <v>0.0030774774418020844</v>
      </c>
      <c r="AG720" s="38">
        <f>AF720</f>
        <v>0.0030774774418020844</v>
      </c>
      <c r="AH720" s="38">
        <f>AG720</f>
        <v>0.0030774774418020844</v>
      </c>
      <c r="AI720" s="38">
        <f>AH720</f>
        <v>0.0030774774418020844</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33"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7" t="str">
        <f>IF(X$5=K$5,SUM(Y721:AI721)-SUM(L721:V721),"")</f>
        <v/>
      </c>
      <c r="X721" s="9" t="str">
        <f>LOWER(CtryCode)&amp;".distn."&amp;$A721&amp;IF($B721="","","."&amp;$B721)&amp;IF($C721="","",".dec."&amp;$C721)&amp;"."&amp;X$5</f>
        <v>egy.distn.dpsp.frs.2</v>
      </c>
      <c r="Y721" s="37">
        <f>Y655*IF(LEFT(Y$38,3)="Yes",IFERROR(INDEX(DPTVal,MATCH($E721,DPTKey,0)),1),1)</f>
        <v>0.0017835876796317728</v>
      </c>
      <c r="Z721" s="38">
        <f>Y721</f>
        <v>0.0017835876796317728</v>
      </c>
      <c r="AA721" s="38">
        <f>Z721</f>
        <v>0.0017835876796317728</v>
      </c>
      <c r="AB721" s="38">
        <f>AA721</f>
        <v>0.0017835876796317728</v>
      </c>
      <c r="AC721" s="38">
        <f>AB721</f>
        <v>0.0017835876796317728</v>
      </c>
      <c r="AD721" s="38">
        <f>AC721</f>
        <v>0.0017835876796317728</v>
      </c>
      <c r="AE721" s="38">
        <f>AD721</f>
        <v>0.0017835876796317728</v>
      </c>
      <c r="AF721" s="38">
        <f>AE721</f>
        <v>0.0017835876796317728</v>
      </c>
      <c r="AG721" s="38">
        <f>AF721</f>
        <v>0.0017835876796317728</v>
      </c>
      <c r="AH721" s="38">
        <f>AG721</f>
        <v>0.0017835876796317728</v>
      </c>
      <c r="AI721" s="38">
        <f>AH721</f>
        <v>0.0017835876796317728</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33"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7" t="str">
        <f>IF(X$5=K$5,SUM(Y722:AI722)-SUM(L722:V722),"")</f>
        <v/>
      </c>
      <c r="X722" s="9" t="str">
        <f>LOWER(CtryCode)&amp;".distn."&amp;$A722&amp;IF($B722="","","."&amp;$B722)&amp;IF($C722="","",".dec."&amp;$C722)&amp;"."&amp;X$5</f>
        <v>egy.distn.dpsp.fsh.2</v>
      </c>
      <c r="Y722" s="37">
        <f>Y656*IF(LEFT(Y$38,3)="Yes",IFERROR(INDEX(DPTVal,MATCH($E722,DPTKey,0)),1),1)</f>
        <v>0.0011319743333123597</v>
      </c>
      <c r="Z722" s="38">
        <f>Y722</f>
        <v>0.0011319743333123597</v>
      </c>
      <c r="AA722" s="38">
        <f>Z722</f>
        <v>0.0011319743333123597</v>
      </c>
      <c r="AB722" s="38">
        <f>AA722</f>
        <v>0.0011319743333123597</v>
      </c>
      <c r="AC722" s="38">
        <f>AB722</f>
        <v>0.0011319743333123597</v>
      </c>
      <c r="AD722" s="38">
        <f>AC722</f>
        <v>0.0011319743333123597</v>
      </c>
      <c r="AE722" s="38">
        <f>AD722</f>
        <v>0.0011319743333123597</v>
      </c>
      <c r="AF722" s="38">
        <f>AE722</f>
        <v>0.0011319743333123597</v>
      </c>
      <c r="AG722" s="38">
        <f>AF722</f>
        <v>0.0011319743333123597</v>
      </c>
      <c r="AH722" s="38">
        <f>AG722</f>
        <v>0.0011319743333123597</v>
      </c>
      <c r="AI722" s="38">
        <f>AH722</f>
        <v>0.0011319743333123597</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33"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7" t="str">
        <f>IF(X$5=K$5,SUM(Y723:AI723)-SUM(L723:V723),"")</f>
        <v/>
      </c>
      <c r="X723" s="9" t="str">
        <f>LOWER(CtryCode)&amp;".distn."&amp;$A723&amp;IF($B723="","","."&amp;$B723)&amp;IF($C723="","",".dec."&amp;$C723)&amp;"."&amp;X$5</f>
        <v>egy.distn.dpsp.gro.2</v>
      </c>
      <c r="Y723" s="37">
        <f>Y657*IF(LEFT(Y$38,3)="Yes",IFERROR(INDEX(DPTVal,MATCH($E723,DPTKey,0)),1),1)</f>
        <v>0.0013063672090467596</v>
      </c>
      <c r="Z723" s="38">
        <f>Y723</f>
        <v>0.0013063672090467596</v>
      </c>
      <c r="AA723" s="38">
        <f>Z723</f>
        <v>0.0013063672090467596</v>
      </c>
      <c r="AB723" s="38">
        <f>AA723</f>
        <v>0.0013063672090467596</v>
      </c>
      <c r="AC723" s="38">
        <f>AB723</f>
        <v>0.0013063672090467596</v>
      </c>
      <c r="AD723" s="38">
        <f>AC723</f>
        <v>0.0013063672090467596</v>
      </c>
      <c r="AE723" s="38">
        <f>AD723</f>
        <v>0.0013063672090467596</v>
      </c>
      <c r="AF723" s="38">
        <f>AE723</f>
        <v>0.0013063672090467596</v>
      </c>
      <c r="AG723" s="38">
        <f>AF723</f>
        <v>0.0013063672090467596</v>
      </c>
      <c r="AH723" s="38">
        <f>AG723</f>
        <v>0.0013063672090467596</v>
      </c>
      <c r="AI723" s="38">
        <f>AH723</f>
        <v>0.0013063672090467596</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33"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7" t="str">
        <f>IF(X$5=K$5,SUM(Y724:AI724)-SUM(L724:V724),"")</f>
        <v/>
      </c>
      <c r="X724" s="9" t="str">
        <f>LOWER(CtryCode)&amp;".distn."&amp;$A724&amp;IF($B724="","","."&amp;$B724)&amp;IF($C724="","",".dec."&amp;$C724)&amp;"."&amp;X$5</f>
        <v>egy.distn.dpsp.hht.2</v>
      </c>
      <c r="Y724" s="37">
        <f>Y658*IF(LEFT(Y$38,3)="Yes",IFERROR(INDEX(DPTVal,MATCH($E724,DPTKey,0)),1),1)</f>
        <v>0.0012726288082896956</v>
      </c>
      <c r="Z724" s="38">
        <f>Y724</f>
        <v>0.0012726288082896956</v>
      </c>
      <c r="AA724" s="38">
        <f>Z724</f>
        <v>0.0012726288082896956</v>
      </c>
      <c r="AB724" s="38">
        <f>AA724</f>
        <v>0.0012726288082896956</v>
      </c>
      <c r="AC724" s="38">
        <f>AB724</f>
        <v>0.0012726288082896956</v>
      </c>
      <c r="AD724" s="38">
        <f>AC724</f>
        <v>0.0012726288082896956</v>
      </c>
      <c r="AE724" s="38">
        <f>AD724</f>
        <v>0.0012726288082896956</v>
      </c>
      <c r="AF724" s="38">
        <f>AE724</f>
        <v>0.0012726288082896956</v>
      </c>
      <c r="AG724" s="38">
        <f>AF724</f>
        <v>0.0012726288082896956</v>
      </c>
      <c r="AH724" s="38">
        <f>AG724</f>
        <v>0.0012726288082896956</v>
      </c>
      <c r="AI724" s="38">
        <f>AH724</f>
        <v>0.0012726288082896956</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33"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7" t="str">
        <f>IF(X$5=K$5,SUM(Y725:AI725)-SUM(L725:V725),"")</f>
        <v/>
      </c>
      <c r="X725" s="9" t="str">
        <f>LOWER(CtryCode)&amp;".distn."&amp;$A725&amp;IF($B725="","","."&amp;$B725)&amp;IF($C725="","",".dec."&amp;$C725)&amp;"."&amp;X$5</f>
        <v>egy.distn.dpsp.i_s.2</v>
      </c>
      <c r="Y725" s="37">
        <f>Y659*IF(LEFT(Y$38,3)="Yes",IFERROR(INDEX(DPTVal,MATCH($E725,DPTKey,0)),1),1)</f>
        <v>0.0057726575764151305</v>
      </c>
      <c r="Z725" s="38">
        <f>Y725</f>
        <v>0.0057726575764151305</v>
      </c>
      <c r="AA725" s="38">
        <f>Z725</f>
        <v>0.0057726575764151305</v>
      </c>
      <c r="AB725" s="38">
        <f>AA725</f>
        <v>0.0057726575764151305</v>
      </c>
      <c r="AC725" s="38">
        <f>AB725</f>
        <v>0.0057726575764151305</v>
      </c>
      <c r="AD725" s="38">
        <f>AC725</f>
        <v>0.0057726575764151305</v>
      </c>
      <c r="AE725" s="38">
        <f>AD725</f>
        <v>0.0057726575764151305</v>
      </c>
      <c r="AF725" s="38">
        <f>AE725</f>
        <v>0.0057726575764151305</v>
      </c>
      <c r="AG725" s="38">
        <f>AF725</f>
        <v>0.0057726575764151305</v>
      </c>
      <c r="AH725" s="38">
        <f>AG725</f>
        <v>0.0057726575764151305</v>
      </c>
      <c r="AI725" s="38">
        <f>AH725</f>
        <v>0.0057726575764151305</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33"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7" t="str">
        <f>IF(X$5=K$5,SUM(Y726:AI726)-SUM(L726:V726),"")</f>
        <v/>
      </c>
      <c r="X726" s="9" t="str">
        <f>LOWER(CtryCode)&amp;".distn."&amp;$A726&amp;IF($B726="","","."&amp;$B726)&amp;IF($C726="","",".dec."&amp;$C726)&amp;"."&amp;X$5</f>
        <v>egy.distn.dpsp.ins.2</v>
      </c>
      <c r="Y726" s="37">
        <f>Y660*IF(LEFT(Y$38,3)="Yes",IFERROR(INDEX(DPTVal,MATCH($E726,DPTKey,0)),1),1)</f>
        <v>0.00044715312538229514</v>
      </c>
      <c r="Z726" s="38">
        <f>Y726</f>
        <v>0.00044715312538229514</v>
      </c>
      <c r="AA726" s="38">
        <f>Z726</f>
        <v>0.00044715312538229514</v>
      </c>
      <c r="AB726" s="38">
        <f>AA726</f>
        <v>0.00044715312538229514</v>
      </c>
      <c r="AC726" s="38">
        <f>AB726</f>
        <v>0.00044715312538229514</v>
      </c>
      <c r="AD726" s="38">
        <f>AC726</f>
        <v>0.00044715312538229514</v>
      </c>
      <c r="AE726" s="38">
        <f>AD726</f>
        <v>0.00044715312538229514</v>
      </c>
      <c r="AF726" s="38">
        <f>AE726</f>
        <v>0.00044715312538229514</v>
      </c>
      <c r="AG726" s="38">
        <f>AF726</f>
        <v>0.00044715312538229514</v>
      </c>
      <c r="AH726" s="38">
        <f>AG726</f>
        <v>0.00044715312538229514</v>
      </c>
      <c r="AI726" s="38">
        <f>AH726</f>
        <v>0.00044715312538229514</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33"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7" t="str">
        <f>IF(X$5=K$5,SUM(Y727:AI727)-SUM(L727:V727),"")</f>
        <v/>
      </c>
      <c r="X727" s="9" t="str">
        <f>LOWER(CtryCode)&amp;".distn."&amp;$A727&amp;IF($B727="","","."&amp;$B727)&amp;IF($C727="","",".dec."&amp;$C727)&amp;"."&amp;X$5</f>
        <v>egy.distn.dpsp.lea.2</v>
      </c>
      <c r="Y727" s="37">
        <f>Y661*IF(LEFT(Y$38,3)="Yes",IFERROR(INDEX(DPTVal,MATCH($E727,DPTKey,0)),1),1)</f>
        <v>0.0012959213990988202</v>
      </c>
      <c r="Z727" s="38">
        <f>Y727</f>
        <v>0.0012959213990988202</v>
      </c>
      <c r="AA727" s="38">
        <f>Z727</f>
        <v>0.0012959213990988202</v>
      </c>
      <c r="AB727" s="38">
        <f>AA727</f>
        <v>0.0012959213990988202</v>
      </c>
      <c r="AC727" s="38">
        <f>AB727</f>
        <v>0.0012959213990988202</v>
      </c>
      <c r="AD727" s="38">
        <f>AC727</f>
        <v>0.0012959213990988202</v>
      </c>
      <c r="AE727" s="38">
        <f>AD727</f>
        <v>0.0012959213990988202</v>
      </c>
      <c r="AF727" s="38">
        <f>AE727</f>
        <v>0.0012959213990988202</v>
      </c>
      <c r="AG727" s="38">
        <f>AF727</f>
        <v>0.0012959213990988202</v>
      </c>
      <c r="AH727" s="38">
        <f>AG727</f>
        <v>0.0012959213990988202</v>
      </c>
      <c r="AI727" s="38">
        <f>AH727</f>
        <v>0.0012959213990988202</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33"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7" t="str">
        <f>IF(X$5=K$5,SUM(Y728:AI728)-SUM(L728:V728),"")</f>
        <v/>
      </c>
      <c r="X728" s="9" t="str">
        <f>LOWER(CtryCode)&amp;".distn."&amp;$A728&amp;IF($B728="","","."&amp;$B728)&amp;IF($C728="","",".dec."&amp;$C728)&amp;"."&amp;X$5</f>
        <v>egy.distn.dpsp.lum.2</v>
      </c>
      <c r="Y728" s="37">
        <f>Y662*IF(LEFT(Y$38,3)="Yes",IFERROR(INDEX(DPTVal,MATCH($E728,DPTKey,0)),1),1)</f>
        <v>0.0018907188504477845</v>
      </c>
      <c r="Z728" s="38">
        <f>Y728</f>
        <v>0.0018907188504477845</v>
      </c>
      <c r="AA728" s="38">
        <f>Z728</f>
        <v>0.0018907188504477845</v>
      </c>
      <c r="AB728" s="38">
        <f>AA728</f>
        <v>0.0018907188504477845</v>
      </c>
      <c r="AC728" s="38">
        <f>AB728</f>
        <v>0.0018907188504477845</v>
      </c>
      <c r="AD728" s="38">
        <f>AC728</f>
        <v>0.0018907188504477845</v>
      </c>
      <c r="AE728" s="38">
        <f>AD728</f>
        <v>0.0018907188504477845</v>
      </c>
      <c r="AF728" s="38">
        <f>AE728</f>
        <v>0.0018907188504477845</v>
      </c>
      <c r="AG728" s="38">
        <f>AF728</f>
        <v>0.0018907188504477845</v>
      </c>
      <c r="AH728" s="38">
        <f>AG728</f>
        <v>0.0018907188504477845</v>
      </c>
      <c r="AI728" s="38">
        <f>AH728</f>
        <v>0.0018907188504477845</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33"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7" t="str">
        <f>IF(X$5=K$5,SUM(Y729:AI729)-SUM(L729:V729),"")</f>
        <v/>
      </c>
      <c r="X729" s="9" t="str">
        <f>LOWER(CtryCode)&amp;".distn."&amp;$A729&amp;IF($B729="","","."&amp;$B729)&amp;IF($C729="","",".dec."&amp;$C729)&amp;"."&amp;X$5</f>
        <v>egy.distn.dpsp.mil.2</v>
      </c>
      <c r="Y729" s="37">
        <f>Y663*IF(LEFT(Y$38,3)="Yes",IFERROR(INDEX(DPTVal,MATCH($E729,DPTKey,0)),1),1)</f>
        <v>0.0006189017115596121</v>
      </c>
      <c r="Z729" s="38">
        <f>Y729</f>
        <v>0.0006189017115596121</v>
      </c>
      <c r="AA729" s="38">
        <f>Z729</f>
        <v>0.0006189017115596121</v>
      </c>
      <c r="AB729" s="38">
        <f>AA729</f>
        <v>0.0006189017115596121</v>
      </c>
      <c r="AC729" s="38">
        <f>AB729</f>
        <v>0.0006189017115596121</v>
      </c>
      <c r="AD729" s="38">
        <f>AC729</f>
        <v>0.0006189017115596121</v>
      </c>
      <c r="AE729" s="38">
        <f>AD729</f>
        <v>0.0006189017115596121</v>
      </c>
      <c r="AF729" s="38">
        <f>AE729</f>
        <v>0.0006189017115596121</v>
      </c>
      <c r="AG729" s="38">
        <f>AF729</f>
        <v>0.0006189017115596121</v>
      </c>
      <c r="AH729" s="38">
        <f>AG729</f>
        <v>0.0006189017115596121</v>
      </c>
      <c r="AI729" s="38">
        <f>AH729</f>
        <v>0.0006189017115596121</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33"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7" t="str">
        <f>IF(X$5=K$5,SUM(Y730:AI730)-SUM(L730:V730),"")</f>
        <v/>
      </c>
      <c r="X730" s="9" t="str">
        <f>LOWER(CtryCode)&amp;".distn."&amp;$A730&amp;IF($B730="","","."&amp;$B730)&amp;IF($C730="","",".dec."&amp;$C730)&amp;"."&amp;X$5</f>
        <v>egy.distn.dpsp.mvh.2</v>
      </c>
      <c r="Y730" s="37">
        <f>Y664*IF(LEFT(Y$38,3)="Yes",IFERROR(INDEX(DPTVal,MATCH($E730,DPTKey,0)),1),1)</f>
        <v>0.002072193572752414</v>
      </c>
      <c r="Z730" s="38">
        <f>Y730</f>
        <v>0.002072193572752414</v>
      </c>
      <c r="AA730" s="38">
        <f>Z730</f>
        <v>0.002072193572752414</v>
      </c>
      <c r="AB730" s="38">
        <f>AA730</f>
        <v>0.002072193572752414</v>
      </c>
      <c r="AC730" s="38">
        <f>AB730</f>
        <v>0.002072193572752414</v>
      </c>
      <c r="AD730" s="38">
        <f>AC730</f>
        <v>0.002072193572752414</v>
      </c>
      <c r="AE730" s="38">
        <f>AD730</f>
        <v>0.002072193572752414</v>
      </c>
      <c r="AF730" s="38">
        <f>AE730</f>
        <v>0.002072193572752414</v>
      </c>
      <c r="AG730" s="38">
        <f>AF730</f>
        <v>0.002072193572752414</v>
      </c>
      <c r="AH730" s="38">
        <f>AG730</f>
        <v>0.002072193572752414</v>
      </c>
      <c r="AI730" s="38">
        <f>AH730</f>
        <v>0.002072193572752414</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33"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7" t="str">
        <f>IF(X$5=K$5,SUM(Y731:AI731)-SUM(L731:V731),"")</f>
        <v/>
      </c>
      <c r="X731" s="9" t="str">
        <f>LOWER(CtryCode)&amp;".distn."&amp;$A731&amp;IF($B731="","","."&amp;$B731)&amp;IF($C731="","",".dec."&amp;$C731)&amp;"."&amp;X$5</f>
        <v>egy.distn.dpsp.nfm.2</v>
      </c>
      <c r="Y731" s="37">
        <f>Y665*IF(LEFT(Y$38,3)="Yes",IFERROR(INDEX(DPTVal,MATCH($E731,DPTKey,0)),1),1)</f>
        <v>0.004261037871751051</v>
      </c>
      <c r="Z731" s="38">
        <f>Y731</f>
        <v>0.004261037871751051</v>
      </c>
      <c r="AA731" s="38">
        <f>Z731</f>
        <v>0.004261037871751051</v>
      </c>
      <c r="AB731" s="38">
        <f>AA731</f>
        <v>0.004261037871751051</v>
      </c>
      <c r="AC731" s="38">
        <f>AB731</f>
        <v>0.004261037871751051</v>
      </c>
      <c r="AD731" s="38">
        <f>AC731</f>
        <v>0.004261037871751051</v>
      </c>
      <c r="AE731" s="38">
        <f>AD731</f>
        <v>0.004261037871751051</v>
      </c>
      <c r="AF731" s="38">
        <f>AE731</f>
        <v>0.004261037871751051</v>
      </c>
      <c r="AG731" s="38">
        <f>AF731</f>
        <v>0.004261037871751051</v>
      </c>
      <c r="AH731" s="38">
        <f>AG731</f>
        <v>0.004261037871751051</v>
      </c>
      <c r="AI731" s="38">
        <f>AH731</f>
        <v>0.004261037871751051</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33"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7"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33"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7" t="str">
        <f>IF(X$5=K$5,SUM(Y733:AI733)-SUM(L733:V733),"")</f>
        <v/>
      </c>
      <c r="X733" s="9" t="str">
        <f>LOWER(CtryCode)&amp;".distn."&amp;$A733&amp;IF($B733="","","."&amp;$B733)&amp;IF($C733="","",".dec."&amp;$C733)&amp;"."&amp;X$5</f>
        <v>egy.distn.dpsp.nmm.2</v>
      </c>
      <c r="Y733" s="37">
        <f>Y667*IF(LEFT(Y$38,3)="Yes",IFERROR(INDEX(DPTVal,MATCH($E733,DPTKey,0)),1),1)</f>
        <v>0.002081291425119216</v>
      </c>
      <c r="Z733" s="38">
        <f>Y733</f>
        <v>0.002081291425119216</v>
      </c>
      <c r="AA733" s="38">
        <f>Z733</f>
        <v>0.002081291425119216</v>
      </c>
      <c r="AB733" s="38">
        <f>AA733</f>
        <v>0.002081291425119216</v>
      </c>
      <c r="AC733" s="38">
        <f>AB733</f>
        <v>0.002081291425119216</v>
      </c>
      <c r="AD733" s="38">
        <f>AC733</f>
        <v>0.002081291425119216</v>
      </c>
      <c r="AE733" s="38">
        <f>AD733</f>
        <v>0.002081291425119216</v>
      </c>
      <c r="AF733" s="38">
        <f>AE733</f>
        <v>0.002081291425119216</v>
      </c>
      <c r="AG733" s="38">
        <f>AF733</f>
        <v>0.002081291425119216</v>
      </c>
      <c r="AH733" s="38">
        <f>AG733</f>
        <v>0.002081291425119216</v>
      </c>
      <c r="AI733" s="38">
        <f>AH733</f>
        <v>0.002081291425119216</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33"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7" t="str">
        <f>IF(X$5=K$5,SUM(Y734:AI734)-SUM(L734:V734),"")</f>
        <v/>
      </c>
      <c r="X734" s="9" t="str">
        <f>LOWER(CtryCode)&amp;".distn."&amp;$A734&amp;IF($B734="","","."&amp;$B734)&amp;IF($C734="","",".dec."&amp;$C734)&amp;"."&amp;X$5</f>
        <v>egy.distn.dpsp.oap.2</v>
      </c>
      <c r="Y734" s="37">
        <f>Y668*IF(LEFT(Y$38,3)="Yes",IFERROR(INDEX(DPTVal,MATCH($E734,DPTKey,0)),1),1)</f>
        <v>0.001214444391102556</v>
      </c>
      <c r="Z734" s="38">
        <f>Y734</f>
        <v>0.001214444391102556</v>
      </c>
      <c r="AA734" s="38">
        <f>Z734</f>
        <v>0.001214444391102556</v>
      </c>
      <c r="AB734" s="38">
        <f>AA734</f>
        <v>0.001214444391102556</v>
      </c>
      <c r="AC734" s="38">
        <f>AB734</f>
        <v>0.001214444391102556</v>
      </c>
      <c r="AD734" s="38">
        <f>AC734</f>
        <v>0.001214444391102556</v>
      </c>
      <c r="AE734" s="38">
        <f>AD734</f>
        <v>0.001214444391102556</v>
      </c>
      <c r="AF734" s="38">
        <f>AE734</f>
        <v>0.001214444391102556</v>
      </c>
      <c r="AG734" s="38">
        <f>AF734</f>
        <v>0.001214444391102556</v>
      </c>
      <c r="AH734" s="38">
        <f>AG734</f>
        <v>0.001214444391102556</v>
      </c>
      <c r="AI734" s="38">
        <f>AH734</f>
        <v>0.001214444391102556</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33"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7" t="str">
        <f>IF(X$5=K$5,SUM(Y735:AI735)-SUM(L735:V735),"")</f>
        <v/>
      </c>
      <c r="X735" s="9" t="str">
        <f>LOWER(CtryCode)&amp;".distn."&amp;$A735&amp;IF($B735="","","."&amp;$B735)&amp;IF($C735="","",".dec."&amp;$C735)&amp;"."&amp;X$5</f>
        <v>egy.distn.dpsp.obs.2</v>
      </c>
      <c r="Y735" s="37">
        <f>Y669*IF(LEFT(Y$38,3)="Yes",IFERROR(INDEX(DPTVal,MATCH($E735,DPTKey,0)),1),1)</f>
        <v>0.0007206642422590418</v>
      </c>
      <c r="Z735" s="38">
        <f>Y735</f>
        <v>0.0007206642422590418</v>
      </c>
      <c r="AA735" s="38">
        <f>Z735</f>
        <v>0.0007206642422590418</v>
      </c>
      <c r="AB735" s="38">
        <f>AA735</f>
        <v>0.0007206642422590418</v>
      </c>
      <c r="AC735" s="38">
        <f>AB735</f>
        <v>0.0007206642422590418</v>
      </c>
      <c r="AD735" s="38">
        <f>AC735</f>
        <v>0.0007206642422590418</v>
      </c>
      <c r="AE735" s="38">
        <f>AD735</f>
        <v>0.0007206642422590418</v>
      </c>
      <c r="AF735" s="38">
        <f>AE735</f>
        <v>0.0007206642422590418</v>
      </c>
      <c r="AG735" s="38">
        <f>AF735</f>
        <v>0.0007206642422590418</v>
      </c>
      <c r="AH735" s="38">
        <f>AG735</f>
        <v>0.0007206642422590418</v>
      </c>
      <c r="AI735" s="38">
        <f>AH735</f>
        <v>0.0007206642422590418</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33"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7" t="str">
        <f>IF(X$5=K$5,SUM(Y736:AI736)-SUM(L736:V736),"")</f>
        <v/>
      </c>
      <c r="X736" s="9" t="str">
        <f>LOWER(CtryCode)&amp;".distn."&amp;$A736&amp;IF($B736="","","."&amp;$B736)&amp;IF($C736="","",".dec."&amp;$C736)&amp;"."&amp;X$5</f>
        <v>egy.distn.dpsp.ocr.2</v>
      </c>
      <c r="Y736" s="37">
        <f>Y670*IF(LEFT(Y$38,3)="Yes",IFERROR(INDEX(DPTVal,MATCH($E736,DPTKey,0)),1),1)</f>
        <v>0.0004396625186060514</v>
      </c>
      <c r="Z736" s="38">
        <f>Y736</f>
        <v>0.0004396625186060514</v>
      </c>
      <c r="AA736" s="38">
        <f>Z736</f>
        <v>0.0004396625186060514</v>
      </c>
      <c r="AB736" s="38">
        <f>AA736</f>
        <v>0.0004396625186060514</v>
      </c>
      <c r="AC736" s="38">
        <f>AB736</f>
        <v>0.0004396625186060514</v>
      </c>
      <c r="AD736" s="38">
        <f>AC736</f>
        <v>0.0004396625186060514</v>
      </c>
      <c r="AE736" s="38">
        <f>AD736</f>
        <v>0.0004396625186060514</v>
      </c>
      <c r="AF736" s="38">
        <f>AE736</f>
        <v>0.0004396625186060514</v>
      </c>
      <c r="AG736" s="38">
        <f>AF736</f>
        <v>0.0004396625186060514</v>
      </c>
      <c r="AH736" s="38">
        <f>AG736</f>
        <v>0.0004396625186060514</v>
      </c>
      <c r="AI736" s="38">
        <f>AH736</f>
        <v>0.0004396625186060514</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33"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7" t="str">
        <f>IF(X$5=K$5,SUM(Y737:AI737)-SUM(L737:V737),"")</f>
        <v/>
      </c>
      <c r="X737" s="9" t="str">
        <f>LOWER(CtryCode)&amp;".distn."&amp;$A737&amp;IF($B737="","","."&amp;$B737)&amp;IF($C737="","",".dec."&amp;$C737)&amp;"."&amp;X$5</f>
        <v>egy.distn.dpsp.ofd.2</v>
      </c>
      <c r="Y737" s="37">
        <f>Y671*IF(LEFT(Y$38,3)="Yes",IFERROR(INDEX(DPTVal,MATCH($E737,DPTKey,0)),1),1)</f>
        <v>0.0017424340602762074</v>
      </c>
      <c r="Z737" s="38">
        <f>Y737</f>
        <v>0.0017424340602762074</v>
      </c>
      <c r="AA737" s="38">
        <f>Z737</f>
        <v>0.0017424340602762074</v>
      </c>
      <c r="AB737" s="38">
        <f>AA737</f>
        <v>0.0017424340602762074</v>
      </c>
      <c r="AC737" s="38">
        <f>AB737</f>
        <v>0.0017424340602762074</v>
      </c>
      <c r="AD737" s="38">
        <f>AC737</f>
        <v>0.0017424340602762074</v>
      </c>
      <c r="AE737" s="38">
        <f>AD737</f>
        <v>0.0017424340602762074</v>
      </c>
      <c r="AF737" s="38">
        <f>AE737</f>
        <v>0.0017424340602762074</v>
      </c>
      <c r="AG737" s="38">
        <f>AF737</f>
        <v>0.0017424340602762074</v>
      </c>
      <c r="AH737" s="38">
        <f>AG737</f>
        <v>0.0017424340602762074</v>
      </c>
      <c r="AI737" s="38">
        <f>AH737</f>
        <v>0.0017424340602762074</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33"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7" t="str">
        <f>IF(X$5=K$5,SUM(Y738:AI738)-SUM(L738:V738),"")</f>
        <v/>
      </c>
      <c r="X738" s="9" t="str">
        <f>LOWER(CtryCode)&amp;".distn."&amp;$A738&amp;IF($B738="","","."&amp;$B738)&amp;IF($C738="","",".dec."&amp;$C738)&amp;"."&amp;X$5</f>
        <v>egy.distn.dpsp.ofi.2</v>
      </c>
      <c r="Y738" s="37">
        <f>Y672*IF(LEFT(Y$38,3)="Yes",IFERROR(INDEX(DPTVal,MATCH($E738,DPTKey,0)),1),1)</f>
        <v>0.00036744625026916</v>
      </c>
      <c r="Z738" s="38">
        <f>Y738</f>
        <v>0.00036744625026916</v>
      </c>
      <c r="AA738" s="38">
        <f>Z738</f>
        <v>0.00036744625026916</v>
      </c>
      <c r="AB738" s="38">
        <f>AA738</f>
        <v>0.00036744625026916</v>
      </c>
      <c r="AC738" s="38">
        <f>AB738</f>
        <v>0.00036744625026916</v>
      </c>
      <c r="AD738" s="38">
        <f>AC738</f>
        <v>0.00036744625026916</v>
      </c>
      <c r="AE738" s="38">
        <f>AD738</f>
        <v>0.00036744625026916</v>
      </c>
      <c r="AF738" s="38">
        <f>AE738</f>
        <v>0.00036744625026916</v>
      </c>
      <c r="AG738" s="38">
        <f>AF738</f>
        <v>0.00036744625026916</v>
      </c>
      <c r="AH738" s="38">
        <f>AG738</f>
        <v>0.00036744625026916</v>
      </c>
      <c r="AI738" s="38">
        <f>AH738</f>
        <v>0.00036744625026916</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33"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7"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33"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7" t="str">
        <f>IF(X$5=K$5,SUM(Y740:AI740)-SUM(L740:V740),"")</f>
        <v/>
      </c>
      <c r="X740" s="9" t="str">
        <f>LOWER(CtryCode)&amp;".distn."&amp;$A740&amp;IF($B740="","","."&amp;$B740)&amp;IF($C740="","",".dec."&amp;$C740)&amp;"."&amp;X$5</f>
        <v>egy.distn.dpsp.ome.2</v>
      </c>
      <c r="Y740" s="37">
        <f>Y674*IF(LEFT(Y$38,3)="Yes",IFERROR(INDEX(DPTVal,MATCH($E740,DPTKey,0)),1),1)</f>
        <v>0.002460519096679889</v>
      </c>
      <c r="Z740" s="38">
        <f>Y740</f>
        <v>0.002460519096679889</v>
      </c>
      <c r="AA740" s="38">
        <f>Z740</f>
        <v>0.002460519096679889</v>
      </c>
      <c r="AB740" s="38">
        <f>AA740</f>
        <v>0.002460519096679889</v>
      </c>
      <c r="AC740" s="38">
        <f>AB740</f>
        <v>0.002460519096679889</v>
      </c>
      <c r="AD740" s="38">
        <f>AC740</f>
        <v>0.002460519096679889</v>
      </c>
      <c r="AE740" s="38">
        <f>AD740</f>
        <v>0.002460519096679889</v>
      </c>
      <c r="AF740" s="38">
        <f>AE740</f>
        <v>0.002460519096679889</v>
      </c>
      <c r="AG740" s="38">
        <f>AF740</f>
        <v>0.002460519096679889</v>
      </c>
      <c r="AH740" s="38">
        <f>AG740</f>
        <v>0.002460519096679889</v>
      </c>
      <c r="AI740" s="38">
        <f>AH740</f>
        <v>0.002460519096679889</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33"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7" t="str">
        <f>IF(X$5=K$5,SUM(Y741:AI741)-SUM(L741:V741),"")</f>
        <v/>
      </c>
      <c r="X741" s="9" t="str">
        <f>LOWER(CtryCode)&amp;".distn."&amp;$A741&amp;IF($B741="","","."&amp;$B741)&amp;IF($C741="","",".dec."&amp;$C741)&amp;"."&amp;X$5</f>
        <v>egy.distn.dpsp.omf.2</v>
      </c>
      <c r="Y741" s="37">
        <f>Y675*IF(LEFT(Y$38,3)="Yes",IFERROR(INDEX(DPTVal,MATCH($E741,DPTKey,0)),1),1)</f>
        <v>0.005881932408079233</v>
      </c>
      <c r="Z741" s="38">
        <f>Y741</f>
        <v>0.005881932408079233</v>
      </c>
      <c r="AA741" s="38">
        <f>Z741</f>
        <v>0.005881932408079233</v>
      </c>
      <c r="AB741" s="38">
        <f>AA741</f>
        <v>0.005881932408079233</v>
      </c>
      <c r="AC741" s="38">
        <f>AB741</f>
        <v>0.005881932408079233</v>
      </c>
      <c r="AD741" s="38">
        <f>AC741</f>
        <v>0.005881932408079233</v>
      </c>
      <c r="AE741" s="38">
        <f>AD741</f>
        <v>0.005881932408079233</v>
      </c>
      <c r="AF741" s="38">
        <f>AE741</f>
        <v>0.005881932408079233</v>
      </c>
      <c r="AG741" s="38">
        <f>AF741</f>
        <v>0.005881932408079233</v>
      </c>
      <c r="AH741" s="38">
        <f>AG741</f>
        <v>0.005881932408079233</v>
      </c>
      <c r="AI741" s="38">
        <f>AH741</f>
        <v>0.005881932408079233</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33"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7" t="str">
        <f>IF(X$5=K$5,SUM(Y742:AI742)-SUM(L742:V742),"")</f>
        <v/>
      </c>
      <c r="X742" s="9" t="str">
        <f>LOWER(CtryCode)&amp;".distn."&amp;$A742&amp;IF($B742="","","."&amp;$B742)&amp;IF($C742="","",".dec."&amp;$C742)&amp;"."&amp;X$5</f>
        <v>egy.distn.dpsp.omt.2</v>
      </c>
      <c r="Y742" s="37">
        <f>Y676*IF(LEFT(Y$38,3)="Yes",IFERROR(INDEX(DPTVal,MATCH($E742,DPTKey,0)),1),1)</f>
        <v>0.0002287748450467714</v>
      </c>
      <c r="Z742" s="38">
        <f>Y742</f>
        <v>0.0002287748450467714</v>
      </c>
      <c r="AA742" s="38">
        <f>Z742</f>
        <v>0.0002287748450467714</v>
      </c>
      <c r="AB742" s="38">
        <f>AA742</f>
        <v>0.0002287748450467714</v>
      </c>
      <c r="AC742" s="38">
        <f>AB742</f>
        <v>0.0002287748450467714</v>
      </c>
      <c r="AD742" s="38">
        <f>AC742</f>
        <v>0.0002287748450467714</v>
      </c>
      <c r="AE742" s="38">
        <f>AD742</f>
        <v>0.0002287748450467714</v>
      </c>
      <c r="AF742" s="38">
        <f>AE742</f>
        <v>0.0002287748450467714</v>
      </c>
      <c r="AG742" s="38">
        <f>AF742</f>
        <v>0.0002287748450467714</v>
      </c>
      <c r="AH742" s="38">
        <f>AG742</f>
        <v>0.0002287748450467714</v>
      </c>
      <c r="AI742" s="38">
        <f>AH742</f>
        <v>0.0002287748450467714</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33"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7" t="str">
        <f>IF(X$5=K$5,SUM(Y743:AI743)-SUM(L743:V743),"")</f>
        <v/>
      </c>
      <c r="X743" s="9" t="str">
        <f>LOWER(CtryCode)&amp;".distn."&amp;$A743&amp;IF($B743="","","."&amp;$B743)&amp;IF($C743="","",".dec."&amp;$C743)&amp;"."&amp;X$5</f>
        <v>egy.distn.dpsp.osd.2</v>
      </c>
      <c r="Y743" s="37">
        <f>Y677*IF(LEFT(Y$38,3)="Yes",IFERROR(INDEX(DPTVal,MATCH($E743,DPTKey,0)),1),1)</f>
        <v>0.0008904268465040913</v>
      </c>
      <c r="Z743" s="38">
        <f>Y743</f>
        <v>0.0008904268465040913</v>
      </c>
      <c r="AA743" s="38">
        <f>Z743</f>
        <v>0.0008904268465040913</v>
      </c>
      <c r="AB743" s="38">
        <f>AA743</f>
        <v>0.0008904268465040913</v>
      </c>
      <c r="AC743" s="38">
        <f>AB743</f>
        <v>0.0008904268465040913</v>
      </c>
      <c r="AD743" s="38">
        <f>AC743</f>
        <v>0.0008904268465040913</v>
      </c>
      <c r="AE743" s="38">
        <f>AD743</f>
        <v>0.0008904268465040913</v>
      </c>
      <c r="AF743" s="38">
        <f>AE743</f>
        <v>0.0008904268465040913</v>
      </c>
      <c r="AG743" s="38">
        <f>AF743</f>
        <v>0.0008904268465040913</v>
      </c>
      <c r="AH743" s="38">
        <f>AG743</f>
        <v>0.0008904268465040913</v>
      </c>
      <c r="AI743" s="38">
        <f>AH743</f>
        <v>0.0008904268465040913</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33"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7" t="str">
        <f>IF(X$5=K$5,SUM(Y744:AI744)-SUM(L744:V744),"")</f>
        <v/>
      </c>
      <c r="X744" s="9" t="str">
        <f>LOWER(CtryCode)&amp;".distn."&amp;$A744&amp;IF($B744="","","."&amp;$B744)&amp;IF($C744="","",".dec."&amp;$C744)&amp;"."&amp;X$5</f>
        <v>egy.distn.dpsp.osg.2</v>
      </c>
      <c r="Y744" s="37">
        <f>Y678*IF(LEFT(Y$38,3)="Yes",IFERROR(INDEX(DPTVal,MATCH($E744,DPTKey,0)),1),1)</f>
        <v>0.001176774002321939</v>
      </c>
      <c r="Z744" s="38">
        <f>Y744</f>
        <v>0.001176774002321939</v>
      </c>
      <c r="AA744" s="38">
        <f>Z744</f>
        <v>0.001176774002321939</v>
      </c>
      <c r="AB744" s="38">
        <f>AA744</f>
        <v>0.001176774002321939</v>
      </c>
      <c r="AC744" s="38">
        <f>AB744</f>
        <v>0.001176774002321939</v>
      </c>
      <c r="AD744" s="38">
        <f>AC744</f>
        <v>0.001176774002321939</v>
      </c>
      <c r="AE744" s="38">
        <f>AD744</f>
        <v>0.001176774002321939</v>
      </c>
      <c r="AF744" s="38">
        <f>AE744</f>
        <v>0.001176774002321939</v>
      </c>
      <c r="AG744" s="38">
        <f>AF744</f>
        <v>0.001176774002321939</v>
      </c>
      <c r="AH744" s="38">
        <f>AG744</f>
        <v>0.001176774002321939</v>
      </c>
      <c r="AI744" s="38">
        <f>AH744</f>
        <v>0.001176774002321939</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33"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7" t="str">
        <f>IF(X$5=K$5,SUM(Y745:AI745)-SUM(L745:V745),"")</f>
        <v/>
      </c>
      <c r="X745" s="9" t="str">
        <f>LOWER(CtryCode)&amp;".distn."&amp;$A745&amp;IF($B745="","","."&amp;$B745)&amp;IF($C745="","",".dec."&amp;$C745)&amp;"."&amp;X$5</f>
        <v>egy.distn.dpsp.otn.2</v>
      </c>
      <c r="Y745" s="37">
        <f>Y679*IF(LEFT(Y$38,3)="Yes",IFERROR(INDEX(DPTVal,MATCH($E745,DPTKey,0)),1),1)</f>
        <v>0.0019866656050233312</v>
      </c>
      <c r="Z745" s="38">
        <f>Y745</f>
        <v>0.0019866656050233312</v>
      </c>
      <c r="AA745" s="38">
        <f>Z745</f>
        <v>0.0019866656050233312</v>
      </c>
      <c r="AB745" s="38">
        <f>AA745</f>
        <v>0.0019866656050233312</v>
      </c>
      <c r="AC745" s="38">
        <f>AB745</f>
        <v>0.0019866656050233312</v>
      </c>
      <c r="AD745" s="38">
        <f>AC745</f>
        <v>0.0019866656050233312</v>
      </c>
      <c r="AE745" s="38">
        <f>AD745</f>
        <v>0.0019866656050233312</v>
      </c>
      <c r="AF745" s="38">
        <f>AE745</f>
        <v>0.0019866656050233312</v>
      </c>
      <c r="AG745" s="38">
        <f>AF745</f>
        <v>0.0019866656050233312</v>
      </c>
      <c r="AH745" s="38">
        <f>AG745</f>
        <v>0.0019866656050233312</v>
      </c>
      <c r="AI745" s="38">
        <f>AH745</f>
        <v>0.0019866656050233312</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33"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7" t="str">
        <f>IF(X$5=K$5,SUM(Y746:AI746)-SUM(L746:V746),"")</f>
        <v/>
      </c>
      <c r="X746" s="9" t="str">
        <f>LOWER(CtryCode)&amp;".distn."&amp;$A746&amp;IF($B746="","","."&amp;$B746)&amp;IF($C746="","",".dec."&amp;$C746)&amp;"."&amp;X$5</f>
        <v>egy.distn.dpsp.otp.2</v>
      </c>
      <c r="Y746" s="37">
        <f>Y680*IF(LEFT(Y$38,3)="Yes",IFERROR(INDEX(DPTVal,MATCH($E746,DPTKey,0)),1),1)</f>
        <v>0.00595874522493562</v>
      </c>
      <c r="Z746" s="38">
        <f>Y746</f>
        <v>0.00595874522493562</v>
      </c>
      <c r="AA746" s="38">
        <f>Z746</f>
        <v>0.00595874522493562</v>
      </c>
      <c r="AB746" s="38">
        <f>AA746</f>
        <v>0.00595874522493562</v>
      </c>
      <c r="AC746" s="38">
        <f>AB746</f>
        <v>0.00595874522493562</v>
      </c>
      <c r="AD746" s="38">
        <f>AC746</f>
        <v>0.00595874522493562</v>
      </c>
      <c r="AE746" s="38">
        <f>AD746</f>
        <v>0.00595874522493562</v>
      </c>
      <c r="AF746" s="38">
        <f>AE746</f>
        <v>0.00595874522493562</v>
      </c>
      <c r="AG746" s="38">
        <f>AF746</f>
        <v>0.00595874522493562</v>
      </c>
      <c r="AH746" s="38">
        <f>AG746</f>
        <v>0.00595874522493562</v>
      </c>
      <c r="AI746" s="38">
        <f>AH746</f>
        <v>0.00595874522493562</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33"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7" t="str">
        <f>IF(X$5=K$5,SUM(Y747:AI747)-SUM(L747:V747),"")</f>
        <v/>
      </c>
      <c r="X747" s="9" t="str">
        <f>LOWER(CtryCode)&amp;".distn."&amp;$A747&amp;IF($B747="","","."&amp;$B747)&amp;IF($C747="","",".dec."&amp;$C747)&amp;"."&amp;X$5</f>
        <v>egy.distn.dpsp.oxt.2</v>
      </c>
      <c r="Y747" s="37">
        <f>Y681*IF(LEFT(Y$38,3)="Yes",IFERROR(INDEX(DPTVal,MATCH($E747,DPTKey,0)),1),1)</f>
        <v>0.00634222332438569</v>
      </c>
      <c r="Z747" s="38">
        <f>Y747</f>
        <v>0.00634222332438569</v>
      </c>
      <c r="AA747" s="38">
        <f>Z747</f>
        <v>0.00634222332438569</v>
      </c>
      <c r="AB747" s="38">
        <f>AA747</f>
        <v>0.00634222332438569</v>
      </c>
      <c r="AC747" s="38">
        <f>AB747</f>
        <v>0.00634222332438569</v>
      </c>
      <c r="AD747" s="38">
        <f>AC747</f>
        <v>0.00634222332438569</v>
      </c>
      <c r="AE747" s="38">
        <f>AD747</f>
        <v>0.00634222332438569</v>
      </c>
      <c r="AF747" s="38">
        <f>AE747</f>
        <v>0.00634222332438569</v>
      </c>
      <c r="AG747" s="38">
        <f>AF747</f>
        <v>0.00634222332438569</v>
      </c>
      <c r="AH747" s="38">
        <f>AG747</f>
        <v>0.00634222332438569</v>
      </c>
      <c r="AI747" s="38">
        <f>AH747</f>
        <v>0.00634222332438569</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33"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7"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33"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7" t="str">
        <f>IF(X$5=K$5,SUM(Y749:AI749)-SUM(L749:V749),"")</f>
        <v/>
      </c>
      <c r="X749" s="9" t="str">
        <f>LOWER(CtryCode)&amp;".distn."&amp;$A749&amp;IF($B749="","","."&amp;$B749)&amp;IF($C749="","",".dec."&amp;$C749)&amp;"."&amp;X$5</f>
        <v>egy.distn.dpsp.pcr.2</v>
      </c>
      <c r="Y749" s="37">
        <f>Y683*IF(LEFT(Y$38,3)="Yes",IFERROR(INDEX(DPTVal,MATCH($E749,DPTKey,0)),1),1)</f>
        <v>0.0012613798632163309</v>
      </c>
      <c r="Z749" s="38">
        <f>Y749</f>
        <v>0.0012613798632163309</v>
      </c>
      <c r="AA749" s="38">
        <f>Z749</f>
        <v>0.0012613798632163309</v>
      </c>
      <c r="AB749" s="38">
        <f>AA749</f>
        <v>0.0012613798632163309</v>
      </c>
      <c r="AC749" s="38">
        <f>AB749</f>
        <v>0.0012613798632163309</v>
      </c>
      <c r="AD749" s="38">
        <f>AC749</f>
        <v>0.0012613798632163309</v>
      </c>
      <c r="AE749" s="38">
        <f>AD749</f>
        <v>0.0012613798632163309</v>
      </c>
      <c r="AF749" s="38">
        <f>AE749</f>
        <v>0.0012613798632163309</v>
      </c>
      <c r="AG749" s="38">
        <f>AF749</f>
        <v>0.0012613798632163309</v>
      </c>
      <c r="AH749" s="38">
        <f>AG749</f>
        <v>0.0012613798632163309</v>
      </c>
      <c r="AI749" s="38">
        <f>AH749</f>
        <v>0.0012613798632163309</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33"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7" t="str">
        <f>IF(X$5=K$5,SUM(Y750:AI750)-SUM(L750:V750),"")</f>
        <v/>
      </c>
      <c r="X750" s="9" t="str">
        <f>LOWER(CtryCode)&amp;".distn."&amp;$A750&amp;IF($B750="","","."&amp;$B750)&amp;IF($C750="","",".dec."&amp;$C750)&amp;"."&amp;X$5</f>
        <v>egy.distn.dpsp.pdr.2</v>
      </c>
      <c r="Y750" s="37">
        <f>Y684*IF(LEFT(Y$38,3)="Yes",IFERROR(INDEX(DPTVal,MATCH($E750,DPTKey,0)),1),1)</f>
        <v>0.001031761603714206</v>
      </c>
      <c r="Z750" s="38">
        <f>Y750</f>
        <v>0.001031761603714206</v>
      </c>
      <c r="AA750" s="38">
        <f>Z750</f>
        <v>0.001031761603714206</v>
      </c>
      <c r="AB750" s="38">
        <f>AA750</f>
        <v>0.001031761603714206</v>
      </c>
      <c r="AC750" s="38">
        <f>AB750</f>
        <v>0.001031761603714206</v>
      </c>
      <c r="AD750" s="38">
        <f>AC750</f>
        <v>0.001031761603714206</v>
      </c>
      <c r="AE750" s="38">
        <f>AD750</f>
        <v>0.001031761603714206</v>
      </c>
      <c r="AF750" s="38">
        <f>AE750</f>
        <v>0.001031761603714206</v>
      </c>
      <c r="AG750" s="38">
        <f>AF750</f>
        <v>0.001031761603714206</v>
      </c>
      <c r="AH750" s="38">
        <f>AG750</f>
        <v>0.001031761603714206</v>
      </c>
      <c r="AI750" s="38">
        <f>AH750</f>
        <v>0.001031761603714206</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33"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7" t="str">
        <f>IF(X$5=K$5,SUM(Y751:AI751)-SUM(L751:V751),"")</f>
        <v/>
      </c>
      <c r="X751" s="9" t="str">
        <f>LOWER(CtryCode)&amp;".distn."&amp;$A751&amp;IF($B751="","","."&amp;$B751)&amp;IF($C751="","",".dec."&amp;$C751)&amp;"."&amp;X$5</f>
        <v>egy.distn.dpsp.pfb.2</v>
      </c>
      <c r="Y751" s="37">
        <f>Y685*IF(LEFT(Y$38,3)="Yes",IFERROR(INDEX(DPTVal,MATCH($E751,DPTKey,0)),1),1)</f>
        <v>0.003064718775070867</v>
      </c>
      <c r="Z751" s="38">
        <f>Y751</f>
        <v>0.003064718775070867</v>
      </c>
      <c r="AA751" s="38">
        <f>Z751</f>
        <v>0.003064718775070867</v>
      </c>
      <c r="AB751" s="38">
        <f>AA751</f>
        <v>0.003064718775070867</v>
      </c>
      <c r="AC751" s="38">
        <f>AB751</f>
        <v>0.003064718775070867</v>
      </c>
      <c r="AD751" s="38">
        <f>AC751</f>
        <v>0.003064718775070867</v>
      </c>
      <c r="AE751" s="38">
        <f>AD751</f>
        <v>0.003064718775070867</v>
      </c>
      <c r="AF751" s="38">
        <f>AE751</f>
        <v>0.003064718775070867</v>
      </c>
      <c r="AG751" s="38">
        <f>AF751</f>
        <v>0.003064718775070867</v>
      </c>
      <c r="AH751" s="38">
        <f>AG751</f>
        <v>0.003064718775070867</v>
      </c>
      <c r="AI751" s="38">
        <f>AH751</f>
        <v>0.003064718775070867</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33"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7" t="str">
        <f>IF(X$5=K$5,SUM(Y752:AI752)-SUM(L752:V752),"")</f>
        <v/>
      </c>
      <c r="X752" s="9" t="str">
        <f>LOWER(CtryCode)&amp;".distn."&amp;$A752&amp;IF($B752="","","."&amp;$B752)&amp;IF($C752="","",".dec."&amp;$C752)&amp;"."&amp;X$5</f>
        <v>egy.distn.dpsp.ppp.2</v>
      </c>
      <c r="Y752" s="37">
        <f>Y686*IF(LEFT(Y$38,3)="Yes",IFERROR(INDEX(DPTVal,MATCH($E752,DPTKey,0)),1),1)</f>
        <v>0.0028140413871442383</v>
      </c>
      <c r="Z752" s="38">
        <f>Y752</f>
        <v>0.0028140413871442383</v>
      </c>
      <c r="AA752" s="38">
        <f>Z752</f>
        <v>0.0028140413871442383</v>
      </c>
      <c r="AB752" s="38">
        <f>AA752</f>
        <v>0.0028140413871442383</v>
      </c>
      <c r="AC752" s="38">
        <f>AB752</f>
        <v>0.0028140413871442383</v>
      </c>
      <c r="AD752" s="38">
        <f>AC752</f>
        <v>0.0028140413871442383</v>
      </c>
      <c r="AE752" s="38">
        <f>AD752</f>
        <v>0.0028140413871442383</v>
      </c>
      <c r="AF752" s="38">
        <f>AE752</f>
        <v>0.0028140413871442383</v>
      </c>
      <c r="AG752" s="38">
        <f>AF752</f>
        <v>0.0028140413871442383</v>
      </c>
      <c r="AH752" s="38">
        <f>AG752</f>
        <v>0.0028140413871442383</v>
      </c>
      <c r="AI752" s="38">
        <f>AH752</f>
        <v>0.0028140413871442383</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33"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7" t="str">
        <f>IF(X$5=K$5,SUM(Y753:AI753)-SUM(L753:V753),"")</f>
        <v/>
      </c>
      <c r="X753" s="9" t="str">
        <f>LOWER(CtryCode)&amp;".distn."&amp;$A753&amp;IF($B753="","","."&amp;$B753)&amp;IF($C753="","",".dec."&amp;$C753)&amp;"."&amp;X$5</f>
        <v>egy.distn.dpsp.rmk.2</v>
      </c>
      <c r="Y753" s="37">
        <f>Y687*IF(LEFT(Y$38,3)="Yes",IFERROR(INDEX(DPTVal,MATCH($E753,DPTKey,0)),1),1)</f>
        <v>0.0011631018938395802</v>
      </c>
      <c r="Z753" s="38">
        <f>Y753</f>
        <v>0.0011631018938395802</v>
      </c>
      <c r="AA753" s="38">
        <f>Z753</f>
        <v>0.0011631018938395802</v>
      </c>
      <c r="AB753" s="38">
        <f>AA753</f>
        <v>0.0011631018938395802</v>
      </c>
      <c r="AC753" s="38">
        <f>AB753</f>
        <v>0.0011631018938395802</v>
      </c>
      <c r="AD753" s="38">
        <f>AC753</f>
        <v>0.0011631018938395802</v>
      </c>
      <c r="AE753" s="38">
        <f>AD753</f>
        <v>0.0011631018938395802</v>
      </c>
      <c r="AF753" s="38">
        <f>AE753</f>
        <v>0.0011631018938395802</v>
      </c>
      <c r="AG753" s="38">
        <f>AF753</f>
        <v>0.0011631018938395802</v>
      </c>
      <c r="AH753" s="38">
        <f>AG753</f>
        <v>0.0011631018938395802</v>
      </c>
      <c r="AI753" s="38">
        <f>AH753</f>
        <v>0.0011631018938395802</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33"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7" t="str">
        <f>IF(X$5=K$5,SUM(Y754:AI754)-SUM(L754:V754),"")</f>
        <v/>
      </c>
      <c r="X754" s="9" t="str">
        <f>LOWER(CtryCode)&amp;".distn."&amp;$A754&amp;IF($B754="","","."&amp;$B754)&amp;IF($C754="","",".dec."&amp;$C754)&amp;"."&amp;X$5</f>
        <v>egy.distn.dpsp.ros.2</v>
      </c>
      <c r="Y754" s="37">
        <f>Y688*IF(LEFT(Y$38,3)="Yes",IFERROR(INDEX(DPTVal,MATCH($E754,DPTKey,0)),1),1)</f>
        <v>0.0010668084325739908</v>
      </c>
      <c r="Z754" s="38">
        <f>Y754</f>
        <v>0.0010668084325739908</v>
      </c>
      <c r="AA754" s="38">
        <f>Z754</f>
        <v>0.0010668084325739908</v>
      </c>
      <c r="AB754" s="38">
        <f>AA754</f>
        <v>0.0010668084325739908</v>
      </c>
      <c r="AC754" s="38">
        <f>AB754</f>
        <v>0.0010668084325739908</v>
      </c>
      <c r="AD754" s="38">
        <f>AC754</f>
        <v>0.0010668084325739908</v>
      </c>
      <c r="AE754" s="38">
        <f>AD754</f>
        <v>0.0010668084325739908</v>
      </c>
      <c r="AF754" s="38">
        <f>AE754</f>
        <v>0.0010668084325739908</v>
      </c>
      <c r="AG754" s="38">
        <f>AF754</f>
        <v>0.0010668084325739908</v>
      </c>
      <c r="AH754" s="38">
        <f>AG754</f>
        <v>0.0010668084325739908</v>
      </c>
      <c r="AI754" s="38">
        <f>AH754</f>
        <v>0.0010668084325739908</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33"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7" t="str">
        <f>IF(X$5=K$5,SUM(Y755:AI755)-SUM(L755:V755),"")</f>
        <v/>
      </c>
      <c r="X755" s="9" t="str">
        <f>LOWER(CtryCode)&amp;".distn."&amp;$A755&amp;IF($B755="","","."&amp;$B755)&amp;IF($C755="","",".dec."&amp;$C755)&amp;"."&amp;X$5</f>
        <v>egy.distn.dpsp.rpp.2</v>
      </c>
      <c r="Y755" s="37">
        <f>Y689*IF(LEFT(Y$38,3)="Yes",IFERROR(INDEX(DPTVal,MATCH($E755,DPTKey,0)),1),1)</f>
        <v>0.0034111725793582225</v>
      </c>
      <c r="Z755" s="38">
        <f>Y755</f>
        <v>0.0034111725793582225</v>
      </c>
      <c r="AA755" s="38">
        <f>Z755</f>
        <v>0.0034111725793582225</v>
      </c>
      <c r="AB755" s="38">
        <f>AA755</f>
        <v>0.0034111725793582225</v>
      </c>
      <c r="AC755" s="38">
        <f>AB755</f>
        <v>0.0034111725793582225</v>
      </c>
      <c r="AD755" s="38">
        <f>AC755</f>
        <v>0.0034111725793582225</v>
      </c>
      <c r="AE755" s="38">
        <f>AD755</f>
        <v>0.0034111725793582225</v>
      </c>
      <c r="AF755" s="38">
        <f>AE755</f>
        <v>0.0034111725793582225</v>
      </c>
      <c r="AG755" s="38">
        <f>AF755</f>
        <v>0.0034111725793582225</v>
      </c>
      <c r="AH755" s="38">
        <f>AG755</f>
        <v>0.0034111725793582225</v>
      </c>
      <c r="AI755" s="38">
        <f>AH755</f>
        <v>0.0034111725793582225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33"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7" t="str">
        <f>IF(X$5=K$5,SUM(Y756:AI756)-SUM(L756:V756),"")</f>
        <v/>
      </c>
      <c r="X756" s="9" t="str">
        <f>LOWER(CtryCode)&amp;".distn."&amp;$A756&amp;IF($B756="","","."&amp;$B756)&amp;IF($C756="","",".dec."&amp;$C756)&amp;"."&amp;X$5</f>
        <v>egy.distn.dpsp.rsa.2</v>
      </c>
      <c r="Y756" s="37">
        <f>Y690*IF(LEFT(Y$38,3)="Yes",IFERROR(INDEX(DPTVal,MATCH($E756,DPTKey,0)),1),1)</f>
        <v>0.0005447640475640063</v>
      </c>
      <c r="Z756" s="38">
        <f>Y756</f>
        <v>0.0005447640475640063</v>
      </c>
      <c r="AA756" s="38">
        <f>Z756</f>
        <v>0.0005447640475640063</v>
      </c>
      <c r="AB756" s="38">
        <f>AA756</f>
        <v>0.0005447640475640063</v>
      </c>
      <c r="AC756" s="38">
        <f>AB756</f>
        <v>0.0005447640475640063</v>
      </c>
      <c r="AD756" s="38">
        <f>AC756</f>
        <v>0.0005447640475640063</v>
      </c>
      <c r="AE756" s="38">
        <f>AD756</f>
        <v>0.0005447640475640063</v>
      </c>
      <c r="AF756" s="38">
        <f>AE756</f>
        <v>0.0005447640475640063</v>
      </c>
      <c r="AG756" s="38">
        <f>AF756</f>
        <v>0.0005447640475640063</v>
      </c>
      <c r="AH756" s="38">
        <f>AG756</f>
        <v>0.0005447640475640063</v>
      </c>
      <c r="AI756" s="38">
        <f>AH756</f>
        <v>0.0005447640475640063</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33"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7" t="str">
        <f>IF(X$5=K$5,SUM(Y757:AI757)-SUM(L757:V757),"")</f>
        <v/>
      </c>
      <c r="X757" s="9" t="str">
        <f>LOWER(CtryCode)&amp;".distn."&amp;$A757&amp;IF($B757="","","."&amp;$B757)&amp;IF($C757="","",".dec."&amp;$C757)&amp;"."&amp;X$5</f>
        <v>egy.distn.dpsp.sgr.2</v>
      </c>
      <c r="Y757" s="37">
        <f>Y691*IF(LEFT(Y$38,3)="Yes",IFERROR(INDEX(DPTVal,MATCH($E757,DPTKey,0)),1),1)</f>
        <v>0.001786132507349114</v>
      </c>
      <c r="Z757" s="38">
        <f>Y757</f>
        <v>0.001786132507349114</v>
      </c>
      <c r="AA757" s="38">
        <f>Z757</f>
        <v>0.001786132507349114</v>
      </c>
      <c r="AB757" s="38">
        <f>AA757</f>
        <v>0.001786132507349114</v>
      </c>
      <c r="AC757" s="38">
        <f>AB757</f>
        <v>0.001786132507349114</v>
      </c>
      <c r="AD757" s="38">
        <f>AC757</f>
        <v>0.001786132507349114</v>
      </c>
      <c r="AE757" s="38">
        <f>AD757</f>
        <v>0.001786132507349114</v>
      </c>
      <c r="AF757" s="38">
        <f>AE757</f>
        <v>0.001786132507349114</v>
      </c>
      <c r="AG757" s="38">
        <f>AF757</f>
        <v>0.001786132507349114</v>
      </c>
      <c r="AH757" s="38">
        <f>AG757</f>
        <v>0.001786132507349114</v>
      </c>
      <c r="AI757" s="38">
        <f>AH757</f>
        <v>0.001786132507349114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33"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7" t="str">
        <f>IF(X$5=K$5,SUM(Y758:AI758)-SUM(L758:V758),"")</f>
        <v/>
      </c>
      <c r="X758" s="9" t="str">
        <f>LOWER(CtryCode)&amp;".distn."&amp;$A758&amp;IF($B758="","","."&amp;$B758)&amp;IF($C758="","",".dec."&amp;$C758)&amp;"."&amp;X$5</f>
        <v>egy.distn.dpsp.tex.2</v>
      </c>
      <c r="Y758" s="37">
        <f>Y692*IF(LEFT(Y$38,3)="Yes",IFERROR(INDEX(DPTVal,MATCH($E758,DPTKey,0)),1),1)</f>
        <v>0.0013049835834683275</v>
      </c>
      <c r="Z758" s="38">
        <f>Y758</f>
        <v>0.0013049835834683275</v>
      </c>
      <c r="AA758" s="38">
        <f>Z758</f>
        <v>0.0013049835834683275</v>
      </c>
      <c r="AB758" s="38">
        <f>AA758</f>
        <v>0.0013049835834683275</v>
      </c>
      <c r="AC758" s="38">
        <f>AB758</f>
        <v>0.0013049835834683275</v>
      </c>
      <c r="AD758" s="38">
        <f>AC758</f>
        <v>0.0013049835834683275</v>
      </c>
      <c r="AE758" s="38">
        <f>AD758</f>
        <v>0.0013049835834683275</v>
      </c>
      <c r="AF758" s="38">
        <f>AE758</f>
        <v>0.0013049835834683275</v>
      </c>
      <c r="AG758" s="38">
        <f>AF758</f>
        <v>0.0013049835834683275</v>
      </c>
      <c r="AH758" s="38">
        <f>AG758</f>
        <v>0.0013049835834683275</v>
      </c>
      <c r="AI758" s="38">
        <f>AH758</f>
        <v>0.0013049835834683275</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33"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7" t="str">
        <f>IF(X$5=K$5,SUM(Y759:AI759)-SUM(L759:V759),"")</f>
        <v/>
      </c>
      <c r="X759" s="9" t="str">
        <f>LOWER(CtryCode)&amp;".distn."&amp;$A759&amp;IF($B759="","","."&amp;$B759)&amp;IF($C759="","",".dec."&amp;$C759)&amp;"."&amp;X$5</f>
        <v>egy.distn.dpsp.trd.2</v>
      </c>
      <c r="Y759" s="37">
        <f>Y693*IF(LEFT(Y$38,3)="Yes",IFERROR(INDEX(DPTVal,MATCH($E759,DPTKey,0)),1),1)</f>
        <v>0.0008563369842381576</v>
      </c>
      <c r="Z759" s="38">
        <f>Y759</f>
        <v>0.0008563369842381576</v>
      </c>
      <c r="AA759" s="38">
        <f>Z759</f>
        <v>0.0008563369842381576</v>
      </c>
      <c r="AB759" s="38">
        <f>AA759</f>
        <v>0.0008563369842381576</v>
      </c>
      <c r="AC759" s="38">
        <f>AB759</f>
        <v>0.0008563369842381576</v>
      </c>
      <c r="AD759" s="38">
        <f>AC759</f>
        <v>0.0008563369842381576</v>
      </c>
      <c r="AE759" s="38">
        <f>AD759</f>
        <v>0.0008563369842381576</v>
      </c>
      <c r="AF759" s="38">
        <f>AE759</f>
        <v>0.0008563369842381576</v>
      </c>
      <c r="AG759" s="38">
        <f>AF759</f>
        <v>0.0008563369842381576</v>
      </c>
      <c r="AH759" s="38">
        <f>AG759</f>
        <v>0.0008563369842381576</v>
      </c>
      <c r="AI759" s="38">
        <f>AH759</f>
        <v>0.0008563369842381576</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33"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7" t="str">
        <f>IF(X$5=K$5,SUM(Y760:AI760)-SUM(L760:V760),"")</f>
        <v/>
      </c>
      <c r="X760" s="9" t="str">
        <f>LOWER(CtryCode)&amp;".distn."&amp;$A760&amp;IF($B760="","","."&amp;$B760)&amp;IF($C760="","",".dec."&amp;$C760)&amp;"."&amp;X$5</f>
        <v>egy.distn.dpsp.v_f.2</v>
      </c>
      <c r="Y760" s="37">
        <f>Y694*IF(LEFT(Y$38,3)="Yes",IFERROR(INDEX(DPTVal,MATCH($E760,DPTKey,0)),1),1)</f>
        <v>0.0009057953860309102</v>
      </c>
      <c r="Z760" s="38">
        <f>Y760</f>
        <v>0.0009057953860309102</v>
      </c>
      <c r="AA760" s="38">
        <f>Z760</f>
        <v>0.0009057953860309102</v>
      </c>
      <c r="AB760" s="38">
        <f>AA760</f>
        <v>0.0009057953860309102</v>
      </c>
      <c r="AC760" s="38">
        <f>AB760</f>
        <v>0.0009057953860309102</v>
      </c>
      <c r="AD760" s="38">
        <f>AC760</f>
        <v>0.0009057953860309102</v>
      </c>
      <c r="AE760" s="38">
        <f>AD760</f>
        <v>0.0009057953860309102</v>
      </c>
      <c r="AF760" s="38">
        <f>AE760</f>
        <v>0.0009057953860309102</v>
      </c>
      <c r="AG760" s="38">
        <f>AF760</f>
        <v>0.0009057953860309102</v>
      </c>
      <c r="AH760" s="38">
        <f>AG760</f>
        <v>0.0009057953860309102</v>
      </c>
      <c r="AI760" s="38">
        <f>AH760</f>
        <v>0.0009057953860309102</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33"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7" t="str">
        <f>IF(X$5=K$5,SUM(Y761:AI761)-SUM(L761:V761),"")</f>
        <v/>
      </c>
      <c r="X761" s="9" t="str">
        <f>LOWER(CtryCode)&amp;".distn."&amp;$A761&amp;IF($B761="","","."&amp;$B761)&amp;IF($C761="","",".dec."&amp;$C761)&amp;"."&amp;X$5</f>
        <v>egy.distn.dpsp.vol.2</v>
      </c>
      <c r="Y761" s="37">
        <f>Y695*IF(LEFT(Y$38,3)="Yes",IFERROR(INDEX(DPTVal,MATCH($E761,DPTKey,0)),1),1)</f>
        <v>0.0008942540323245212</v>
      </c>
      <c r="Z761" s="38">
        <f>Y761</f>
        <v>0.0008942540323245212</v>
      </c>
      <c r="AA761" s="38">
        <f>Z761</f>
        <v>0.0008942540323245212</v>
      </c>
      <c r="AB761" s="38">
        <f>AA761</f>
        <v>0.0008942540323245212</v>
      </c>
      <c r="AC761" s="38">
        <f>AB761</f>
        <v>0.0008942540323245212</v>
      </c>
      <c r="AD761" s="38">
        <f>AC761</f>
        <v>0.0008942540323245212</v>
      </c>
      <c r="AE761" s="38">
        <f>AD761</f>
        <v>0.0008942540323245212</v>
      </c>
      <c r="AF761" s="38">
        <f>AE761</f>
        <v>0.0008942540323245212</v>
      </c>
      <c r="AG761" s="38">
        <f>AF761</f>
        <v>0.0008942540323245212</v>
      </c>
      <c r="AH761" s="38">
        <f>AG761</f>
        <v>0.0008942540323245212</v>
      </c>
      <c r="AI761" s="38">
        <f>AH761</f>
        <v>0.0008942540323245212</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33"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7" t="str">
        <f>IF(X$5=K$5,SUM(Y762:AI762)-SUM(L762:V762),"")</f>
        <v/>
      </c>
      <c r="X762" s="9" t="str">
        <f>LOWER(CtryCode)&amp;".distn."&amp;$A762&amp;IF($B762="","","."&amp;$B762)&amp;IF($C762="","",".dec."&amp;$C762)&amp;"."&amp;X$5</f>
        <v>egy.distn.dpsp.wap.2</v>
      </c>
      <c r="Y762" s="37">
        <f>Y696*IF(LEFT(Y$38,3)="Yes",IFERROR(INDEX(DPTVal,MATCH($E762,DPTKey,0)),1),1)</f>
        <v>0.001110826539143088</v>
      </c>
      <c r="Z762" s="38">
        <f>Y762</f>
        <v>0.001110826539143088</v>
      </c>
      <c r="AA762" s="38">
        <f>Z762</f>
        <v>0.001110826539143088</v>
      </c>
      <c r="AB762" s="38">
        <f>AA762</f>
        <v>0.001110826539143088</v>
      </c>
      <c r="AC762" s="38">
        <f>AB762</f>
        <v>0.001110826539143088</v>
      </c>
      <c r="AD762" s="38">
        <f>AC762</f>
        <v>0.001110826539143088</v>
      </c>
      <c r="AE762" s="38">
        <f>AD762</f>
        <v>0.001110826539143088</v>
      </c>
      <c r="AF762" s="38">
        <f>AE762</f>
        <v>0.001110826539143088</v>
      </c>
      <c r="AG762" s="38">
        <f>AF762</f>
        <v>0.001110826539143088</v>
      </c>
      <c r="AH762" s="38">
        <f>AG762</f>
        <v>0.001110826539143088</v>
      </c>
      <c r="AI762" s="38">
        <f>AH762</f>
        <v>0.001110826539143088</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33"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7" t="str">
        <f>IF(X$5=K$5,SUM(Y763:AI763)-SUM(L763:V763),"")</f>
        <v/>
      </c>
      <c r="X763" s="9" t="str">
        <f>LOWER(CtryCode)&amp;".distn."&amp;$A763&amp;IF($B763="","","."&amp;$B763)&amp;IF($C763="","",".dec."&amp;$C763)&amp;"."&amp;X$5</f>
        <v>egy.distn.dpsp.whs.2</v>
      </c>
      <c r="Y763" s="37">
        <f>Y697*IF(LEFT(Y$38,3)="Yes",IFERROR(INDEX(DPTVal,MATCH($E763,DPTKey,0)),1),1)</f>
        <v>0.0011002082462622147</v>
      </c>
      <c r="Z763" s="38">
        <f>Y763</f>
        <v>0.0011002082462622147</v>
      </c>
      <c r="AA763" s="38">
        <f>Z763</f>
        <v>0.0011002082462622147</v>
      </c>
      <c r="AB763" s="38">
        <f>AA763</f>
        <v>0.0011002082462622147</v>
      </c>
      <c r="AC763" s="38">
        <f>AB763</f>
        <v>0.0011002082462622147</v>
      </c>
      <c r="AD763" s="38">
        <f>AC763</f>
        <v>0.0011002082462622147</v>
      </c>
      <c r="AE763" s="38">
        <f>AD763</f>
        <v>0.0011002082462622147</v>
      </c>
      <c r="AF763" s="38">
        <f>AE763</f>
        <v>0.0011002082462622147</v>
      </c>
      <c r="AG763" s="38">
        <f>AF763</f>
        <v>0.0011002082462622147</v>
      </c>
      <c r="AH763" s="38">
        <f>AG763</f>
        <v>0.0011002082462622147</v>
      </c>
      <c r="AI763" s="38">
        <f>AH763</f>
        <v>0.0011002082462622147</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33"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7" t="str">
        <f>IF(X$5=K$5,SUM(Y764:AI764)-SUM(L764:V764),"")</f>
        <v/>
      </c>
      <c r="X764" s="9" t="str">
        <f>LOWER(CtryCode)&amp;".distn."&amp;$A764&amp;IF($B764="","","."&amp;$B764)&amp;IF($C764="","",".dec."&amp;$C764)&amp;"."&amp;X$5</f>
        <v>egy.distn.dpsp.wht.2</v>
      </c>
      <c r="Y764" s="37">
        <f>Y698*IF(LEFT(Y$38,3)="Yes",IFERROR(INDEX(DPTVal,MATCH($E764,DPTKey,0)),1),1)</f>
        <v>0.001602632182281869</v>
      </c>
      <c r="Z764" s="38">
        <f>Y764</f>
        <v>0.001602632182281869</v>
      </c>
      <c r="AA764" s="38">
        <f>Z764</f>
        <v>0.001602632182281869</v>
      </c>
      <c r="AB764" s="38">
        <f>AA764</f>
        <v>0.001602632182281869</v>
      </c>
      <c r="AC764" s="38">
        <f>AB764</f>
        <v>0.001602632182281869</v>
      </c>
      <c r="AD764" s="38">
        <f>AC764</f>
        <v>0.001602632182281869</v>
      </c>
      <c r="AE764" s="38">
        <f>AD764</f>
        <v>0.001602632182281869</v>
      </c>
      <c r="AF764" s="38">
        <f>AE764</f>
        <v>0.001602632182281869</v>
      </c>
      <c r="AG764" s="38">
        <f>AF764</f>
        <v>0.001602632182281869</v>
      </c>
      <c r="AH764" s="38">
        <f>AG764</f>
        <v>0.001602632182281869</v>
      </c>
      <c r="AI764" s="38">
        <f>AH764</f>
        <v>0.001602632182281869</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33"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7" t="str">
        <f>IF(X$5=K$5,SUM(Y765:AI765)-SUM(L765:V765),"")</f>
        <v/>
      </c>
      <c r="X765" s="9" t="str">
        <f>LOWER(CtryCode)&amp;".distn."&amp;$A765&amp;IF($B765="","","."&amp;$B765)&amp;IF($C765="","",".dec."&amp;$C765)&amp;"."&amp;X$5</f>
        <v>egy.distn.dpsp.wol.2</v>
      </c>
      <c r="Y765" s="37">
        <f>Y699*IF(LEFT(Y$38,3)="Yes",IFERROR(INDEX(DPTVal,MATCH($E765,DPTKey,0)),1),1)</f>
        <v>0.0022531691122356402</v>
      </c>
      <c r="Z765" s="38">
        <f>Y765</f>
        <v>0.0022531691122356402</v>
      </c>
      <c r="AA765" s="38">
        <f>Z765</f>
        <v>0.0022531691122356402</v>
      </c>
      <c r="AB765" s="38">
        <f>AA765</f>
        <v>0.0022531691122356402</v>
      </c>
      <c r="AC765" s="38">
        <f>AB765</f>
        <v>0.0022531691122356402</v>
      </c>
      <c r="AD765" s="38">
        <f>AC765</f>
        <v>0.0022531691122356402</v>
      </c>
      <c r="AE765" s="38">
        <f>AD765</f>
        <v>0.0022531691122356402</v>
      </c>
      <c r="AF765" s="38">
        <f>AE765</f>
        <v>0.0022531691122356402</v>
      </c>
      <c r="AG765" s="38">
        <f>AF765</f>
        <v>0.0022531691122356402</v>
      </c>
      <c r="AH765" s="38">
        <f>AG765</f>
        <v>0.0022531691122356402</v>
      </c>
      <c r="AI765" s="38">
        <f>AH765</f>
        <v>0.0022531691122356402</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33"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7" t="str">
        <f>IF(X$5=K$5,SUM(Y766:AI766)-SUM(L766:V766),"")</f>
        <v/>
      </c>
      <c r="X766" s="9" t="str">
        <f>LOWER(CtryCode)&amp;".distn."&amp;$A766&amp;IF($B766="","","."&amp;$B766)&amp;IF($C766="","",".dec."&amp;$C766)&amp;"."&amp;X$5</f>
        <v>egy.distn.dpsp.wtp.2</v>
      </c>
      <c r="Y766" s="37">
        <f>Y700*IF(LEFT(Y$38,3)="Yes",IFERROR(INDEX(DPTVal,MATCH($E766,DPTKey,0)),1),1)</f>
        <v>0.0069593706366506474</v>
      </c>
      <c r="Z766" s="38">
        <f>Y766</f>
        <v>0.0069593706366506474</v>
      </c>
      <c r="AA766" s="38">
        <f>Z766</f>
        <v>0.0069593706366506474</v>
      </c>
      <c r="AB766" s="38">
        <f>AA766</f>
        <v>0.0069593706366506474</v>
      </c>
      <c r="AC766" s="38">
        <f>AB766</f>
        <v>0.0069593706366506474</v>
      </c>
      <c r="AD766" s="38">
        <f>AC766</f>
        <v>0.0069593706366506474</v>
      </c>
      <c r="AE766" s="38">
        <f>AD766</f>
        <v>0.0069593706366506474</v>
      </c>
      <c r="AF766" s="38">
        <f>AE766</f>
        <v>0.0069593706366506474</v>
      </c>
      <c r="AG766" s="38">
        <f>AF766</f>
        <v>0.0069593706366506474</v>
      </c>
      <c r="AH766" s="38">
        <f>AG766</f>
        <v>0.0069593706366506474</v>
      </c>
      <c r="AI766" s="38">
        <f>AH766</f>
        <v>0.0069593706366506474</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33"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7" t="str">
        <f>IF(X$5=K$5,SUM(Y767:AI767)-SUM(L767:V767),"")</f>
        <v/>
      </c>
      <c r="X767" s="9" t="str">
        <f>LOWER(CtryCode)&amp;".distn."&amp;$A767&amp;IF($B767="","","."&amp;$B767)&amp;IF($C767="","",".dec."&amp;$C767)&amp;"."&amp;X$5</f>
        <v>egy.distn.dpsp.wtr.2</v>
      </c>
      <c r="Y767" s="37">
        <f>Y701*IF(LEFT(Y$38,3)="Yes",IFERROR(INDEX(DPTVal,MATCH($E767,DPTKey,0)),1),1)</f>
        <v>0.0026715955572220976</v>
      </c>
      <c r="Z767" s="38">
        <f>Y767</f>
        <v>0.0026715955572220976</v>
      </c>
      <c r="AA767" s="38">
        <f>Z767</f>
        <v>0.0026715955572220976</v>
      </c>
      <c r="AB767" s="38">
        <f>AA767</f>
        <v>0.0026715955572220976</v>
      </c>
      <c r="AC767" s="38">
        <f>AB767</f>
        <v>0.0026715955572220976</v>
      </c>
      <c r="AD767" s="38">
        <f>AC767</f>
        <v>0.0026715955572220976</v>
      </c>
      <c r="AE767" s="38">
        <f>AD767</f>
        <v>0.0026715955572220976</v>
      </c>
      <c r="AF767" s="38">
        <f>AE767</f>
        <v>0.0026715955572220976</v>
      </c>
      <c r="AG767" s="38">
        <f>AF767</f>
        <v>0.0026715955572220976</v>
      </c>
      <c r="AH767" s="38">
        <f>AG767</f>
        <v>0.0026715955572220976</v>
      </c>
      <c r="AI767" s="38">
        <f>AH767</f>
        <v>0.0026715955572220976</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33"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7" t="str">
        <f>IF(X$5=K$5,SUM(Y770:AI770)-SUM(L770:V770),"")</f>
        <v/>
      </c>
      <c r="X770" s="9" t="str">
        <f>LOWER(CtryCode)&amp;".distn."&amp;$A770&amp;IF($B770="","","."&amp;$B770)&amp;IF($C770="","",".dec."&amp;$C770)&amp;"."&amp;X$5</f>
        <v>egy.distn.dprk.afs.2</v>
      </c>
      <c r="Y770" s="57">
        <f>RANK(Y704,Y$704:Y$767)</f>
        <v>48.0</v>
      </c>
      <c r="Z770" s="58">
        <f>Y770</f>
        <v>48.0</v>
      </c>
      <c r="AA770" s="58">
        <f>Z770</f>
        <v>48.0</v>
      </c>
      <c r="AB770" s="58">
        <f>AA770</f>
        <v>48.0</v>
      </c>
      <c r="AC770" s="58">
        <f>AB770</f>
        <v>48.0</v>
      </c>
      <c r="AD770" s="58">
        <f>AC770</f>
        <v>48.0</v>
      </c>
      <c r="AE770" s="58">
        <f>AD770</f>
        <v>48.0</v>
      </c>
      <c r="AF770" s="58">
        <f>AE770</f>
        <v>48.0</v>
      </c>
      <c r="AG770" s="58">
        <f>AF770</f>
        <v>48.0</v>
      </c>
      <c r="AH770" s="58">
        <f>AG770</f>
        <v>48.0</v>
      </c>
      <c r="AI770" s="58">
        <f>AH770</f>
        <v>48.0</v>
      </c>
    </row>
    <row r="771" hidden="1" outlineLevel="1">
      <c r="A771" s="62" t="inlineStr">
        <is>
          <t>dprk</t>
        </is>
      </c>
      <c r="B771" s="3" t="inlineStr">
        <is>
          <t>atp</t>
        </is>
      </c>
      <c r="C771" s="3" t="inlineStr"/>
      <c r="D771" s="3" t="n"/>
      <c r="E771" s="3" t="n"/>
      <c r="H771" s="3" t="inlineStr">
        <is>
          <t>Air transport: rank</t>
        </is>
      </c>
      <c r="I771" s="3" t="inlineStr">
        <is>
          <t>rank</t>
        </is>
      </c>
      <c r="J771" s="133"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7" t="str">
        <f>IF(X$5=K$5,SUM(Y771:AI771)-SUM(L771:V771),"")</f>
        <v/>
      </c>
      <c r="X771" s="9" t="str">
        <f>LOWER(CtryCode)&amp;".distn."&amp;$A771&amp;IF($B771="","","."&amp;$B771)&amp;IF($C771="","",".dec."&amp;$C771)&amp;"."&amp;X$5</f>
        <v>egy.distn.dprk.atp.2</v>
      </c>
      <c r="Y771" s="57">
        <f>RANK(Y705,Y$704:Y$767)+COUNTIF(Y$704:Y704,Y705)</f>
        <v>1.0</v>
      </c>
      <c r="Z771" s="58">
        <f>Y771</f>
        <v>1.0</v>
      </c>
      <c r="AA771" s="58">
        <f>Z771</f>
        <v>1.0</v>
      </c>
      <c r="AB771" s="58">
        <f>AA771</f>
        <v>1.0</v>
      </c>
      <c r="AC771" s="58">
        <f>AB771</f>
        <v>1.0</v>
      </c>
      <c r="AD771" s="58">
        <f>AC771</f>
        <v>1.0</v>
      </c>
      <c r="AE771" s="58">
        <f>AD771</f>
        <v>1.0</v>
      </c>
      <c r="AF771" s="58">
        <f>AE771</f>
        <v>1.0</v>
      </c>
      <c r="AG771" s="58">
        <f>AF771</f>
        <v>1.0</v>
      </c>
      <c r="AH771" s="58">
        <f>AG771</f>
        <v>1.0</v>
      </c>
      <c r="AI771" s="58">
        <f>AH771</f>
        <v>1.0</v>
      </c>
    </row>
    <row r="772" hidden="1" outlineLevel="1">
      <c r="A772" s="62" t="inlineStr">
        <is>
          <t>dprk</t>
        </is>
      </c>
      <c r="B772" s="3" t="inlineStr">
        <is>
          <t>b_t</t>
        </is>
      </c>
      <c r="C772" s="3" t="inlineStr"/>
      <c r="D772" s="3" t="n"/>
      <c r="E772" s="3" t="n"/>
      <c r="H772" s="3" t="inlineStr">
        <is>
          <t>Beverages &amp; Tobacco: rank</t>
        </is>
      </c>
      <c r="I772" s="3" t="inlineStr">
        <is>
          <t>rank</t>
        </is>
      </c>
      <c r="J772" s="133"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7"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33"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7" t="str">
        <f>IF(X$5=K$5,SUM(Y773:AI773)-SUM(L773:V773),"")</f>
        <v/>
      </c>
      <c r="X773" s="9" t="str">
        <f>LOWER(CtryCode)&amp;".distn."&amp;$A773&amp;IF($B773="","","."&amp;$B773)&amp;IF($C773="","",".dec."&amp;$C773)&amp;"."&amp;X$5</f>
        <v>egy.distn.dprk.bph.2</v>
      </c>
      <c r="Y773" s="57">
        <f>RANK(Y707,Y$704:Y$767)+COUNTIF(Y$704:Y706,Y707)</f>
        <v>16.0</v>
      </c>
      <c r="Z773" s="58">
        <f>Y773</f>
        <v>16.0</v>
      </c>
      <c r="AA773" s="58">
        <f>Z773</f>
        <v>16.0</v>
      </c>
      <c r="AB773" s="58">
        <f>AA773</f>
        <v>16.0</v>
      </c>
      <c r="AC773" s="58">
        <f>AB773</f>
        <v>16.0</v>
      </c>
      <c r="AD773" s="58">
        <f>AC773</f>
        <v>16.0</v>
      </c>
      <c r="AE773" s="58">
        <f>AD773</f>
        <v>16.0</v>
      </c>
      <c r="AF773" s="58">
        <f>AE773</f>
        <v>16.0</v>
      </c>
      <c r="AG773" s="58">
        <f>AF773</f>
        <v>16.0</v>
      </c>
      <c r="AH773" s="58">
        <f>AG773</f>
        <v>16.0</v>
      </c>
      <c r="AI773" s="58">
        <f>AH773</f>
        <v>16.0</v>
      </c>
    </row>
    <row r="774" hidden="1" outlineLevel="1">
      <c r="A774" s="62" t="inlineStr">
        <is>
          <t>dprk</t>
        </is>
      </c>
      <c r="B774" s="3" t="inlineStr">
        <is>
          <t>c_b</t>
        </is>
      </c>
      <c r="C774" s="3" t="inlineStr"/>
      <c r="D774" s="3" t="n"/>
      <c r="E774" s="3" t="n"/>
      <c r="H774" s="3" t="inlineStr">
        <is>
          <t>Cane &amp; Beet: rank</t>
        </is>
      </c>
      <c r="I774" s="3" t="inlineStr">
        <is>
          <t>rank</t>
        </is>
      </c>
      <c r="J774" s="133"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7" t="str">
        <f>IF(X$5=K$5,SUM(Y774:AI774)-SUM(L774:V774),"")</f>
        <v/>
      </c>
      <c r="X774" s="9" t="str">
        <f>LOWER(CtryCode)&amp;".distn."&amp;$A774&amp;IF($B774="","","."&amp;$B774)&amp;IF($C774="","",".dec."&amp;$C774)&amp;"."&amp;X$5</f>
        <v>egy.distn.dprk.c_b.2</v>
      </c>
      <c r="Y774" s="57">
        <f>RANK(Y708,Y$704:Y$767)+COUNTIF(Y$704:Y707,Y708)</f>
        <v>28.0</v>
      </c>
      <c r="Z774" s="58">
        <f>Y774</f>
        <v>28.0</v>
      </c>
      <c r="AA774" s="58">
        <f>Z774</f>
        <v>28.0</v>
      </c>
      <c r="AB774" s="58">
        <f>AA774</f>
        <v>28.0</v>
      </c>
      <c r="AC774" s="58">
        <f>AB774</f>
        <v>28.0</v>
      </c>
      <c r="AD774" s="58">
        <f>AC774</f>
        <v>28.0</v>
      </c>
      <c r="AE774" s="58">
        <f>AD774</f>
        <v>28.0</v>
      </c>
      <c r="AF774" s="58">
        <f>AE774</f>
        <v>28.0</v>
      </c>
      <c r="AG774" s="58">
        <f>AF774</f>
        <v>28.0</v>
      </c>
      <c r="AH774" s="58">
        <f>AG774</f>
        <v>28.0</v>
      </c>
      <c r="AI774" s="58">
        <f>AH774</f>
        <v>28.0</v>
      </c>
    </row>
    <row r="775" hidden="1" outlineLevel="1">
      <c r="A775" s="62" t="inlineStr">
        <is>
          <t>dprk</t>
        </is>
      </c>
      <c r="B775" s="3" t="inlineStr">
        <is>
          <t>chm</t>
        </is>
      </c>
      <c r="C775" s="3" t="inlineStr"/>
      <c r="D775" s="3" t="n"/>
      <c r="E775" s="3" t="n"/>
      <c r="H775" s="3" t="inlineStr">
        <is>
          <t>Chemicals: rank</t>
        </is>
      </c>
      <c r="I775" s="3" t="inlineStr">
        <is>
          <t>rank</t>
        </is>
      </c>
      <c r="J775" s="133"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7" t="str">
        <f>IF(X$5=K$5,SUM(Y775:AI775)-SUM(L775:V775),"")</f>
        <v/>
      </c>
      <c r="X775" s="9" t="str">
        <f>LOWER(CtryCode)&amp;".distn."&amp;$A775&amp;IF($B775="","","."&amp;$B775)&amp;IF($C775="","",".dec."&amp;$C775)&amp;"."&amp;X$5</f>
        <v>egy.distn.dprk.chm.2</v>
      </c>
      <c r="Y775" s="57">
        <f>RANK(Y709,Y$704:Y$767)+COUNTIF(Y$704:Y708,Y709)</f>
        <v>2.0</v>
      </c>
      <c r="Z775" s="58">
        <f>Y775</f>
        <v>2.0</v>
      </c>
      <c r="AA775" s="58">
        <f>Z775</f>
        <v>2.0</v>
      </c>
      <c r="AB775" s="58">
        <f>AA775</f>
        <v>2.0</v>
      </c>
      <c r="AC775" s="58">
        <f>AB775</f>
        <v>2.0</v>
      </c>
      <c r="AD775" s="58">
        <f>AC775</f>
        <v>2.0</v>
      </c>
      <c r="AE775" s="58">
        <f>AD775</f>
        <v>2.0</v>
      </c>
      <c r="AF775" s="58">
        <f>AE775</f>
        <v>2.0</v>
      </c>
      <c r="AG775" s="58">
        <f>AF775</f>
        <v>2.0</v>
      </c>
      <c r="AH775" s="58">
        <f>AG775</f>
        <v>2.0</v>
      </c>
      <c r="AI775" s="58">
        <f>AH775</f>
        <v>2.0</v>
      </c>
    </row>
    <row r="776" hidden="1" outlineLevel="1">
      <c r="A776" s="62" t="inlineStr">
        <is>
          <t>dprk</t>
        </is>
      </c>
      <c r="B776" s="3" t="inlineStr">
        <is>
          <t>cmn</t>
        </is>
      </c>
      <c r="C776" s="3" t="inlineStr"/>
      <c r="D776" s="3" t="n"/>
      <c r="E776" s="3" t="n"/>
      <c r="H776" s="3" t="inlineStr">
        <is>
          <t>Telecomms: rank</t>
        </is>
      </c>
      <c r="I776" s="3" t="inlineStr">
        <is>
          <t>rank</t>
        </is>
      </c>
      <c r="J776" s="133"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7" t="str">
        <f>IF(X$5=K$5,SUM(Y776:AI776)-SUM(L776:V776),"")</f>
        <v/>
      </c>
      <c r="X776" s="9" t="str">
        <f>LOWER(CtryCode)&amp;".distn."&amp;$A776&amp;IF($B776="","","."&amp;$B776)&amp;IF($C776="","",".dec."&amp;$C776)&amp;"."&amp;X$5</f>
        <v>egy.distn.dprk.cmn.2</v>
      </c>
      <c r="Y776" s="57">
        <f>RANK(Y710,Y$704:Y$767)+COUNTIF(Y$704:Y709,Y710)</f>
        <v>54.0</v>
      </c>
      <c r="Z776" s="58">
        <f>Y776</f>
        <v>54.0</v>
      </c>
      <c r="AA776" s="58">
        <f>Z776</f>
        <v>54.0</v>
      </c>
      <c r="AB776" s="58">
        <f>AA776</f>
        <v>54.0</v>
      </c>
      <c r="AC776" s="58">
        <f>AB776</f>
        <v>54.0</v>
      </c>
      <c r="AD776" s="58">
        <f>AC776</f>
        <v>54.0</v>
      </c>
      <c r="AE776" s="58">
        <f>AD776</f>
        <v>54.0</v>
      </c>
      <c r="AF776" s="58">
        <f>AE776</f>
        <v>54.0</v>
      </c>
      <c r="AG776" s="58">
        <f>AF776</f>
        <v>54.0</v>
      </c>
      <c r="AH776" s="58">
        <f>AG776</f>
        <v>54.0</v>
      </c>
      <c r="AI776" s="58">
        <f>AH776</f>
        <v>54.0</v>
      </c>
    </row>
    <row r="777" hidden="1" outlineLevel="1">
      <c r="A777" s="62" t="inlineStr">
        <is>
          <t>dprk</t>
        </is>
      </c>
      <c r="B777" s="3" t="inlineStr">
        <is>
          <t>cmt</t>
        </is>
      </c>
      <c r="C777" s="3" t="inlineStr"/>
      <c r="D777" s="3" t="n"/>
      <c r="E777" s="3" t="n"/>
      <c r="H777" s="3" t="inlineStr">
        <is>
          <t>Cattle Meat: rank</t>
        </is>
      </c>
      <c r="I777" s="3" t="inlineStr">
        <is>
          <t>rank</t>
        </is>
      </c>
      <c r="J777" s="133"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7"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33"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7" t="str">
        <f>IF(X$5=K$5,SUM(Y778:AI778)-SUM(L778:V778),"")</f>
        <v/>
      </c>
      <c r="X778" s="9" t="str">
        <f>LOWER(CtryCode)&amp;".distn."&amp;$A778&amp;IF($B778="","","."&amp;$B778)&amp;IF($C778="","",".dec."&amp;$C778)&amp;"."&amp;X$5</f>
        <v>egy.distn.dprk.cns.2</v>
      </c>
      <c r="Y778" s="57">
        <f>RANK(Y712,Y$704:Y$767)+COUNTIF(Y$704:Y711,Y712)</f>
        <v>21.0</v>
      </c>
      <c r="Z778" s="58">
        <f>Y778</f>
        <v>21.0</v>
      </c>
      <c r="AA778" s="58">
        <f>Z778</f>
        <v>21.0</v>
      </c>
      <c r="AB778" s="58">
        <f>AA778</f>
        <v>21.0</v>
      </c>
      <c r="AC778" s="58">
        <f>AB778</f>
        <v>21.0</v>
      </c>
      <c r="AD778" s="58">
        <f>AC778</f>
        <v>21.0</v>
      </c>
      <c r="AE778" s="58">
        <f>AD778</f>
        <v>21.0</v>
      </c>
      <c r="AF778" s="58">
        <f>AE778</f>
        <v>21.0</v>
      </c>
      <c r="AG778" s="58">
        <f>AF778</f>
        <v>21.0</v>
      </c>
      <c r="AH778" s="58">
        <f>AG778</f>
        <v>21.0</v>
      </c>
      <c r="AI778" s="58">
        <f>AH778</f>
        <v>21.0</v>
      </c>
    </row>
    <row r="779" hidden="1" outlineLevel="1">
      <c r="A779" s="62" t="inlineStr">
        <is>
          <t>dprk</t>
        </is>
      </c>
      <c r="B779" s="3" t="inlineStr">
        <is>
          <t>coa</t>
        </is>
      </c>
      <c r="C779" s="3" t="inlineStr"/>
      <c r="D779" s="3" t="n"/>
      <c r="E779" s="3" t="n"/>
      <c r="H779" s="3" t="inlineStr">
        <is>
          <t>Coal: rank</t>
        </is>
      </c>
      <c r="I779" s="3" t="inlineStr">
        <is>
          <t>rank</t>
        </is>
      </c>
      <c r="J779" s="133"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7"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33"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7" t="str">
        <f>IF(X$5=K$5,SUM(Y780:AI780)-SUM(L780:V780),"")</f>
        <v/>
      </c>
      <c r="X780" s="9" t="str">
        <f>LOWER(CtryCode)&amp;".distn."&amp;$A780&amp;IF($B780="","","."&amp;$B780)&amp;IF($C780="","",".dec."&amp;$C780)&amp;"."&amp;X$5</f>
        <v>egy.distn.dprk.ctl.2</v>
      </c>
      <c r="Y780" s="57">
        <f>RANK(Y714,Y$704:Y$767)+COUNTIF(Y$704:Y713,Y714)</f>
        <v>37.0</v>
      </c>
      <c r="Z780" s="58">
        <f>Y780</f>
        <v>37.0</v>
      </c>
      <c r="AA780" s="58">
        <f>Z780</f>
        <v>37.0</v>
      </c>
      <c r="AB780" s="58">
        <f>AA780</f>
        <v>37.0</v>
      </c>
      <c r="AC780" s="58">
        <f>AB780</f>
        <v>37.0</v>
      </c>
      <c r="AD780" s="58">
        <f>AC780</f>
        <v>37.0</v>
      </c>
      <c r="AE780" s="58">
        <f>AD780</f>
        <v>37.0</v>
      </c>
      <c r="AF780" s="58">
        <f>AE780</f>
        <v>37.0</v>
      </c>
      <c r="AG780" s="58">
        <f>AF780</f>
        <v>37.0</v>
      </c>
      <c r="AH780" s="58">
        <f>AG780</f>
        <v>37.0</v>
      </c>
      <c r="AI780" s="58">
        <f>AH780</f>
        <v>37.0</v>
      </c>
    </row>
    <row r="781" hidden="1" outlineLevel="1">
      <c r="A781" s="62" t="inlineStr">
        <is>
          <t>dprk</t>
        </is>
      </c>
      <c r="B781" s="3" t="inlineStr">
        <is>
          <t>dwe</t>
        </is>
      </c>
      <c r="C781" s="3" t="inlineStr"/>
      <c r="D781" s="3" t="n"/>
      <c r="E781" s="3" t="n"/>
      <c r="H781" s="3" t="inlineStr">
        <is>
          <t>Housing rent: rank</t>
        </is>
      </c>
      <c r="I781" s="3" t="inlineStr">
        <is>
          <t>rank</t>
        </is>
      </c>
      <c r="J781" s="133"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7"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33"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7" t="str">
        <f>IF(X$5=K$5,SUM(Y782:AI782)-SUM(L782:V782),"")</f>
        <v/>
      </c>
      <c r="X782" s="9" t="str">
        <f>LOWER(CtryCode)&amp;".distn."&amp;$A782&amp;IF($B782="","","."&amp;$B782)&amp;IF($C782="","",".dec."&amp;$C782)&amp;"."&amp;X$5</f>
        <v>egy.distn.dprk.edu.2</v>
      </c>
      <c r="Y782" s="57">
        <f>RANK(Y716,Y$704:Y$767)+COUNTIF(Y$704:Y715,Y716)</f>
        <v>41.0</v>
      </c>
      <c r="Z782" s="58">
        <f>Y782</f>
        <v>41.0</v>
      </c>
      <c r="AA782" s="58">
        <f>Z782</f>
        <v>41.0</v>
      </c>
      <c r="AB782" s="58">
        <f>AA782</f>
        <v>41.0</v>
      </c>
      <c r="AC782" s="58">
        <f>AB782</f>
        <v>41.0</v>
      </c>
      <c r="AD782" s="58">
        <f>AC782</f>
        <v>41.0</v>
      </c>
      <c r="AE782" s="58">
        <f>AD782</f>
        <v>41.0</v>
      </c>
      <c r="AF782" s="58">
        <f>AE782</f>
        <v>41.0</v>
      </c>
      <c r="AG782" s="58">
        <f>AF782</f>
        <v>41.0</v>
      </c>
      <c r="AH782" s="58">
        <f>AG782</f>
        <v>41.0</v>
      </c>
      <c r="AI782" s="58">
        <f>AH782</f>
        <v>41.0</v>
      </c>
    </row>
    <row r="783" hidden="1" outlineLevel="1">
      <c r="A783" s="62" t="inlineStr">
        <is>
          <t>dprk</t>
        </is>
      </c>
      <c r="B783" s="3" t="inlineStr">
        <is>
          <t>eeq</t>
        </is>
      </c>
      <c r="C783" s="3" t="inlineStr"/>
      <c r="D783" s="3" t="n"/>
      <c r="E783" s="3" t="n"/>
      <c r="H783" s="3" t="inlineStr">
        <is>
          <t>Electrical equipment: rank</t>
        </is>
      </c>
      <c r="I783" s="3" t="inlineStr">
        <is>
          <t>rank</t>
        </is>
      </c>
      <c r="J783" s="133"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7" t="str">
        <f>IF(X$5=K$5,SUM(Y783:AI783)-SUM(L783:V783),"")</f>
        <v/>
      </c>
      <c r="X783" s="9" t="str">
        <f>LOWER(CtryCode)&amp;".distn."&amp;$A783&amp;IF($B783="","","."&amp;$B783)&amp;IF($C783="","",".dec."&amp;$C783)&amp;"."&amp;X$5</f>
        <v>egy.distn.dprk.eeq.2</v>
      </c>
      <c r="Y783" s="57">
        <f>RANK(Y717,Y$704:Y$767)+COUNTIF(Y$704:Y716,Y717)</f>
        <v>14.0</v>
      </c>
      <c r="Z783" s="58">
        <f>Y783</f>
        <v>14.0</v>
      </c>
      <c r="AA783" s="58">
        <f>Z783</f>
        <v>14.0</v>
      </c>
      <c r="AB783" s="58">
        <f>AA783</f>
        <v>14.0</v>
      </c>
      <c r="AC783" s="58">
        <f>AB783</f>
        <v>14.0</v>
      </c>
      <c r="AD783" s="58">
        <f>AC783</f>
        <v>14.0</v>
      </c>
      <c r="AE783" s="58">
        <f>AD783</f>
        <v>14.0</v>
      </c>
      <c r="AF783" s="58">
        <f>AE783</f>
        <v>14.0</v>
      </c>
      <c r="AG783" s="58">
        <f>AF783</f>
        <v>14.0</v>
      </c>
      <c r="AH783" s="58">
        <f>AG783</f>
        <v>14.0</v>
      </c>
      <c r="AI783" s="58">
        <f>AH783</f>
        <v>14.0</v>
      </c>
    </row>
    <row r="784" hidden="1" outlineLevel="1">
      <c r="A784" s="62" t="inlineStr">
        <is>
          <t>dprk</t>
        </is>
      </c>
      <c r="B784" s="3" t="inlineStr">
        <is>
          <t>ele</t>
        </is>
      </c>
      <c r="C784" s="3" t="inlineStr"/>
      <c r="D784" s="3" t="n"/>
      <c r="E784" s="3" t="n"/>
      <c r="H784" s="3" t="inlineStr">
        <is>
          <t>Computer equipment: rank</t>
        </is>
      </c>
      <c r="I784" s="3" t="inlineStr">
        <is>
          <t>rank</t>
        </is>
      </c>
      <c r="J784" s="133"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7" t="str">
        <f>IF(X$5=K$5,SUM(Y784:AI784)-SUM(L784:V784),"")</f>
        <v/>
      </c>
      <c r="X784" s="9" t="str">
        <f>LOWER(CtryCode)&amp;".distn."&amp;$A784&amp;IF($B784="","","."&amp;$B784)&amp;IF($C784="","",".dec."&amp;$C784)&amp;"."&amp;X$5</f>
        <v>egy.distn.dprk.ele.2</v>
      </c>
      <c r="Y784" s="57">
        <f>RANK(Y718,Y$704:Y$767)+COUNTIF(Y$704:Y717,Y718)</f>
        <v>18.0</v>
      </c>
      <c r="Z784" s="58">
        <f>Y784</f>
        <v>18.0</v>
      </c>
      <c r="AA784" s="58">
        <f>Z784</f>
        <v>18.0</v>
      </c>
      <c r="AB784" s="58">
        <f>AA784</f>
        <v>18.0</v>
      </c>
      <c r="AC784" s="58">
        <f>AB784</f>
        <v>18.0</v>
      </c>
      <c r="AD784" s="58">
        <f>AC784</f>
        <v>18.0</v>
      </c>
      <c r="AE784" s="58">
        <f>AD784</f>
        <v>18.0</v>
      </c>
      <c r="AF784" s="58">
        <f>AE784</f>
        <v>18.0</v>
      </c>
      <c r="AG784" s="58">
        <f>AF784</f>
        <v>18.0</v>
      </c>
      <c r="AH784" s="58">
        <f>AG784</f>
        <v>18.0</v>
      </c>
      <c r="AI784" s="58">
        <f>AH784</f>
        <v>18.0</v>
      </c>
    </row>
    <row r="785" hidden="1" outlineLevel="1">
      <c r="A785" s="62" t="inlineStr">
        <is>
          <t>dprk</t>
        </is>
      </c>
      <c r="B785" s="3" t="inlineStr">
        <is>
          <t>ely</t>
        </is>
      </c>
      <c r="C785" s="3" t="inlineStr"/>
      <c r="D785" s="3" t="n"/>
      <c r="E785" s="3" t="n"/>
      <c r="H785" s="3" t="inlineStr">
        <is>
          <t>Electricity supply: rank</t>
        </is>
      </c>
      <c r="I785" s="3" t="inlineStr">
        <is>
          <t>rank</t>
        </is>
      </c>
      <c r="J785" s="133"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7"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33"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7"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33"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7" t="str">
        <f>IF(X$5=K$5,SUM(Y787:AI787)-SUM(L787:V787),"")</f>
        <v/>
      </c>
      <c r="X787" s="9" t="str">
        <f>LOWER(CtryCode)&amp;".distn."&amp;$A787&amp;IF($B787="","","."&amp;$B787)&amp;IF($C787="","",".dec."&amp;$C787)&amp;"."&amp;X$5</f>
        <v>egy.distn.dprk.frs.2</v>
      </c>
      <c r="Y787" s="57">
        <f>RANK(Y721,Y$704:Y$767)+COUNTIF(Y$704:Y720,Y721)</f>
        <v>25.0</v>
      </c>
      <c r="Z787" s="58">
        <f>Y787</f>
        <v>25.0</v>
      </c>
      <c r="AA787" s="58">
        <f>Z787</f>
        <v>25.0</v>
      </c>
      <c r="AB787" s="58">
        <f>AA787</f>
        <v>25.0</v>
      </c>
      <c r="AC787" s="58">
        <f>AB787</f>
        <v>25.0</v>
      </c>
      <c r="AD787" s="58">
        <f>AC787</f>
        <v>25.0</v>
      </c>
      <c r="AE787" s="58">
        <f>AD787</f>
        <v>25.0</v>
      </c>
      <c r="AF787" s="58">
        <f>AE787</f>
        <v>25.0</v>
      </c>
      <c r="AG787" s="58">
        <f>AF787</f>
        <v>25.0</v>
      </c>
      <c r="AH787" s="58">
        <f>AG787</f>
        <v>25.0</v>
      </c>
      <c r="AI787" s="58">
        <f>AH787</f>
        <v>25.0</v>
      </c>
    </row>
    <row r="788" hidden="1" outlineLevel="1">
      <c r="A788" s="62" t="inlineStr">
        <is>
          <t>dprk</t>
        </is>
      </c>
      <c r="B788" s="3" t="inlineStr">
        <is>
          <t>fsh</t>
        </is>
      </c>
      <c r="C788" s="3" t="inlineStr"/>
      <c r="D788" s="3" t="n"/>
      <c r="E788" s="3" t="n"/>
      <c r="H788" s="3" t="inlineStr">
        <is>
          <t>Fishing: rank</t>
        </is>
      </c>
      <c r="I788" s="3" t="inlineStr">
        <is>
          <t>rank</t>
        </is>
      </c>
      <c r="J788" s="133"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7" t="str">
        <f>IF(X$5=K$5,SUM(Y788:AI788)-SUM(L788:V788),"")</f>
        <v/>
      </c>
      <c r="X788" s="9" t="str">
        <f>LOWER(CtryCode)&amp;".distn."&amp;$A788&amp;IF($B788="","","."&amp;$B788)&amp;IF($C788="","",".dec."&amp;$C788)&amp;"."&amp;X$5</f>
        <v>egy.distn.dprk.fsh.2</v>
      </c>
      <c r="Y788" s="57">
        <f>RANK(Y722,Y$704:Y$767)+COUNTIF(Y$704:Y721,Y722)</f>
        <v>38.0</v>
      </c>
      <c r="Z788" s="58">
        <f>Y788</f>
        <v>38.0</v>
      </c>
      <c r="AA788" s="58">
        <f>Z788</f>
        <v>38.0</v>
      </c>
      <c r="AB788" s="58">
        <f>AA788</f>
        <v>38.0</v>
      </c>
      <c r="AC788" s="58">
        <f>AB788</f>
        <v>38.0</v>
      </c>
      <c r="AD788" s="58">
        <f>AC788</f>
        <v>38.0</v>
      </c>
      <c r="AE788" s="58">
        <f>AD788</f>
        <v>38.0</v>
      </c>
      <c r="AF788" s="58">
        <f>AE788</f>
        <v>38.0</v>
      </c>
      <c r="AG788" s="58">
        <f>AF788</f>
        <v>38.0</v>
      </c>
      <c r="AH788" s="58">
        <f>AG788</f>
        <v>38.0</v>
      </c>
      <c r="AI788" s="58">
        <f>AH788</f>
        <v>38.0</v>
      </c>
    </row>
    <row r="789" hidden="1" outlineLevel="1">
      <c r="A789" s="62" t="inlineStr">
        <is>
          <t>dprk</t>
        </is>
      </c>
      <c r="B789" s="3" t="inlineStr">
        <is>
          <t>gro</t>
        </is>
      </c>
      <c r="C789" s="3" t="inlineStr"/>
      <c r="D789" s="3" t="n"/>
      <c r="E789" s="3" t="n"/>
      <c r="H789" s="3" t="inlineStr">
        <is>
          <t>Other grains: rank</t>
        </is>
      </c>
      <c r="I789" s="3" t="inlineStr">
        <is>
          <t>rank</t>
        </is>
      </c>
      <c r="J789" s="133"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7" t="str">
        <f>IF(X$5=K$5,SUM(Y789:AI789)-SUM(L789:V789),"")</f>
        <v/>
      </c>
      <c r="X789" s="9" t="str">
        <f>LOWER(CtryCode)&amp;".distn."&amp;$A789&amp;IF($B789="","","."&amp;$B789)&amp;IF($C789="","",".dec."&amp;$C789)&amp;"."&amp;X$5</f>
        <v>egy.distn.dprk.gro.2</v>
      </c>
      <c r="Y789" s="57">
        <f>RANK(Y723,Y$704:Y$767)+COUNTIF(Y$704:Y722,Y723)</f>
        <v>29.0</v>
      </c>
      <c r="Z789" s="58">
        <f>Y789</f>
        <v>29.0</v>
      </c>
      <c r="AA789" s="58">
        <f>Z789</f>
        <v>29.0</v>
      </c>
      <c r="AB789" s="58">
        <f>AA789</f>
        <v>29.0</v>
      </c>
      <c r="AC789" s="58">
        <f>AB789</f>
        <v>29.0</v>
      </c>
      <c r="AD789" s="58">
        <f>AC789</f>
        <v>29.0</v>
      </c>
      <c r="AE789" s="58">
        <f>AD789</f>
        <v>29.0</v>
      </c>
      <c r="AF789" s="58">
        <f>AE789</f>
        <v>29.0</v>
      </c>
      <c r="AG789" s="58">
        <f>AF789</f>
        <v>29.0</v>
      </c>
      <c r="AH789" s="58">
        <f>AG789</f>
        <v>29.0</v>
      </c>
      <c r="AI789" s="58">
        <f>AH789</f>
        <v>29.0</v>
      </c>
    </row>
    <row r="790" hidden="1" outlineLevel="1">
      <c r="A790" s="62" t="inlineStr">
        <is>
          <t>dprk</t>
        </is>
      </c>
      <c r="B790" s="3" t="inlineStr">
        <is>
          <t>hht</t>
        </is>
      </c>
      <c r="C790" s="3" t="inlineStr"/>
      <c r="D790" s="3" t="n"/>
      <c r="E790" s="3" t="n"/>
      <c r="H790" s="3" t="inlineStr">
        <is>
          <t>Human health &amp; social work: rank</t>
        </is>
      </c>
      <c r="I790" s="3" t="inlineStr">
        <is>
          <t>rank</t>
        </is>
      </c>
      <c r="J790" s="133"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7" t="str">
        <f>IF(X$5=K$5,SUM(Y790:AI790)-SUM(L790:V790),"")</f>
        <v/>
      </c>
      <c r="X790" s="9" t="str">
        <f>LOWER(CtryCode)&amp;".distn."&amp;$A790&amp;IF($B790="","","."&amp;$B790)&amp;IF($C790="","",".dec."&amp;$C790)&amp;"."&amp;X$5</f>
        <v>egy.distn.dprk.hht.2</v>
      </c>
      <c r="Y790" s="57">
        <f>RANK(Y724,Y$704:Y$767)+COUNTIF(Y$704:Y723,Y724)</f>
        <v>32.0</v>
      </c>
      <c r="Z790" s="58">
        <f>Y790</f>
        <v>32.0</v>
      </c>
      <c r="AA790" s="58">
        <f>Z790</f>
        <v>32.0</v>
      </c>
      <c r="AB790" s="58">
        <f>AA790</f>
        <v>32.0</v>
      </c>
      <c r="AC790" s="58">
        <f>AB790</f>
        <v>32.0</v>
      </c>
      <c r="AD790" s="58">
        <f>AC790</f>
        <v>32.0</v>
      </c>
      <c r="AE790" s="58">
        <f>AD790</f>
        <v>32.0</v>
      </c>
      <c r="AF790" s="58">
        <f>AE790</f>
        <v>32.0</v>
      </c>
      <c r="AG790" s="58">
        <f>AF790</f>
        <v>32.0</v>
      </c>
      <c r="AH790" s="58">
        <f>AG790</f>
        <v>32.0</v>
      </c>
      <c r="AI790" s="58">
        <f>AH790</f>
        <v>32.0</v>
      </c>
    </row>
    <row r="791" hidden="1" outlineLevel="1">
      <c r="A791" s="62" t="inlineStr">
        <is>
          <t>dprk</t>
        </is>
      </c>
      <c r="B791" s="3" t="inlineStr">
        <is>
          <t>i_s</t>
        </is>
      </c>
      <c r="C791" s="3" t="inlineStr"/>
      <c r="D791" s="3" t="n"/>
      <c r="E791" s="3" t="n"/>
      <c r="H791" s="3" t="inlineStr">
        <is>
          <t>Iron &amp; Steel: rank</t>
        </is>
      </c>
      <c r="I791" s="3" t="inlineStr">
        <is>
          <t>rank</t>
        </is>
      </c>
      <c r="J791" s="133"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7" t="str">
        <f>IF(X$5=K$5,SUM(Y791:AI791)-SUM(L791:V791),"")</f>
        <v/>
      </c>
      <c r="X791" s="9" t="str">
        <f>LOWER(CtryCode)&amp;".distn."&amp;$A791&amp;IF($B791="","","."&amp;$B791)&amp;IF($C791="","",".dec."&amp;$C791)&amp;"."&amp;X$5</f>
        <v>egy.distn.dprk.i_s.2</v>
      </c>
      <c r="Y791" s="57">
        <f>RANK(Y725,Y$704:Y$767)+COUNTIF(Y$704:Y724,Y725)</f>
        <v>7.0</v>
      </c>
      <c r="Z791" s="58">
        <f>Y791</f>
        <v>7.0</v>
      </c>
      <c r="AA791" s="58">
        <f>Z791</f>
        <v>7.0</v>
      </c>
      <c r="AB791" s="58">
        <f>AA791</f>
        <v>7.0</v>
      </c>
      <c r="AC791" s="58">
        <f>AB791</f>
        <v>7.0</v>
      </c>
      <c r="AD791" s="58">
        <f>AC791</f>
        <v>7.0</v>
      </c>
      <c r="AE791" s="58">
        <f>AD791</f>
        <v>7.0</v>
      </c>
      <c r="AF791" s="58">
        <f>AE791</f>
        <v>7.0</v>
      </c>
      <c r="AG791" s="58">
        <f>AF791</f>
        <v>7.0</v>
      </c>
      <c r="AH791" s="58">
        <f>AG791</f>
        <v>7.0</v>
      </c>
      <c r="AI791" s="58">
        <f>AH791</f>
        <v>7.0</v>
      </c>
    </row>
    <row r="792" hidden="1" outlineLevel="1">
      <c r="A792" s="62" t="inlineStr">
        <is>
          <t>dprk</t>
        </is>
      </c>
      <c r="B792" s="3" t="inlineStr">
        <is>
          <t>ins</t>
        </is>
      </c>
      <c r="C792" s="3" t="inlineStr"/>
      <c r="D792" s="3" t="n"/>
      <c r="E792" s="3" t="n"/>
      <c r="H792" s="3" t="inlineStr">
        <is>
          <t>Insurance: rank</t>
        </is>
      </c>
      <c r="I792" s="3" t="inlineStr">
        <is>
          <t>rank</t>
        </is>
      </c>
      <c r="J792" s="133"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7" t="str">
        <f>IF(X$5=K$5,SUM(Y792:AI792)-SUM(L792:V792),"")</f>
        <v/>
      </c>
      <c r="X792" s="9" t="str">
        <f>LOWER(CtryCode)&amp;".distn."&amp;$A792&amp;IF($B792="","","."&amp;$B792)&amp;IF($C792="","",".dec."&amp;$C792)&amp;"."&amp;X$5</f>
        <v>egy.distn.dprk.ins.2</v>
      </c>
      <c r="Y792" s="57">
        <f>RANK(Y726,Y$704:Y$767)+COUNTIF(Y$704:Y725,Y726)</f>
        <v>53.0</v>
      </c>
      <c r="Z792" s="58">
        <f>Y792</f>
        <v>53.0</v>
      </c>
      <c r="AA792" s="58">
        <f>Z792</f>
        <v>53.0</v>
      </c>
      <c r="AB792" s="58">
        <f>AA792</f>
        <v>53.0</v>
      </c>
      <c r="AC792" s="58">
        <f>AB792</f>
        <v>53.0</v>
      </c>
      <c r="AD792" s="58">
        <f>AC792</f>
        <v>53.0</v>
      </c>
      <c r="AE792" s="58">
        <f>AD792</f>
        <v>53.0</v>
      </c>
      <c r="AF792" s="58">
        <f>AE792</f>
        <v>53.0</v>
      </c>
      <c r="AG792" s="58">
        <f>AF792</f>
        <v>53.0</v>
      </c>
      <c r="AH792" s="58">
        <f>AG792</f>
        <v>53.0</v>
      </c>
      <c r="AI792" s="58">
        <f>AH792</f>
        <v>53.0</v>
      </c>
    </row>
    <row r="793" hidden="1" outlineLevel="1">
      <c r="A793" s="62" t="inlineStr">
        <is>
          <t>dprk</t>
        </is>
      </c>
      <c r="B793" s="3" t="inlineStr">
        <is>
          <t>lea</t>
        </is>
      </c>
      <c r="C793" s="3" t="inlineStr"/>
      <c r="D793" s="3" t="n"/>
      <c r="E793" s="3" t="n"/>
      <c r="H793" s="3" t="inlineStr">
        <is>
          <t>Leather: rank</t>
        </is>
      </c>
      <c r="I793" s="3" t="inlineStr">
        <is>
          <t>rank</t>
        </is>
      </c>
      <c r="J793" s="133"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7"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33"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7"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33"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7" t="str">
        <f>IF(X$5=K$5,SUM(Y795:AI795)-SUM(L795:V795),"")</f>
        <v/>
      </c>
      <c r="X795" s="9" t="str">
        <f>LOWER(CtryCode)&amp;".distn."&amp;$A795&amp;IF($B795="","","."&amp;$B795)&amp;IF($C795="","",".dec."&amp;$C795)&amp;"."&amp;X$5</f>
        <v>egy.distn.dprk.mil.2</v>
      </c>
      <c r="Y795" s="57">
        <f>RANK(Y729,Y$704:Y$767)+COUNTIF(Y$704:Y728,Y729)</f>
        <v>51.0</v>
      </c>
      <c r="Z795" s="58">
        <f>Y795</f>
        <v>51.0</v>
      </c>
      <c r="AA795" s="58">
        <f>Z795</f>
        <v>51.0</v>
      </c>
      <c r="AB795" s="58">
        <f>AA795</f>
        <v>51.0</v>
      </c>
      <c r="AC795" s="58">
        <f>AB795</f>
        <v>51.0</v>
      </c>
      <c r="AD795" s="58">
        <f>AC795</f>
        <v>51.0</v>
      </c>
      <c r="AE795" s="58">
        <f>AD795</f>
        <v>51.0</v>
      </c>
      <c r="AF795" s="58">
        <f>AE795</f>
        <v>51.0</v>
      </c>
      <c r="AG795" s="58">
        <f>AF795</f>
        <v>51.0</v>
      </c>
      <c r="AH795" s="58">
        <f>AG795</f>
        <v>51.0</v>
      </c>
      <c r="AI795" s="58">
        <f>AH795</f>
        <v>51.0</v>
      </c>
    </row>
    <row r="796" hidden="1" outlineLevel="1">
      <c r="A796" s="62" t="inlineStr">
        <is>
          <t>dprk</t>
        </is>
      </c>
      <c r="B796" s="3" t="inlineStr">
        <is>
          <t>mvh</t>
        </is>
      </c>
      <c r="C796" s="3" t="inlineStr"/>
      <c r="D796" s="3" t="n"/>
      <c r="E796" s="3" t="n"/>
      <c r="H796" s="3" t="inlineStr">
        <is>
          <t>Motor vehicles: rank</t>
        </is>
      </c>
      <c r="I796" s="3" t="inlineStr">
        <is>
          <t>rank</t>
        </is>
      </c>
      <c r="J796" s="133"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7" t="str">
        <f>IF(X$5=K$5,SUM(Y796:AI796)-SUM(L796:V796),"")</f>
        <v/>
      </c>
      <c r="X796" s="9" t="str">
        <f>LOWER(CtryCode)&amp;".distn."&amp;$A796&amp;IF($B796="","","."&amp;$B796)&amp;IF($C796="","",".dec."&amp;$C796)&amp;"."&amp;X$5</f>
        <v>egy.distn.dprk.mvh.2</v>
      </c>
      <c r="Y796" s="57">
        <f>RANK(Y730,Y$704:Y$767)+COUNTIF(Y$704:Y729,Y730)</f>
        <v>20.0</v>
      </c>
      <c r="Z796" s="58">
        <f>Y796</f>
        <v>20.0</v>
      </c>
      <c r="AA796" s="58">
        <f>Z796</f>
        <v>20.0</v>
      </c>
      <c r="AB796" s="58">
        <f>AA796</f>
        <v>20.0</v>
      </c>
      <c r="AC796" s="58">
        <f>AB796</f>
        <v>20.0</v>
      </c>
      <c r="AD796" s="58">
        <f>AC796</f>
        <v>20.0</v>
      </c>
      <c r="AE796" s="58">
        <f>AD796</f>
        <v>20.0</v>
      </c>
      <c r="AF796" s="58">
        <f>AE796</f>
        <v>20.0</v>
      </c>
      <c r="AG796" s="58">
        <f>AF796</f>
        <v>20.0</v>
      </c>
      <c r="AH796" s="58">
        <f>AG796</f>
        <v>20.0</v>
      </c>
      <c r="AI796" s="58">
        <f>AH796</f>
        <v>20.0</v>
      </c>
    </row>
    <row r="797" hidden="1" outlineLevel="1">
      <c r="A797" s="62" t="inlineStr">
        <is>
          <t>dprk</t>
        </is>
      </c>
      <c r="B797" s="3" t="inlineStr">
        <is>
          <t>nfm</t>
        </is>
      </c>
      <c r="C797" s="3" t="inlineStr"/>
      <c r="D797" s="3" t="n"/>
      <c r="E797" s="3" t="n"/>
      <c r="H797" s="3" t="inlineStr">
        <is>
          <t>Non-Ferrous Metals: rank</t>
        </is>
      </c>
      <c r="I797" s="3" t="inlineStr">
        <is>
          <t>rank</t>
        </is>
      </c>
      <c r="J797" s="133"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7"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33"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7"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33"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7" t="str">
        <f>IF(X$5=K$5,SUM(Y799:AI799)-SUM(L799:V799),"")</f>
        <v/>
      </c>
      <c r="X799" s="9" t="str">
        <f>LOWER(CtryCode)&amp;".distn."&amp;$A799&amp;IF($B799="","","."&amp;$B799)&amp;IF($C799="","",".dec."&amp;$C799)&amp;"."&amp;X$5</f>
        <v>egy.distn.dprk.nmm.2</v>
      </c>
      <c r="Y799" s="57">
        <f>RANK(Y733,Y$704:Y$767)+COUNTIF(Y$704:Y732,Y733)</f>
        <v>19.0</v>
      </c>
      <c r="Z799" s="58">
        <f>Y799</f>
        <v>19.0</v>
      </c>
      <c r="AA799" s="58">
        <f>Z799</f>
        <v>19.0</v>
      </c>
      <c r="AB799" s="58">
        <f>AA799</f>
        <v>19.0</v>
      </c>
      <c r="AC799" s="58">
        <f>AB799</f>
        <v>19.0</v>
      </c>
      <c r="AD799" s="58">
        <f>AC799</f>
        <v>19.0</v>
      </c>
      <c r="AE799" s="58">
        <f>AD799</f>
        <v>19.0</v>
      </c>
      <c r="AF799" s="58">
        <f>AE799</f>
        <v>19.0</v>
      </c>
      <c r="AG799" s="58">
        <f>AF799</f>
        <v>19.0</v>
      </c>
      <c r="AH799" s="58">
        <f>AG799</f>
        <v>19.0</v>
      </c>
      <c r="AI799" s="58">
        <f>AH799</f>
        <v>19.0</v>
      </c>
    </row>
    <row r="800" hidden="1" outlineLevel="1">
      <c r="A800" s="62" t="inlineStr">
        <is>
          <t>dprk</t>
        </is>
      </c>
      <c r="B800" s="3" t="inlineStr">
        <is>
          <t>oap</t>
        </is>
      </c>
      <c r="C800" s="3" t="inlineStr"/>
      <c r="D800" s="3" t="n"/>
      <c r="E800" s="3" t="n"/>
      <c r="H800" s="3" t="inlineStr">
        <is>
          <t>Other Animal Products: rank</t>
        </is>
      </c>
      <c r="I800" s="3" t="inlineStr">
        <is>
          <t>rank</t>
        </is>
      </c>
      <c r="J800" s="133"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7" t="str">
        <f>IF(X$5=K$5,SUM(Y800:AI800)-SUM(L800:V800),"")</f>
        <v/>
      </c>
      <c r="X800" s="9" t="str">
        <f>LOWER(CtryCode)&amp;".distn."&amp;$A800&amp;IF($B800="","","."&amp;$B800)&amp;IF($C800="","",".dec."&amp;$C800)&amp;"."&amp;X$5</f>
        <v>egy.distn.dprk.oap.2</v>
      </c>
      <c r="Y800" s="57">
        <f>RANK(Y734,Y$704:Y$767)+COUNTIF(Y$704:Y733,Y734)</f>
        <v>34.0</v>
      </c>
      <c r="Z800" s="58">
        <f>Y800</f>
        <v>34.0</v>
      </c>
      <c r="AA800" s="58">
        <f>Z800</f>
        <v>34.0</v>
      </c>
      <c r="AB800" s="58">
        <f>AA800</f>
        <v>34.0</v>
      </c>
      <c r="AC800" s="58">
        <f>AB800</f>
        <v>34.0</v>
      </c>
      <c r="AD800" s="58">
        <f>AC800</f>
        <v>34.0</v>
      </c>
      <c r="AE800" s="58">
        <f>AD800</f>
        <v>34.0</v>
      </c>
      <c r="AF800" s="58">
        <f>AE800</f>
        <v>34.0</v>
      </c>
      <c r="AG800" s="58">
        <f>AF800</f>
        <v>34.0</v>
      </c>
      <c r="AH800" s="58">
        <f>AG800</f>
        <v>34.0</v>
      </c>
      <c r="AI800" s="58">
        <f>AH800</f>
        <v>34.0</v>
      </c>
    </row>
    <row r="801" hidden="1" outlineLevel="1">
      <c r="A801" s="62" t="inlineStr">
        <is>
          <t>dprk</t>
        </is>
      </c>
      <c r="B801" s="3" t="inlineStr">
        <is>
          <t>obs</t>
        </is>
      </c>
      <c r="C801" s="3" t="inlineStr"/>
      <c r="D801" s="3" t="n"/>
      <c r="E801" s="3" t="n"/>
      <c r="H801" s="3" t="inlineStr">
        <is>
          <t>Other Business Services: rank</t>
        </is>
      </c>
      <c r="I801" s="3" t="inlineStr">
        <is>
          <t>rank</t>
        </is>
      </c>
      <c r="J801" s="133"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7"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33"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7"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33"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7" t="str">
        <f>IF(X$5=K$5,SUM(Y803:AI803)-SUM(L803:V803),"")</f>
        <v/>
      </c>
      <c r="X803" s="9" t="str">
        <f>LOWER(CtryCode)&amp;".distn."&amp;$A803&amp;IF($B803="","","."&amp;$B803)&amp;IF($C803="","",".dec."&amp;$C803)&amp;"."&amp;X$5</f>
        <v>egy.distn.dprk.ofd.2</v>
      </c>
      <c r="Y803" s="57">
        <f>RANK(Y737,Y$704:Y$767)+COUNTIF(Y$704:Y736,Y737)</f>
        <v>26.0</v>
      </c>
      <c r="Z803" s="58">
        <f>Y803</f>
        <v>26.0</v>
      </c>
      <c r="AA803" s="58">
        <f>Z803</f>
        <v>26.0</v>
      </c>
      <c r="AB803" s="58">
        <f>AA803</f>
        <v>26.0</v>
      </c>
      <c r="AC803" s="58">
        <f>AB803</f>
        <v>26.0</v>
      </c>
      <c r="AD803" s="58">
        <f>AC803</f>
        <v>26.0</v>
      </c>
      <c r="AE803" s="58">
        <f>AD803</f>
        <v>26.0</v>
      </c>
      <c r="AF803" s="58">
        <f>AE803</f>
        <v>26.0</v>
      </c>
      <c r="AG803" s="58">
        <f>AF803</f>
        <v>26.0</v>
      </c>
      <c r="AH803" s="58">
        <f>AG803</f>
        <v>26.0</v>
      </c>
      <c r="AI803" s="58">
        <f>AH803</f>
        <v>26.0</v>
      </c>
    </row>
    <row r="804" hidden="1" outlineLevel="1">
      <c r="A804" s="62" t="inlineStr">
        <is>
          <t>dprk</t>
        </is>
      </c>
      <c r="B804" s="3" t="inlineStr">
        <is>
          <t>ofi</t>
        </is>
      </c>
      <c r="C804" s="3" t="inlineStr"/>
      <c r="D804" s="3" t="n"/>
      <c r="E804" s="3" t="n"/>
      <c r="H804" s="3" t="inlineStr">
        <is>
          <t>Other financial intermediation: rank</t>
        </is>
      </c>
      <c r="I804" s="3" t="inlineStr">
        <is>
          <t>rank</t>
        </is>
      </c>
      <c r="J804" s="133"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7"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33"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7"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33"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7" t="str">
        <f>IF(X$5=K$5,SUM(Y806:AI806)-SUM(L806:V806),"")</f>
        <v/>
      </c>
      <c r="X806" s="9" t="str">
        <f>LOWER(CtryCode)&amp;".distn."&amp;$A806&amp;IF($B806="","","."&amp;$B806)&amp;IF($C806="","",".dec."&amp;$C806)&amp;"."&amp;X$5</f>
        <v>egy.distn.dprk.ome.2</v>
      </c>
      <c r="Y806" s="57">
        <f>RANK(Y740,Y$704:Y$767)+COUNTIF(Y$704:Y739,Y740)</f>
        <v>15.0</v>
      </c>
      <c r="Z806" s="58">
        <f>Y806</f>
        <v>15.0</v>
      </c>
      <c r="AA806" s="58">
        <f>Z806</f>
        <v>15.0</v>
      </c>
      <c r="AB806" s="58">
        <f>AA806</f>
        <v>15.0</v>
      </c>
      <c r="AC806" s="58">
        <f>AB806</f>
        <v>15.0</v>
      </c>
      <c r="AD806" s="58">
        <f>AC806</f>
        <v>15.0</v>
      </c>
      <c r="AE806" s="58">
        <f>AD806</f>
        <v>15.0</v>
      </c>
      <c r="AF806" s="58">
        <f>AE806</f>
        <v>15.0</v>
      </c>
      <c r="AG806" s="58">
        <f>AF806</f>
        <v>15.0</v>
      </c>
      <c r="AH806" s="58">
        <f>AG806</f>
        <v>15.0</v>
      </c>
      <c r="AI806" s="58">
        <f>AH806</f>
        <v>15.0</v>
      </c>
    </row>
    <row r="807" hidden="1" outlineLevel="1">
      <c r="A807" s="62" t="inlineStr">
        <is>
          <t>dprk</t>
        </is>
      </c>
      <c r="B807" s="3" t="inlineStr">
        <is>
          <t>omf</t>
        </is>
      </c>
      <c r="C807" s="3" t="inlineStr"/>
      <c r="D807" s="3" t="n"/>
      <c r="E807" s="3" t="n"/>
      <c r="H807" s="3" t="inlineStr">
        <is>
          <t>Other Manufacturing: rank</t>
        </is>
      </c>
      <c r="I807" s="3" t="inlineStr">
        <is>
          <t>rank</t>
        </is>
      </c>
      <c r="J807" s="133"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7" t="str">
        <f>IF(X$5=K$5,SUM(Y807:AI807)-SUM(L807:V807),"")</f>
        <v/>
      </c>
      <c r="X807" s="9" t="str">
        <f>LOWER(CtryCode)&amp;".distn."&amp;$A807&amp;IF($B807="","","."&amp;$B807)&amp;IF($C807="","",".dec."&amp;$C807)&amp;"."&amp;X$5</f>
        <v>egy.distn.dprk.omf.2</v>
      </c>
      <c r="Y807" s="57">
        <f>RANK(Y741,Y$704:Y$767)+COUNTIF(Y$704:Y740,Y741)</f>
        <v>6.0</v>
      </c>
      <c r="Z807" s="58">
        <f>Y807</f>
        <v>6.0</v>
      </c>
      <c r="AA807" s="58">
        <f>Z807</f>
        <v>6.0</v>
      </c>
      <c r="AB807" s="58">
        <f>AA807</f>
        <v>6.0</v>
      </c>
      <c r="AC807" s="58">
        <f>AB807</f>
        <v>6.0</v>
      </c>
      <c r="AD807" s="58">
        <f>AC807</f>
        <v>6.0</v>
      </c>
      <c r="AE807" s="58">
        <f>AD807</f>
        <v>6.0</v>
      </c>
      <c r="AF807" s="58">
        <f>AE807</f>
        <v>6.0</v>
      </c>
      <c r="AG807" s="58">
        <f>AF807</f>
        <v>6.0</v>
      </c>
      <c r="AH807" s="58">
        <f>AG807</f>
        <v>6.0</v>
      </c>
      <c r="AI807" s="58">
        <f>AH807</f>
        <v>6.0</v>
      </c>
    </row>
    <row r="808" hidden="1" outlineLevel="1">
      <c r="A808" s="62" t="inlineStr">
        <is>
          <t>dprk</t>
        </is>
      </c>
      <c r="B808" s="3" t="inlineStr">
        <is>
          <t>omt</t>
        </is>
      </c>
      <c r="C808" s="3" t="inlineStr"/>
      <c r="D808" s="3" t="n"/>
      <c r="E808" s="3" t="n"/>
      <c r="H808" s="3" t="inlineStr">
        <is>
          <t>Other Meat: rank</t>
        </is>
      </c>
      <c r="I808" s="3" t="inlineStr">
        <is>
          <t>rank</t>
        </is>
      </c>
      <c r="J808" s="133"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7"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33"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7" t="str">
        <f>IF(X$5=K$5,SUM(Y809:AI809)-SUM(L809:V809),"")</f>
        <v/>
      </c>
      <c r="X809" s="9" t="str">
        <f>LOWER(CtryCode)&amp;".distn."&amp;$A809&amp;IF($B809="","","."&amp;$B809)&amp;IF($C809="","",".dec."&amp;$C809)&amp;"."&amp;X$5</f>
        <v>egy.distn.dprk.osd.2</v>
      </c>
      <c r="Y809" s="57">
        <f>RANK(Y743,Y$704:Y$767)+COUNTIF(Y$704:Y742,Y743)</f>
        <v>46.0</v>
      </c>
      <c r="Z809" s="58">
        <f>Y809</f>
        <v>46.0</v>
      </c>
      <c r="AA809" s="58">
        <f>Z809</f>
        <v>46.0</v>
      </c>
      <c r="AB809" s="58">
        <f>AA809</f>
        <v>46.0</v>
      </c>
      <c r="AC809" s="58">
        <f>AB809</f>
        <v>46.0</v>
      </c>
      <c r="AD809" s="58">
        <f>AC809</f>
        <v>46.0</v>
      </c>
      <c r="AE809" s="58">
        <f>AD809</f>
        <v>46.0</v>
      </c>
      <c r="AF809" s="58">
        <f>AE809</f>
        <v>46.0</v>
      </c>
      <c r="AG809" s="58">
        <f>AF809</f>
        <v>46.0</v>
      </c>
      <c r="AH809" s="58">
        <f>AG809</f>
        <v>46.0</v>
      </c>
      <c r="AI809" s="58">
        <f>AH809</f>
        <v>46.0</v>
      </c>
    </row>
    <row r="810" hidden="1" outlineLevel="1">
      <c r="A810" s="62" t="inlineStr">
        <is>
          <t>dprk</t>
        </is>
      </c>
      <c r="B810" s="3" t="inlineStr">
        <is>
          <t>osg</t>
        </is>
      </c>
      <c r="C810" s="3" t="inlineStr"/>
      <c r="D810" s="3" t="n"/>
      <c r="E810" s="3" t="n"/>
      <c r="H810" s="3" t="inlineStr">
        <is>
          <t>Government services: rank</t>
        </is>
      </c>
      <c r="I810" s="3" t="inlineStr">
        <is>
          <t>rank</t>
        </is>
      </c>
      <c r="J810" s="133"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7" t="str">
        <f>IF(X$5=K$5,SUM(Y810:AI810)-SUM(L810:V810),"")</f>
        <v/>
      </c>
      <c r="X810" s="9" t="str">
        <f>LOWER(CtryCode)&amp;".distn."&amp;$A810&amp;IF($B810="","","."&amp;$B810)&amp;IF($C810="","",".dec."&amp;$C810)&amp;"."&amp;X$5</f>
        <v>egy.distn.dprk.osg.2</v>
      </c>
      <c r="Y810" s="57">
        <f>RANK(Y744,Y$704:Y$767)+COUNTIF(Y$704:Y743,Y744)</f>
        <v>35.0</v>
      </c>
      <c r="Z810" s="58">
        <f>Y810</f>
        <v>35.0</v>
      </c>
      <c r="AA810" s="58">
        <f>Z810</f>
        <v>35.0</v>
      </c>
      <c r="AB810" s="58">
        <f>AA810</f>
        <v>35.0</v>
      </c>
      <c r="AC810" s="58">
        <f>AB810</f>
        <v>35.0</v>
      </c>
      <c r="AD810" s="58">
        <f>AC810</f>
        <v>35.0</v>
      </c>
      <c r="AE810" s="58">
        <f>AD810</f>
        <v>35.0</v>
      </c>
      <c r="AF810" s="58">
        <f>AE810</f>
        <v>35.0</v>
      </c>
      <c r="AG810" s="58">
        <f>AF810</f>
        <v>35.0</v>
      </c>
      <c r="AH810" s="58">
        <f>AG810</f>
        <v>35.0</v>
      </c>
      <c r="AI810" s="58">
        <f>AH810</f>
        <v>35.0</v>
      </c>
    </row>
    <row r="811" hidden="1" outlineLevel="1">
      <c r="A811" s="62" t="inlineStr">
        <is>
          <t>dprk</t>
        </is>
      </c>
      <c r="B811" s="3" t="inlineStr">
        <is>
          <t>otn</t>
        </is>
      </c>
      <c r="C811" s="3" t="inlineStr"/>
      <c r="D811" s="3" t="n"/>
      <c r="E811" s="3" t="n"/>
      <c r="H811" s="3" t="inlineStr">
        <is>
          <t>Other transport equipment: rank</t>
        </is>
      </c>
      <c r="I811" s="3" t="inlineStr">
        <is>
          <t>rank</t>
        </is>
      </c>
      <c r="J811" s="133"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7" t="str">
        <f>IF(X$5=K$5,SUM(Y811:AI811)-SUM(L811:V811),"")</f>
        <v/>
      </c>
      <c r="X811" s="9" t="str">
        <f>LOWER(CtryCode)&amp;".distn."&amp;$A811&amp;IF($B811="","","."&amp;$B811)&amp;IF($C811="","",".dec."&amp;$C811)&amp;"."&amp;X$5</f>
        <v>egy.distn.dprk.otn.2</v>
      </c>
      <c r="Y811" s="57">
        <f>RANK(Y745,Y$704:Y$767)+COUNTIF(Y$704:Y744,Y745)</f>
        <v>22.0</v>
      </c>
      <c r="Z811" s="58">
        <f>Y811</f>
        <v>22.0</v>
      </c>
      <c r="AA811" s="58">
        <f>Z811</f>
        <v>22.0</v>
      </c>
      <c r="AB811" s="58">
        <f>AA811</f>
        <v>22.0</v>
      </c>
      <c r="AC811" s="58">
        <f>AB811</f>
        <v>22.0</v>
      </c>
      <c r="AD811" s="58">
        <f>AC811</f>
        <v>22.0</v>
      </c>
      <c r="AE811" s="58">
        <f>AD811</f>
        <v>22.0</v>
      </c>
      <c r="AF811" s="58">
        <f>AE811</f>
        <v>22.0</v>
      </c>
      <c r="AG811" s="58">
        <f>AF811</f>
        <v>22.0</v>
      </c>
      <c r="AH811" s="58">
        <f>AG811</f>
        <v>22.0</v>
      </c>
      <c r="AI811" s="58">
        <f>AH811</f>
        <v>22.0</v>
      </c>
    </row>
    <row r="812" hidden="1" outlineLevel="1">
      <c r="A812" s="62" t="inlineStr">
        <is>
          <t>dprk</t>
        </is>
      </c>
      <c r="B812" s="3" t="inlineStr">
        <is>
          <t>otp</t>
        </is>
      </c>
      <c r="C812" s="3" t="inlineStr"/>
      <c r="D812" s="3" t="n"/>
      <c r="E812" s="3" t="n"/>
      <c r="H812" s="3" t="inlineStr">
        <is>
          <t>Land transport: rank</t>
        </is>
      </c>
      <c r="I812" s="3" t="inlineStr">
        <is>
          <t>rank</t>
        </is>
      </c>
      <c r="J812" s="133"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7" t="str">
        <f>IF(X$5=K$5,SUM(Y812:AI812)-SUM(L812:V812),"")</f>
        <v/>
      </c>
      <c r="X812" s="9" t="str">
        <f>LOWER(CtryCode)&amp;".distn."&amp;$A812&amp;IF($B812="","","."&amp;$B812)&amp;IF($C812="","",".dec."&amp;$C812)&amp;"."&amp;X$5</f>
        <v>egy.distn.dprk.otp.2</v>
      </c>
      <c r="Y812" s="57">
        <f>RANK(Y746,Y$704:Y$767)+COUNTIF(Y$704:Y745,Y746)</f>
        <v>5.0</v>
      </c>
      <c r="Z812" s="58">
        <f>Y812</f>
        <v>5.0</v>
      </c>
      <c r="AA812" s="58">
        <f>Z812</f>
        <v>5.0</v>
      </c>
      <c r="AB812" s="58">
        <f>AA812</f>
        <v>5.0</v>
      </c>
      <c r="AC812" s="58">
        <f>AB812</f>
        <v>5.0</v>
      </c>
      <c r="AD812" s="58">
        <f>AC812</f>
        <v>5.0</v>
      </c>
      <c r="AE812" s="58">
        <f>AD812</f>
        <v>5.0</v>
      </c>
      <c r="AF812" s="58">
        <f>AE812</f>
        <v>5.0</v>
      </c>
      <c r="AG812" s="58">
        <f>AF812</f>
        <v>5.0</v>
      </c>
      <c r="AH812" s="58">
        <f>AG812</f>
        <v>5.0</v>
      </c>
      <c r="AI812" s="58">
        <f>AH812</f>
        <v>5.0</v>
      </c>
    </row>
    <row r="813" hidden="1" outlineLevel="1">
      <c r="A813" s="62" t="inlineStr">
        <is>
          <t>dprk</t>
        </is>
      </c>
      <c r="B813" s="3" t="inlineStr">
        <is>
          <t>oxt</t>
        </is>
      </c>
      <c r="C813" s="3" t="inlineStr"/>
      <c r="D813" s="3" t="n"/>
      <c r="E813" s="3" t="n"/>
      <c r="H813" s="3" t="inlineStr">
        <is>
          <t>Other Mining: rank</t>
        </is>
      </c>
      <c r="I813" s="3" t="inlineStr">
        <is>
          <t>rank</t>
        </is>
      </c>
      <c r="J813" s="133"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7" t="str">
        <f>IF(X$5=K$5,SUM(Y813:AI813)-SUM(L813:V813),"")</f>
        <v/>
      </c>
      <c r="X813" s="9" t="str">
        <f>LOWER(CtryCode)&amp;".distn."&amp;$A813&amp;IF($B813="","","."&amp;$B813)&amp;IF($C813="","",".dec."&amp;$C813)&amp;"."&amp;X$5</f>
        <v>egy.distn.dprk.oxt.2</v>
      </c>
      <c r="Y813" s="57">
        <f>RANK(Y747,Y$704:Y$767)+COUNTIF(Y$704:Y746,Y747)</f>
        <v>4.0</v>
      </c>
      <c r="Z813" s="58">
        <f>Y813</f>
        <v>4.0</v>
      </c>
      <c r="AA813" s="58">
        <f>Z813</f>
        <v>4.0</v>
      </c>
      <c r="AB813" s="58">
        <f>AA813</f>
        <v>4.0</v>
      </c>
      <c r="AC813" s="58">
        <f>AB813</f>
        <v>4.0</v>
      </c>
      <c r="AD813" s="58">
        <f>AC813</f>
        <v>4.0</v>
      </c>
      <c r="AE813" s="58">
        <f>AD813</f>
        <v>4.0</v>
      </c>
      <c r="AF813" s="58">
        <f>AE813</f>
        <v>4.0</v>
      </c>
      <c r="AG813" s="58">
        <f>AF813</f>
        <v>4.0</v>
      </c>
      <c r="AH813" s="58">
        <f>AG813</f>
        <v>4.0</v>
      </c>
      <c r="AI813" s="58">
        <f>AH813</f>
        <v>4.0</v>
      </c>
    </row>
    <row r="814" hidden="1" outlineLevel="1">
      <c r="A814" s="62" t="inlineStr">
        <is>
          <t>dprk</t>
        </is>
      </c>
      <c r="B814" s="3" t="inlineStr">
        <is>
          <t>p_c</t>
        </is>
      </c>
      <c r="C814" s="3" t="inlineStr"/>
      <c r="D814" s="3" t="n"/>
      <c r="E814" s="3" t="n"/>
      <c r="H814" s="3" t="inlineStr">
        <is>
          <t>Petroleum &amp; Coke: rank</t>
        </is>
      </c>
      <c r="I814" s="3" t="inlineStr">
        <is>
          <t>rank</t>
        </is>
      </c>
      <c r="J814" s="133"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7"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33"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7"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33"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7"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33"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7" t="str">
        <f>IF(X$5=K$5,SUM(Y817:AI817)-SUM(L817:V817),"")</f>
        <v/>
      </c>
      <c r="X817" s="9" t="str">
        <f>LOWER(CtryCode)&amp;".distn."&amp;$A817&amp;IF($B817="","","."&amp;$B817)&amp;IF($C817="","",".dec."&amp;$C817)&amp;"."&amp;X$5</f>
        <v>egy.distn.dprk.pfb.2</v>
      </c>
      <c r="Y817" s="57">
        <f>RANK(Y751,Y$704:Y$767)+COUNTIF(Y$704:Y750,Y751)</f>
        <v>11.0</v>
      </c>
      <c r="Z817" s="58">
        <f>Y817</f>
        <v>11.0</v>
      </c>
      <c r="AA817" s="58">
        <f>Z817</f>
        <v>11.0</v>
      </c>
      <c r="AB817" s="58">
        <f>AA817</f>
        <v>11.0</v>
      </c>
      <c r="AC817" s="58">
        <f>AB817</f>
        <v>11.0</v>
      </c>
      <c r="AD817" s="58">
        <f>AC817</f>
        <v>11.0</v>
      </c>
      <c r="AE817" s="58">
        <f>AD817</f>
        <v>11.0</v>
      </c>
      <c r="AF817" s="58">
        <f>AE817</f>
        <v>11.0</v>
      </c>
      <c r="AG817" s="58">
        <f>AF817</f>
        <v>11.0</v>
      </c>
      <c r="AH817" s="58">
        <f>AG817</f>
        <v>11.0</v>
      </c>
      <c r="AI817" s="58">
        <f>AH817</f>
        <v>11.0</v>
      </c>
    </row>
    <row r="818" hidden="1" outlineLevel="1">
      <c r="A818" s="62" t="inlineStr">
        <is>
          <t>dprk</t>
        </is>
      </c>
      <c r="B818" s="3" t="inlineStr">
        <is>
          <t>ppp</t>
        </is>
      </c>
      <c r="C818" s="3" t="inlineStr"/>
      <c r="D818" s="3" t="n"/>
      <c r="E818" s="3" t="n"/>
      <c r="H818" s="3" t="inlineStr">
        <is>
          <t>Paper: rank</t>
        </is>
      </c>
      <c r="I818" s="3" t="inlineStr">
        <is>
          <t>rank</t>
        </is>
      </c>
      <c r="J818" s="133"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7" t="str">
        <f>IF(X$5=K$5,SUM(Y818:AI818)-SUM(L818:V818),"")</f>
        <v/>
      </c>
      <c r="X818" s="9" t="str">
        <f>LOWER(CtryCode)&amp;".distn."&amp;$A818&amp;IF($B818="","","."&amp;$B818)&amp;IF($C818="","",".dec."&amp;$C818)&amp;"."&amp;X$5</f>
        <v>egy.distn.dprk.ppp.2</v>
      </c>
      <c r="Y818" s="57">
        <f>RANK(Y752,Y$704:Y$767)+COUNTIF(Y$704:Y751,Y752)</f>
        <v>12.0</v>
      </c>
      <c r="Z818" s="58">
        <f>Y818</f>
        <v>12.0</v>
      </c>
      <c r="AA818" s="58">
        <f>Z818</f>
        <v>12.0</v>
      </c>
      <c r="AB818" s="58">
        <f>AA818</f>
        <v>12.0</v>
      </c>
      <c r="AC818" s="58">
        <f>AB818</f>
        <v>12.0</v>
      </c>
      <c r="AD818" s="58">
        <f>AC818</f>
        <v>12.0</v>
      </c>
      <c r="AE818" s="58">
        <f>AD818</f>
        <v>12.0</v>
      </c>
      <c r="AF818" s="58">
        <f>AE818</f>
        <v>12.0</v>
      </c>
      <c r="AG818" s="58">
        <f>AF818</f>
        <v>12.0</v>
      </c>
      <c r="AH818" s="58">
        <f>AG818</f>
        <v>12.0</v>
      </c>
      <c r="AI818" s="58">
        <f>AH818</f>
        <v>12.0</v>
      </c>
    </row>
    <row r="819" hidden="1" outlineLevel="1">
      <c r="A819" s="62" t="inlineStr">
        <is>
          <t>dprk</t>
        </is>
      </c>
      <c r="B819" s="3" t="inlineStr">
        <is>
          <t>rmk</t>
        </is>
      </c>
      <c r="C819" s="3" t="inlineStr"/>
      <c r="D819" s="3" t="n"/>
      <c r="E819" s="3" t="n"/>
      <c r="H819" s="3" t="inlineStr">
        <is>
          <t>Raw milk: rank</t>
        </is>
      </c>
      <c r="I819" s="3" t="inlineStr">
        <is>
          <t>rank</t>
        </is>
      </c>
      <c r="J819" s="133"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7" t="str">
        <f>IF(X$5=K$5,SUM(Y819:AI819)-SUM(L819:V819),"")</f>
        <v/>
      </c>
      <c r="X819" s="9" t="str">
        <f>LOWER(CtryCode)&amp;".distn."&amp;$A819&amp;IF($B819="","","."&amp;$B819)&amp;IF($C819="","",".dec."&amp;$C819)&amp;"."&amp;X$5</f>
        <v>egy.distn.dprk.rmk.2</v>
      </c>
      <c r="Y819" s="57">
        <f>RANK(Y753,Y$704:Y$767)+COUNTIF(Y$704:Y752,Y753)</f>
        <v>36.0</v>
      </c>
      <c r="Z819" s="58">
        <f>Y819</f>
        <v>36.0</v>
      </c>
      <c r="AA819" s="58">
        <f>Z819</f>
        <v>36.0</v>
      </c>
      <c r="AB819" s="58">
        <f>AA819</f>
        <v>36.0</v>
      </c>
      <c r="AC819" s="58">
        <f>AB819</f>
        <v>36.0</v>
      </c>
      <c r="AD819" s="58">
        <f>AC819</f>
        <v>36.0</v>
      </c>
      <c r="AE819" s="58">
        <f>AD819</f>
        <v>36.0</v>
      </c>
      <c r="AF819" s="58">
        <f>AE819</f>
        <v>36.0</v>
      </c>
      <c r="AG819" s="58">
        <f>AF819</f>
        <v>36.0</v>
      </c>
      <c r="AH819" s="58">
        <f>AG819</f>
        <v>36.0</v>
      </c>
      <c r="AI819" s="58">
        <f>AH819</f>
        <v>36.0</v>
      </c>
    </row>
    <row r="820" hidden="1" outlineLevel="1">
      <c r="A820" s="62" t="inlineStr">
        <is>
          <t>dprk</t>
        </is>
      </c>
      <c r="B820" s="3" t="inlineStr">
        <is>
          <t>ros</t>
        </is>
      </c>
      <c r="C820" s="3" t="inlineStr"/>
      <c r="D820" s="3" t="n"/>
      <c r="E820" s="3" t="n"/>
      <c r="H820" s="3" t="inlineStr">
        <is>
          <t>Recreation: rank</t>
        </is>
      </c>
      <c r="I820" s="3" t="inlineStr">
        <is>
          <t>rank</t>
        </is>
      </c>
      <c r="J820" s="133"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7" t="str">
        <f>IF(X$5=K$5,SUM(Y820:AI820)-SUM(L820:V820),"")</f>
        <v/>
      </c>
      <c r="X820" s="9" t="str">
        <f>LOWER(CtryCode)&amp;".distn."&amp;$A820&amp;IF($B820="","","."&amp;$B820)&amp;IF($C820="","",".dec."&amp;$C820)&amp;"."&amp;X$5</f>
        <v>egy.distn.dprk.ros.2</v>
      </c>
      <c r="Y820" s="57">
        <f>RANK(Y754,Y$704:Y$767)+COUNTIF(Y$704:Y753,Y754)</f>
        <v>42.0</v>
      </c>
      <c r="Z820" s="58">
        <f>Y820</f>
        <v>42.0</v>
      </c>
      <c r="AA820" s="58">
        <f>Z820</f>
        <v>42.0</v>
      </c>
      <c r="AB820" s="58">
        <f>AA820</f>
        <v>42.0</v>
      </c>
      <c r="AC820" s="58">
        <f>AB820</f>
        <v>42.0</v>
      </c>
      <c r="AD820" s="58">
        <f>AC820</f>
        <v>42.0</v>
      </c>
      <c r="AE820" s="58">
        <f>AD820</f>
        <v>42.0</v>
      </c>
      <c r="AF820" s="58">
        <f>AE820</f>
        <v>42.0</v>
      </c>
      <c r="AG820" s="58">
        <f>AF820</f>
        <v>42.0</v>
      </c>
      <c r="AH820" s="58">
        <f>AG820</f>
        <v>42.0</v>
      </c>
      <c r="AI820" s="58">
        <f>AH820</f>
        <v>42.0</v>
      </c>
    </row>
    <row r="821" hidden="1" outlineLevel="1">
      <c r="A821" s="62" t="inlineStr">
        <is>
          <t>dprk</t>
        </is>
      </c>
      <c r="B821" s="3" t="inlineStr">
        <is>
          <t>rpp</t>
        </is>
      </c>
      <c r="C821" s="3" t="inlineStr"/>
      <c r="D821" s="3" t="n"/>
      <c r="E821" s="3" t="n"/>
      <c r="H821" s="3" t="inlineStr">
        <is>
          <t>Rubber &amp; plastics: rank</t>
        </is>
      </c>
      <c r="I821" s="3" t="inlineStr">
        <is>
          <t>rank</t>
        </is>
      </c>
      <c r="J821" s="133"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7"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33"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7" t="str">
        <f>IF(X$5=K$5,SUM(Y822:AI822)-SUM(L822:V822),"")</f>
        <v/>
      </c>
      <c r="X822" s="9" t="str">
        <f>LOWER(CtryCode)&amp;".distn."&amp;$A822&amp;IF($B822="","","."&amp;$B822)&amp;IF($C822="","",".dec."&amp;$C822)&amp;"."&amp;X$5</f>
        <v>egy.distn.dprk.rsa.2</v>
      </c>
      <c r="Y822" s="57">
        <f>RANK(Y756,Y$704:Y$767)+COUNTIF(Y$704:Y755,Y756)</f>
        <v>52.0</v>
      </c>
      <c r="Z822" s="58">
        <f>Y822</f>
        <v>52.0</v>
      </c>
      <c r="AA822" s="58">
        <f>Z822</f>
        <v>52.0</v>
      </c>
      <c r="AB822" s="58">
        <f>AA822</f>
        <v>52.0</v>
      </c>
      <c r="AC822" s="58">
        <f>AB822</f>
        <v>52.0</v>
      </c>
      <c r="AD822" s="58">
        <f>AC822</f>
        <v>52.0</v>
      </c>
      <c r="AE822" s="58">
        <f>AD822</f>
        <v>52.0</v>
      </c>
      <c r="AF822" s="58">
        <f>AE822</f>
        <v>52.0</v>
      </c>
      <c r="AG822" s="58">
        <f>AF822</f>
        <v>52.0</v>
      </c>
      <c r="AH822" s="58">
        <f>AG822</f>
        <v>52.0</v>
      </c>
      <c r="AI822" s="58">
        <f>AH822</f>
        <v>52.0</v>
      </c>
    </row>
    <row r="823" hidden="1" outlineLevel="1">
      <c r="A823" s="62" t="inlineStr">
        <is>
          <t>dprk</t>
        </is>
      </c>
      <c r="B823" s="3" t="inlineStr">
        <is>
          <t>sgr</t>
        </is>
      </c>
      <c r="C823" s="3" t="inlineStr"/>
      <c r="D823" s="3" t="n"/>
      <c r="E823" s="3" t="n"/>
      <c r="H823" s="3" t="inlineStr">
        <is>
          <t>Sugar and molasses: rank</t>
        </is>
      </c>
      <c r="I823" s="3" t="inlineStr">
        <is>
          <t>rank</t>
        </is>
      </c>
      <c r="J823" s="133"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7"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33"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7" t="str">
        <f>IF(X$5=K$5,SUM(Y824:AI824)-SUM(L824:V824),"")</f>
        <v/>
      </c>
      <c r="X824" s="9" t="str">
        <f>LOWER(CtryCode)&amp;".distn."&amp;$A824&amp;IF($B824="","","."&amp;$B824)&amp;IF($C824="","",".dec."&amp;$C824)&amp;"."&amp;X$5</f>
        <v>egy.distn.dprk.tex.2</v>
      </c>
      <c r="Y824" s="57">
        <f>RANK(Y758,Y$704:Y$767)+COUNTIF(Y$704:Y757,Y758)</f>
        <v>30.0</v>
      </c>
      <c r="Z824" s="58">
        <f>Y824</f>
        <v>30.0</v>
      </c>
      <c r="AA824" s="58">
        <f>Z824</f>
        <v>30.0</v>
      </c>
      <c r="AB824" s="58">
        <f>AA824</f>
        <v>30.0</v>
      </c>
      <c r="AC824" s="58">
        <f>AB824</f>
        <v>30.0</v>
      </c>
      <c r="AD824" s="58">
        <f>AC824</f>
        <v>30.0</v>
      </c>
      <c r="AE824" s="58">
        <f>AD824</f>
        <v>30.0</v>
      </c>
      <c r="AF824" s="58">
        <f>AE824</f>
        <v>30.0</v>
      </c>
      <c r="AG824" s="58">
        <f>AF824</f>
        <v>30.0</v>
      </c>
      <c r="AH824" s="58">
        <f>AG824</f>
        <v>30.0</v>
      </c>
      <c r="AI824" s="58">
        <f>AH824</f>
        <v>30.0</v>
      </c>
    </row>
    <row r="825" hidden="1" outlineLevel="1">
      <c r="A825" s="62" t="inlineStr">
        <is>
          <t>dprk</t>
        </is>
      </c>
      <c r="B825" s="3" t="inlineStr">
        <is>
          <t>trd</t>
        </is>
      </c>
      <c r="C825" s="3" t="inlineStr"/>
      <c r="D825" s="3" t="n"/>
      <c r="E825" s="3" t="n"/>
      <c r="H825" s="3" t="inlineStr">
        <is>
          <t>Vehicles repair: rank</t>
        </is>
      </c>
      <c r="I825" s="3" t="inlineStr">
        <is>
          <t>rank</t>
        </is>
      </c>
      <c r="J825" s="133"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7" t="str">
        <f>IF(X$5=K$5,SUM(Y825:AI825)-SUM(L825:V825),"")</f>
        <v/>
      </c>
      <c r="X825" s="9" t="str">
        <f>LOWER(CtryCode)&amp;".distn."&amp;$A825&amp;IF($B825="","","."&amp;$B825)&amp;IF($C825="","",".dec."&amp;$C825)&amp;"."&amp;X$5</f>
        <v>egy.distn.dprk.trd.2</v>
      </c>
      <c r="Y825" s="57">
        <f>RANK(Y759,Y$704:Y$767)+COUNTIF(Y$704:Y758,Y759)</f>
        <v>47.0</v>
      </c>
      <c r="Z825" s="58">
        <f>Y825</f>
        <v>47.0</v>
      </c>
      <c r="AA825" s="58">
        <f>Z825</f>
        <v>47.0</v>
      </c>
      <c r="AB825" s="58">
        <f>AA825</f>
        <v>47.0</v>
      </c>
      <c r="AC825" s="58">
        <f>AB825</f>
        <v>47.0</v>
      </c>
      <c r="AD825" s="58">
        <f>AC825</f>
        <v>47.0</v>
      </c>
      <c r="AE825" s="58">
        <f>AD825</f>
        <v>47.0</v>
      </c>
      <c r="AF825" s="58">
        <f>AE825</f>
        <v>47.0</v>
      </c>
      <c r="AG825" s="58">
        <f>AF825</f>
        <v>47.0</v>
      </c>
      <c r="AH825" s="58">
        <f>AG825</f>
        <v>47.0</v>
      </c>
      <c r="AI825" s="58">
        <f>AH825</f>
        <v>47.0</v>
      </c>
    </row>
    <row r="826" hidden="1" outlineLevel="1">
      <c r="A826" s="62" t="inlineStr">
        <is>
          <t>dprk</t>
        </is>
      </c>
      <c r="B826" s="3" t="inlineStr">
        <is>
          <t>v_f</t>
        </is>
      </c>
      <c r="C826" s="3" t="inlineStr"/>
      <c r="D826" s="3" t="n"/>
      <c r="E826" s="3" t="n"/>
      <c r="H826" s="3" t="inlineStr">
        <is>
          <t>Veg &amp; fruit: rank</t>
        </is>
      </c>
      <c r="I826" s="3" t="inlineStr">
        <is>
          <t>rank</t>
        </is>
      </c>
      <c r="J826" s="133"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7" t="str">
        <f>IF(X$5=K$5,SUM(Y826:AI826)-SUM(L826:V826),"")</f>
        <v/>
      </c>
      <c r="X826" s="9" t="str">
        <f>LOWER(CtryCode)&amp;".distn."&amp;$A826&amp;IF($B826="","","."&amp;$B826)&amp;IF($C826="","",".dec."&amp;$C826)&amp;"."&amp;X$5</f>
        <v>egy.distn.dprk.v_f.2</v>
      </c>
      <c r="Y826" s="57">
        <f>RANK(Y760,Y$704:Y$767)+COUNTIF(Y$704:Y759,Y760)</f>
        <v>44.0</v>
      </c>
      <c r="Z826" s="58">
        <f>Y826</f>
        <v>44.0</v>
      </c>
      <c r="AA826" s="58">
        <f>Z826</f>
        <v>44.0</v>
      </c>
      <c r="AB826" s="58">
        <f>AA826</f>
        <v>44.0</v>
      </c>
      <c r="AC826" s="58">
        <f>AB826</f>
        <v>44.0</v>
      </c>
      <c r="AD826" s="58">
        <f>AC826</f>
        <v>44.0</v>
      </c>
      <c r="AE826" s="58">
        <f>AD826</f>
        <v>44.0</v>
      </c>
      <c r="AF826" s="58">
        <f>AE826</f>
        <v>44.0</v>
      </c>
      <c r="AG826" s="58">
        <f>AF826</f>
        <v>44.0</v>
      </c>
      <c r="AH826" s="58">
        <f>AG826</f>
        <v>44.0</v>
      </c>
      <c r="AI826" s="58">
        <f>AH826</f>
        <v>44.0</v>
      </c>
    </row>
    <row r="827" hidden="1" outlineLevel="1">
      <c r="A827" s="62" t="inlineStr">
        <is>
          <t>dprk</t>
        </is>
      </c>
      <c r="B827" s="3" t="inlineStr">
        <is>
          <t>vol</t>
        </is>
      </c>
      <c r="C827" s="3" t="inlineStr"/>
      <c r="D827" s="3" t="n"/>
      <c r="E827" s="3" t="n"/>
      <c r="H827" s="3" t="inlineStr">
        <is>
          <t>Vegetable Oils: rank</t>
        </is>
      </c>
      <c r="I827" s="3" t="inlineStr">
        <is>
          <t>rank</t>
        </is>
      </c>
      <c r="J827" s="133"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7" t="str">
        <f>IF(X$5=K$5,SUM(Y827:AI827)-SUM(L827:V827),"")</f>
        <v/>
      </c>
      <c r="X827" s="9" t="str">
        <f>LOWER(CtryCode)&amp;".distn."&amp;$A827&amp;IF($B827="","","."&amp;$B827)&amp;IF($C827="","",".dec."&amp;$C827)&amp;"."&amp;X$5</f>
        <v>egy.distn.dprk.vol.2</v>
      </c>
      <c r="Y827" s="57">
        <f>RANK(Y761,Y$704:Y$767)+COUNTIF(Y$704:Y760,Y761)</f>
        <v>45.0</v>
      </c>
      <c r="Z827" s="58">
        <f>Y827</f>
        <v>45.0</v>
      </c>
      <c r="AA827" s="58">
        <f>Z827</f>
        <v>45.0</v>
      </c>
      <c r="AB827" s="58">
        <f>AA827</f>
        <v>45.0</v>
      </c>
      <c r="AC827" s="58">
        <f>AB827</f>
        <v>45.0</v>
      </c>
      <c r="AD827" s="58">
        <f>AC827</f>
        <v>45.0</v>
      </c>
      <c r="AE827" s="58">
        <f>AD827</f>
        <v>45.0</v>
      </c>
      <c r="AF827" s="58">
        <f>AE827</f>
        <v>45.0</v>
      </c>
      <c r="AG827" s="58">
        <f>AF827</f>
        <v>45.0</v>
      </c>
      <c r="AH827" s="58">
        <f>AG827</f>
        <v>45.0</v>
      </c>
      <c r="AI827" s="58">
        <f>AH827</f>
        <v>45.0</v>
      </c>
    </row>
    <row r="828" hidden="1" outlineLevel="1">
      <c r="A828" s="62" t="inlineStr">
        <is>
          <t>dprk</t>
        </is>
      </c>
      <c r="B828" s="3" t="inlineStr">
        <is>
          <t>wap</t>
        </is>
      </c>
      <c r="C828" s="3" t="inlineStr"/>
      <c r="D828" s="3" t="n"/>
      <c r="E828" s="3" t="n"/>
      <c r="H828" s="3" t="inlineStr">
        <is>
          <t>Apparel: rank</t>
        </is>
      </c>
      <c r="I828" s="3" t="inlineStr">
        <is>
          <t>rank</t>
        </is>
      </c>
      <c r="J828" s="133"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7" t="str">
        <f>IF(X$5=K$5,SUM(Y828:AI828)-SUM(L828:V828),"")</f>
        <v/>
      </c>
      <c r="X828" s="9" t="str">
        <f>LOWER(CtryCode)&amp;".distn."&amp;$A828&amp;IF($B828="","","."&amp;$B828)&amp;IF($C828="","",".dec."&amp;$C828)&amp;"."&amp;X$5</f>
        <v>egy.distn.dprk.wap.2</v>
      </c>
      <c r="Y828" s="57">
        <f>RANK(Y762,Y$704:Y$767)+COUNTIF(Y$704:Y761,Y762)</f>
        <v>39.0</v>
      </c>
      <c r="Z828" s="58">
        <f>Y828</f>
        <v>39.0</v>
      </c>
      <c r="AA828" s="58">
        <f>Z828</f>
        <v>39.0</v>
      </c>
      <c r="AB828" s="58">
        <f>AA828</f>
        <v>39.0</v>
      </c>
      <c r="AC828" s="58">
        <f>AB828</f>
        <v>39.0</v>
      </c>
      <c r="AD828" s="58">
        <f>AC828</f>
        <v>39.0</v>
      </c>
      <c r="AE828" s="58">
        <f>AD828</f>
        <v>39.0</v>
      </c>
      <c r="AF828" s="58">
        <f>AE828</f>
        <v>39.0</v>
      </c>
      <c r="AG828" s="58">
        <f>AF828</f>
        <v>39.0</v>
      </c>
      <c r="AH828" s="58">
        <f>AG828</f>
        <v>39.0</v>
      </c>
      <c r="AI828" s="58">
        <f>AH828</f>
        <v>39.0</v>
      </c>
    </row>
    <row r="829" hidden="1" outlineLevel="1">
      <c r="A829" s="62" t="inlineStr">
        <is>
          <t>dprk</t>
        </is>
      </c>
      <c r="B829" s="3" t="inlineStr">
        <is>
          <t>whs</t>
        </is>
      </c>
      <c r="C829" s="3" t="inlineStr"/>
      <c r="D829" s="3" t="n"/>
      <c r="E829" s="3" t="n"/>
      <c r="H829" s="3" t="inlineStr">
        <is>
          <t>Warehousing: rank</t>
        </is>
      </c>
      <c r="I829" s="3" t="inlineStr">
        <is>
          <t>rank</t>
        </is>
      </c>
      <c r="J829" s="133"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7" t="str">
        <f>IF(X$5=K$5,SUM(Y829:AI829)-SUM(L829:V829),"")</f>
        <v/>
      </c>
      <c r="X829" s="9" t="str">
        <f>LOWER(CtryCode)&amp;".distn."&amp;$A829&amp;IF($B829="","","."&amp;$B829)&amp;IF($C829="","",".dec."&amp;$C829)&amp;"."&amp;X$5</f>
        <v>egy.distn.dprk.whs.2</v>
      </c>
      <c r="Y829" s="57">
        <f>RANK(Y763,Y$704:Y$767)+COUNTIF(Y$704:Y762,Y763)</f>
        <v>40.0</v>
      </c>
      <c r="Z829" s="58">
        <f>Y829</f>
        <v>40.0</v>
      </c>
      <c r="AA829" s="58">
        <f>Z829</f>
        <v>40.0</v>
      </c>
      <c r="AB829" s="58">
        <f>AA829</f>
        <v>40.0</v>
      </c>
      <c r="AC829" s="58">
        <f>AB829</f>
        <v>40.0</v>
      </c>
      <c r="AD829" s="58">
        <f>AC829</f>
        <v>40.0</v>
      </c>
      <c r="AE829" s="58">
        <f>AD829</f>
        <v>40.0</v>
      </c>
      <c r="AF829" s="58">
        <f>AE829</f>
        <v>40.0</v>
      </c>
      <c r="AG829" s="58">
        <f>AF829</f>
        <v>40.0</v>
      </c>
      <c r="AH829" s="58">
        <f>AG829</f>
        <v>40.0</v>
      </c>
      <c r="AI829" s="58">
        <f>AH829</f>
        <v>40.0</v>
      </c>
    </row>
    <row r="830" hidden="1" outlineLevel="1">
      <c r="A830" s="62" t="inlineStr">
        <is>
          <t>dprk</t>
        </is>
      </c>
      <c r="B830" s="3" t="inlineStr">
        <is>
          <t>wht</t>
        </is>
      </c>
      <c r="C830" s="3" t="inlineStr"/>
      <c r="D830" s="3" t="n"/>
      <c r="E830" s="3" t="n"/>
      <c r="H830" s="3" t="inlineStr">
        <is>
          <t>Wheat: rank</t>
        </is>
      </c>
      <c r="I830" s="3" t="inlineStr">
        <is>
          <t>rank</t>
        </is>
      </c>
      <c r="J830" s="133"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7"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33"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7" t="str">
        <f>IF(X$5=K$5,SUM(Y831:AI831)-SUM(L831:V831),"")</f>
        <v/>
      </c>
      <c r="X831" s="9" t="str">
        <f>LOWER(CtryCode)&amp;".distn."&amp;$A831&amp;IF($B831="","","."&amp;$B831)&amp;IF($C831="","",".dec."&amp;$C831)&amp;"."&amp;X$5</f>
        <v>egy.distn.dprk.wol.2</v>
      </c>
      <c r="Y831" s="57">
        <f>RANK(Y765,Y$704:Y$767)+COUNTIF(Y$704:Y764,Y765)</f>
        <v>17.0</v>
      </c>
      <c r="Z831" s="58">
        <f>Y831</f>
        <v>17.0</v>
      </c>
      <c r="AA831" s="58">
        <f>Z831</f>
        <v>17.0</v>
      </c>
      <c r="AB831" s="58">
        <f>AA831</f>
        <v>17.0</v>
      </c>
      <c r="AC831" s="58">
        <f>AB831</f>
        <v>17.0</v>
      </c>
      <c r="AD831" s="58">
        <f>AC831</f>
        <v>17.0</v>
      </c>
      <c r="AE831" s="58">
        <f>AD831</f>
        <v>17.0</v>
      </c>
      <c r="AF831" s="58">
        <f>AE831</f>
        <v>17.0</v>
      </c>
      <c r="AG831" s="58">
        <f>AF831</f>
        <v>17.0</v>
      </c>
      <c r="AH831" s="58">
        <f>AG831</f>
        <v>17.0</v>
      </c>
      <c r="AI831" s="58">
        <f>AH831</f>
        <v>17.0</v>
      </c>
    </row>
    <row r="832" hidden="1" outlineLevel="1">
      <c r="A832" s="62" t="inlineStr">
        <is>
          <t>dprk</t>
        </is>
      </c>
      <c r="B832" s="3" t="inlineStr">
        <is>
          <t>wtp</t>
        </is>
      </c>
      <c r="C832" s="3" t="inlineStr"/>
      <c r="D832" s="3" t="n"/>
      <c r="E832" s="3" t="n"/>
      <c r="H832" s="3" t="inlineStr">
        <is>
          <t>Water transport: rank</t>
        </is>
      </c>
      <c r="I832" s="3" t="inlineStr">
        <is>
          <t>rank</t>
        </is>
      </c>
      <c r="J832" s="133"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7" t="str">
        <f>IF(X$5=K$5,SUM(Y832:AI832)-SUM(L832:V832),"")</f>
        <v/>
      </c>
      <c r="X832" s="9" t="str">
        <f>LOWER(CtryCode)&amp;".distn."&amp;$A832&amp;IF($B832="","","."&amp;$B832)&amp;IF($C832="","",".dec."&amp;$C832)&amp;"."&amp;X$5</f>
        <v>egy.distn.dprk.wtp.2</v>
      </c>
      <c r="Y832" s="57">
        <f>RANK(Y766,Y$704:Y$767)+COUNTIF(Y$704:Y765,Y766)</f>
        <v>3.0</v>
      </c>
      <c r="Z832" s="58">
        <f>Y832</f>
        <v>3.0</v>
      </c>
      <c r="AA832" s="58">
        <f>Z832</f>
        <v>3.0</v>
      </c>
      <c r="AB832" s="58">
        <f>AA832</f>
        <v>3.0</v>
      </c>
      <c r="AC832" s="58">
        <f>AB832</f>
        <v>3.0</v>
      </c>
      <c r="AD832" s="58">
        <f>AC832</f>
        <v>3.0</v>
      </c>
      <c r="AE832" s="58">
        <f>AD832</f>
        <v>3.0</v>
      </c>
      <c r="AF832" s="58">
        <f>AE832</f>
        <v>3.0</v>
      </c>
      <c r="AG832" s="58">
        <f>AF832</f>
        <v>3.0</v>
      </c>
      <c r="AH832" s="58">
        <f>AG832</f>
        <v>3.0</v>
      </c>
      <c r="AI832" s="58">
        <f>AH832</f>
        <v>3.0</v>
      </c>
    </row>
    <row r="833" hidden="1" outlineLevel="1">
      <c r="A833" s="62" t="inlineStr">
        <is>
          <t>dprk</t>
        </is>
      </c>
      <c r="B833" s="3" t="inlineStr">
        <is>
          <t>wtr</t>
        </is>
      </c>
      <c r="C833" s="3" t="inlineStr"/>
      <c r="D833" s="3" t="n"/>
      <c r="E833" s="3" t="n"/>
      <c r="H833" s="3" t="inlineStr">
        <is>
          <t>Water supply: rank</t>
        </is>
      </c>
      <c r="I833" s="3" t="inlineStr">
        <is>
          <t>rank</t>
        </is>
      </c>
      <c r="J833" s="133"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7"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33"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7" t="str">
        <f>IF(X$5=K$5,SUM(Y836:AI836)-SUM(L836:V836),"")</f>
        <v/>
      </c>
      <c r="X836" s="9" t="str">
        <f>LOWER(CtryCode)&amp;".distn."&amp;$A836&amp;IF($B836="","","."&amp;$B836)&amp;IF($C836="","",".dec."&amp;$C836)&amp;"."&amp;X$5</f>
        <v>egy.distn.rks.r1.2</v>
      </c>
      <c r="Y836" s="10" t="str">
        <f>INDEX(DSecCode,MATCH($D836,Y$770:Y$833,0))</f>
        <v>atp</v>
      </c>
      <c r="Z836" s="3" t="str">
        <f>Y836</f>
        <v>atp</v>
      </c>
      <c r="AA836" s="3" t="str">
        <f>Z836</f>
        <v>atp</v>
      </c>
      <c r="AB836" s="3" t="str">
        <f>AA836</f>
        <v>atp</v>
      </c>
      <c r="AC836" s="3" t="str">
        <f>AB836</f>
        <v>atp</v>
      </c>
      <c r="AD836" s="3" t="str">
        <f>AC836</f>
        <v>atp</v>
      </c>
      <c r="AE836" s="3" t="str">
        <f>AD836</f>
        <v>atp</v>
      </c>
      <c r="AF836" s="3" t="str">
        <f>AE836</f>
        <v>atp</v>
      </c>
      <c r="AG836" s="3" t="str">
        <f>AF836</f>
        <v>atp</v>
      </c>
      <c r="AH836" s="3" t="str">
        <f>AG836</f>
        <v>atp</v>
      </c>
      <c r="AI836" s="3" t="str">
        <f>AH836</f>
        <v>atp</v>
      </c>
    </row>
    <row r="837" hidden="1" outlineLevel="1">
      <c r="A837" s="62" t="inlineStr">
        <is>
          <t>rks</t>
        </is>
      </c>
      <c r="B837" s="3" t="inlineStr">
        <is>
          <t>r2</t>
        </is>
      </c>
      <c r="C837" s="3" t="inlineStr"/>
      <c r="D837" s="3" t="n">
        <v>2</v>
      </c>
      <c r="E837" s="3" t="n"/>
      <c r="H837" s="3" t="inlineStr">
        <is>
          <t>Rank 2: sector code</t>
        </is>
      </c>
      <c r="I837" s="3" t="inlineStr">
        <is>
          <t>code</t>
        </is>
      </c>
      <c r="J837" s="133"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7" t="str">
        <f>IF(X$5=K$5,SUM(Y837:AI837)-SUM(L837:V837),"")</f>
        <v/>
      </c>
      <c r="X837" s="9" t="str">
        <f>LOWER(CtryCode)&amp;".distn."&amp;$A837&amp;IF($B837="","","."&amp;$B837)&amp;IF($C837="","",".dec."&amp;$C837)&amp;"."&amp;X$5</f>
        <v>egy.distn.rks.r2.2</v>
      </c>
      <c r="Y837" s="10" t="str">
        <f>INDEX(DSecCode,MATCH($D837,Y$770:Y$833,0))</f>
        <v>chm</v>
      </c>
      <c r="Z837" s="3" t="str">
        <f>Y837</f>
        <v>chm</v>
      </c>
      <c r="AA837" s="3" t="str">
        <f>Z837</f>
        <v>chm</v>
      </c>
      <c r="AB837" s="3" t="str">
        <f>AA837</f>
        <v>chm</v>
      </c>
      <c r="AC837" s="3" t="str">
        <f>AB837</f>
        <v>chm</v>
      </c>
      <c r="AD837" s="3" t="str">
        <f>AC837</f>
        <v>chm</v>
      </c>
      <c r="AE837" s="3" t="str">
        <f>AD837</f>
        <v>chm</v>
      </c>
      <c r="AF837" s="3" t="str">
        <f>AE837</f>
        <v>chm</v>
      </c>
      <c r="AG837" s="3" t="str">
        <f>AF837</f>
        <v>chm</v>
      </c>
      <c r="AH837" s="3" t="str">
        <f>AG837</f>
        <v>chm</v>
      </c>
      <c r="AI837" s="3" t="str">
        <f>AH837</f>
        <v>chm</v>
      </c>
    </row>
    <row r="838" hidden="1" outlineLevel="1">
      <c r="A838" s="62" t="inlineStr">
        <is>
          <t>rks</t>
        </is>
      </c>
      <c r="B838" s="3" t="inlineStr">
        <is>
          <t>r3</t>
        </is>
      </c>
      <c r="C838" s="3" t="inlineStr"/>
      <c r="D838" s="3" t="n">
        <v>3</v>
      </c>
      <c r="E838" s="3" t="n"/>
      <c r="H838" s="3" t="inlineStr">
        <is>
          <t>Rank 3: sector code</t>
        </is>
      </c>
      <c r="I838" s="3" t="inlineStr">
        <is>
          <t>code</t>
        </is>
      </c>
      <c r="J838" s="133"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7" t="str">
        <f>IF(X$5=K$5,SUM(Y838:AI838)-SUM(L838:V838),"")</f>
        <v/>
      </c>
      <c r="X838" s="9" t="str">
        <f>LOWER(CtryCode)&amp;".distn."&amp;$A838&amp;IF($B838="","","."&amp;$B838)&amp;IF($C838="","",".dec."&amp;$C838)&amp;"."&amp;X$5</f>
        <v>egy.distn.rks.r3.2</v>
      </c>
      <c r="Y838" s="10" t="str">
        <f>INDEX(DSecCode,MATCH($D838,Y$770:Y$833,0))</f>
        <v>wtp</v>
      </c>
      <c r="Z838" s="3" t="str">
        <f>Y838</f>
        <v>wtp</v>
      </c>
      <c r="AA838" s="3" t="str">
        <f>Z838</f>
        <v>wtp</v>
      </c>
      <c r="AB838" s="3" t="str">
        <f>AA838</f>
        <v>wtp</v>
      </c>
      <c r="AC838" s="3" t="str">
        <f>AB838</f>
        <v>wtp</v>
      </c>
      <c r="AD838" s="3" t="str">
        <f>AC838</f>
        <v>wtp</v>
      </c>
      <c r="AE838" s="3" t="str">
        <f>AD838</f>
        <v>wtp</v>
      </c>
      <c r="AF838" s="3" t="str">
        <f>AE838</f>
        <v>wtp</v>
      </c>
      <c r="AG838" s="3" t="str">
        <f>AF838</f>
        <v>wtp</v>
      </c>
      <c r="AH838" s="3" t="str">
        <f>AG838</f>
        <v>wtp</v>
      </c>
      <c r="AI838" s="3" t="str">
        <f>AH838</f>
        <v>wtp</v>
      </c>
    </row>
    <row r="839" hidden="1" outlineLevel="1">
      <c r="A839" s="62" t="inlineStr">
        <is>
          <t>rks</t>
        </is>
      </c>
      <c r="B839" s="3" t="inlineStr">
        <is>
          <t>r4</t>
        </is>
      </c>
      <c r="C839" s="3" t="inlineStr"/>
      <c r="D839" s="3" t="n">
        <v>4</v>
      </c>
      <c r="E839" s="3" t="n"/>
      <c r="H839" s="3" t="inlineStr">
        <is>
          <t>Rank 4: sector code</t>
        </is>
      </c>
      <c r="I839" s="3" t="inlineStr">
        <is>
          <t>code</t>
        </is>
      </c>
      <c r="J839" s="133"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7" t="str">
        <f>IF(X$5=K$5,SUM(Y839:AI839)-SUM(L839:V839),"")</f>
        <v/>
      </c>
      <c r="X839" s="9" t="str">
        <f>LOWER(CtryCode)&amp;".distn."&amp;$A839&amp;IF($B839="","","."&amp;$B839)&amp;IF($C839="","",".dec."&amp;$C839)&amp;"."&amp;X$5</f>
        <v>egy.distn.rks.r4.2</v>
      </c>
      <c r="Y839" s="10" t="str">
        <f>INDEX(DSecCode,MATCH($D839,Y$770:Y$833,0))</f>
        <v>oxt</v>
      </c>
      <c r="Z839" s="3" t="str">
        <f>Y839</f>
        <v>oxt</v>
      </c>
      <c r="AA839" s="3" t="str">
        <f>Z839</f>
        <v>oxt</v>
      </c>
      <c r="AB839" s="3" t="str">
        <f>AA839</f>
        <v>oxt</v>
      </c>
      <c r="AC839" s="3" t="str">
        <f>AB839</f>
        <v>oxt</v>
      </c>
      <c r="AD839" s="3" t="str">
        <f>AC839</f>
        <v>oxt</v>
      </c>
      <c r="AE839" s="3" t="str">
        <f>AD839</f>
        <v>oxt</v>
      </c>
      <c r="AF839" s="3" t="str">
        <f>AE839</f>
        <v>oxt</v>
      </c>
      <c r="AG839" s="3" t="str">
        <f>AF839</f>
        <v>oxt</v>
      </c>
      <c r="AH839" s="3" t="str">
        <f>AG839</f>
        <v>oxt</v>
      </c>
      <c r="AI839" s="3" t="str">
        <f>AH839</f>
        <v>oxt</v>
      </c>
    </row>
    <row r="840" hidden="1" outlineLevel="1">
      <c r="A840" s="62" t="inlineStr">
        <is>
          <t>rks</t>
        </is>
      </c>
      <c r="B840" s="3" t="inlineStr">
        <is>
          <t>r5</t>
        </is>
      </c>
      <c r="C840" s="3" t="inlineStr"/>
      <c r="D840" s="3" t="n">
        <v>5</v>
      </c>
      <c r="E840" s="3" t="n"/>
      <c r="H840" s="3" t="inlineStr">
        <is>
          <t>Rank 5: sector code</t>
        </is>
      </c>
      <c r="I840" s="3" t="inlineStr">
        <is>
          <t>code</t>
        </is>
      </c>
      <c r="J840" s="133"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7" t="str">
        <f>IF(X$5=K$5,SUM(Y840:AI840)-SUM(L840:V840),"")</f>
        <v/>
      </c>
      <c r="X840" s="9" t="str">
        <f>LOWER(CtryCode)&amp;".distn."&amp;$A840&amp;IF($B840="","","."&amp;$B840)&amp;IF($C840="","",".dec."&amp;$C840)&amp;"."&amp;X$5</f>
        <v>egy.distn.rks.r5.2</v>
      </c>
      <c r="Y840" s="10" t="str">
        <f>INDEX(DSecCode,MATCH($D840,Y$770:Y$833,0))</f>
        <v>otp</v>
      </c>
      <c r="Z840" s="3" t="str">
        <f>Y840</f>
        <v>otp</v>
      </c>
      <c r="AA840" s="3" t="str">
        <f>Z840</f>
        <v>otp</v>
      </c>
      <c r="AB840" s="3" t="str">
        <f>AA840</f>
        <v>otp</v>
      </c>
      <c r="AC840" s="3" t="str">
        <f>AB840</f>
        <v>otp</v>
      </c>
      <c r="AD840" s="3" t="str">
        <f>AC840</f>
        <v>otp</v>
      </c>
      <c r="AE840" s="3" t="str">
        <f>AD840</f>
        <v>otp</v>
      </c>
      <c r="AF840" s="3" t="str">
        <f>AE840</f>
        <v>otp</v>
      </c>
      <c r="AG840" s="3" t="str">
        <f>AF840</f>
        <v>otp</v>
      </c>
      <c r="AH840" s="3" t="str">
        <f>AG840</f>
        <v>otp</v>
      </c>
      <c r="AI840" s="3" t="str">
        <f>AH840</f>
        <v>otp</v>
      </c>
    </row>
    <row r="841" hidden="1" outlineLevel="1">
      <c r="A841" s="62" t="inlineStr">
        <is>
          <t>rks</t>
        </is>
      </c>
      <c r="B841" s="3" t="inlineStr">
        <is>
          <t>r6</t>
        </is>
      </c>
      <c r="C841" s="3" t="inlineStr"/>
      <c r="D841" s="3" t="n">
        <v>6</v>
      </c>
      <c r="E841" s="3" t="n"/>
      <c r="H841" s="3" t="inlineStr">
        <is>
          <t>Rank 6: sector code</t>
        </is>
      </c>
      <c r="I841" s="3" t="inlineStr">
        <is>
          <t>code</t>
        </is>
      </c>
      <c r="J841" s="133"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7" t="str">
        <f>IF(X$5=K$5,SUM(Y841:AI841)-SUM(L841:V841),"")</f>
        <v/>
      </c>
      <c r="X841" s="9" t="str">
        <f>LOWER(CtryCode)&amp;".distn."&amp;$A841&amp;IF($B841="","","."&amp;$B841)&amp;IF($C841="","",".dec."&amp;$C841)&amp;"."&amp;X$5</f>
        <v>egy.distn.rks.r6.2</v>
      </c>
      <c r="Y841" s="10" t="str">
        <f>INDEX(DSecCode,MATCH($D841,Y$770:Y$833,0))</f>
        <v>omf</v>
      </c>
      <c r="Z841" s="3" t="str">
        <f>Y841</f>
        <v>omf</v>
      </c>
      <c r="AA841" s="3" t="str">
        <f>Z841</f>
        <v>omf</v>
      </c>
      <c r="AB841" s="3" t="str">
        <f>AA841</f>
        <v>omf</v>
      </c>
      <c r="AC841" s="3" t="str">
        <f>AB841</f>
        <v>omf</v>
      </c>
      <c r="AD841" s="3" t="str">
        <f>AC841</f>
        <v>omf</v>
      </c>
      <c r="AE841" s="3" t="str">
        <f>AD841</f>
        <v>omf</v>
      </c>
      <c r="AF841" s="3" t="str">
        <f>AE841</f>
        <v>omf</v>
      </c>
      <c r="AG841" s="3" t="str">
        <f>AF841</f>
        <v>omf</v>
      </c>
      <c r="AH841" s="3" t="str">
        <f>AG841</f>
        <v>omf</v>
      </c>
      <c r="AI841" s="3" t="str">
        <f>AH841</f>
        <v>omf</v>
      </c>
    </row>
    <row r="842" hidden="1" outlineLevel="1">
      <c r="A842" s="62" t="inlineStr">
        <is>
          <t>rks</t>
        </is>
      </c>
      <c r="B842" s="3" t="inlineStr">
        <is>
          <t>r7</t>
        </is>
      </c>
      <c r="C842" s="3" t="inlineStr"/>
      <c r="D842" s="3" t="n">
        <v>7</v>
      </c>
      <c r="E842" s="3" t="n"/>
      <c r="H842" s="3" t="inlineStr">
        <is>
          <t>Rank 7: sector code</t>
        </is>
      </c>
      <c r="I842" s="3" t="inlineStr">
        <is>
          <t>code</t>
        </is>
      </c>
      <c r="J842" s="133"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7" t="str">
        <f>IF(X$5=K$5,SUM(Y842:AI842)-SUM(L842:V842),"")</f>
        <v/>
      </c>
      <c r="X842" s="9" t="str">
        <f>LOWER(CtryCode)&amp;".distn."&amp;$A842&amp;IF($B842="","","."&amp;$B842)&amp;IF($C842="","",".dec."&amp;$C842)&amp;"."&amp;X$5</f>
        <v>egy.distn.rks.r7.2</v>
      </c>
      <c r="Y842" s="10" t="str">
        <f>INDEX(DSecCode,MATCH($D842,Y$770:Y$833,0))</f>
        <v>i_s</v>
      </c>
      <c r="Z842" s="3" t="str">
        <f>Y842</f>
        <v>i_s</v>
      </c>
      <c r="AA842" s="3" t="str">
        <f>Z842</f>
        <v>i_s</v>
      </c>
      <c r="AB842" s="3" t="str">
        <f>AA842</f>
        <v>i_s</v>
      </c>
      <c r="AC842" s="3" t="str">
        <f>AB842</f>
        <v>i_s</v>
      </c>
      <c r="AD842" s="3" t="str">
        <f>AC842</f>
        <v>i_s</v>
      </c>
      <c r="AE842" s="3" t="str">
        <f>AD842</f>
        <v>i_s</v>
      </c>
      <c r="AF842" s="3" t="str">
        <f>AE842</f>
        <v>i_s</v>
      </c>
      <c r="AG842" s="3" t="str">
        <f>AF842</f>
        <v>i_s</v>
      </c>
      <c r="AH842" s="3" t="str">
        <f>AG842</f>
        <v>i_s</v>
      </c>
      <c r="AI842" s="3" t="str">
        <f>AH842</f>
        <v>i_s</v>
      </c>
    </row>
    <row r="843" hidden="1" outlineLevel="1">
      <c r="A843" s="62" t="inlineStr">
        <is>
          <t>rks</t>
        </is>
      </c>
      <c r="B843" s="3" t="inlineStr">
        <is>
          <t>r8</t>
        </is>
      </c>
      <c r="C843" s="3" t="inlineStr"/>
      <c r="D843" s="3" t="n">
        <v>8</v>
      </c>
      <c r="E843" s="3" t="n"/>
      <c r="H843" s="3" t="inlineStr">
        <is>
          <t>Rank 8: sector code</t>
        </is>
      </c>
      <c r="I843" s="3" t="inlineStr">
        <is>
          <t>code</t>
        </is>
      </c>
      <c r="J843" s="133"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7"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33"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7"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33"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7"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33"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7" t="str">
        <f>IF(X$5=K$5,SUM(Y846:AI846)-SUM(L846:V846),"")</f>
        <v/>
      </c>
      <c r="X846" s="9" t="str">
        <f>LOWER(CtryCode)&amp;".distn."&amp;$A846&amp;IF($B846="","","."&amp;$B846)&amp;IF($C846="","",".dec."&amp;$C846)&amp;"."&amp;X$5</f>
        <v>egy.distn.rks.r11.2</v>
      </c>
      <c r="Y846" s="10" t="str">
        <f>INDEX(DSecCode,MATCH($D846,Y$770:Y$833,0))</f>
        <v>pfb</v>
      </c>
      <c r="Z846" s="3" t="str">
        <f>Y846</f>
        <v>pfb</v>
      </c>
      <c r="AA846" s="3" t="str">
        <f>Z846</f>
        <v>pfb</v>
      </c>
      <c r="AB846" s="3" t="str">
        <f>AA846</f>
        <v>pfb</v>
      </c>
      <c r="AC846" s="3" t="str">
        <f>AB846</f>
        <v>pfb</v>
      </c>
      <c r="AD846" s="3" t="str">
        <f>AC846</f>
        <v>pfb</v>
      </c>
      <c r="AE846" s="3" t="str">
        <f>AD846</f>
        <v>pfb</v>
      </c>
      <c r="AF846" s="3" t="str">
        <f>AE846</f>
        <v>pfb</v>
      </c>
      <c r="AG846" s="3" t="str">
        <f>AF846</f>
        <v>pfb</v>
      </c>
      <c r="AH846" s="3" t="str">
        <f>AG846</f>
        <v>pfb</v>
      </c>
      <c r="AI846" s="3" t="str">
        <f>AH846</f>
        <v>pfb</v>
      </c>
    </row>
    <row r="847" hidden="1" outlineLevel="1">
      <c r="A847" s="62" t="inlineStr">
        <is>
          <t>rks</t>
        </is>
      </c>
      <c r="B847" s="3" t="inlineStr">
        <is>
          <t>r12</t>
        </is>
      </c>
      <c r="C847" s="3" t="inlineStr"/>
      <c r="D847" s="3" t="n">
        <v>12</v>
      </c>
      <c r="E847" s="3" t="n"/>
      <c r="H847" s="3" t="inlineStr">
        <is>
          <t>Rank 12: sector code</t>
        </is>
      </c>
      <c r="I847" s="3" t="inlineStr">
        <is>
          <t>code</t>
        </is>
      </c>
      <c r="J847" s="133"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7" t="str">
        <f>IF(X$5=K$5,SUM(Y847:AI847)-SUM(L847:V847),"")</f>
        <v/>
      </c>
      <c r="X847" s="9" t="str">
        <f>LOWER(CtryCode)&amp;".distn."&amp;$A847&amp;IF($B847="","","."&amp;$B847)&amp;IF($C847="","",".dec."&amp;$C847)&amp;"."&amp;X$5</f>
        <v>egy.distn.rks.r12.2</v>
      </c>
      <c r="Y847" s="10" t="str">
        <f>INDEX(DSecCode,MATCH($D847,Y$770:Y$833,0))</f>
        <v>ppp</v>
      </c>
      <c r="Z847" s="3" t="str">
        <f>Y847</f>
        <v>ppp</v>
      </c>
      <c r="AA847" s="3" t="str">
        <f>Z847</f>
        <v>ppp</v>
      </c>
      <c r="AB847" s="3" t="str">
        <f>AA847</f>
        <v>ppp</v>
      </c>
      <c r="AC847" s="3" t="str">
        <f>AB847</f>
        <v>ppp</v>
      </c>
      <c r="AD847" s="3" t="str">
        <f>AC847</f>
        <v>ppp</v>
      </c>
      <c r="AE847" s="3" t="str">
        <f>AD847</f>
        <v>ppp</v>
      </c>
      <c r="AF847" s="3" t="str">
        <f>AE847</f>
        <v>ppp</v>
      </c>
      <c r="AG847" s="3" t="str">
        <f>AF847</f>
        <v>ppp</v>
      </c>
      <c r="AH847" s="3" t="str">
        <f>AG847</f>
        <v>ppp</v>
      </c>
      <c r="AI847" s="3" t="str">
        <f>AH847</f>
        <v>ppp</v>
      </c>
    </row>
    <row r="848" hidden="1" outlineLevel="1">
      <c r="A848" s="62" t="inlineStr">
        <is>
          <t>rks</t>
        </is>
      </c>
      <c r="B848" s="3" t="inlineStr">
        <is>
          <t>r13</t>
        </is>
      </c>
      <c r="C848" s="3" t="inlineStr"/>
      <c r="D848" s="3" t="n">
        <v>13</v>
      </c>
      <c r="E848" s="3" t="n"/>
      <c r="H848" s="3" t="inlineStr">
        <is>
          <t>Rank 13: sector code</t>
        </is>
      </c>
      <c r="I848" s="3" t="inlineStr">
        <is>
          <t>code</t>
        </is>
      </c>
      <c r="J848" s="133"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7"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33"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7" t="str">
        <f>IF(X$5=K$5,SUM(Y849:AI849)-SUM(L849:V849),"")</f>
        <v/>
      </c>
      <c r="X849" s="9" t="str">
        <f>LOWER(CtryCode)&amp;".distn."&amp;$A849&amp;IF($B849="","","."&amp;$B849)&amp;IF($C849="","",".dec."&amp;$C849)&amp;"."&amp;X$5</f>
        <v>egy.distn.rks.r14.2</v>
      </c>
      <c r="Y849" s="10" t="str">
        <f>INDEX(DSecCode,MATCH($D849,Y$770:Y$833,0))</f>
        <v>eeq</v>
      </c>
      <c r="Z849" s="3" t="str">
        <f>Y849</f>
        <v>eeq</v>
      </c>
      <c r="AA849" s="3" t="str">
        <f>Z849</f>
        <v>eeq</v>
      </c>
      <c r="AB849" s="3" t="str">
        <f>AA849</f>
        <v>eeq</v>
      </c>
      <c r="AC849" s="3" t="str">
        <f>AB849</f>
        <v>eeq</v>
      </c>
      <c r="AD849" s="3" t="str">
        <f>AC849</f>
        <v>eeq</v>
      </c>
      <c r="AE849" s="3" t="str">
        <f>AD849</f>
        <v>eeq</v>
      </c>
      <c r="AF849" s="3" t="str">
        <f>AE849</f>
        <v>eeq</v>
      </c>
      <c r="AG849" s="3" t="str">
        <f>AF849</f>
        <v>eeq</v>
      </c>
      <c r="AH849" s="3" t="str">
        <f>AG849</f>
        <v>eeq</v>
      </c>
      <c r="AI849" s="3" t="str">
        <f>AH849</f>
        <v>eeq</v>
      </c>
    </row>
    <row r="850" hidden="1" outlineLevel="1">
      <c r="A850" s="62" t="inlineStr">
        <is>
          <t>rks</t>
        </is>
      </c>
      <c r="B850" s="3" t="inlineStr">
        <is>
          <t>r15</t>
        </is>
      </c>
      <c r="C850" s="3" t="inlineStr"/>
      <c r="D850" s="3" t="n">
        <v>15</v>
      </c>
      <c r="E850" s="3" t="n"/>
      <c r="H850" s="3" t="inlineStr">
        <is>
          <t>Rank 15: sector code</t>
        </is>
      </c>
      <c r="I850" s="3" t="inlineStr">
        <is>
          <t>code</t>
        </is>
      </c>
      <c r="J850" s="133"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7" t="str">
        <f>IF(X$5=K$5,SUM(Y850:AI850)-SUM(L850:V850),"")</f>
        <v/>
      </c>
      <c r="X850" s="9" t="str">
        <f>LOWER(CtryCode)&amp;".distn."&amp;$A850&amp;IF($B850="","","."&amp;$B850)&amp;IF($C850="","",".dec."&amp;$C850)&amp;"."&amp;X$5</f>
        <v>egy.distn.rks.r15.2</v>
      </c>
      <c r="Y850" s="10" t="str">
        <f>INDEX(DSecCode,MATCH($D850,Y$770:Y$833,0))</f>
        <v>ome</v>
      </c>
      <c r="Z850" s="3" t="str">
        <f>Y850</f>
        <v>ome</v>
      </c>
      <c r="AA850" s="3" t="str">
        <f>Z850</f>
        <v>ome</v>
      </c>
      <c r="AB850" s="3" t="str">
        <f>AA850</f>
        <v>ome</v>
      </c>
      <c r="AC850" s="3" t="str">
        <f>AB850</f>
        <v>ome</v>
      </c>
      <c r="AD850" s="3" t="str">
        <f>AC850</f>
        <v>ome</v>
      </c>
      <c r="AE850" s="3" t="str">
        <f>AD850</f>
        <v>ome</v>
      </c>
      <c r="AF850" s="3" t="str">
        <f>AE850</f>
        <v>ome</v>
      </c>
      <c r="AG850" s="3" t="str">
        <f>AF850</f>
        <v>ome</v>
      </c>
      <c r="AH850" s="3" t="str">
        <f>AG850</f>
        <v>ome</v>
      </c>
      <c r="AI850" s="3" t="str">
        <f>AH850</f>
        <v>ome</v>
      </c>
    </row>
    <row r="851" hidden="1" outlineLevel="1">
      <c r="A851" s="62" t="inlineStr">
        <is>
          <t>rks</t>
        </is>
      </c>
      <c r="B851" s="3" t="inlineStr">
        <is>
          <t>r16</t>
        </is>
      </c>
      <c r="C851" s="3" t="inlineStr"/>
      <c r="D851" s="3" t="n">
        <v>16</v>
      </c>
      <c r="E851" s="3" t="n"/>
      <c r="H851" s="3" t="inlineStr">
        <is>
          <t>Rank 16: sector code</t>
        </is>
      </c>
      <c r="I851" s="3" t="inlineStr">
        <is>
          <t>code</t>
        </is>
      </c>
      <c r="J851" s="133"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7" t="str">
        <f>IF(X$5=K$5,SUM(Y851:AI851)-SUM(L851:V851),"")</f>
        <v/>
      </c>
      <c r="X851" s="9" t="str">
        <f>LOWER(CtryCode)&amp;".distn."&amp;$A851&amp;IF($B851="","","."&amp;$B851)&amp;IF($C851="","",".dec."&amp;$C851)&amp;"."&amp;X$5</f>
        <v>egy.distn.rks.r16.2</v>
      </c>
      <c r="Y851" s="10" t="str">
        <f>INDEX(DSecCode,MATCH($D851,Y$770:Y$833,0))</f>
        <v>bph</v>
      </c>
      <c r="Z851" s="3" t="str">
        <f>Y851</f>
        <v>bph</v>
      </c>
      <c r="AA851" s="3" t="str">
        <f>Z851</f>
        <v>bph</v>
      </c>
      <c r="AB851" s="3" t="str">
        <f>AA851</f>
        <v>bph</v>
      </c>
      <c r="AC851" s="3" t="str">
        <f>AB851</f>
        <v>bph</v>
      </c>
      <c r="AD851" s="3" t="str">
        <f>AC851</f>
        <v>bph</v>
      </c>
      <c r="AE851" s="3" t="str">
        <f>AD851</f>
        <v>bph</v>
      </c>
      <c r="AF851" s="3" t="str">
        <f>AE851</f>
        <v>bph</v>
      </c>
      <c r="AG851" s="3" t="str">
        <f>AF851</f>
        <v>bph</v>
      </c>
      <c r="AH851" s="3" t="str">
        <f>AG851</f>
        <v>bph</v>
      </c>
      <c r="AI851" s="3" t="str">
        <f>AH851</f>
        <v>bph</v>
      </c>
    </row>
    <row r="852" hidden="1" outlineLevel="1">
      <c r="A852" s="62" t="inlineStr">
        <is>
          <t>rks</t>
        </is>
      </c>
      <c r="B852" s="3" t="inlineStr">
        <is>
          <t>r17</t>
        </is>
      </c>
      <c r="C852" s="3" t="inlineStr"/>
      <c r="D852" s="3" t="n">
        <v>17</v>
      </c>
      <c r="E852" s="3" t="n"/>
      <c r="H852" s="3" t="inlineStr">
        <is>
          <t>Rank 17: sector code</t>
        </is>
      </c>
      <c r="I852" s="3" t="inlineStr">
        <is>
          <t>code</t>
        </is>
      </c>
      <c r="J852" s="133"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7" t="str">
        <f>IF(X$5=K$5,SUM(Y852:AI852)-SUM(L852:V852),"")</f>
        <v/>
      </c>
      <c r="X852" s="9" t="str">
        <f>LOWER(CtryCode)&amp;".distn."&amp;$A852&amp;IF($B852="","","."&amp;$B852)&amp;IF($C852="","",".dec."&amp;$C852)&amp;"."&amp;X$5</f>
        <v>egy.distn.rks.r17.2</v>
      </c>
      <c r="Y852" s="10" t="str">
        <f>INDEX(DSecCode,MATCH($D852,Y$770:Y$833,0))</f>
        <v>wol</v>
      </c>
      <c r="Z852" s="3" t="str">
        <f>Y852</f>
        <v>wol</v>
      </c>
      <c r="AA852" s="3" t="str">
        <f>Z852</f>
        <v>wol</v>
      </c>
      <c r="AB852" s="3" t="str">
        <f>AA852</f>
        <v>wol</v>
      </c>
      <c r="AC852" s="3" t="str">
        <f>AB852</f>
        <v>wol</v>
      </c>
      <c r="AD852" s="3" t="str">
        <f>AC852</f>
        <v>wol</v>
      </c>
      <c r="AE852" s="3" t="str">
        <f>AD852</f>
        <v>wol</v>
      </c>
      <c r="AF852" s="3" t="str">
        <f>AE852</f>
        <v>wol</v>
      </c>
      <c r="AG852" s="3" t="str">
        <f>AF852</f>
        <v>wol</v>
      </c>
      <c r="AH852" s="3" t="str">
        <f>AG852</f>
        <v>wol</v>
      </c>
      <c r="AI852" s="3" t="str">
        <f>AH852</f>
        <v>wol</v>
      </c>
    </row>
    <row r="853" hidden="1" outlineLevel="1">
      <c r="A853" s="62" t="inlineStr">
        <is>
          <t>rks</t>
        </is>
      </c>
      <c r="B853" s="3" t="inlineStr">
        <is>
          <t>r18</t>
        </is>
      </c>
      <c r="C853" s="3" t="inlineStr"/>
      <c r="D853" s="3" t="n">
        <v>18</v>
      </c>
      <c r="E853" s="3" t="n"/>
      <c r="H853" s="3" t="inlineStr">
        <is>
          <t>Rank 18: sector code</t>
        </is>
      </c>
      <c r="I853" s="3" t="inlineStr">
        <is>
          <t>code</t>
        </is>
      </c>
      <c r="J853" s="133"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7" t="str">
        <f>IF(X$5=K$5,SUM(Y853:AI853)-SUM(L853:V853),"")</f>
        <v/>
      </c>
      <c r="X853" s="9" t="str">
        <f>LOWER(CtryCode)&amp;".distn."&amp;$A853&amp;IF($B853="","","."&amp;$B853)&amp;IF($C853="","",".dec."&amp;$C853)&amp;"."&amp;X$5</f>
        <v>egy.distn.rks.r18.2</v>
      </c>
      <c r="Y853" s="10" t="str">
        <f>INDEX(DSecCode,MATCH($D853,Y$770:Y$833,0))</f>
        <v>ele</v>
      </c>
      <c r="Z853" s="3" t="str">
        <f>Y853</f>
        <v>ele</v>
      </c>
      <c r="AA853" s="3" t="str">
        <f>Z853</f>
        <v>ele</v>
      </c>
      <c r="AB853" s="3" t="str">
        <f>AA853</f>
        <v>ele</v>
      </c>
      <c r="AC853" s="3" t="str">
        <f>AB853</f>
        <v>ele</v>
      </c>
      <c r="AD853" s="3" t="str">
        <f>AC853</f>
        <v>ele</v>
      </c>
      <c r="AE853" s="3" t="str">
        <f>AD853</f>
        <v>ele</v>
      </c>
      <c r="AF853" s="3" t="str">
        <f>AE853</f>
        <v>ele</v>
      </c>
      <c r="AG853" s="3" t="str">
        <f>AF853</f>
        <v>ele</v>
      </c>
      <c r="AH853" s="3" t="str">
        <f>AG853</f>
        <v>ele</v>
      </c>
      <c r="AI853" s="3" t="str">
        <f>AH853</f>
        <v>ele</v>
      </c>
    </row>
    <row r="854" hidden="1" outlineLevel="1">
      <c r="A854" s="62" t="inlineStr">
        <is>
          <t>rks</t>
        </is>
      </c>
      <c r="B854" s="3" t="inlineStr">
        <is>
          <t>r19</t>
        </is>
      </c>
      <c r="C854" s="3" t="inlineStr"/>
      <c r="D854" s="3" t="n">
        <v>19</v>
      </c>
      <c r="E854" s="3" t="n"/>
      <c r="H854" s="3" t="inlineStr">
        <is>
          <t>Rank 19: sector code</t>
        </is>
      </c>
      <c r="I854" s="3" t="inlineStr">
        <is>
          <t>code</t>
        </is>
      </c>
      <c r="J854" s="133"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7" t="str">
        <f>IF(X$5=K$5,SUM(Y854:AI854)-SUM(L854:V854),"")</f>
        <v/>
      </c>
      <c r="X854" s="9" t="str">
        <f>LOWER(CtryCode)&amp;".distn."&amp;$A854&amp;IF($B854="","","."&amp;$B854)&amp;IF($C854="","",".dec."&amp;$C854)&amp;"."&amp;X$5</f>
        <v>egy.distn.rks.r19.2</v>
      </c>
      <c r="Y854" s="10" t="str">
        <f>INDEX(DSecCode,MATCH($D854,Y$770:Y$833,0))</f>
        <v>nmm</v>
      </c>
      <c r="Z854" s="3" t="str">
        <f>Y854</f>
        <v>nmm</v>
      </c>
      <c r="AA854" s="3" t="str">
        <f>Z854</f>
        <v>nmm</v>
      </c>
      <c r="AB854" s="3" t="str">
        <f>AA854</f>
        <v>nmm</v>
      </c>
      <c r="AC854" s="3" t="str">
        <f>AB854</f>
        <v>nmm</v>
      </c>
      <c r="AD854" s="3" t="str">
        <f>AC854</f>
        <v>nmm</v>
      </c>
      <c r="AE854" s="3" t="str">
        <f>AD854</f>
        <v>nmm</v>
      </c>
      <c r="AF854" s="3" t="str">
        <f>AE854</f>
        <v>nmm</v>
      </c>
      <c r="AG854" s="3" t="str">
        <f>AF854</f>
        <v>nmm</v>
      </c>
      <c r="AH854" s="3" t="str">
        <f>AG854</f>
        <v>nmm</v>
      </c>
      <c r="AI854" s="3" t="str">
        <f>AH854</f>
        <v>nmm</v>
      </c>
    </row>
    <row r="855" hidden="1" outlineLevel="1">
      <c r="A855" s="62" t="inlineStr">
        <is>
          <t>rks</t>
        </is>
      </c>
      <c r="B855" s="3" t="inlineStr">
        <is>
          <t>r20</t>
        </is>
      </c>
      <c r="C855" s="3" t="inlineStr"/>
      <c r="D855" s="3" t="n">
        <v>20</v>
      </c>
      <c r="E855" s="3" t="n"/>
      <c r="H855" s="3" t="inlineStr">
        <is>
          <t>Rank 20: sector code</t>
        </is>
      </c>
      <c r="I855" s="3" t="inlineStr">
        <is>
          <t>code</t>
        </is>
      </c>
      <c r="J855" s="133"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7" t="str">
        <f>IF(X$5=K$5,SUM(Y855:AI855)-SUM(L855:V855),"")</f>
        <v/>
      </c>
      <c r="X855" s="9" t="str">
        <f>LOWER(CtryCode)&amp;".distn."&amp;$A855&amp;IF($B855="","","."&amp;$B855)&amp;IF($C855="","",".dec."&amp;$C855)&amp;"."&amp;X$5</f>
        <v>egy.distn.rks.r20.2</v>
      </c>
      <c r="Y855" s="10" t="str">
        <f>INDEX(DSecCode,MATCH($D855,Y$770:Y$833,0))</f>
        <v>mvh</v>
      </c>
      <c r="Z855" s="3" t="str">
        <f>Y855</f>
        <v>mvh</v>
      </c>
      <c r="AA855" s="3" t="str">
        <f>Z855</f>
        <v>mvh</v>
      </c>
      <c r="AB855" s="3" t="str">
        <f>AA855</f>
        <v>mvh</v>
      </c>
      <c r="AC855" s="3" t="str">
        <f>AB855</f>
        <v>mvh</v>
      </c>
      <c r="AD855" s="3" t="str">
        <f>AC855</f>
        <v>mvh</v>
      </c>
      <c r="AE855" s="3" t="str">
        <f>AD855</f>
        <v>mvh</v>
      </c>
      <c r="AF855" s="3" t="str">
        <f>AE855</f>
        <v>mvh</v>
      </c>
      <c r="AG855" s="3" t="str">
        <f>AF855</f>
        <v>mvh</v>
      </c>
      <c r="AH855" s="3" t="str">
        <f>AG855</f>
        <v>mvh</v>
      </c>
      <c r="AI855" s="3" t="str">
        <f>AH855</f>
        <v>mvh</v>
      </c>
    </row>
    <row r="856" hidden="1" outlineLevel="1">
      <c r="A856" s="62" t="inlineStr">
        <is>
          <t>rkn</t>
        </is>
      </c>
      <c r="B856" s="3" t="inlineStr">
        <is>
          <t>r1</t>
        </is>
      </c>
      <c r="C856" s="3" t="inlineStr"/>
      <c r="D856" s="3" t="n">
        <v>1</v>
      </c>
      <c r="E856" s="3" t="n"/>
      <c r="H856" s="3" t="inlineStr">
        <is>
          <t>Rank 1: sector</t>
        </is>
      </c>
      <c r="I856" s="3" t="inlineStr">
        <is>
          <t>name</t>
        </is>
      </c>
      <c r="J856" s="133"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7" t="str">
        <f>IF(X$5=K$5,SUM(Y856:AI856)-SUM(L856:V856),"")</f>
        <v/>
      </c>
      <c r="X856" s="9" t="str">
        <f>LOWER(CtryCode)&amp;".distn."&amp;$A856&amp;IF($B856="","","."&amp;$B856)&amp;IF($C856="","",".dec."&amp;$C856)&amp;"."&amp;X$5</f>
        <v>egy.distn.rkn.r1.2</v>
      </c>
      <c r="Y856" s="10" t="str">
        <f>INDEX(DSecName,MATCH($D856,Y$770:Y$833,0))</f>
        <v>Air transport</v>
      </c>
      <c r="Z856" s="3" t="str">
        <f>Y856</f>
        <v>Air transport</v>
      </c>
      <c r="AA856" s="3" t="str">
        <f>Z856</f>
        <v>Air transport</v>
      </c>
      <c r="AB856" s="3" t="str">
        <f>AA856</f>
        <v>Air transport</v>
      </c>
      <c r="AC856" s="3" t="str">
        <f>AB856</f>
        <v>Air transport</v>
      </c>
      <c r="AD856" s="3" t="str">
        <f>AC856</f>
        <v>Air transport</v>
      </c>
      <c r="AE856" s="3" t="str">
        <f>AD856</f>
        <v>Air transport</v>
      </c>
      <c r="AF856" s="3" t="str">
        <f>AE856</f>
        <v>Air transport</v>
      </c>
      <c r="AG856" s="3" t="str">
        <f>AF856</f>
        <v>Air transport</v>
      </c>
      <c r="AH856" s="3" t="str">
        <f>AG856</f>
        <v>Air transport</v>
      </c>
      <c r="AI856" s="3" t="str">
        <f>AH856</f>
        <v>Air transport</v>
      </c>
    </row>
    <row r="857" hidden="1" outlineLevel="1">
      <c r="A857" s="62" t="inlineStr">
        <is>
          <t>rkn</t>
        </is>
      </c>
      <c r="B857" s="3" t="inlineStr">
        <is>
          <t>r2</t>
        </is>
      </c>
      <c r="C857" s="3" t="inlineStr"/>
      <c r="D857" s="3" t="n">
        <v>2</v>
      </c>
      <c r="E857" s="3" t="n"/>
      <c r="H857" s="3" t="inlineStr">
        <is>
          <t>Rank 2: sector</t>
        </is>
      </c>
      <c r="I857" s="3" t="inlineStr">
        <is>
          <t>name</t>
        </is>
      </c>
      <c r="J857" s="133"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7" t="str">
        <f>IF(X$5=K$5,SUM(Y857:AI857)-SUM(L857:V857),"")</f>
        <v/>
      </c>
      <c r="X857" s="9" t="str">
        <f>LOWER(CtryCode)&amp;".distn."&amp;$A857&amp;IF($B857="","","."&amp;$B857)&amp;IF($C857="","",".dec."&amp;$C857)&amp;"."&amp;X$5</f>
        <v>egy.distn.rkn.r2.2</v>
      </c>
      <c r="Y857" s="10" t="str">
        <f>INDEX(DSecName,MATCH($D857,Y$770:Y$833,0))</f>
        <v>Chemicals</v>
      </c>
      <c r="Z857" s="3" t="str">
        <f>Y857</f>
        <v>Chemicals</v>
      </c>
      <c r="AA857" s="3" t="str">
        <f>Z857</f>
        <v>Chemicals</v>
      </c>
      <c r="AB857" s="3" t="str">
        <f>AA857</f>
        <v>Chemicals</v>
      </c>
      <c r="AC857" s="3" t="str">
        <f>AB857</f>
        <v>Chemicals</v>
      </c>
      <c r="AD857" s="3" t="str">
        <f>AC857</f>
        <v>Chemicals</v>
      </c>
      <c r="AE857" s="3" t="str">
        <f>AD857</f>
        <v>Chemicals</v>
      </c>
      <c r="AF857" s="3" t="str">
        <f>AE857</f>
        <v>Chemicals</v>
      </c>
      <c r="AG857" s="3" t="str">
        <f>AF857</f>
        <v>Chemicals</v>
      </c>
      <c r="AH857" s="3" t="str">
        <f>AG857</f>
        <v>Chemicals</v>
      </c>
      <c r="AI857" s="3" t="str">
        <f>AH857</f>
        <v>Chemicals</v>
      </c>
    </row>
    <row r="858" hidden="1" outlineLevel="1">
      <c r="A858" s="62" t="inlineStr">
        <is>
          <t>rkn</t>
        </is>
      </c>
      <c r="B858" s="3" t="inlineStr">
        <is>
          <t>r3</t>
        </is>
      </c>
      <c r="C858" s="3" t="inlineStr"/>
      <c r="D858" s="3" t="n">
        <v>3</v>
      </c>
      <c r="E858" s="3" t="n"/>
      <c r="H858" s="3" t="inlineStr">
        <is>
          <t>Rank 3: sector</t>
        </is>
      </c>
      <c r="I858" s="3" t="inlineStr">
        <is>
          <t>name</t>
        </is>
      </c>
      <c r="J858" s="133"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7" t="str">
        <f>IF(X$5=K$5,SUM(Y858:AI858)-SUM(L858:V858),"")</f>
        <v/>
      </c>
      <c r="X858" s="9" t="str">
        <f>LOWER(CtryCode)&amp;".distn."&amp;$A858&amp;IF($B858="","","."&amp;$B858)&amp;IF($C858="","",".dec."&amp;$C858)&amp;"."&amp;X$5</f>
        <v>egy.distn.rkn.r3.2</v>
      </c>
      <c r="Y858" s="10" t="str">
        <f>INDEX(DSecName,MATCH($D858,Y$770:Y$833,0))</f>
        <v>Water transport</v>
      </c>
      <c r="Z858" s="3" t="str">
        <f>Y858</f>
        <v>Water transport</v>
      </c>
      <c r="AA858" s="3" t="str">
        <f>Z858</f>
        <v>Water transport</v>
      </c>
      <c r="AB858" s="3" t="str">
        <f>AA858</f>
        <v>Water transport</v>
      </c>
      <c r="AC858" s="3" t="str">
        <f>AB858</f>
        <v>Water transport</v>
      </c>
      <c r="AD858" s="3" t="str">
        <f>AC858</f>
        <v>Water transport</v>
      </c>
      <c r="AE858" s="3" t="str">
        <f>AD858</f>
        <v>Water transport</v>
      </c>
      <c r="AF858" s="3" t="str">
        <f>AE858</f>
        <v>Water transport</v>
      </c>
      <c r="AG858" s="3" t="str">
        <f>AF858</f>
        <v>Water transport</v>
      </c>
      <c r="AH858" s="3" t="str">
        <f>AG858</f>
        <v>Water transport</v>
      </c>
      <c r="AI858" s="3" t="str">
        <f>AH858</f>
        <v>Water transport</v>
      </c>
    </row>
    <row r="859" hidden="1" outlineLevel="1">
      <c r="A859" s="62" t="inlineStr">
        <is>
          <t>rkn</t>
        </is>
      </c>
      <c r="B859" s="3" t="inlineStr">
        <is>
          <t>r4</t>
        </is>
      </c>
      <c r="C859" s="3" t="inlineStr"/>
      <c r="D859" s="3" t="n">
        <v>4</v>
      </c>
      <c r="E859" s="3" t="n"/>
      <c r="H859" s="3" t="inlineStr">
        <is>
          <t>Rank 4: sector</t>
        </is>
      </c>
      <c r="I859" s="3" t="inlineStr">
        <is>
          <t>name</t>
        </is>
      </c>
      <c r="J859" s="133"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7" t="str">
        <f>IF(X$5=K$5,SUM(Y859:AI859)-SUM(L859:V859),"")</f>
        <v/>
      </c>
      <c r="X859" s="9" t="str">
        <f>LOWER(CtryCode)&amp;".distn."&amp;$A859&amp;IF($B859="","","."&amp;$B859)&amp;IF($C859="","",".dec."&amp;$C859)&amp;"."&amp;X$5</f>
        <v>egy.distn.rkn.r4.2</v>
      </c>
      <c r="Y859" s="10" t="str">
        <f>INDEX(DSecName,MATCH($D859,Y$770:Y$833,0))</f>
        <v>Other Mining</v>
      </c>
      <c r="Z859" s="3" t="str">
        <f>Y859</f>
        <v>Other Mining</v>
      </c>
      <c r="AA859" s="3" t="str">
        <f>Z859</f>
        <v>Other Mining</v>
      </c>
      <c r="AB859" s="3" t="str">
        <f>AA859</f>
        <v>Other Mining</v>
      </c>
      <c r="AC859" s="3" t="str">
        <f>AB859</f>
        <v>Other Mining</v>
      </c>
      <c r="AD859" s="3" t="str">
        <f>AC859</f>
        <v>Other Mining</v>
      </c>
      <c r="AE859" s="3" t="str">
        <f>AD859</f>
        <v>Other Mining</v>
      </c>
      <c r="AF859" s="3" t="str">
        <f>AE859</f>
        <v>Other Mining</v>
      </c>
      <c r="AG859" s="3" t="str">
        <f>AF859</f>
        <v>Other Mining</v>
      </c>
      <c r="AH859" s="3" t="str">
        <f>AG859</f>
        <v>Other Mining</v>
      </c>
      <c r="AI859" s="3" t="str">
        <f>AH859</f>
        <v>Other Mining</v>
      </c>
    </row>
    <row r="860" hidden="1" outlineLevel="1">
      <c r="A860" s="62" t="inlineStr">
        <is>
          <t>rkn</t>
        </is>
      </c>
      <c r="B860" s="3" t="inlineStr">
        <is>
          <t>r5</t>
        </is>
      </c>
      <c r="C860" s="3" t="inlineStr"/>
      <c r="D860" s="3" t="n">
        <v>5</v>
      </c>
      <c r="E860" s="3" t="n"/>
      <c r="H860" s="3" t="inlineStr">
        <is>
          <t>Rank 5: sector</t>
        </is>
      </c>
      <c r="I860" s="3" t="inlineStr">
        <is>
          <t>name</t>
        </is>
      </c>
      <c r="J860" s="133"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7" t="str">
        <f>IF(X$5=K$5,SUM(Y860:AI860)-SUM(L860:V860),"")</f>
        <v/>
      </c>
      <c r="X860" s="9" t="str">
        <f>LOWER(CtryCode)&amp;".distn."&amp;$A860&amp;IF($B860="","","."&amp;$B860)&amp;IF($C860="","",".dec."&amp;$C860)&amp;"."&amp;X$5</f>
        <v>egy.distn.rkn.r5.2</v>
      </c>
      <c r="Y860" s="10" t="str">
        <f>INDEX(DSecName,MATCH($D860,Y$770:Y$833,0))</f>
        <v>Land transport</v>
      </c>
      <c r="Z860" s="3" t="str">
        <f>Y860</f>
        <v>Land transport</v>
      </c>
      <c r="AA860" s="3" t="str">
        <f>Z860</f>
        <v>Land transport</v>
      </c>
      <c r="AB860" s="3" t="str">
        <f>AA860</f>
        <v>Land transport</v>
      </c>
      <c r="AC860" s="3" t="str">
        <f>AB860</f>
        <v>Land transport</v>
      </c>
      <c r="AD860" s="3" t="str">
        <f>AC860</f>
        <v>Land transport</v>
      </c>
      <c r="AE860" s="3" t="str">
        <f>AD860</f>
        <v>Land transport</v>
      </c>
      <c r="AF860" s="3" t="str">
        <f>AE860</f>
        <v>Land transport</v>
      </c>
      <c r="AG860" s="3" t="str">
        <f>AF860</f>
        <v>Land transport</v>
      </c>
      <c r="AH860" s="3" t="str">
        <f>AG860</f>
        <v>Land transport</v>
      </c>
      <c r="AI860" s="3" t="str">
        <f>AH860</f>
        <v>Land transport</v>
      </c>
    </row>
    <row r="861" hidden="1" outlineLevel="1">
      <c r="A861" s="62" t="inlineStr">
        <is>
          <t>rkn</t>
        </is>
      </c>
      <c r="B861" s="3" t="inlineStr">
        <is>
          <t>r6</t>
        </is>
      </c>
      <c r="C861" s="3" t="inlineStr"/>
      <c r="D861" s="3" t="n">
        <v>6</v>
      </c>
      <c r="E861" s="3" t="n"/>
      <c r="H861" s="3" t="inlineStr">
        <is>
          <t>Rank 6: sector</t>
        </is>
      </c>
      <c r="I861" s="3" t="inlineStr">
        <is>
          <t>name</t>
        </is>
      </c>
      <c r="J861" s="133"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7" t="str">
        <f>IF(X$5=K$5,SUM(Y861:AI861)-SUM(L861:V861),"")</f>
        <v/>
      </c>
      <c r="X861" s="9" t="str">
        <f>LOWER(CtryCode)&amp;".distn."&amp;$A861&amp;IF($B861="","","."&amp;$B861)&amp;IF($C861="","",".dec."&amp;$C861)&amp;"."&amp;X$5</f>
        <v>egy.distn.rkn.r6.2</v>
      </c>
      <c r="Y861" s="10" t="str">
        <f>INDEX(DSecName,MATCH($D861,Y$770:Y$833,0))</f>
        <v>Other Manufacturing</v>
      </c>
      <c r="Z861" s="3" t="str">
        <f>Y861</f>
        <v>Other Manufacturing</v>
      </c>
      <c r="AA861" s="3" t="str">
        <f>Z861</f>
        <v>Other Manufacturing</v>
      </c>
      <c r="AB861" s="3" t="str">
        <f>AA861</f>
        <v>Other Manufacturing</v>
      </c>
      <c r="AC861" s="3" t="str">
        <f>AB861</f>
        <v>Other Manufacturing</v>
      </c>
      <c r="AD861" s="3" t="str">
        <f>AC861</f>
        <v>Other Manufacturing</v>
      </c>
      <c r="AE861" s="3" t="str">
        <f>AD861</f>
        <v>Other Manufacturing</v>
      </c>
      <c r="AF861" s="3" t="str">
        <f>AE861</f>
        <v>Other Manufacturing</v>
      </c>
      <c r="AG861" s="3" t="str">
        <f>AF861</f>
        <v>Other Manufacturing</v>
      </c>
      <c r="AH861" s="3" t="str">
        <f>AG861</f>
        <v>Other Manufacturing</v>
      </c>
      <c r="AI861" s="3" t="str">
        <f>AH861</f>
        <v>Other Manufacturing</v>
      </c>
    </row>
    <row r="862" hidden="1" outlineLevel="1">
      <c r="A862" s="62" t="inlineStr">
        <is>
          <t>rkn</t>
        </is>
      </c>
      <c r="B862" s="3" t="inlineStr">
        <is>
          <t>r7</t>
        </is>
      </c>
      <c r="C862" s="3" t="inlineStr"/>
      <c r="D862" s="3" t="n">
        <v>7</v>
      </c>
      <c r="E862" s="3" t="n"/>
      <c r="H862" s="3" t="inlineStr">
        <is>
          <t>Rank 7: sector</t>
        </is>
      </c>
      <c r="I862" s="3" t="inlineStr">
        <is>
          <t>name</t>
        </is>
      </c>
      <c r="J862" s="133"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7" t="str">
        <f>IF(X$5=K$5,SUM(Y862:AI862)-SUM(L862:V862),"")</f>
        <v/>
      </c>
      <c r="X862" s="9" t="str">
        <f>LOWER(CtryCode)&amp;".distn."&amp;$A862&amp;IF($B862="","","."&amp;$B862)&amp;IF($C862="","",".dec."&amp;$C862)&amp;"."&amp;X$5</f>
        <v>egy.distn.rkn.r7.2</v>
      </c>
      <c r="Y862" s="10" t="str">
        <f>INDEX(DSecName,MATCH($D862,Y$770:Y$833,0))</f>
        <v>Iron &amp; Steel</v>
      </c>
      <c r="Z862" s="3" t="str">
        <f>Y862</f>
        <v>Iron &amp; Steel</v>
      </c>
      <c r="AA862" s="3" t="str">
        <f>Z862</f>
        <v>Iron &amp; Steel</v>
      </c>
      <c r="AB862" s="3" t="str">
        <f>AA862</f>
        <v>Iron &amp; Steel</v>
      </c>
      <c r="AC862" s="3" t="str">
        <f>AB862</f>
        <v>Iron &amp; Steel</v>
      </c>
      <c r="AD862" s="3" t="str">
        <f>AC862</f>
        <v>Iron &amp; Steel</v>
      </c>
      <c r="AE862" s="3" t="str">
        <f>AD862</f>
        <v>Iron &amp; Steel</v>
      </c>
      <c r="AF862" s="3" t="str">
        <f>AE862</f>
        <v>Iron &amp; Steel</v>
      </c>
      <c r="AG862" s="3" t="str">
        <f>AF862</f>
        <v>Iron &amp; Steel</v>
      </c>
      <c r="AH862" s="3" t="str">
        <f>AG862</f>
        <v>Iron &amp; Steel</v>
      </c>
      <c r="AI862" s="3" t="str">
        <f>AH862</f>
        <v>Iron &amp; Steel</v>
      </c>
    </row>
    <row r="863" hidden="1" outlineLevel="1">
      <c r="A863" s="62" t="inlineStr">
        <is>
          <t>rkn</t>
        </is>
      </c>
      <c r="B863" s="3" t="inlineStr">
        <is>
          <t>r8</t>
        </is>
      </c>
      <c r="C863" s="3" t="inlineStr"/>
      <c r="D863" s="3" t="n">
        <v>8</v>
      </c>
      <c r="E863" s="3" t="n"/>
      <c r="H863" s="3" t="inlineStr">
        <is>
          <t>Rank 8: sector</t>
        </is>
      </c>
      <c r="I863" s="3" t="inlineStr">
        <is>
          <t>name</t>
        </is>
      </c>
      <c r="J863" s="133"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7"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33"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7"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33"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7"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33"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7" t="str">
        <f>IF(X$5=K$5,SUM(Y866:AI866)-SUM(L866:V866),"")</f>
        <v/>
      </c>
      <c r="X866" s="9" t="str">
        <f>LOWER(CtryCode)&amp;".distn."&amp;$A866&amp;IF($B866="","","."&amp;$B866)&amp;IF($C866="","",".dec."&amp;$C866)&amp;"."&amp;X$5</f>
        <v>egy.distn.rkn.r11.2</v>
      </c>
      <c r="Y866" s="10" t="str">
        <f>INDEX(DSecName,MATCH($D866,Y$770:Y$833,0))</f>
        <v>Fibres crops</v>
      </c>
      <c r="Z866" s="3" t="str">
        <f>Y866</f>
        <v>Fibres crops</v>
      </c>
      <c r="AA866" s="3" t="str">
        <f>Z866</f>
        <v>Fibres crops</v>
      </c>
      <c r="AB866" s="3" t="str">
        <f>AA866</f>
        <v>Fibres crops</v>
      </c>
      <c r="AC866" s="3" t="str">
        <f>AB866</f>
        <v>Fibres crops</v>
      </c>
      <c r="AD866" s="3" t="str">
        <f>AC866</f>
        <v>Fibres crops</v>
      </c>
      <c r="AE866" s="3" t="str">
        <f>AD866</f>
        <v>Fibres crops</v>
      </c>
      <c r="AF866" s="3" t="str">
        <f>AE866</f>
        <v>Fibres crops</v>
      </c>
      <c r="AG866" s="3" t="str">
        <f>AF866</f>
        <v>Fibres crops</v>
      </c>
      <c r="AH866" s="3" t="str">
        <f>AG866</f>
        <v>Fibres crops</v>
      </c>
      <c r="AI866" s="3" t="str">
        <f>AH866</f>
        <v>Fibres crops</v>
      </c>
    </row>
    <row r="867" hidden="1" outlineLevel="1">
      <c r="A867" s="62" t="inlineStr">
        <is>
          <t>rkn</t>
        </is>
      </c>
      <c r="B867" s="3" t="inlineStr">
        <is>
          <t>r12</t>
        </is>
      </c>
      <c r="C867" s="3" t="inlineStr"/>
      <c r="D867" s="3" t="n">
        <v>12</v>
      </c>
      <c r="E867" s="3" t="n"/>
      <c r="H867" s="3" t="inlineStr">
        <is>
          <t>Rank 12: sector</t>
        </is>
      </c>
      <c r="I867" s="3" t="inlineStr">
        <is>
          <t>name</t>
        </is>
      </c>
      <c r="J867" s="133"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7" t="str">
        <f>IF(X$5=K$5,SUM(Y867:AI867)-SUM(L867:V867),"")</f>
        <v/>
      </c>
      <c r="X867" s="9" t="str">
        <f>LOWER(CtryCode)&amp;".distn."&amp;$A867&amp;IF($B867="","","."&amp;$B867)&amp;IF($C867="","",".dec."&amp;$C867)&amp;"."&amp;X$5</f>
        <v>egy.distn.rkn.r12.2</v>
      </c>
      <c r="Y867" s="10" t="str">
        <f>INDEX(DSecName,MATCH($D867,Y$770:Y$833,0))</f>
        <v>Paper</v>
      </c>
      <c r="Z867" s="3" t="str">
        <f>Y867</f>
        <v>Paper</v>
      </c>
      <c r="AA867" s="3" t="str">
        <f>Z867</f>
        <v>Paper</v>
      </c>
      <c r="AB867" s="3" t="str">
        <f>AA867</f>
        <v>Paper</v>
      </c>
      <c r="AC867" s="3" t="str">
        <f>AB867</f>
        <v>Paper</v>
      </c>
      <c r="AD867" s="3" t="str">
        <f>AC867</f>
        <v>Paper</v>
      </c>
      <c r="AE867" s="3" t="str">
        <f>AD867</f>
        <v>Paper</v>
      </c>
      <c r="AF867" s="3" t="str">
        <f>AE867</f>
        <v>Paper</v>
      </c>
      <c r="AG867" s="3" t="str">
        <f>AF867</f>
        <v>Paper</v>
      </c>
      <c r="AH867" s="3" t="str">
        <f>AG867</f>
        <v>Paper</v>
      </c>
      <c r="AI867" s="3" t="str">
        <f>AH867</f>
        <v>Paper</v>
      </c>
    </row>
    <row r="868" hidden="1" outlineLevel="1">
      <c r="A868" s="62" t="inlineStr">
        <is>
          <t>rkn</t>
        </is>
      </c>
      <c r="B868" s="3" t="inlineStr">
        <is>
          <t>r13</t>
        </is>
      </c>
      <c r="C868" s="3" t="inlineStr"/>
      <c r="D868" s="3" t="n">
        <v>13</v>
      </c>
      <c r="E868" s="3" t="n"/>
      <c r="H868" s="3" t="inlineStr">
        <is>
          <t>Rank 13: sector</t>
        </is>
      </c>
      <c r="I868" s="3" t="inlineStr">
        <is>
          <t>name</t>
        </is>
      </c>
      <c r="J868" s="133"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7"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33"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7" t="str">
        <f>IF(X$5=K$5,SUM(Y869:AI869)-SUM(L869:V869),"")</f>
        <v/>
      </c>
      <c r="X869" s="9" t="str">
        <f>LOWER(CtryCode)&amp;".distn."&amp;$A869&amp;IF($B869="","","."&amp;$B869)&amp;IF($C869="","",".dec."&amp;$C869)&amp;"."&amp;X$5</f>
        <v>egy.distn.rkn.r14.2</v>
      </c>
      <c r="Y869" s="10" t="str">
        <f>INDEX(DSecName,MATCH($D869,Y$770:Y$833,0))</f>
        <v>Electrical equipment</v>
      </c>
      <c r="Z869" s="3" t="str">
        <f>Y869</f>
        <v>Electrical equipment</v>
      </c>
      <c r="AA869" s="3" t="str">
        <f>Z869</f>
        <v>Electrical equipment</v>
      </c>
      <c r="AB869" s="3" t="str">
        <f>AA869</f>
        <v>Electrical equipment</v>
      </c>
      <c r="AC869" s="3" t="str">
        <f>AB869</f>
        <v>Electrical equipment</v>
      </c>
      <c r="AD869" s="3" t="str">
        <f>AC869</f>
        <v>Electrical equipment</v>
      </c>
      <c r="AE869" s="3" t="str">
        <f>AD869</f>
        <v>Electrical equipment</v>
      </c>
      <c r="AF869" s="3" t="str">
        <f>AE869</f>
        <v>Electrical equipment</v>
      </c>
      <c r="AG869" s="3" t="str">
        <f>AF869</f>
        <v>Electrical equipment</v>
      </c>
      <c r="AH869" s="3" t="str">
        <f>AG869</f>
        <v>Electrical equipment</v>
      </c>
      <c r="AI869" s="3" t="str">
        <f>AH869</f>
        <v>Electrical equipment</v>
      </c>
    </row>
    <row r="870" hidden="1" outlineLevel="1">
      <c r="A870" s="62" t="inlineStr">
        <is>
          <t>rkn</t>
        </is>
      </c>
      <c r="B870" s="3" t="inlineStr">
        <is>
          <t>r15</t>
        </is>
      </c>
      <c r="C870" s="3" t="inlineStr"/>
      <c r="D870" s="3" t="n">
        <v>15</v>
      </c>
      <c r="E870" s="3" t="n"/>
      <c r="H870" s="3" t="inlineStr">
        <is>
          <t>Rank 15: sector</t>
        </is>
      </c>
      <c r="I870" s="3" t="inlineStr">
        <is>
          <t>name</t>
        </is>
      </c>
      <c r="J870" s="133"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7" t="str">
        <f>IF(X$5=K$5,SUM(Y870:AI870)-SUM(L870:V870),"")</f>
        <v/>
      </c>
      <c r="X870" s="9" t="str">
        <f>LOWER(CtryCode)&amp;".distn."&amp;$A870&amp;IF($B870="","","."&amp;$B870)&amp;IF($C870="","",".dec."&amp;$C870)&amp;"."&amp;X$5</f>
        <v>egy.distn.rkn.r15.2</v>
      </c>
      <c r="Y870" s="10" t="str">
        <f>INDEX(DSecName,MATCH($D870,Y$770:Y$833,0))</f>
        <v>Machinery</v>
      </c>
      <c r="Z870" s="3" t="str">
        <f>Y870</f>
        <v>Machinery</v>
      </c>
      <c r="AA870" s="3" t="str">
        <f>Z870</f>
        <v>Machinery</v>
      </c>
      <c r="AB870" s="3" t="str">
        <f>AA870</f>
        <v>Machinery</v>
      </c>
      <c r="AC870" s="3" t="str">
        <f>AB870</f>
        <v>Machinery</v>
      </c>
      <c r="AD870" s="3" t="str">
        <f>AC870</f>
        <v>Machinery</v>
      </c>
      <c r="AE870" s="3" t="str">
        <f>AD870</f>
        <v>Machinery</v>
      </c>
      <c r="AF870" s="3" t="str">
        <f>AE870</f>
        <v>Machinery</v>
      </c>
      <c r="AG870" s="3" t="str">
        <f>AF870</f>
        <v>Machinery</v>
      </c>
      <c r="AH870" s="3" t="str">
        <f>AG870</f>
        <v>Machinery</v>
      </c>
      <c r="AI870" s="3" t="str">
        <f>AH870</f>
        <v>Machinery</v>
      </c>
    </row>
    <row r="871" hidden="1" outlineLevel="1">
      <c r="A871" s="62" t="inlineStr">
        <is>
          <t>rkn</t>
        </is>
      </c>
      <c r="B871" s="3" t="inlineStr">
        <is>
          <t>r16</t>
        </is>
      </c>
      <c r="C871" s="3" t="inlineStr"/>
      <c r="D871" s="3" t="n">
        <v>16</v>
      </c>
      <c r="E871" s="3" t="n"/>
      <c r="H871" s="3" t="inlineStr">
        <is>
          <t>Rank 16: sector</t>
        </is>
      </c>
      <c r="I871" s="3" t="inlineStr">
        <is>
          <t>name</t>
        </is>
      </c>
      <c r="J871" s="133"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7" t="str">
        <f>IF(X$5=K$5,SUM(Y871:AI871)-SUM(L871:V871),"")</f>
        <v/>
      </c>
      <c r="X871" s="9" t="str">
        <f>LOWER(CtryCode)&amp;".distn."&amp;$A871&amp;IF($B871="","","."&amp;$B871)&amp;IF($C871="","",".dec."&amp;$C871)&amp;"."&amp;X$5</f>
        <v>egy.distn.rkn.r16.2</v>
      </c>
      <c r="Y871" s="10" t="str">
        <f>INDEX(DSecName,MATCH($D871,Y$770:Y$833,0))</f>
        <v>Pharmaceuticals</v>
      </c>
      <c r="Z871" s="3" t="str">
        <f>Y871</f>
        <v>Pharmaceuticals</v>
      </c>
      <c r="AA871" s="3" t="str">
        <f>Z871</f>
        <v>Pharmaceuticals</v>
      </c>
      <c r="AB871" s="3" t="str">
        <f>AA871</f>
        <v>Pharmaceuticals</v>
      </c>
      <c r="AC871" s="3" t="str">
        <f>AB871</f>
        <v>Pharmaceuticals</v>
      </c>
      <c r="AD871" s="3" t="str">
        <f>AC871</f>
        <v>Pharmaceuticals</v>
      </c>
      <c r="AE871" s="3" t="str">
        <f>AD871</f>
        <v>Pharmaceuticals</v>
      </c>
      <c r="AF871" s="3" t="str">
        <f>AE871</f>
        <v>Pharmaceuticals</v>
      </c>
      <c r="AG871" s="3" t="str">
        <f>AF871</f>
        <v>Pharmaceuticals</v>
      </c>
      <c r="AH871" s="3" t="str">
        <f>AG871</f>
        <v>Pharmaceuticals</v>
      </c>
      <c r="AI871" s="3" t="str">
        <f>AH871</f>
        <v>Pharmaceuticals</v>
      </c>
    </row>
    <row r="872" hidden="1" outlineLevel="1">
      <c r="A872" s="62" t="inlineStr">
        <is>
          <t>rkn</t>
        </is>
      </c>
      <c r="B872" s="3" t="inlineStr">
        <is>
          <t>r17</t>
        </is>
      </c>
      <c r="C872" s="3" t="inlineStr"/>
      <c r="D872" s="3" t="n">
        <v>17</v>
      </c>
      <c r="E872" s="3" t="n"/>
      <c r="H872" s="3" t="inlineStr">
        <is>
          <t>Rank 17: sector</t>
        </is>
      </c>
      <c r="I872" s="3" t="inlineStr">
        <is>
          <t>name</t>
        </is>
      </c>
      <c r="J872" s="133"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7" t="str">
        <f>IF(X$5=K$5,SUM(Y872:AI872)-SUM(L872:V872),"")</f>
        <v/>
      </c>
      <c r="X872" s="9" t="str">
        <f>LOWER(CtryCode)&amp;".distn."&amp;$A872&amp;IF($B872="","","."&amp;$B872)&amp;IF($C872="","",".dec."&amp;$C872)&amp;"."&amp;X$5</f>
        <v>egy.distn.rkn.r17.2</v>
      </c>
      <c r="Y872" s="10" t="str">
        <f>INDEX(DSecName,MATCH($D872,Y$770:Y$833,0))</f>
        <v>Wool</v>
      </c>
      <c r="Z872" s="3" t="str">
        <f>Y872</f>
        <v>Wool</v>
      </c>
      <c r="AA872" s="3" t="str">
        <f>Z872</f>
        <v>Wool</v>
      </c>
      <c r="AB872" s="3" t="str">
        <f>AA872</f>
        <v>Wool</v>
      </c>
      <c r="AC872" s="3" t="str">
        <f>AB872</f>
        <v>Wool</v>
      </c>
      <c r="AD872" s="3" t="str">
        <f>AC872</f>
        <v>Wool</v>
      </c>
      <c r="AE872" s="3" t="str">
        <f>AD872</f>
        <v>Wool</v>
      </c>
      <c r="AF872" s="3" t="str">
        <f>AE872</f>
        <v>Wool</v>
      </c>
      <c r="AG872" s="3" t="str">
        <f>AF872</f>
        <v>Wool</v>
      </c>
      <c r="AH872" s="3" t="str">
        <f>AG872</f>
        <v>Wool</v>
      </c>
      <c r="AI872" s="3" t="str">
        <f>AH872</f>
        <v>Wool</v>
      </c>
    </row>
    <row r="873" hidden="1" outlineLevel="1">
      <c r="A873" s="62" t="inlineStr">
        <is>
          <t>rkn</t>
        </is>
      </c>
      <c r="B873" s="3" t="inlineStr">
        <is>
          <t>r18</t>
        </is>
      </c>
      <c r="C873" s="3" t="inlineStr"/>
      <c r="D873" s="3" t="n">
        <v>18</v>
      </c>
      <c r="E873" s="3" t="n"/>
      <c r="H873" s="3" t="inlineStr">
        <is>
          <t>Rank 18: sector</t>
        </is>
      </c>
      <c r="I873" s="3" t="inlineStr">
        <is>
          <t>name</t>
        </is>
      </c>
      <c r="J873" s="133"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7" t="str">
        <f>IF(X$5=K$5,SUM(Y873:AI873)-SUM(L873:V873),"")</f>
        <v/>
      </c>
      <c r="X873" s="9" t="str">
        <f>LOWER(CtryCode)&amp;".distn."&amp;$A873&amp;IF($B873="","","."&amp;$B873)&amp;IF($C873="","",".dec."&amp;$C873)&amp;"."&amp;X$5</f>
        <v>egy.distn.rkn.r18.2</v>
      </c>
      <c r="Y873" s="10" t="str">
        <f>INDEX(DSecName,MATCH($D873,Y$770:Y$833,0))</f>
        <v>Computer equipment</v>
      </c>
      <c r="Z873" s="3" t="str">
        <f>Y873</f>
        <v>Computer equipment</v>
      </c>
      <c r="AA873" s="3" t="str">
        <f>Z873</f>
        <v>Computer equipment</v>
      </c>
      <c r="AB873" s="3" t="str">
        <f>AA873</f>
        <v>Computer equipment</v>
      </c>
      <c r="AC873" s="3" t="str">
        <f>AB873</f>
        <v>Computer equipment</v>
      </c>
      <c r="AD873" s="3" t="str">
        <f>AC873</f>
        <v>Computer equipment</v>
      </c>
      <c r="AE873" s="3" t="str">
        <f>AD873</f>
        <v>Computer equipment</v>
      </c>
      <c r="AF873" s="3" t="str">
        <f>AE873</f>
        <v>Computer equipment</v>
      </c>
      <c r="AG873" s="3" t="str">
        <f>AF873</f>
        <v>Computer equipment</v>
      </c>
      <c r="AH873" s="3" t="str">
        <f>AG873</f>
        <v>Computer equipment</v>
      </c>
      <c r="AI873" s="3" t="str">
        <f>AH873</f>
        <v>Computer equipment</v>
      </c>
    </row>
    <row r="874" hidden="1" outlineLevel="1">
      <c r="A874" s="62" t="inlineStr">
        <is>
          <t>rkn</t>
        </is>
      </c>
      <c r="B874" s="3" t="inlineStr">
        <is>
          <t>r19</t>
        </is>
      </c>
      <c r="C874" s="3" t="inlineStr"/>
      <c r="D874" s="3" t="n">
        <v>19</v>
      </c>
      <c r="E874" s="3" t="n"/>
      <c r="H874" s="3" t="inlineStr">
        <is>
          <t>Rank 19: sector</t>
        </is>
      </c>
      <c r="I874" s="3" t="inlineStr">
        <is>
          <t>name</t>
        </is>
      </c>
      <c r="J874" s="133"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7" t="str">
        <f>IF(X$5=K$5,SUM(Y874:AI874)-SUM(L874:V874),"")</f>
        <v/>
      </c>
      <c r="X874" s="9" t="str">
        <f>LOWER(CtryCode)&amp;".distn."&amp;$A874&amp;IF($B874="","","."&amp;$B874)&amp;IF($C874="","",".dec."&amp;$C874)&amp;"."&amp;X$5</f>
        <v>egy.distn.rkn.r19.2</v>
      </c>
      <c r="Y874" s="10" t="str">
        <f>INDEX(DSecName,MATCH($D874,Y$770:Y$833,0))</f>
        <v>Non-metallic minerals</v>
      </c>
      <c r="Z874" s="3" t="str">
        <f>Y874</f>
        <v>Non-metallic minerals</v>
      </c>
      <c r="AA874" s="3" t="str">
        <f>Z874</f>
        <v>Non-metallic minerals</v>
      </c>
      <c r="AB874" s="3" t="str">
        <f>AA874</f>
        <v>Non-metallic minerals</v>
      </c>
      <c r="AC874" s="3" t="str">
        <f>AB874</f>
        <v>Non-metallic minerals</v>
      </c>
      <c r="AD874" s="3" t="str">
        <f>AC874</f>
        <v>Non-metallic minerals</v>
      </c>
      <c r="AE874" s="3" t="str">
        <f>AD874</f>
        <v>Non-metallic minerals</v>
      </c>
      <c r="AF874" s="3" t="str">
        <f>AE874</f>
        <v>Non-metallic minerals</v>
      </c>
      <c r="AG874" s="3" t="str">
        <f>AF874</f>
        <v>Non-metallic minerals</v>
      </c>
      <c r="AH874" s="3" t="str">
        <f>AG874</f>
        <v>Non-metallic minerals</v>
      </c>
      <c r="AI874" s="3" t="str">
        <f>AH874</f>
        <v>Non-metallic minerals</v>
      </c>
    </row>
    <row r="875" hidden="1" outlineLevel="1">
      <c r="A875" s="62" t="inlineStr">
        <is>
          <t>rkn</t>
        </is>
      </c>
      <c r="B875" s="3" t="inlineStr">
        <is>
          <t>r20</t>
        </is>
      </c>
      <c r="C875" s="3" t="inlineStr"/>
      <c r="D875" s="3" t="n">
        <v>20</v>
      </c>
      <c r="E875" s="3" t="n"/>
      <c r="H875" s="3" t="inlineStr">
        <is>
          <t>Rank 20: sector</t>
        </is>
      </c>
      <c r="I875" s="3" t="inlineStr">
        <is>
          <t>name</t>
        </is>
      </c>
      <c r="J875" s="133"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7" t="str">
        <f>IF(X$5=K$5,SUM(Y875:AI875)-SUM(L875:V875),"")</f>
        <v/>
      </c>
      <c r="X875" s="9" t="str">
        <f>LOWER(CtryCode)&amp;".distn."&amp;$A875&amp;IF($B875="","","."&amp;$B875)&amp;IF($C875="","",".dec."&amp;$C875)&amp;"."&amp;X$5</f>
        <v>egy.distn.rkn.r20.2</v>
      </c>
      <c r="Y875" s="10" t="str">
        <f>INDEX(DSecName,MATCH($D875,Y$770:Y$833,0))</f>
        <v>Motor vehicles</v>
      </c>
      <c r="Z875" s="3" t="str">
        <f>Y875</f>
        <v>Motor vehicles</v>
      </c>
      <c r="AA875" s="3" t="str">
        <f>Z875</f>
        <v>Motor vehicles</v>
      </c>
      <c r="AB875" s="3" t="str">
        <f>AA875</f>
        <v>Motor vehicles</v>
      </c>
      <c r="AC875" s="3" t="str">
        <f>AB875</f>
        <v>Motor vehicles</v>
      </c>
      <c r="AD875" s="3" t="str">
        <f>AC875</f>
        <v>Motor vehicles</v>
      </c>
      <c r="AE875" s="3" t="str">
        <f>AD875</f>
        <v>Motor vehicles</v>
      </c>
      <c r="AF875" s="3" t="str">
        <f>AE875</f>
        <v>Motor vehicles</v>
      </c>
      <c r="AG875" s="3" t="str">
        <f>AF875</f>
        <v>Motor vehicles</v>
      </c>
      <c r="AH875" s="3" t="str">
        <f>AG875</f>
        <v>Motor vehicles</v>
      </c>
      <c r="AI875" s="3" t="str">
        <f>AH875</f>
        <v>Motor vehicles</v>
      </c>
    </row>
    <row r="876" hidden="1" outlineLevel="1">
      <c r="A876" s="62" t="inlineStr">
        <is>
          <t>rkp</t>
        </is>
      </c>
      <c r="B876" s="3" t="inlineStr">
        <is>
          <t>r1</t>
        </is>
      </c>
      <c r="C876" s="3" t="inlineStr"/>
      <c r="D876" s="3" t="n">
        <v>1</v>
      </c>
      <c r="E876" s="3" t="n"/>
      <c r="H876" s="3" t="inlineStr">
        <is>
          <t>Rank 1: output-price change</t>
        </is>
      </c>
      <c r="I876" s="3" t="inlineStr">
        <is>
          <t>fraction</t>
        </is>
      </c>
      <c r="J876" s="133"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7" t="str">
        <f>IF(X$5=K$5,SUM(Y876:AI876)-SUM(L876:V876),"")</f>
        <v/>
      </c>
      <c r="X876" s="9" t="str">
        <f>LOWER(CtryCode)&amp;".distn."&amp;$A876&amp;IF($B876="","","."&amp;$B876)&amp;IF($C876="","",".dec."&amp;$C876)&amp;"."&amp;X$5</f>
        <v>egy.distn.rkp.r1.2</v>
      </c>
      <c r="Y876" s="37">
        <f>INDEX(Y$704:Y$767,MATCH($D876,Y$770:Y$833,0))</f>
        <v>0.007945517124091769</v>
      </c>
      <c r="Z876" s="38">
        <f>Y876</f>
        <v>0.007945517124091769</v>
      </c>
      <c r="AA876" s="38">
        <f>Z876</f>
        <v>0.007945517124091769</v>
      </c>
      <c r="AB876" s="38">
        <f>AA876</f>
        <v>0.007945517124091769</v>
      </c>
      <c r="AC876" s="38">
        <f>AB876</f>
        <v>0.007945517124091769</v>
      </c>
      <c r="AD876" s="38">
        <f>AC876</f>
        <v>0.007945517124091769</v>
      </c>
      <c r="AE876" s="38">
        <f>AD876</f>
        <v>0.007945517124091769</v>
      </c>
      <c r="AF876" s="38">
        <f>AE876</f>
        <v>0.007945517124091769</v>
      </c>
      <c r="AG876" s="38">
        <f>AF876</f>
        <v>0.007945517124091769</v>
      </c>
      <c r="AH876" s="38">
        <f>AG876</f>
        <v>0.007945517124091769</v>
      </c>
      <c r="AI876" s="38">
        <f>AH876</f>
        <v>0.007945517124091769</v>
      </c>
    </row>
    <row r="877" hidden="1" outlineLevel="1">
      <c r="A877" s="62" t="inlineStr">
        <is>
          <t>rkp</t>
        </is>
      </c>
      <c r="B877" s="3" t="inlineStr">
        <is>
          <t>r2</t>
        </is>
      </c>
      <c r="C877" s="3" t="inlineStr"/>
      <c r="D877" s="3" t="n">
        <v>2</v>
      </c>
      <c r="E877" s="3" t="n"/>
      <c r="H877" s="3" t="inlineStr">
        <is>
          <t>Rank 2: output-price change</t>
        </is>
      </c>
      <c r="I877" s="3" t="inlineStr">
        <is>
          <t>fraction</t>
        </is>
      </c>
      <c r="J877" s="133"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7" t="str">
        <f>IF(X$5=K$5,SUM(Y877:AI877)-SUM(L877:V877),"")</f>
        <v/>
      </c>
      <c r="X877" s="9" t="str">
        <f>LOWER(CtryCode)&amp;".distn."&amp;$A877&amp;IF($B877="","","."&amp;$B877)&amp;IF($C877="","",".dec."&amp;$C877)&amp;"."&amp;X$5</f>
        <v>egy.distn.rkp.r2.2</v>
      </c>
      <c r="Y877" s="37">
        <f>INDEX(Y$704:Y$767,MATCH($D877,Y$770:Y$833,0))</f>
        <v>0.007208253614210871</v>
      </c>
      <c r="Z877" s="38">
        <f>Y877</f>
        <v>0.007208253614210871</v>
      </c>
      <c r="AA877" s="38">
        <f>Z877</f>
        <v>0.007208253614210871</v>
      </c>
      <c r="AB877" s="38">
        <f>AA877</f>
        <v>0.007208253614210871</v>
      </c>
      <c r="AC877" s="38">
        <f>AB877</f>
        <v>0.007208253614210871</v>
      </c>
      <c r="AD877" s="38">
        <f>AC877</f>
        <v>0.007208253614210871</v>
      </c>
      <c r="AE877" s="38">
        <f>AD877</f>
        <v>0.007208253614210871</v>
      </c>
      <c r="AF877" s="38">
        <f>AE877</f>
        <v>0.007208253614210871</v>
      </c>
      <c r="AG877" s="38">
        <f>AF877</f>
        <v>0.007208253614210871</v>
      </c>
      <c r="AH877" s="38">
        <f>AG877</f>
        <v>0.007208253614210871</v>
      </c>
      <c r="AI877" s="38">
        <f>AH877</f>
        <v>0.007208253614210871</v>
      </c>
    </row>
    <row r="878" hidden="1" outlineLevel="1">
      <c r="A878" s="62" t="inlineStr">
        <is>
          <t>rkp</t>
        </is>
      </c>
      <c r="B878" s="3" t="inlineStr">
        <is>
          <t>r3</t>
        </is>
      </c>
      <c r="C878" s="3" t="inlineStr"/>
      <c r="D878" s="3" t="n">
        <v>3</v>
      </c>
      <c r="E878" s="3" t="n"/>
      <c r="H878" s="3" t="inlineStr">
        <is>
          <t>Rank 3: output-price change</t>
        </is>
      </c>
      <c r="I878" s="3" t="inlineStr">
        <is>
          <t>fraction</t>
        </is>
      </c>
      <c r="J878" s="133"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7" t="str">
        <f>IF(X$5=K$5,SUM(Y878:AI878)-SUM(L878:V878),"")</f>
        <v/>
      </c>
      <c r="X878" s="9" t="str">
        <f>LOWER(CtryCode)&amp;".distn."&amp;$A878&amp;IF($B878="","","."&amp;$B878)&amp;IF($C878="","",".dec."&amp;$C878)&amp;"."&amp;X$5</f>
        <v>egy.distn.rkp.r3.2</v>
      </c>
      <c r="Y878" s="37">
        <f>INDEX(Y$704:Y$767,MATCH($D878,Y$770:Y$833,0))</f>
        <v>0.0069593706366506474</v>
      </c>
      <c r="Z878" s="38">
        <f>Y878</f>
        <v>0.0069593706366506474</v>
      </c>
      <c r="AA878" s="38">
        <f>Z878</f>
        <v>0.0069593706366506474</v>
      </c>
      <c r="AB878" s="38">
        <f>AA878</f>
        <v>0.0069593706366506474</v>
      </c>
      <c r="AC878" s="38">
        <f>AB878</f>
        <v>0.0069593706366506474</v>
      </c>
      <c r="AD878" s="38">
        <f>AC878</f>
        <v>0.0069593706366506474</v>
      </c>
      <c r="AE878" s="38">
        <f>AD878</f>
        <v>0.0069593706366506474</v>
      </c>
      <c r="AF878" s="38">
        <f>AE878</f>
        <v>0.0069593706366506474</v>
      </c>
      <c r="AG878" s="38">
        <f>AF878</f>
        <v>0.0069593706366506474</v>
      </c>
      <c r="AH878" s="38">
        <f>AG878</f>
        <v>0.0069593706366506474</v>
      </c>
      <c r="AI878" s="38">
        <f>AH878</f>
        <v>0.0069593706366506474</v>
      </c>
    </row>
    <row r="879" hidden="1" outlineLevel="1">
      <c r="A879" s="62" t="inlineStr">
        <is>
          <t>rkp</t>
        </is>
      </c>
      <c r="B879" s="3" t="inlineStr">
        <is>
          <t>r4</t>
        </is>
      </c>
      <c r="C879" s="3" t="inlineStr"/>
      <c r="D879" s="3" t="n">
        <v>4</v>
      </c>
      <c r="E879" s="3" t="n"/>
      <c r="H879" s="3" t="inlineStr">
        <is>
          <t>Rank 4: output-price change</t>
        </is>
      </c>
      <c r="I879" s="3" t="inlineStr">
        <is>
          <t>fraction</t>
        </is>
      </c>
      <c r="J879" s="133"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7" t="str">
        <f>IF(X$5=K$5,SUM(Y879:AI879)-SUM(L879:V879),"")</f>
        <v/>
      </c>
      <c r="X879" s="9" t="str">
        <f>LOWER(CtryCode)&amp;".distn."&amp;$A879&amp;IF($B879="","","."&amp;$B879)&amp;IF($C879="","",".dec."&amp;$C879)&amp;"."&amp;X$5</f>
        <v>egy.distn.rkp.r4.2</v>
      </c>
      <c r="Y879" s="37">
        <f>INDEX(Y$704:Y$767,MATCH($D879,Y$770:Y$833,0))</f>
        <v>0.00634222332438569</v>
      </c>
      <c r="Z879" s="38">
        <f>Y879</f>
        <v>0.00634222332438569</v>
      </c>
      <c r="AA879" s="38">
        <f>Z879</f>
        <v>0.00634222332438569</v>
      </c>
      <c r="AB879" s="38">
        <f>AA879</f>
        <v>0.00634222332438569</v>
      </c>
      <c r="AC879" s="38">
        <f>AB879</f>
        <v>0.00634222332438569</v>
      </c>
      <c r="AD879" s="38">
        <f>AC879</f>
        <v>0.00634222332438569</v>
      </c>
      <c r="AE879" s="38">
        <f>AD879</f>
        <v>0.00634222332438569</v>
      </c>
      <c r="AF879" s="38">
        <f>AE879</f>
        <v>0.00634222332438569</v>
      </c>
      <c r="AG879" s="38">
        <f>AF879</f>
        <v>0.00634222332438569</v>
      </c>
      <c r="AH879" s="38">
        <f>AG879</f>
        <v>0.00634222332438569</v>
      </c>
      <c r="AI879" s="38">
        <f>AH879</f>
        <v>0.00634222332438569</v>
      </c>
    </row>
    <row r="880" hidden="1" outlineLevel="1">
      <c r="A880" s="62" t="inlineStr">
        <is>
          <t>rkp</t>
        </is>
      </c>
      <c r="B880" s="3" t="inlineStr">
        <is>
          <t>r5</t>
        </is>
      </c>
      <c r="C880" s="3" t="inlineStr"/>
      <c r="D880" s="3" t="n">
        <v>5</v>
      </c>
      <c r="E880" s="3" t="n"/>
      <c r="H880" s="3" t="inlineStr">
        <is>
          <t>Rank 5: output-price change</t>
        </is>
      </c>
      <c r="I880" s="3" t="inlineStr">
        <is>
          <t>fraction</t>
        </is>
      </c>
      <c r="J880" s="133"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7" t="str">
        <f>IF(X$5=K$5,SUM(Y880:AI880)-SUM(L880:V880),"")</f>
        <v/>
      </c>
      <c r="X880" s="9" t="str">
        <f>LOWER(CtryCode)&amp;".distn."&amp;$A880&amp;IF($B880="","","."&amp;$B880)&amp;IF($C880="","",".dec."&amp;$C880)&amp;"."&amp;X$5</f>
        <v>egy.distn.rkp.r5.2</v>
      </c>
      <c r="Y880" s="37">
        <f>INDEX(Y$704:Y$767,MATCH($D880,Y$770:Y$833,0))</f>
        <v>0.00595874522493562</v>
      </c>
      <c r="Z880" s="38">
        <f>Y880</f>
        <v>0.00595874522493562</v>
      </c>
      <c r="AA880" s="38">
        <f>Z880</f>
        <v>0.00595874522493562</v>
      </c>
      <c r="AB880" s="38">
        <f>AA880</f>
        <v>0.00595874522493562</v>
      </c>
      <c r="AC880" s="38">
        <f>AB880</f>
        <v>0.00595874522493562</v>
      </c>
      <c r="AD880" s="38">
        <f>AC880</f>
        <v>0.00595874522493562</v>
      </c>
      <c r="AE880" s="38">
        <f>AD880</f>
        <v>0.00595874522493562</v>
      </c>
      <c r="AF880" s="38">
        <f>AE880</f>
        <v>0.00595874522493562</v>
      </c>
      <c r="AG880" s="38">
        <f>AF880</f>
        <v>0.00595874522493562</v>
      </c>
      <c r="AH880" s="38">
        <f>AG880</f>
        <v>0.00595874522493562</v>
      </c>
      <c r="AI880" s="38">
        <f>AH880</f>
        <v>0.00595874522493562</v>
      </c>
    </row>
    <row r="881" hidden="1" outlineLevel="1">
      <c r="A881" s="62" t="inlineStr">
        <is>
          <t>rkp</t>
        </is>
      </c>
      <c r="B881" s="3" t="inlineStr">
        <is>
          <t>r6</t>
        </is>
      </c>
      <c r="C881" s="3" t="inlineStr"/>
      <c r="D881" s="3" t="n">
        <v>6</v>
      </c>
      <c r="E881" s="3" t="n"/>
      <c r="H881" s="3" t="inlineStr">
        <is>
          <t>Rank 6: output-price change</t>
        </is>
      </c>
      <c r="I881" s="3" t="inlineStr">
        <is>
          <t>fraction</t>
        </is>
      </c>
      <c r="J881" s="133"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7" t="str">
        <f>IF(X$5=K$5,SUM(Y881:AI881)-SUM(L881:V881),"")</f>
        <v/>
      </c>
      <c r="X881" s="9" t="str">
        <f>LOWER(CtryCode)&amp;".distn."&amp;$A881&amp;IF($B881="","","."&amp;$B881)&amp;IF($C881="","",".dec."&amp;$C881)&amp;"."&amp;X$5</f>
        <v>egy.distn.rkp.r6.2</v>
      </c>
      <c r="Y881" s="37">
        <f>INDEX(Y$704:Y$767,MATCH($D881,Y$770:Y$833,0))</f>
        <v>0.005881932408079233</v>
      </c>
      <c r="Z881" s="38">
        <f>Y881</f>
        <v>0.005881932408079233</v>
      </c>
      <c r="AA881" s="38">
        <f>Z881</f>
        <v>0.005881932408079233</v>
      </c>
      <c r="AB881" s="38">
        <f>AA881</f>
        <v>0.005881932408079233</v>
      </c>
      <c r="AC881" s="38">
        <f>AB881</f>
        <v>0.005881932408079233</v>
      </c>
      <c r="AD881" s="38">
        <f>AC881</f>
        <v>0.005881932408079233</v>
      </c>
      <c r="AE881" s="38">
        <f>AD881</f>
        <v>0.005881932408079233</v>
      </c>
      <c r="AF881" s="38">
        <f>AE881</f>
        <v>0.005881932408079233</v>
      </c>
      <c r="AG881" s="38">
        <f>AF881</f>
        <v>0.005881932408079233</v>
      </c>
      <c r="AH881" s="38">
        <f>AG881</f>
        <v>0.005881932408079233</v>
      </c>
      <c r="AI881" s="38">
        <f>AH881</f>
        <v>0.005881932408079233</v>
      </c>
    </row>
    <row r="882" hidden="1" outlineLevel="1">
      <c r="A882" s="62" t="inlineStr">
        <is>
          <t>rkp</t>
        </is>
      </c>
      <c r="B882" s="3" t="inlineStr">
        <is>
          <t>r7</t>
        </is>
      </c>
      <c r="C882" s="3" t="inlineStr"/>
      <c r="D882" s="3" t="n">
        <v>7</v>
      </c>
      <c r="E882" s="3" t="n"/>
      <c r="H882" s="3" t="inlineStr">
        <is>
          <t>Rank 7: output-price change</t>
        </is>
      </c>
      <c r="I882" s="3" t="inlineStr">
        <is>
          <t>fraction</t>
        </is>
      </c>
      <c r="J882" s="133"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7" t="str">
        <f>IF(X$5=K$5,SUM(Y882:AI882)-SUM(L882:V882),"")</f>
        <v/>
      </c>
      <c r="X882" s="9" t="str">
        <f>LOWER(CtryCode)&amp;".distn."&amp;$A882&amp;IF($B882="","","."&amp;$B882)&amp;IF($C882="","",".dec."&amp;$C882)&amp;"."&amp;X$5</f>
        <v>egy.distn.rkp.r7.2</v>
      </c>
      <c r="Y882" s="37">
        <f>INDEX(Y$704:Y$767,MATCH($D882,Y$770:Y$833,0))</f>
        <v>0.0057726575764151305</v>
      </c>
      <c r="Z882" s="38">
        <f>Y882</f>
        <v>0.0057726575764151305</v>
      </c>
      <c r="AA882" s="38">
        <f>Z882</f>
        <v>0.0057726575764151305</v>
      </c>
      <c r="AB882" s="38">
        <f>AA882</f>
        <v>0.0057726575764151305</v>
      </c>
      <c r="AC882" s="38">
        <f>AB882</f>
        <v>0.0057726575764151305</v>
      </c>
      <c r="AD882" s="38">
        <f>AC882</f>
        <v>0.0057726575764151305</v>
      </c>
      <c r="AE882" s="38">
        <f>AD882</f>
        <v>0.0057726575764151305</v>
      </c>
      <c r="AF882" s="38">
        <f>AE882</f>
        <v>0.0057726575764151305</v>
      </c>
      <c r="AG882" s="38">
        <f>AF882</f>
        <v>0.0057726575764151305</v>
      </c>
      <c r="AH882" s="38">
        <f>AG882</f>
        <v>0.0057726575764151305</v>
      </c>
      <c r="AI882" s="38">
        <f>AH882</f>
        <v>0.0057726575764151305</v>
      </c>
    </row>
    <row r="883" hidden="1" outlineLevel="1">
      <c r="A883" s="62" t="inlineStr">
        <is>
          <t>rkp</t>
        </is>
      </c>
      <c r="B883" s="3" t="inlineStr">
        <is>
          <t>r8</t>
        </is>
      </c>
      <c r="C883" s="3" t="inlineStr"/>
      <c r="D883" s="3" t="n">
        <v>8</v>
      </c>
      <c r="E883" s="3" t="n"/>
      <c r="H883" s="3" t="inlineStr">
        <is>
          <t>Rank 8: output-price change</t>
        </is>
      </c>
      <c r="I883" s="3" t="inlineStr">
        <is>
          <t>fraction</t>
        </is>
      </c>
      <c r="J883" s="133"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7" t="str">
        <f>IF(X$5=K$5,SUM(Y883:AI883)-SUM(L883:V883),"")</f>
        <v/>
      </c>
      <c r="X883" s="9" t="str">
        <f>LOWER(CtryCode)&amp;".distn."&amp;$A883&amp;IF($B883="","","."&amp;$B883)&amp;IF($C883="","",".dec."&amp;$C883)&amp;"."&amp;X$5</f>
        <v>egy.distn.rkp.r8.2</v>
      </c>
      <c r="Y883" s="37">
        <f>INDEX(Y$704:Y$767,MATCH($D883,Y$770:Y$833,0))</f>
        <v>0.004261037871751051</v>
      </c>
      <c r="Z883" s="38">
        <f>Y883</f>
        <v>0.004261037871751051</v>
      </c>
      <c r="AA883" s="38">
        <f>Z883</f>
        <v>0.004261037871751051</v>
      </c>
      <c r="AB883" s="38">
        <f>AA883</f>
        <v>0.004261037871751051</v>
      </c>
      <c r="AC883" s="38">
        <f>AB883</f>
        <v>0.004261037871751051</v>
      </c>
      <c r="AD883" s="38">
        <f>AC883</f>
        <v>0.004261037871751051</v>
      </c>
      <c r="AE883" s="38">
        <f>AD883</f>
        <v>0.004261037871751051</v>
      </c>
      <c r="AF883" s="38">
        <f>AE883</f>
        <v>0.004261037871751051</v>
      </c>
      <c r="AG883" s="38">
        <f>AF883</f>
        <v>0.004261037871751051</v>
      </c>
      <c r="AH883" s="38">
        <f>AG883</f>
        <v>0.004261037871751051</v>
      </c>
      <c r="AI883" s="38">
        <f>AH883</f>
        <v>0.004261037871751051</v>
      </c>
    </row>
    <row r="884" hidden="1" outlineLevel="1">
      <c r="A884" s="62" t="inlineStr">
        <is>
          <t>rkp</t>
        </is>
      </c>
      <c r="B884" s="3" t="inlineStr">
        <is>
          <t>r9</t>
        </is>
      </c>
      <c r="C884" s="3" t="inlineStr"/>
      <c r="D884" s="3" t="n">
        <v>9</v>
      </c>
      <c r="E884" s="3" t="n"/>
      <c r="H884" s="3" t="inlineStr">
        <is>
          <t>Rank 9: output-price change</t>
        </is>
      </c>
      <c r="I884" s="3" t="inlineStr">
        <is>
          <t>fraction</t>
        </is>
      </c>
      <c r="J884" s="133"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7" t="str">
        <f>IF(X$5=K$5,SUM(Y884:AI884)-SUM(L884:V884),"")</f>
        <v/>
      </c>
      <c r="X884" s="9" t="str">
        <f>LOWER(CtryCode)&amp;".distn."&amp;$A884&amp;IF($B884="","","."&amp;$B884)&amp;IF($C884="","",".dec."&amp;$C884)&amp;"."&amp;X$5</f>
        <v>egy.distn.rkp.r9.2</v>
      </c>
      <c r="Y884" s="37">
        <f>INDEX(Y$704:Y$767,MATCH($D884,Y$770:Y$833,0))</f>
        <v>0.0034111725793582225</v>
      </c>
      <c r="Z884" s="38">
        <f>Y884</f>
        <v>0.0034111725793582225</v>
      </c>
      <c r="AA884" s="38">
        <f>Z884</f>
        <v>0.0034111725793582225</v>
      </c>
      <c r="AB884" s="38">
        <f>AA884</f>
        <v>0.0034111725793582225</v>
      </c>
      <c r="AC884" s="38">
        <f>AB884</f>
        <v>0.0034111725793582225</v>
      </c>
      <c r="AD884" s="38">
        <f>AC884</f>
        <v>0.0034111725793582225</v>
      </c>
      <c r="AE884" s="38">
        <f>AD884</f>
        <v>0.0034111725793582225</v>
      </c>
      <c r="AF884" s="38">
        <f>AE884</f>
        <v>0.0034111725793582225</v>
      </c>
      <c r="AG884" s="38">
        <f>AF884</f>
        <v>0.0034111725793582225</v>
      </c>
      <c r="AH884" s="38">
        <f>AG884</f>
        <v>0.0034111725793582225</v>
      </c>
      <c r="AI884" s="38">
        <f>AH884</f>
        <v>0.0034111725793582225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33"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7" t="str">
        <f>IF(X$5=K$5,SUM(Y885:AI885)-SUM(L885:V885),"")</f>
        <v/>
      </c>
      <c r="X885" s="9" t="str">
        <f>LOWER(CtryCode)&amp;".distn."&amp;$A885&amp;IF($B885="","","."&amp;$B885)&amp;IF($C885="","",".dec."&amp;$C885)&amp;"."&amp;X$5</f>
        <v>egy.distn.rkp.r10.2</v>
      </c>
      <c r="Y885" s="37">
        <f>INDEX(Y$704:Y$767,MATCH($D885,Y$770:Y$833,0))</f>
        <v>0.0030774774418020844</v>
      </c>
      <c r="Z885" s="38">
        <f>Y885</f>
        <v>0.0030774774418020844</v>
      </c>
      <c r="AA885" s="38">
        <f>Z885</f>
        <v>0.0030774774418020844</v>
      </c>
      <c r="AB885" s="38">
        <f>AA885</f>
        <v>0.0030774774418020844</v>
      </c>
      <c r="AC885" s="38">
        <f>AB885</f>
        <v>0.0030774774418020844</v>
      </c>
      <c r="AD885" s="38">
        <f>AC885</f>
        <v>0.0030774774418020844</v>
      </c>
      <c r="AE885" s="38">
        <f>AD885</f>
        <v>0.0030774774418020844</v>
      </c>
      <c r="AF885" s="38">
        <f>AE885</f>
        <v>0.0030774774418020844</v>
      </c>
      <c r="AG885" s="38">
        <f>AF885</f>
        <v>0.0030774774418020844</v>
      </c>
      <c r="AH885" s="38">
        <f>AG885</f>
        <v>0.0030774774418020844</v>
      </c>
      <c r="AI885" s="38">
        <f>AH885</f>
        <v>0.0030774774418020844</v>
      </c>
    </row>
    <row r="886" hidden="1" outlineLevel="1">
      <c r="A886" s="62" t="inlineStr">
        <is>
          <t>rkp</t>
        </is>
      </c>
      <c r="B886" s="3" t="inlineStr">
        <is>
          <t>r11</t>
        </is>
      </c>
      <c r="C886" s="3" t="inlineStr"/>
      <c r="D886" s="3" t="n">
        <v>11</v>
      </c>
      <c r="E886" s="3" t="n"/>
      <c r="H886" s="3" t="inlineStr">
        <is>
          <t>Rank 11: output-price change</t>
        </is>
      </c>
      <c r="I886" s="3" t="inlineStr">
        <is>
          <t>fraction</t>
        </is>
      </c>
      <c r="J886" s="133"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7" t="str">
        <f>IF(X$5=K$5,SUM(Y886:AI886)-SUM(L886:V886),"")</f>
        <v/>
      </c>
      <c r="X886" s="9" t="str">
        <f>LOWER(CtryCode)&amp;".distn."&amp;$A886&amp;IF($B886="","","."&amp;$B886)&amp;IF($C886="","",".dec."&amp;$C886)&amp;"."&amp;X$5</f>
        <v>egy.distn.rkp.r11.2</v>
      </c>
      <c r="Y886" s="37">
        <f>INDEX(Y$704:Y$767,MATCH($D886,Y$770:Y$833,0))</f>
        <v>0.003064718775070867</v>
      </c>
      <c r="Z886" s="38">
        <f>Y886</f>
        <v>0.003064718775070867</v>
      </c>
      <c r="AA886" s="38">
        <f>Z886</f>
        <v>0.003064718775070867</v>
      </c>
      <c r="AB886" s="38">
        <f>AA886</f>
        <v>0.003064718775070867</v>
      </c>
      <c r="AC886" s="38">
        <f>AB886</f>
        <v>0.003064718775070867</v>
      </c>
      <c r="AD886" s="38">
        <f>AC886</f>
        <v>0.003064718775070867</v>
      </c>
      <c r="AE886" s="38">
        <f>AD886</f>
        <v>0.003064718775070867</v>
      </c>
      <c r="AF886" s="38">
        <f>AE886</f>
        <v>0.003064718775070867</v>
      </c>
      <c r="AG886" s="38">
        <f>AF886</f>
        <v>0.003064718775070867</v>
      </c>
      <c r="AH886" s="38">
        <f>AG886</f>
        <v>0.003064718775070867</v>
      </c>
      <c r="AI886" s="38">
        <f>AH886</f>
        <v>0.003064718775070867</v>
      </c>
    </row>
    <row r="887" hidden="1" outlineLevel="1">
      <c r="A887" s="62" t="inlineStr">
        <is>
          <t>rkp</t>
        </is>
      </c>
      <c r="B887" s="3" t="inlineStr">
        <is>
          <t>r12</t>
        </is>
      </c>
      <c r="C887" s="3" t="inlineStr"/>
      <c r="D887" s="3" t="n">
        <v>12</v>
      </c>
      <c r="E887" s="3" t="n"/>
      <c r="H887" s="3" t="inlineStr">
        <is>
          <t>Rank 12: output-price change</t>
        </is>
      </c>
      <c r="I887" s="3" t="inlineStr">
        <is>
          <t>fraction</t>
        </is>
      </c>
      <c r="J887" s="133"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7" t="str">
        <f>IF(X$5=K$5,SUM(Y887:AI887)-SUM(L887:V887),"")</f>
        <v/>
      </c>
      <c r="X887" s="9" t="str">
        <f>LOWER(CtryCode)&amp;".distn."&amp;$A887&amp;IF($B887="","","."&amp;$B887)&amp;IF($C887="","",".dec."&amp;$C887)&amp;"."&amp;X$5</f>
        <v>egy.distn.rkp.r12.2</v>
      </c>
      <c r="Y887" s="37">
        <f>INDEX(Y$704:Y$767,MATCH($D887,Y$770:Y$833,0))</f>
        <v>0.0028140413871442383</v>
      </c>
      <c r="Z887" s="38">
        <f>Y887</f>
        <v>0.0028140413871442383</v>
      </c>
      <c r="AA887" s="38">
        <f>Z887</f>
        <v>0.0028140413871442383</v>
      </c>
      <c r="AB887" s="38">
        <f>AA887</f>
        <v>0.0028140413871442383</v>
      </c>
      <c r="AC887" s="38">
        <f>AB887</f>
        <v>0.0028140413871442383</v>
      </c>
      <c r="AD887" s="38">
        <f>AC887</f>
        <v>0.0028140413871442383</v>
      </c>
      <c r="AE887" s="38">
        <f>AD887</f>
        <v>0.0028140413871442383</v>
      </c>
      <c r="AF887" s="38">
        <f>AE887</f>
        <v>0.0028140413871442383</v>
      </c>
      <c r="AG887" s="38">
        <f>AF887</f>
        <v>0.0028140413871442383</v>
      </c>
      <c r="AH887" s="38">
        <f>AG887</f>
        <v>0.0028140413871442383</v>
      </c>
      <c r="AI887" s="38">
        <f>AH887</f>
        <v>0.0028140413871442383</v>
      </c>
    </row>
    <row r="888" hidden="1" outlineLevel="1">
      <c r="A888" s="62" t="inlineStr">
        <is>
          <t>rkp</t>
        </is>
      </c>
      <c r="B888" s="3" t="inlineStr">
        <is>
          <t>r13</t>
        </is>
      </c>
      <c r="C888" s="3" t="inlineStr"/>
      <c r="D888" s="3" t="n">
        <v>13</v>
      </c>
      <c r="E888" s="3" t="n"/>
      <c r="H888" s="3" t="inlineStr">
        <is>
          <t>Rank 13: output-price change</t>
        </is>
      </c>
      <c r="I888" s="3" t="inlineStr">
        <is>
          <t>fraction</t>
        </is>
      </c>
      <c r="J888" s="133"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7" t="str">
        <f>IF(X$5=K$5,SUM(Y888:AI888)-SUM(L888:V888),"")</f>
        <v/>
      </c>
      <c r="X888" s="9" t="str">
        <f>LOWER(CtryCode)&amp;".distn."&amp;$A888&amp;IF($B888="","","."&amp;$B888)&amp;IF($C888="","",".dec."&amp;$C888)&amp;"."&amp;X$5</f>
        <v>egy.distn.rkp.r13.2</v>
      </c>
      <c r="Y888" s="37">
        <f>INDEX(Y$704:Y$767,MATCH($D888,Y$770:Y$833,0))</f>
        <v>0.0026715955572220976</v>
      </c>
      <c r="Z888" s="38">
        <f>Y888</f>
        <v>0.0026715955572220976</v>
      </c>
      <c r="AA888" s="38">
        <f>Z888</f>
        <v>0.0026715955572220976</v>
      </c>
      <c r="AB888" s="38">
        <f>AA888</f>
        <v>0.0026715955572220976</v>
      </c>
      <c r="AC888" s="38">
        <f>AB888</f>
        <v>0.0026715955572220976</v>
      </c>
      <c r="AD888" s="38">
        <f>AC888</f>
        <v>0.0026715955572220976</v>
      </c>
      <c r="AE888" s="38">
        <f>AD888</f>
        <v>0.0026715955572220976</v>
      </c>
      <c r="AF888" s="38">
        <f>AE888</f>
        <v>0.0026715955572220976</v>
      </c>
      <c r="AG888" s="38">
        <f>AF888</f>
        <v>0.0026715955572220976</v>
      </c>
      <c r="AH888" s="38">
        <f>AG888</f>
        <v>0.0026715955572220976</v>
      </c>
      <c r="AI888" s="38">
        <f>AH888</f>
        <v>0.0026715955572220976</v>
      </c>
    </row>
    <row r="889" hidden="1" outlineLevel="1">
      <c r="A889" s="62" t="inlineStr">
        <is>
          <t>rkp</t>
        </is>
      </c>
      <c r="B889" s="3" t="inlineStr">
        <is>
          <t>r14</t>
        </is>
      </c>
      <c r="C889" s="3" t="inlineStr"/>
      <c r="D889" s="3" t="n">
        <v>14</v>
      </c>
      <c r="E889" s="3" t="n"/>
      <c r="H889" s="3" t="inlineStr">
        <is>
          <t>Rank 14: output-price change</t>
        </is>
      </c>
      <c r="I889" s="3" t="inlineStr">
        <is>
          <t>fraction</t>
        </is>
      </c>
      <c r="J889" s="133"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7" t="str">
        <f>IF(X$5=K$5,SUM(Y889:AI889)-SUM(L889:V889),"")</f>
        <v/>
      </c>
      <c r="X889" s="9" t="str">
        <f>LOWER(CtryCode)&amp;".distn."&amp;$A889&amp;IF($B889="","","."&amp;$B889)&amp;IF($C889="","",".dec."&amp;$C889)&amp;"."&amp;X$5</f>
        <v>egy.distn.rkp.r14.2</v>
      </c>
      <c r="Y889" s="37">
        <f>INDEX(Y$704:Y$767,MATCH($D889,Y$770:Y$833,0))</f>
        <v>0.002473608937865726</v>
      </c>
      <c r="Z889" s="38">
        <f>Y889</f>
        <v>0.002473608937865726</v>
      </c>
      <c r="AA889" s="38">
        <f>Z889</f>
        <v>0.002473608937865726</v>
      </c>
      <c r="AB889" s="38">
        <f>AA889</f>
        <v>0.002473608937865726</v>
      </c>
      <c r="AC889" s="38">
        <f>AB889</f>
        <v>0.002473608937865726</v>
      </c>
      <c r="AD889" s="38">
        <f>AC889</f>
        <v>0.002473608937865726</v>
      </c>
      <c r="AE889" s="38">
        <f>AD889</f>
        <v>0.002473608937865726</v>
      </c>
      <c r="AF889" s="38">
        <f>AE889</f>
        <v>0.002473608937865726</v>
      </c>
      <c r="AG889" s="38">
        <f>AF889</f>
        <v>0.002473608937865726</v>
      </c>
      <c r="AH889" s="38">
        <f>AG889</f>
        <v>0.002473608937865726</v>
      </c>
      <c r="AI889" s="38">
        <f>AH889</f>
        <v>0.002473608937865726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33"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7" t="str">
        <f>IF(X$5=K$5,SUM(Y890:AI890)-SUM(L890:V890),"")</f>
        <v/>
      </c>
      <c r="X890" s="9" t="str">
        <f>LOWER(CtryCode)&amp;".distn."&amp;$A890&amp;IF($B890="","","."&amp;$B890)&amp;IF($C890="","",".dec."&amp;$C890)&amp;"."&amp;X$5</f>
        <v>egy.distn.rkp.r15.2</v>
      </c>
      <c r="Y890" s="37">
        <f>INDEX(Y$704:Y$767,MATCH($D890,Y$770:Y$833,0))</f>
        <v>0.002460519096679889</v>
      </c>
      <c r="Z890" s="38">
        <f>Y890</f>
        <v>0.002460519096679889</v>
      </c>
      <c r="AA890" s="38">
        <f>Z890</f>
        <v>0.002460519096679889</v>
      </c>
      <c r="AB890" s="38">
        <f>AA890</f>
        <v>0.002460519096679889</v>
      </c>
      <c r="AC890" s="38">
        <f>AB890</f>
        <v>0.002460519096679889</v>
      </c>
      <c r="AD890" s="38">
        <f>AC890</f>
        <v>0.002460519096679889</v>
      </c>
      <c r="AE890" s="38">
        <f>AD890</f>
        <v>0.002460519096679889</v>
      </c>
      <c r="AF890" s="38">
        <f>AE890</f>
        <v>0.002460519096679889</v>
      </c>
      <c r="AG890" s="38">
        <f>AF890</f>
        <v>0.002460519096679889</v>
      </c>
      <c r="AH890" s="38">
        <f>AG890</f>
        <v>0.002460519096679889</v>
      </c>
      <c r="AI890" s="38">
        <f>AH890</f>
        <v>0.002460519096679889</v>
      </c>
    </row>
    <row r="891" hidden="1" outlineLevel="1">
      <c r="A891" s="62" t="inlineStr">
        <is>
          <t>rkp</t>
        </is>
      </c>
      <c r="B891" s="3" t="inlineStr">
        <is>
          <t>r16</t>
        </is>
      </c>
      <c r="C891" s="3" t="inlineStr"/>
      <c r="D891" s="3" t="n">
        <v>16</v>
      </c>
      <c r="E891" s="3" t="n"/>
      <c r="H891" s="3" t="inlineStr">
        <is>
          <t>Rank 16: output-price change</t>
        </is>
      </c>
      <c r="I891" s="3" t="inlineStr">
        <is>
          <t>fraction</t>
        </is>
      </c>
      <c r="J891" s="133"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7" t="str">
        <f>IF(X$5=K$5,SUM(Y891:AI891)-SUM(L891:V891),"")</f>
        <v/>
      </c>
      <c r="X891" s="9" t="str">
        <f>LOWER(CtryCode)&amp;".distn."&amp;$A891&amp;IF($B891="","","."&amp;$B891)&amp;IF($C891="","",".dec."&amp;$C891)&amp;"."&amp;X$5</f>
        <v>egy.distn.rkp.r16.2</v>
      </c>
      <c r="Y891" s="37">
        <f>INDEX(Y$704:Y$767,MATCH($D891,Y$770:Y$833,0))</f>
        <v>0.002298771116464237</v>
      </c>
      <c r="Z891" s="38">
        <f>Y891</f>
        <v>0.002298771116464237</v>
      </c>
      <c r="AA891" s="38">
        <f>Z891</f>
        <v>0.002298771116464237</v>
      </c>
      <c r="AB891" s="38">
        <f>AA891</f>
        <v>0.002298771116464237</v>
      </c>
      <c r="AC891" s="38">
        <f>AB891</f>
        <v>0.002298771116464237</v>
      </c>
      <c r="AD891" s="38">
        <f>AC891</f>
        <v>0.002298771116464237</v>
      </c>
      <c r="AE891" s="38">
        <f>AD891</f>
        <v>0.002298771116464237</v>
      </c>
      <c r="AF891" s="38">
        <f>AE891</f>
        <v>0.002298771116464237</v>
      </c>
      <c r="AG891" s="38">
        <f>AF891</f>
        <v>0.002298771116464237</v>
      </c>
      <c r="AH891" s="38">
        <f>AG891</f>
        <v>0.002298771116464237</v>
      </c>
      <c r="AI891" s="38">
        <f>AH891</f>
        <v>0.002298771116464237</v>
      </c>
    </row>
    <row r="892" hidden="1" outlineLevel="1">
      <c r="A892" s="62" t="inlineStr">
        <is>
          <t>rkp</t>
        </is>
      </c>
      <c r="B892" s="3" t="inlineStr">
        <is>
          <t>r17</t>
        </is>
      </c>
      <c r="C892" s="3" t="inlineStr"/>
      <c r="D892" s="3" t="n">
        <v>17</v>
      </c>
      <c r="E892" s="3" t="n"/>
      <c r="H892" s="3" t="inlineStr">
        <is>
          <t>Rank 17: output-price change</t>
        </is>
      </c>
      <c r="I892" s="3" t="inlineStr">
        <is>
          <t>fraction</t>
        </is>
      </c>
      <c r="J892" s="133"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7" t="str">
        <f>IF(X$5=K$5,SUM(Y892:AI892)-SUM(L892:V892),"")</f>
        <v/>
      </c>
      <c r="X892" s="9" t="str">
        <f>LOWER(CtryCode)&amp;".distn."&amp;$A892&amp;IF($B892="","","."&amp;$B892)&amp;IF($C892="","",".dec."&amp;$C892)&amp;"."&amp;X$5</f>
        <v>egy.distn.rkp.r17.2</v>
      </c>
      <c r="Y892" s="37">
        <f>INDEX(Y$704:Y$767,MATCH($D892,Y$770:Y$833,0))</f>
        <v>0.0022531691122356402</v>
      </c>
      <c r="Z892" s="38">
        <f>Y892</f>
        <v>0.0022531691122356402</v>
      </c>
      <c r="AA892" s="38">
        <f>Z892</f>
        <v>0.0022531691122356402</v>
      </c>
      <c r="AB892" s="38">
        <f>AA892</f>
        <v>0.0022531691122356402</v>
      </c>
      <c r="AC892" s="38">
        <f>AB892</f>
        <v>0.0022531691122356402</v>
      </c>
      <c r="AD892" s="38">
        <f>AC892</f>
        <v>0.0022531691122356402</v>
      </c>
      <c r="AE892" s="38">
        <f>AD892</f>
        <v>0.0022531691122356402</v>
      </c>
      <c r="AF892" s="38">
        <f>AE892</f>
        <v>0.0022531691122356402</v>
      </c>
      <c r="AG892" s="38">
        <f>AF892</f>
        <v>0.0022531691122356402</v>
      </c>
      <c r="AH892" s="38">
        <f>AG892</f>
        <v>0.0022531691122356402</v>
      </c>
      <c r="AI892" s="38">
        <f>AH892</f>
        <v>0.0022531691122356402</v>
      </c>
    </row>
    <row r="893" hidden="1" outlineLevel="1">
      <c r="A893" s="62" t="inlineStr">
        <is>
          <t>rkp</t>
        </is>
      </c>
      <c r="B893" s="3" t="inlineStr">
        <is>
          <t>r18</t>
        </is>
      </c>
      <c r="C893" s="3" t="inlineStr"/>
      <c r="D893" s="3" t="n">
        <v>18</v>
      </c>
      <c r="E893" s="3" t="n"/>
      <c r="H893" s="3" t="inlineStr">
        <is>
          <t>Rank 18: output-price change</t>
        </is>
      </c>
      <c r="I893" s="3" t="inlineStr">
        <is>
          <t>fraction</t>
        </is>
      </c>
      <c r="J893" s="133"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7" t="str">
        <f>IF(X$5=K$5,SUM(Y893:AI893)-SUM(L893:V893),"")</f>
        <v/>
      </c>
      <c r="X893" s="9" t="str">
        <f>LOWER(CtryCode)&amp;".distn."&amp;$A893&amp;IF($B893="","","."&amp;$B893)&amp;IF($C893="","",".dec."&amp;$C893)&amp;"."&amp;X$5</f>
        <v>egy.distn.rkp.r18.2</v>
      </c>
      <c r="Y893" s="37">
        <f>INDEX(Y$704:Y$767,MATCH($D893,Y$770:Y$833,0))</f>
        <v>0.002183473192775979</v>
      </c>
      <c r="Z893" s="38">
        <f>Y893</f>
        <v>0.002183473192775979</v>
      </c>
      <c r="AA893" s="38">
        <f>Z893</f>
        <v>0.002183473192775979</v>
      </c>
      <c r="AB893" s="38">
        <f>AA893</f>
        <v>0.002183473192775979</v>
      </c>
      <c r="AC893" s="38">
        <f>AB893</f>
        <v>0.002183473192775979</v>
      </c>
      <c r="AD893" s="38">
        <f>AC893</f>
        <v>0.002183473192775979</v>
      </c>
      <c r="AE893" s="38">
        <f>AD893</f>
        <v>0.002183473192775979</v>
      </c>
      <c r="AF893" s="38">
        <f>AE893</f>
        <v>0.002183473192775979</v>
      </c>
      <c r="AG893" s="38">
        <f>AF893</f>
        <v>0.002183473192775979</v>
      </c>
      <c r="AH893" s="38">
        <f>AG893</f>
        <v>0.002183473192775979</v>
      </c>
      <c r="AI893" s="38">
        <f>AH893</f>
        <v>0.002183473192775979</v>
      </c>
    </row>
    <row r="894" hidden="1" outlineLevel="1">
      <c r="A894" s="62" t="inlineStr">
        <is>
          <t>rkp</t>
        </is>
      </c>
      <c r="B894" s="3" t="inlineStr">
        <is>
          <t>r19</t>
        </is>
      </c>
      <c r="C894" s="3" t="inlineStr"/>
      <c r="D894" s="3" t="n">
        <v>19</v>
      </c>
      <c r="E894" s="3" t="n"/>
      <c r="H894" s="3" t="inlineStr">
        <is>
          <t>Rank 19: output-price change</t>
        </is>
      </c>
      <c r="I894" s="3" t="inlineStr">
        <is>
          <t>fraction</t>
        </is>
      </c>
      <c r="J894" s="133"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7" t="str">
        <f>IF(X$5=K$5,SUM(Y894:AI894)-SUM(L894:V894),"")</f>
        <v/>
      </c>
      <c r="X894" s="9" t="str">
        <f>LOWER(CtryCode)&amp;".distn."&amp;$A894&amp;IF($B894="","","."&amp;$B894)&amp;IF($C894="","",".dec."&amp;$C894)&amp;"."&amp;X$5</f>
        <v>egy.distn.rkp.r19.2</v>
      </c>
      <c r="Y894" s="37">
        <f>INDEX(Y$704:Y$767,MATCH($D894,Y$770:Y$833,0))</f>
        <v>0.002081291425119216</v>
      </c>
      <c r="Z894" s="38">
        <f>Y894</f>
        <v>0.002081291425119216</v>
      </c>
      <c r="AA894" s="38">
        <f>Z894</f>
        <v>0.002081291425119216</v>
      </c>
      <c r="AB894" s="38">
        <f>AA894</f>
        <v>0.002081291425119216</v>
      </c>
      <c r="AC894" s="38">
        <f>AB894</f>
        <v>0.002081291425119216</v>
      </c>
      <c r="AD894" s="38">
        <f>AC894</f>
        <v>0.002081291425119216</v>
      </c>
      <c r="AE894" s="38">
        <f>AD894</f>
        <v>0.002081291425119216</v>
      </c>
      <c r="AF894" s="38">
        <f>AE894</f>
        <v>0.002081291425119216</v>
      </c>
      <c r="AG894" s="38">
        <f>AF894</f>
        <v>0.002081291425119216</v>
      </c>
      <c r="AH894" s="38">
        <f>AG894</f>
        <v>0.002081291425119216</v>
      </c>
      <c r="AI894" s="38">
        <f>AH894</f>
        <v>0.002081291425119216</v>
      </c>
    </row>
    <row r="895" hidden="1" outlineLevel="1">
      <c r="A895" s="62" t="inlineStr">
        <is>
          <t>rkp</t>
        </is>
      </c>
      <c r="B895" s="3" t="inlineStr">
        <is>
          <t>r20</t>
        </is>
      </c>
      <c r="C895" s="3" t="inlineStr"/>
      <c r="D895" s="3" t="n">
        <v>20</v>
      </c>
      <c r="E895" s="3" t="n"/>
      <c r="H895" s="3" t="inlineStr">
        <is>
          <t>Rank 20: output-price change</t>
        </is>
      </c>
      <c r="I895" s="3" t="inlineStr">
        <is>
          <t>fraction</t>
        </is>
      </c>
      <c r="J895" s="133"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7" t="str">
        <f>IF(X$5=K$5,SUM(Y895:AI895)-SUM(L895:V895),"")</f>
        <v/>
      </c>
      <c r="X895" s="9" t="str">
        <f>LOWER(CtryCode)&amp;".distn."&amp;$A895&amp;IF($B895="","","."&amp;$B895)&amp;IF($C895="","",".dec."&amp;$C895)&amp;"."&amp;X$5</f>
        <v>egy.distn.rkp.r20.2</v>
      </c>
      <c r="Y895" s="37">
        <f>INDEX(Y$704:Y$767,MATCH($D895,Y$770:Y$833,0))</f>
        <v>0.002072193572752414</v>
      </c>
      <c r="Z895" s="38">
        <f>Y895</f>
        <v>0.002072193572752414</v>
      </c>
      <c r="AA895" s="38">
        <f>Z895</f>
        <v>0.002072193572752414</v>
      </c>
      <c r="AB895" s="38">
        <f>AA895</f>
        <v>0.002072193572752414</v>
      </c>
      <c r="AC895" s="38">
        <f>AB895</f>
        <v>0.002072193572752414</v>
      </c>
      <c r="AD895" s="38">
        <f>AC895</f>
        <v>0.002072193572752414</v>
      </c>
      <c r="AE895" s="38">
        <f>AD895</f>
        <v>0.002072193572752414</v>
      </c>
      <c r="AF895" s="38">
        <f>AE895</f>
        <v>0.002072193572752414</v>
      </c>
      <c r="AG895" s="38">
        <f>AF895</f>
        <v>0.002072193572752414</v>
      </c>
      <c r="AH895" s="38">
        <f>AG895</f>
        <v>0.002072193572752414</v>
      </c>
      <c r="AI895" s="38">
        <f>AH895</f>
        <v>0.002072193572752414</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33" t="inlineStr">
        <is>
          <t>IO_GTAP (legacy I:K 3285-3296)</t>
        </is>
      </c>
      <c r="K898" s="9" t="str">
        <f>LOWER(CtryCode)&amp;".distn."&amp;$A898&amp;IF($B898="","","."&amp;$B898)&amp;IF($C898="","",".dec."&amp;$C898)&amp;"."&amp;K$5</f>
        <v>egy.distn.secshh.avi.1</v>
      </c>
      <c r="L898" s="226">
        <f>IFERROR(SUMIF(DSecCpat,$B898,DSecHhd)/SUM(DSecHhd),0)</f>
        <v>0.005561804956491363</v>
      </c>
      <c r="M898" s="227">
        <f>L898</f>
        <v>0.005561804956491363</v>
      </c>
      <c r="N898" s="227">
        <f>M898</f>
        <v>0.005561804956491363</v>
      </c>
      <c r="O898" s="227">
        <f>N898</f>
        <v>0.005561804956491363</v>
      </c>
      <c r="P898" s="227">
        <f>O898</f>
        <v>0.005561804956491363</v>
      </c>
      <c r="Q898" s="227">
        <f>P898</f>
        <v>0.005561804956491363</v>
      </c>
      <c r="R898" s="227">
        <f>Q898</f>
        <v>0.005561804956491363</v>
      </c>
      <c r="S898" s="227">
        <f>R898</f>
        <v>0.005561804956491363</v>
      </c>
      <c r="T898" s="227">
        <f>S898</f>
        <v>0.005561804956491363</v>
      </c>
      <c r="U898" s="227">
        <f>T898</f>
        <v>0.005561804956491363</v>
      </c>
      <c r="V898" s="227">
        <f>U898</f>
        <v>0.005561804956491363</v>
      </c>
      <c r="W898" s="207" t="str">
        <f>IF(X$5=K$5,SUM(Y898:AI898)-SUM(L898:V898),"")</f>
        <v/>
      </c>
      <c r="X898" s="9" t="str">
        <f>LOWER(CtryCode)&amp;".distn."&amp;$A898&amp;IF($B898="","","."&amp;$B898)&amp;IF($C898="","",".dec."&amp;$C898)&amp;"."&amp;X$5</f>
        <v>egy.distn.secshh.avi.2</v>
      </c>
      <c r="Y898" s="226">
        <f>IFERROR(SUMIF(DSecCpat,$B898,DSecHhd)/SUM(DSecHhd),0)</f>
        <v>0.005561804956491363</v>
      </c>
      <c r="Z898" s="227">
        <f>Y898</f>
        <v>0.005561804956491363</v>
      </c>
      <c r="AA898" s="227">
        <f>Z898</f>
        <v>0.005561804956491363</v>
      </c>
      <c r="AB898" s="227">
        <f>AA898</f>
        <v>0.005561804956491363</v>
      </c>
      <c r="AC898" s="227">
        <f>AB898</f>
        <v>0.005561804956491363</v>
      </c>
      <c r="AD898" s="227">
        <f>AC898</f>
        <v>0.005561804956491363</v>
      </c>
      <c r="AE898" s="227">
        <f>AD898</f>
        <v>0.005561804956491363</v>
      </c>
      <c r="AF898" s="227">
        <f>AE898</f>
        <v>0.005561804956491363</v>
      </c>
      <c r="AG898" s="227">
        <f>AF898</f>
        <v>0.005561804956491363</v>
      </c>
      <c r="AH898" s="227">
        <f>AG898</f>
        <v>0.005561804956491363</v>
      </c>
      <c r="AI898" s="227">
        <f>AH898</f>
        <v>0.005561804956491363</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33" t="inlineStr">
        <is>
          <t>IO_GTAP (legacy I:K 3285-3296)</t>
        </is>
      </c>
      <c r="K899" s="9" t="str">
        <f>LOWER(CtryCode)&amp;".distn."&amp;$A899&amp;IF($B899="","","."&amp;$B899)&amp;IF($C899="","",".dec."&amp;$C899)&amp;"."&amp;K$5</f>
        <v>egy.distn.secshh.nav.1</v>
      </c>
      <c r="L899" s="226">
        <f>IFERROR(SUMIF(DSecCpat,$B899,DSecHhd)/SUM(DSecHhd),0)</f>
        <v>0.045609731001188494</v>
      </c>
      <c r="M899" s="227">
        <f>L899</f>
        <v>0.045609731001188494</v>
      </c>
      <c r="N899" s="227">
        <f>M899</f>
        <v>0.045609731001188494</v>
      </c>
      <c r="O899" s="227">
        <f>N899</f>
        <v>0.045609731001188494</v>
      </c>
      <c r="P899" s="227">
        <f>O899</f>
        <v>0.045609731001188494</v>
      </c>
      <c r="Q899" s="227">
        <f>P899</f>
        <v>0.045609731001188494</v>
      </c>
      <c r="R899" s="227">
        <f>Q899</f>
        <v>0.045609731001188494</v>
      </c>
      <c r="S899" s="227">
        <f>R899</f>
        <v>0.045609731001188494</v>
      </c>
      <c r="T899" s="227">
        <f>S899</f>
        <v>0.045609731001188494</v>
      </c>
      <c r="U899" s="227">
        <f>T899</f>
        <v>0.045609731001188494</v>
      </c>
      <c r="V899" s="227">
        <f>U899</f>
        <v>0.045609731001188494</v>
      </c>
      <c r="W899" s="207" t="str">
        <f>IF(X$5=K$5,SUM(Y899:AI899)-SUM(L899:V899),"")</f>
        <v/>
      </c>
      <c r="X899" s="9" t="str">
        <f>LOWER(CtryCode)&amp;".distn."&amp;$A899&amp;IF($B899="","","."&amp;$B899)&amp;IF($C899="","",".dec."&amp;$C899)&amp;"."&amp;X$5</f>
        <v>egy.distn.secshh.nav.2</v>
      </c>
      <c r="Y899" s="226">
        <f>IFERROR(SUMIF(DSecCpat,$B899,DSecHhd)/SUM(DSecHhd),0)</f>
        <v>0.045609731001188494</v>
      </c>
      <c r="Z899" s="227">
        <f>Y899</f>
        <v>0.045609731001188494</v>
      </c>
      <c r="AA899" s="227">
        <f>Z899</f>
        <v>0.045609731001188494</v>
      </c>
      <c r="AB899" s="227">
        <f>AA899</f>
        <v>0.045609731001188494</v>
      </c>
      <c r="AC899" s="227">
        <f>AB899</f>
        <v>0.045609731001188494</v>
      </c>
      <c r="AD899" s="227">
        <f>AC899</f>
        <v>0.045609731001188494</v>
      </c>
      <c r="AE899" s="227">
        <f>AD899</f>
        <v>0.045609731001188494</v>
      </c>
      <c r="AF899" s="227">
        <f>AE899</f>
        <v>0.045609731001188494</v>
      </c>
      <c r="AG899" s="227">
        <f>AF899</f>
        <v>0.045609731001188494</v>
      </c>
      <c r="AH899" s="227">
        <f>AG899</f>
        <v>0.045609731001188494</v>
      </c>
      <c r="AI899" s="227">
        <f>AH899</f>
        <v>0.045609731001188494</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33" t="inlineStr">
        <is>
          <t>IO_GTAP (legacy I:K 3285-3296)</t>
        </is>
      </c>
      <c r="K900" s="9" t="str">
        <f>LOWER(CtryCode)&amp;".distn."&amp;$A900&amp;IF($B900="","","."&amp;$B900)&amp;IF($C900="","",".dec."&amp;$C900)&amp;"."&amp;K$5</f>
        <v>egy.distn.secshh.foo.1</v>
      </c>
      <c r="L900" s="226">
        <f>IFERROR(SUMIF(DSecCpat,$B900,DSecHhd)/SUM(DSecHhd),0)</f>
        <v>0.3107802327675234</v>
      </c>
      <c r="M900" s="227">
        <f>L900</f>
        <v>0.3107802327675234</v>
      </c>
      <c r="N900" s="227">
        <f>M900</f>
        <v>0.3107802327675234</v>
      </c>
      <c r="O900" s="227">
        <f>N900</f>
        <v>0.3107802327675234</v>
      </c>
      <c r="P900" s="227">
        <f>O900</f>
        <v>0.3107802327675234</v>
      </c>
      <c r="Q900" s="227">
        <f>P900</f>
        <v>0.3107802327675234</v>
      </c>
      <c r="R900" s="227">
        <f>Q900</f>
        <v>0.3107802327675234</v>
      </c>
      <c r="S900" s="227">
        <f>R900</f>
        <v>0.3107802327675234</v>
      </c>
      <c r="T900" s="227">
        <f>S900</f>
        <v>0.3107802327675234</v>
      </c>
      <c r="U900" s="227">
        <f>T900</f>
        <v>0.3107802327675234</v>
      </c>
      <c r="V900" s="227">
        <f>U900</f>
        <v>0.3107802327675234</v>
      </c>
      <c r="W900" s="207" t="str">
        <f>IF(X$5=K$5,SUM(Y900:AI900)-SUM(L900:V900),"")</f>
        <v/>
      </c>
      <c r="X900" s="9" t="str">
        <f>LOWER(CtryCode)&amp;".distn."&amp;$A900&amp;IF($B900="","","."&amp;$B900)&amp;IF($C900="","",".dec."&amp;$C900)&amp;"."&amp;X$5</f>
        <v>egy.distn.secshh.foo.2</v>
      </c>
      <c r="Y900" s="226">
        <f>IFERROR(SUMIF(DSecCpat,$B900,DSecHhd)/SUM(DSecHhd),0)</f>
        <v>0.3107802327675234</v>
      </c>
      <c r="Z900" s="227">
        <f>Y900</f>
        <v>0.3107802327675234</v>
      </c>
      <c r="AA900" s="227">
        <f>Z900</f>
        <v>0.3107802327675234</v>
      </c>
      <c r="AB900" s="227">
        <f>AA900</f>
        <v>0.3107802327675234</v>
      </c>
      <c r="AC900" s="227">
        <f>AB900</f>
        <v>0.3107802327675234</v>
      </c>
      <c r="AD900" s="227">
        <f>AC900</f>
        <v>0.3107802327675234</v>
      </c>
      <c r="AE900" s="227">
        <f>AD900</f>
        <v>0.3107802327675234</v>
      </c>
      <c r="AF900" s="227">
        <f>AE900</f>
        <v>0.3107802327675234</v>
      </c>
      <c r="AG900" s="227">
        <f>AF900</f>
        <v>0.3107802327675234</v>
      </c>
      <c r="AH900" s="227">
        <f>AG900</f>
        <v>0.3107802327675234</v>
      </c>
      <c r="AI900" s="227">
        <f>AH900</f>
        <v>0.3107802327675234</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33" t="inlineStr">
        <is>
          <t>IO_GTAP (legacy I:K 3285-3296)</t>
        </is>
      </c>
      <c r="K901" s="9" t="str">
        <f>LOWER(CtryCode)&amp;".distn."&amp;$A901&amp;IF($B901="","","."&amp;$B901)&amp;IF($C901="","",".dec."&amp;$C901)&amp;"."&amp;K$5</f>
        <v>egy.distn.secshh.srv.1</v>
      </c>
      <c r="L901" s="226">
        <f>IFERROR(SUMIF(DSecCpat,$B901,DSecHhd)/SUM(DSecHhd),0)</f>
        <v>0.3498153000797613</v>
      </c>
      <c r="M901" s="227">
        <f>L901</f>
        <v>0.3498153000797613</v>
      </c>
      <c r="N901" s="227">
        <f>M901</f>
        <v>0.3498153000797613</v>
      </c>
      <c r="O901" s="227">
        <f>N901</f>
        <v>0.3498153000797613</v>
      </c>
      <c r="P901" s="227">
        <f>O901</f>
        <v>0.3498153000797613</v>
      </c>
      <c r="Q901" s="227">
        <f>P901</f>
        <v>0.3498153000797613</v>
      </c>
      <c r="R901" s="227">
        <f>Q901</f>
        <v>0.3498153000797613</v>
      </c>
      <c r="S901" s="227">
        <f>R901</f>
        <v>0.3498153000797613</v>
      </c>
      <c r="T901" s="227">
        <f>S901</f>
        <v>0.3498153000797613</v>
      </c>
      <c r="U901" s="227">
        <f>T901</f>
        <v>0.3498153000797613</v>
      </c>
      <c r="V901" s="227">
        <f>U901</f>
        <v>0.3498153000797613</v>
      </c>
      <c r="W901" s="207" t="str">
        <f>IF(X$5=K$5,SUM(Y901:AI901)-SUM(L901:V901),"")</f>
        <v/>
      </c>
      <c r="X901" s="9" t="str">
        <f>LOWER(CtryCode)&amp;".distn."&amp;$A901&amp;IF($B901="","","."&amp;$B901)&amp;IF($C901="","",".dec."&amp;$C901)&amp;"."&amp;X$5</f>
        <v>egy.distn.secshh.srv.2</v>
      </c>
      <c r="Y901" s="226">
        <f>IFERROR(SUMIF(DSecCpat,$B901,DSecHhd)/SUM(DSecHhd),0)</f>
        <v>0.3498153000797613</v>
      </c>
      <c r="Z901" s="227">
        <f>Y901</f>
        <v>0.3498153000797613</v>
      </c>
      <c r="AA901" s="227">
        <f>Z901</f>
        <v>0.3498153000797613</v>
      </c>
      <c r="AB901" s="227">
        <f>AA901</f>
        <v>0.3498153000797613</v>
      </c>
      <c r="AC901" s="227">
        <f>AB901</f>
        <v>0.3498153000797613</v>
      </c>
      <c r="AD901" s="227">
        <f>AC901</f>
        <v>0.3498153000797613</v>
      </c>
      <c r="AE901" s="227">
        <f>AD901</f>
        <v>0.3498153000797613</v>
      </c>
      <c r="AF901" s="227">
        <f>AE901</f>
        <v>0.3498153000797613</v>
      </c>
      <c r="AG901" s="227">
        <f>AF901</f>
        <v>0.3498153000797613</v>
      </c>
      <c r="AH901" s="227">
        <f>AG901</f>
        <v>0.3498153000797613</v>
      </c>
      <c r="AI901" s="227">
        <f>AH901</f>
        <v>0.3498153000797613</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33" t="inlineStr">
        <is>
          <t>IO_GTAP (legacy I:K 3285-3296)</t>
        </is>
      </c>
      <c r="K902" s="9" t="str">
        <f>LOWER(CtryCode)&amp;".distn."&amp;$A902&amp;IF($B902="","","."&amp;$B902)&amp;IF($C902="","",".dec."&amp;$C902)&amp;"."&amp;K$5</f>
        <v>egy.distn.secshh.mch.1</v>
      </c>
      <c r="L902" s="226">
        <f>IFERROR(SUMIF(DSecCpat,$B902,DSecHhd)/SUM(DSecHhd),0)</f>
        <v>0.020198076426577765</v>
      </c>
      <c r="M902" s="227">
        <f>L902</f>
        <v>0.020198076426577765</v>
      </c>
      <c r="N902" s="227">
        <f>M902</f>
        <v>0.020198076426577765</v>
      </c>
      <c r="O902" s="227">
        <f>N902</f>
        <v>0.020198076426577765</v>
      </c>
      <c r="P902" s="227">
        <f>O902</f>
        <v>0.020198076426577765</v>
      </c>
      <c r="Q902" s="227">
        <f>P902</f>
        <v>0.020198076426577765</v>
      </c>
      <c r="R902" s="227">
        <f>Q902</f>
        <v>0.020198076426577765</v>
      </c>
      <c r="S902" s="227">
        <f>R902</f>
        <v>0.020198076426577765</v>
      </c>
      <c r="T902" s="227">
        <f>S902</f>
        <v>0.020198076426577765</v>
      </c>
      <c r="U902" s="227">
        <f>T902</f>
        <v>0.020198076426577765</v>
      </c>
      <c r="V902" s="227">
        <f>U902</f>
        <v>0.020198076426577765</v>
      </c>
      <c r="W902" s="207" t="str">
        <f>IF(X$5=K$5,SUM(Y902:AI902)-SUM(L902:V902),"")</f>
        <v/>
      </c>
      <c r="X902" s="9" t="str">
        <f>LOWER(CtryCode)&amp;".distn."&amp;$A902&amp;IF($B902="","","."&amp;$B902)&amp;IF($C902="","",".dec."&amp;$C902)&amp;"."&amp;X$5</f>
        <v>egy.distn.secshh.mch.2</v>
      </c>
      <c r="Y902" s="226">
        <f>IFERROR(SUMIF(DSecCpat,$B902,DSecHhd)/SUM(DSecHhd),0)</f>
        <v>0.020198076426577765</v>
      </c>
      <c r="Z902" s="227">
        <f>Y902</f>
        <v>0.020198076426577765</v>
      </c>
      <c r="AA902" s="227">
        <f>Z902</f>
        <v>0.020198076426577765</v>
      </c>
      <c r="AB902" s="227">
        <f>AA902</f>
        <v>0.020198076426577765</v>
      </c>
      <c r="AC902" s="227">
        <f>AB902</f>
        <v>0.020198076426577765</v>
      </c>
      <c r="AD902" s="227">
        <f>AC902</f>
        <v>0.020198076426577765</v>
      </c>
      <c r="AE902" s="227">
        <f>AD902</f>
        <v>0.020198076426577765</v>
      </c>
      <c r="AF902" s="227">
        <f>AE902</f>
        <v>0.020198076426577765</v>
      </c>
      <c r="AG902" s="227">
        <f>AF902</f>
        <v>0.020198076426577765</v>
      </c>
      <c r="AH902" s="227">
        <f>AG902</f>
        <v>0.020198076426577765</v>
      </c>
      <c r="AI902" s="227">
        <f>AH902</f>
        <v>0.020198076426577765</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33" t="inlineStr">
        <is>
          <t>IO_GTAP (legacy I:K 3285-3296)</t>
        </is>
      </c>
      <c r="K903" s="9" t="str">
        <f>LOWER(CtryCode)&amp;".distn."&amp;$A903&amp;IF($B903="","","."&amp;$B903)&amp;IF($C903="","",".dec."&amp;$C903)&amp;"."&amp;K$5</f>
        <v>egy.distn.secshh.irn.1</v>
      </c>
      <c r="L903" s="226">
        <f>IFERROR(SUMIF(DSecCpat,$B903,DSecHhd)/SUM(DSecHhd),0)</f>
        <v>0.0016495678609654823</v>
      </c>
      <c r="M903" s="227">
        <f>L903</f>
        <v>0.0016495678609654823</v>
      </c>
      <c r="N903" s="227">
        <f>M903</f>
        <v>0.0016495678609654823</v>
      </c>
      <c r="O903" s="227">
        <f>N903</f>
        <v>0.0016495678609654823</v>
      </c>
      <c r="P903" s="227">
        <f>O903</f>
        <v>0.0016495678609654823</v>
      </c>
      <c r="Q903" s="227">
        <f>P903</f>
        <v>0.0016495678609654823</v>
      </c>
      <c r="R903" s="227">
        <f>Q903</f>
        <v>0.0016495678609654823</v>
      </c>
      <c r="S903" s="227">
        <f>R903</f>
        <v>0.0016495678609654823</v>
      </c>
      <c r="T903" s="227">
        <f>S903</f>
        <v>0.0016495678609654823</v>
      </c>
      <c r="U903" s="227">
        <f>T903</f>
        <v>0.0016495678609654823</v>
      </c>
      <c r="V903" s="227">
        <f>U903</f>
        <v>0.0016495678609654823</v>
      </c>
      <c r="W903" s="207" t="str">
        <f>IF(X$5=K$5,SUM(Y903:AI903)-SUM(L903:V903),"")</f>
        <v/>
      </c>
      <c r="X903" s="9" t="str">
        <f>LOWER(CtryCode)&amp;".distn."&amp;$A903&amp;IF($B903="","","."&amp;$B903)&amp;IF($C903="","",".dec."&amp;$C903)&amp;"."&amp;X$5</f>
        <v>egy.distn.secshh.irn.2</v>
      </c>
      <c r="Y903" s="226">
        <f>IFERROR(SUMIF(DSecCpat,$B903,DSecHhd)/SUM(DSecHhd),0)</f>
        <v>0.0016495678609654823</v>
      </c>
      <c r="Z903" s="227">
        <f>Y903</f>
        <v>0.0016495678609654823</v>
      </c>
      <c r="AA903" s="227">
        <f>Z903</f>
        <v>0.0016495678609654823</v>
      </c>
      <c r="AB903" s="227">
        <f>AA903</f>
        <v>0.0016495678609654823</v>
      </c>
      <c r="AC903" s="227">
        <f>AB903</f>
        <v>0.0016495678609654823</v>
      </c>
      <c r="AD903" s="227">
        <f>AC903</f>
        <v>0.0016495678609654823</v>
      </c>
      <c r="AE903" s="227">
        <f>AD903</f>
        <v>0.0016495678609654823</v>
      </c>
      <c r="AF903" s="227">
        <f>AE903</f>
        <v>0.0016495678609654823</v>
      </c>
      <c r="AG903" s="227">
        <f>AF903</f>
        <v>0.0016495678609654823</v>
      </c>
      <c r="AH903" s="227">
        <f>AG903</f>
        <v>0.0016495678609654823</v>
      </c>
      <c r="AI903" s="227">
        <f>AH903</f>
        <v>0.0016495678609654823</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33" t="inlineStr">
        <is>
          <t>IO_GTAP (legacy I:K 3285-3296)</t>
        </is>
      </c>
      <c r="K904" s="9" t="str">
        <f>LOWER(CtryCode)&amp;".distn."&amp;$A904&amp;IF($B904="","","."&amp;$B904)&amp;IF($C904="","",".dec."&amp;$C904)&amp;"."&amp;K$5</f>
        <v>egy.distn.secshh.nfm.1</v>
      </c>
      <c r="L904" s="226">
        <f>IFERROR(SUMIF(DSecCpat,$B904,DSecHhd)/SUM(DSecHhd),0)</f>
        <v>0.0025208616432986757</v>
      </c>
      <c r="M904" s="227">
        <f>L904</f>
        <v>0.0025208616432986757</v>
      </c>
      <c r="N904" s="227">
        <f>M904</f>
        <v>0.0025208616432986757</v>
      </c>
      <c r="O904" s="227">
        <f>N904</f>
        <v>0.0025208616432986757</v>
      </c>
      <c r="P904" s="227">
        <f>O904</f>
        <v>0.0025208616432986757</v>
      </c>
      <c r="Q904" s="227">
        <f>P904</f>
        <v>0.0025208616432986757</v>
      </c>
      <c r="R904" s="227">
        <f>Q904</f>
        <v>0.0025208616432986757</v>
      </c>
      <c r="S904" s="227">
        <f>R904</f>
        <v>0.0025208616432986757</v>
      </c>
      <c r="T904" s="227">
        <f>S904</f>
        <v>0.0025208616432986757</v>
      </c>
      <c r="U904" s="227">
        <f>T904</f>
        <v>0.0025208616432986757</v>
      </c>
      <c r="V904" s="227">
        <f>U904</f>
        <v>0.0025208616432986757</v>
      </c>
      <c r="W904" s="207" t="str">
        <f>IF(X$5=K$5,SUM(Y904:AI904)-SUM(L904:V904),"")</f>
        <v/>
      </c>
      <c r="X904" s="9" t="str">
        <f>LOWER(CtryCode)&amp;".distn."&amp;$A904&amp;IF($B904="","","."&amp;$B904)&amp;IF($C904="","",".dec."&amp;$C904)&amp;"."&amp;X$5</f>
        <v>egy.distn.secshh.nfm.2</v>
      </c>
      <c r="Y904" s="226">
        <f>IFERROR(SUMIF(DSecCpat,$B904,DSecHhd)/SUM(DSecHhd),0)</f>
        <v>0.0025208616432986757</v>
      </c>
      <c r="Z904" s="227">
        <f>Y904</f>
        <v>0.0025208616432986757</v>
      </c>
      <c r="AA904" s="227">
        <f>Z904</f>
        <v>0.0025208616432986757</v>
      </c>
      <c r="AB904" s="227">
        <f>AA904</f>
        <v>0.0025208616432986757</v>
      </c>
      <c r="AC904" s="227">
        <f>AB904</f>
        <v>0.0025208616432986757</v>
      </c>
      <c r="AD904" s="227">
        <f>AC904</f>
        <v>0.0025208616432986757</v>
      </c>
      <c r="AE904" s="227">
        <f>AD904</f>
        <v>0.0025208616432986757</v>
      </c>
      <c r="AF904" s="227">
        <f>AE904</f>
        <v>0.0025208616432986757</v>
      </c>
      <c r="AG904" s="227">
        <f>AF904</f>
        <v>0.0025208616432986757</v>
      </c>
      <c r="AH904" s="227">
        <f>AG904</f>
        <v>0.0025208616432986757</v>
      </c>
      <c r="AI904" s="227">
        <f>AH904</f>
        <v>0.0025208616432986757</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33" t="inlineStr">
        <is>
          <t>IO_GTAP (legacy I:K 3285-3296)</t>
        </is>
      </c>
      <c r="K905" s="9" t="str">
        <f>LOWER(CtryCode)&amp;".distn."&amp;$A905&amp;IF($B905="","","."&amp;$B905)&amp;IF($C905="","",".dec."&amp;$C905)&amp;"."&amp;K$5</f>
        <v>egy.distn.secshh.mac.1</v>
      </c>
      <c r="L905" s="226">
        <f>IFERROR(SUMIF(DSecCpat,$B905,DSecHhd)/SUM(DSecHhd),0)</f>
        <v>0.031038592414687458</v>
      </c>
      <c r="M905" s="227">
        <f>L905</f>
        <v>0.031038592414687458</v>
      </c>
      <c r="N905" s="227">
        <f>M905</f>
        <v>0.031038592414687458</v>
      </c>
      <c r="O905" s="227">
        <f>N905</f>
        <v>0.031038592414687458</v>
      </c>
      <c r="P905" s="227">
        <f>O905</f>
        <v>0.031038592414687458</v>
      </c>
      <c r="Q905" s="227">
        <f>P905</f>
        <v>0.031038592414687458</v>
      </c>
      <c r="R905" s="227">
        <f>Q905</f>
        <v>0.031038592414687458</v>
      </c>
      <c r="S905" s="227">
        <f>R905</f>
        <v>0.031038592414687458</v>
      </c>
      <c r="T905" s="227">
        <f>S905</f>
        <v>0.031038592414687458</v>
      </c>
      <c r="U905" s="227">
        <f>T905</f>
        <v>0.031038592414687458</v>
      </c>
      <c r="V905" s="227">
        <f>U905</f>
        <v>0.031038592414687458</v>
      </c>
      <c r="W905" s="207" t="str">
        <f>IF(X$5=K$5,SUM(Y905:AI905)-SUM(L905:V905),"")</f>
        <v/>
      </c>
      <c r="X905" s="9" t="str">
        <f>LOWER(CtryCode)&amp;".distn."&amp;$A905&amp;IF($B905="","","."&amp;$B905)&amp;IF($C905="","",".dec."&amp;$C905)&amp;"."&amp;X$5</f>
        <v>egy.distn.secshh.mac.2</v>
      </c>
      <c r="Y905" s="226">
        <f>IFERROR(SUMIF(DSecCpat,$B905,DSecHhd)/SUM(DSecHhd),0)</f>
        <v>0.031038592414687458</v>
      </c>
      <c r="Z905" s="227">
        <f>Y905</f>
        <v>0.031038592414687458</v>
      </c>
      <c r="AA905" s="227">
        <f>Z905</f>
        <v>0.031038592414687458</v>
      </c>
      <c r="AB905" s="227">
        <f>AA905</f>
        <v>0.031038592414687458</v>
      </c>
      <c r="AC905" s="227">
        <f>AB905</f>
        <v>0.031038592414687458</v>
      </c>
      <c r="AD905" s="227">
        <f>AC905</f>
        <v>0.031038592414687458</v>
      </c>
      <c r="AE905" s="227">
        <f>AD905</f>
        <v>0.031038592414687458</v>
      </c>
      <c r="AF905" s="227">
        <f>AE905</f>
        <v>0.031038592414687458</v>
      </c>
      <c r="AG905" s="227">
        <f>AF905</f>
        <v>0.031038592414687458</v>
      </c>
      <c r="AH905" s="227">
        <f>AG905</f>
        <v>0.031038592414687458</v>
      </c>
      <c r="AI905" s="227">
        <f>AH905</f>
        <v>0.031038592414687458</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33" t="inlineStr">
        <is>
          <t>IO_GTAP (legacy I:K 3285-3296)</t>
        </is>
      </c>
      <c r="K906" s="9" t="str">
        <f>LOWER(CtryCode)&amp;".distn."&amp;$A906&amp;IF($B906="","","."&amp;$B906)&amp;IF($C906="","",".dec."&amp;$C906)&amp;"."&amp;K$5</f>
        <v>egy.distn.secshh.cem.1</v>
      </c>
      <c r="L906" s="226">
        <f>IFERROR(SUMIF(DSecCpat,$B906,DSecHhd)/SUM(DSecHhd),0)</f>
        <v>0.015691610290041746</v>
      </c>
      <c r="M906" s="227">
        <f>L906</f>
        <v>0.015691610290041746</v>
      </c>
      <c r="N906" s="227">
        <f>M906</f>
        <v>0.015691610290041746</v>
      </c>
      <c r="O906" s="227">
        <f>N906</f>
        <v>0.015691610290041746</v>
      </c>
      <c r="P906" s="227">
        <f>O906</f>
        <v>0.015691610290041746</v>
      </c>
      <c r="Q906" s="227">
        <f>P906</f>
        <v>0.015691610290041746</v>
      </c>
      <c r="R906" s="227">
        <f>Q906</f>
        <v>0.015691610290041746</v>
      </c>
      <c r="S906" s="227">
        <f>R906</f>
        <v>0.015691610290041746</v>
      </c>
      <c r="T906" s="227">
        <f>S906</f>
        <v>0.015691610290041746</v>
      </c>
      <c r="U906" s="227">
        <f>T906</f>
        <v>0.015691610290041746</v>
      </c>
      <c r="V906" s="227">
        <f>U906</f>
        <v>0.015691610290041746</v>
      </c>
      <c r="W906" s="207" t="str">
        <f>IF(X$5=K$5,SUM(Y906:AI906)-SUM(L906:V906),"")</f>
        <v/>
      </c>
      <c r="X906" s="9" t="str">
        <f>LOWER(CtryCode)&amp;".distn."&amp;$A906&amp;IF($B906="","","."&amp;$B906)&amp;IF($C906="","",".dec."&amp;$C906)&amp;"."&amp;X$5</f>
        <v>egy.distn.secshh.cem.2</v>
      </c>
      <c r="Y906" s="226">
        <f>IFERROR(SUMIF(DSecCpat,$B906,DSecHhd)/SUM(DSecHhd),0)</f>
        <v>0.015691610290041746</v>
      </c>
      <c r="Z906" s="227">
        <f>Y906</f>
        <v>0.015691610290041746</v>
      </c>
      <c r="AA906" s="227">
        <f>Z906</f>
        <v>0.015691610290041746</v>
      </c>
      <c r="AB906" s="227">
        <f>AA906</f>
        <v>0.015691610290041746</v>
      </c>
      <c r="AC906" s="227">
        <f>AB906</f>
        <v>0.015691610290041746</v>
      </c>
      <c r="AD906" s="227">
        <f>AC906</f>
        <v>0.015691610290041746</v>
      </c>
      <c r="AE906" s="227">
        <f>AD906</f>
        <v>0.015691610290041746</v>
      </c>
      <c r="AF906" s="227">
        <f>AE906</f>
        <v>0.015691610290041746</v>
      </c>
      <c r="AG906" s="227">
        <f>AF906</f>
        <v>0.015691610290041746</v>
      </c>
      <c r="AH906" s="227">
        <f>AG906</f>
        <v>0.015691610290041746</v>
      </c>
      <c r="AI906" s="227">
        <f>AH906</f>
        <v>0.015691610290041746</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33" t="inlineStr">
        <is>
          <t>IO_GTAP (legacy I:K 3285-3296)</t>
        </is>
      </c>
      <c r="K907" s="9" t="str">
        <f>LOWER(CtryCode)&amp;".distn."&amp;$A907&amp;IF($B907="","","."&amp;$B907)&amp;IF($C907="","",".dec."&amp;$C907)&amp;"."&amp;K$5</f>
        <v>egy.distn.secshh.omn.1</v>
      </c>
      <c r="L907" s="226">
        <f>IFERROR(SUMIF(DSecCpat,$B907,DSecHhd)/SUM(DSecHhd),0)</f>
        <v>0.11933063565973362</v>
      </c>
      <c r="M907" s="227">
        <f>L907</f>
        <v>0.11933063565973362</v>
      </c>
      <c r="N907" s="227">
        <f>M907</f>
        <v>0.11933063565973362</v>
      </c>
      <c r="O907" s="227">
        <f>N907</f>
        <v>0.11933063565973362</v>
      </c>
      <c r="P907" s="227">
        <f>O907</f>
        <v>0.11933063565973362</v>
      </c>
      <c r="Q907" s="227">
        <f>P907</f>
        <v>0.11933063565973362</v>
      </c>
      <c r="R907" s="227">
        <f>Q907</f>
        <v>0.11933063565973362</v>
      </c>
      <c r="S907" s="227">
        <f>R907</f>
        <v>0.11933063565973362</v>
      </c>
      <c r="T907" s="227">
        <f>S907</f>
        <v>0.11933063565973362</v>
      </c>
      <c r="U907" s="227">
        <f>T907</f>
        <v>0.11933063565973362</v>
      </c>
      <c r="V907" s="227">
        <f>U907</f>
        <v>0.11933063565973362</v>
      </c>
      <c r="W907" s="207" t="str">
        <f>IF(X$5=K$5,SUM(Y907:AI907)-SUM(L907:V907),"")</f>
        <v/>
      </c>
      <c r="X907" s="9" t="str">
        <f>LOWER(CtryCode)&amp;".distn."&amp;$A907&amp;IF($B907="","","."&amp;$B907)&amp;IF($C907="","",".dec."&amp;$C907)&amp;"."&amp;X$5</f>
        <v>egy.distn.secshh.omn.2</v>
      </c>
      <c r="Y907" s="226">
        <f>IFERROR(SUMIF(DSecCpat,$B907,DSecHhd)/SUM(DSecHhd),0)</f>
        <v>0.11933063565973362</v>
      </c>
      <c r="Z907" s="227">
        <f>Y907</f>
        <v>0.11933063565973362</v>
      </c>
      <c r="AA907" s="227">
        <f>Z907</f>
        <v>0.11933063565973362</v>
      </c>
      <c r="AB907" s="227">
        <f>AA907</f>
        <v>0.11933063565973362</v>
      </c>
      <c r="AC907" s="227">
        <f>AB907</f>
        <v>0.11933063565973362</v>
      </c>
      <c r="AD907" s="227">
        <f>AC907</f>
        <v>0.11933063565973362</v>
      </c>
      <c r="AE907" s="227">
        <f>AD907</f>
        <v>0.11933063565973362</v>
      </c>
      <c r="AF907" s="227">
        <f>AE907</f>
        <v>0.11933063565973362</v>
      </c>
      <c r="AG907" s="227">
        <f>AF907</f>
        <v>0.11933063565973362</v>
      </c>
      <c r="AH907" s="227">
        <f>AG907</f>
        <v>0.11933063565973362</v>
      </c>
      <c r="AI907" s="227">
        <f>AH907</f>
        <v>0.11933063565973362</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33" t="inlineStr">
        <is>
          <t>IO_GTAP (legacy I:K 3285-3296)</t>
        </is>
      </c>
      <c r="K908" s="9" t="str">
        <f>LOWER(CtryCode)&amp;".distn."&amp;$A908&amp;IF($B908="","","."&amp;$B908)&amp;IF($C908="","",".dec."&amp;$C908)&amp;"."&amp;K$5</f>
        <v>egy.distn.secshh.cst.1</v>
      </c>
      <c r="L908" s="226">
        <f>IFERROR(SUMIF(DSecCpat,$B908,DSecHhd)/SUM(DSecHhd),0)</f>
        <v>0.010394952835087966</v>
      </c>
      <c r="M908" s="227">
        <f>L908</f>
        <v>0.010394952835087966</v>
      </c>
      <c r="N908" s="227">
        <f>M908</f>
        <v>0.010394952835087966</v>
      </c>
      <c r="O908" s="227">
        <f>N908</f>
        <v>0.010394952835087966</v>
      </c>
      <c r="P908" s="227">
        <f>O908</f>
        <v>0.010394952835087966</v>
      </c>
      <c r="Q908" s="227">
        <f>P908</f>
        <v>0.010394952835087966</v>
      </c>
      <c r="R908" s="227">
        <f>Q908</f>
        <v>0.010394952835087966</v>
      </c>
      <c r="S908" s="227">
        <f>R908</f>
        <v>0.010394952835087966</v>
      </c>
      <c r="T908" s="227">
        <f>S908</f>
        <v>0.010394952835087966</v>
      </c>
      <c r="U908" s="227">
        <f>T908</f>
        <v>0.010394952835087966</v>
      </c>
      <c r="V908" s="227">
        <f>U908</f>
        <v>0.010394952835087966</v>
      </c>
      <c r="W908" s="207" t="str">
        <f>IF(X$5=K$5,SUM(Y908:AI908)-SUM(L908:V908),"")</f>
        <v/>
      </c>
      <c r="X908" s="9" t="str">
        <f>LOWER(CtryCode)&amp;".distn."&amp;$A908&amp;IF($B908="","","."&amp;$B908)&amp;IF($C908="","",".dec."&amp;$C908)&amp;"."&amp;X$5</f>
        <v>egy.distn.secshh.cst.2</v>
      </c>
      <c r="Y908" s="226">
        <f>IFERROR(SUMIF(DSecCpat,$B908,DSecHhd)/SUM(DSecHhd),0)</f>
        <v>0.010394952835087966</v>
      </c>
      <c r="Z908" s="227">
        <f>Y908</f>
        <v>0.010394952835087966</v>
      </c>
      <c r="AA908" s="227">
        <f>Z908</f>
        <v>0.010394952835087966</v>
      </c>
      <c r="AB908" s="227">
        <f>AA908</f>
        <v>0.010394952835087966</v>
      </c>
      <c r="AC908" s="227">
        <f>AB908</f>
        <v>0.010394952835087966</v>
      </c>
      <c r="AD908" s="227">
        <f>AC908</f>
        <v>0.010394952835087966</v>
      </c>
      <c r="AE908" s="227">
        <f>AD908</f>
        <v>0.010394952835087966</v>
      </c>
      <c r="AF908" s="227">
        <f>AE908</f>
        <v>0.010394952835087966</v>
      </c>
      <c r="AG908" s="227">
        <f>AF908</f>
        <v>0.010394952835087966</v>
      </c>
      <c r="AH908" s="227">
        <f>AG908</f>
        <v>0.010394952835087966</v>
      </c>
      <c r="AI908" s="227">
        <f>AH908</f>
        <v>0.010394952835087966</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33" t="inlineStr">
        <is>
          <t>IO_GTAP (legacy I:K 3285-3296)</t>
        </is>
      </c>
      <c r="K909" s="9" t="str">
        <f>LOWER(CtryCode)&amp;".distn."&amp;$A909&amp;IF($B909="","","."&amp;$B909)&amp;IF($C909="","",".dec."&amp;$C909)&amp;"."&amp;K$5</f>
        <v>egy.distn.secshh.ftr.1</v>
      </c>
      <c r="L909" s="226">
        <f>IFERROR(SUMIF(DSecCpat,$B909,DSecHhd)/SUM(DSecHhd),0)</f>
        <v>0.02093453989520936</v>
      </c>
      <c r="M909" s="227">
        <f>L909</f>
        <v>0.02093453989520936</v>
      </c>
      <c r="N909" s="227">
        <f>M909</f>
        <v>0.02093453989520936</v>
      </c>
      <c r="O909" s="227">
        <f>N909</f>
        <v>0.02093453989520936</v>
      </c>
      <c r="P909" s="227">
        <f>O909</f>
        <v>0.02093453989520936</v>
      </c>
      <c r="Q909" s="227">
        <f>P909</f>
        <v>0.02093453989520936</v>
      </c>
      <c r="R909" s="227">
        <f>Q909</f>
        <v>0.02093453989520936</v>
      </c>
      <c r="S909" s="227">
        <f>R909</f>
        <v>0.02093453989520936</v>
      </c>
      <c r="T909" s="227">
        <f>S909</f>
        <v>0.02093453989520936</v>
      </c>
      <c r="U909" s="227">
        <f>T909</f>
        <v>0.02093453989520936</v>
      </c>
      <c r="V909" s="227">
        <f>U909</f>
        <v>0.02093453989520936</v>
      </c>
      <c r="W909" s="207" t="str">
        <f>IF(X$5=K$5,SUM(Y909:AI909)-SUM(L909:V909),"")</f>
        <v/>
      </c>
      <c r="X909" s="9" t="str">
        <f>LOWER(CtryCode)&amp;".distn."&amp;$A909&amp;IF($B909="","","."&amp;$B909)&amp;IF($C909="","",".dec."&amp;$C909)&amp;"."&amp;X$5</f>
        <v>egy.distn.secshh.ftr.2</v>
      </c>
      <c r="Y909" s="226">
        <f>IFERROR(SUMIF(DSecCpat,$B909,DSecHhd)/SUM(DSecHhd),0)</f>
        <v>0.02093453989520936</v>
      </c>
      <c r="Z909" s="227">
        <f>Y909</f>
        <v>0.02093453989520936</v>
      </c>
      <c r="AA909" s="227">
        <f>Z909</f>
        <v>0.02093453989520936</v>
      </c>
      <c r="AB909" s="227">
        <f>AA909</f>
        <v>0.02093453989520936</v>
      </c>
      <c r="AC909" s="227">
        <f>AB909</f>
        <v>0.02093453989520936</v>
      </c>
      <c r="AD909" s="227">
        <f>AC909</f>
        <v>0.02093453989520936</v>
      </c>
      <c r="AE909" s="227">
        <f>AD909</f>
        <v>0.02093453989520936</v>
      </c>
      <c r="AF909" s="227">
        <f>AE909</f>
        <v>0.02093453989520936</v>
      </c>
      <c r="AG909" s="227">
        <f>AF909</f>
        <v>0.02093453989520936</v>
      </c>
      <c r="AH909" s="227">
        <f>AG909</f>
        <v>0.02093453989520936</v>
      </c>
      <c r="AI909" s="227">
        <f>AH909</f>
        <v>0.02093453989520936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33" t="inlineStr">
        <is>
          <t>IO_GTAP (legacy I:K 3285-3296)</t>
        </is>
      </c>
      <c r="K910" s="9" t="str">
        <f>LOWER(CtryCode)&amp;".distn."&amp;$A910&amp;IF($B910="","","."&amp;$B910)&amp;IF($C910="","",".dec."&amp;$C910)&amp;"."&amp;K$5</f>
        <v>egy.distn.secshh.res.1</v>
      </c>
      <c r="L910" s="226">
        <f>IFERROR(SUMIF(DSecCpat,$B910,DSecHhd)/SUM(DSecHhd),0)</f>
        <v>0.04829076146143992</v>
      </c>
      <c r="M910" s="227">
        <f>L910</f>
        <v>0.04829076146143992</v>
      </c>
      <c r="N910" s="227">
        <f>M910</f>
        <v>0.04829076146143992</v>
      </c>
      <c r="O910" s="227">
        <f>N910</f>
        <v>0.04829076146143992</v>
      </c>
      <c r="P910" s="227">
        <f>O910</f>
        <v>0.04829076146143992</v>
      </c>
      <c r="Q910" s="227">
        <f>P910</f>
        <v>0.04829076146143992</v>
      </c>
      <c r="R910" s="227">
        <f>Q910</f>
        <v>0.04829076146143992</v>
      </c>
      <c r="S910" s="227">
        <f>R910</f>
        <v>0.04829076146143992</v>
      </c>
      <c r="T910" s="227">
        <f>S910</f>
        <v>0.04829076146143992</v>
      </c>
      <c r="U910" s="227">
        <f>T910</f>
        <v>0.04829076146143992</v>
      </c>
      <c r="V910" s="227">
        <f>U910</f>
        <v>0.04829076146143992</v>
      </c>
      <c r="W910" s="207" t="str">
        <f>IF(X$5=K$5,SUM(Y910:AI910)-SUM(L910:V910),"")</f>
        <v/>
      </c>
      <c r="X910" s="9" t="str">
        <f>LOWER(CtryCode)&amp;".distn."&amp;$A910&amp;IF($B910="","","."&amp;$B910)&amp;IF($C910="","",".dec."&amp;$C910)&amp;"."&amp;X$5</f>
        <v>egy.distn.secshh.res.2</v>
      </c>
      <c r="Y910" s="226">
        <f>IFERROR(SUMIF(DSecCpat,$B910,DSecHhd)/SUM(DSecHhd),0)</f>
        <v>0.04829076146143992</v>
      </c>
      <c r="Z910" s="227">
        <f>Y910</f>
        <v>0.04829076146143992</v>
      </c>
      <c r="AA910" s="227">
        <f>Z910</f>
        <v>0.04829076146143992</v>
      </c>
      <c r="AB910" s="227">
        <f>AA910</f>
        <v>0.04829076146143992</v>
      </c>
      <c r="AC910" s="227">
        <f>AB910</f>
        <v>0.04829076146143992</v>
      </c>
      <c r="AD910" s="227">
        <f>AC910</f>
        <v>0.04829076146143992</v>
      </c>
      <c r="AE910" s="227">
        <f>AD910</f>
        <v>0.04829076146143992</v>
      </c>
      <c r="AF910" s="227">
        <f>AE910</f>
        <v>0.04829076146143992</v>
      </c>
      <c r="AG910" s="227">
        <f>AF910</f>
        <v>0.04829076146143992</v>
      </c>
      <c r="AH910" s="227">
        <f>AG910</f>
        <v>0.04829076146143992</v>
      </c>
      <c r="AI910" s="227">
        <f>AH910</f>
        <v>0.04829076146143992</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33" t="inlineStr">
        <is>
          <t>IO_GTAP (legacy I:K 3285-3296)</t>
        </is>
      </c>
      <c r="K911" s="9" t="str">
        <f>LOWER(CtryCode)&amp;".distn."&amp;$A911&amp;IF($B911="","","."&amp;$B911)&amp;IF($C911="","",".dec."&amp;$C911)&amp;"."&amp;K$5</f>
        <v>egy.distn.secshh.pow.1</v>
      </c>
      <c r="L911" s="226">
        <f>IFERROR(SUMIF(DSecCpat,$B911,DSecHhd)/SUM(DSecHhd),0)</f>
        <v>0.018183332707993514</v>
      </c>
      <c r="M911" s="227">
        <f>L911</f>
        <v>0.018183332707993514</v>
      </c>
      <c r="N911" s="227">
        <f>M911</f>
        <v>0.018183332707993514</v>
      </c>
      <c r="O911" s="227">
        <f>N911</f>
        <v>0.018183332707993514</v>
      </c>
      <c r="P911" s="227">
        <f>O911</f>
        <v>0.018183332707993514</v>
      </c>
      <c r="Q911" s="227">
        <f>P911</f>
        <v>0.018183332707993514</v>
      </c>
      <c r="R911" s="227">
        <f>Q911</f>
        <v>0.018183332707993514</v>
      </c>
      <c r="S911" s="227">
        <f>R911</f>
        <v>0.018183332707993514</v>
      </c>
      <c r="T911" s="227">
        <f>S911</f>
        <v>0.018183332707993514</v>
      </c>
      <c r="U911" s="227">
        <f>T911</f>
        <v>0.018183332707993514</v>
      </c>
      <c r="V911" s="227">
        <f>U911</f>
        <v>0.018183332707993514</v>
      </c>
      <c r="W911" s="207" t="str">
        <f>IF(X$5=K$5,SUM(Y911:AI911)-SUM(L911:V911),"")</f>
        <v/>
      </c>
      <c r="X911" s="9" t="str">
        <f>LOWER(CtryCode)&amp;".distn."&amp;$A911&amp;IF($B911="","","."&amp;$B911)&amp;IF($C911="","",".dec."&amp;$C911)&amp;"."&amp;X$5</f>
        <v>egy.distn.secshh.pow.2</v>
      </c>
      <c r="Y911" s="226">
        <f>IFERROR(SUMIF(DSecCpat,$B911,DSecHhd)/SUM(DSecHhd),0)</f>
        <v>0.018183332707993514</v>
      </c>
      <c r="Z911" s="227">
        <f>Y911</f>
        <v>0.018183332707993514</v>
      </c>
      <c r="AA911" s="227">
        <f>Z911</f>
        <v>0.018183332707993514</v>
      </c>
      <c r="AB911" s="227">
        <f>AA911</f>
        <v>0.018183332707993514</v>
      </c>
      <c r="AC911" s="227">
        <f>AB911</f>
        <v>0.018183332707993514</v>
      </c>
      <c r="AD911" s="227">
        <f>AC911</f>
        <v>0.018183332707993514</v>
      </c>
      <c r="AE911" s="227">
        <f>AD911</f>
        <v>0.018183332707993514</v>
      </c>
      <c r="AF911" s="227">
        <f>AE911</f>
        <v>0.018183332707993514</v>
      </c>
      <c r="AG911" s="227">
        <f>AF911</f>
        <v>0.018183332707993514</v>
      </c>
      <c r="AH911" s="227">
        <f>AG911</f>
        <v>0.018183332707993514</v>
      </c>
      <c r="AI911" s="227">
        <f>AH911</f>
        <v>0.018183332707993514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33" t="inlineStr">
        <is>
          <t>IO_GTAP (legacy I:K 3285-3296)</t>
        </is>
      </c>
      <c r="K912" s="9" t="str">
        <f>LOWER(CtryCode)&amp;".distn."&amp;$A912&amp;IF($B912="","","."&amp;$B912)&amp;IF($C912="","",".dec."&amp;$C912)&amp;"."&amp;K$5</f>
        <v>egy.distn.secsout.avi.1</v>
      </c>
      <c r="L912" s="226">
        <f>IFERROR(SUMIF(DSecCpat,$B912,DSecOut)/SUM(DSecOut),0)</f>
        <v>0.0068304854069693105</v>
      </c>
      <c r="M912" s="227">
        <f>L912</f>
        <v>0.0068304854069693105</v>
      </c>
      <c r="N912" s="227">
        <f>M912</f>
        <v>0.0068304854069693105</v>
      </c>
      <c r="O912" s="227">
        <f>N912</f>
        <v>0.0068304854069693105</v>
      </c>
      <c r="P912" s="227">
        <f>O912</f>
        <v>0.0068304854069693105</v>
      </c>
      <c r="Q912" s="227">
        <f>P912</f>
        <v>0.0068304854069693105</v>
      </c>
      <c r="R912" s="227">
        <f>Q912</f>
        <v>0.0068304854069693105</v>
      </c>
      <c r="S912" s="227">
        <f>R912</f>
        <v>0.0068304854069693105</v>
      </c>
      <c r="T912" s="227">
        <f>S912</f>
        <v>0.0068304854069693105</v>
      </c>
      <c r="U912" s="227">
        <f>T912</f>
        <v>0.0068304854069693105</v>
      </c>
      <c r="V912" s="227">
        <f>U912</f>
        <v>0.0068304854069693105</v>
      </c>
      <c r="W912" s="207" t="str">
        <f>IF(X$5=K$5,SUM(Y912:AI912)-SUM(L912:V912),"")</f>
        <v/>
      </c>
      <c r="X912" s="9" t="str">
        <f>LOWER(CtryCode)&amp;".distn."&amp;$A912&amp;IF($B912="","","."&amp;$B912)&amp;IF($C912="","",".dec."&amp;$C912)&amp;"."&amp;X$5</f>
        <v>egy.distn.secsout.avi.2</v>
      </c>
      <c r="Y912" s="226">
        <f>IFERROR(SUMIF(DSecCpat,$B912,DSecOut)/SUM(DSecOut),0)</f>
        <v>0.0068304854069693105</v>
      </c>
      <c r="Z912" s="227">
        <f>Y912</f>
        <v>0.0068304854069693105</v>
      </c>
      <c r="AA912" s="227">
        <f>Z912</f>
        <v>0.0068304854069693105</v>
      </c>
      <c r="AB912" s="227">
        <f>AA912</f>
        <v>0.0068304854069693105</v>
      </c>
      <c r="AC912" s="227">
        <f>AB912</f>
        <v>0.0068304854069693105</v>
      </c>
      <c r="AD912" s="227">
        <f>AC912</f>
        <v>0.0068304854069693105</v>
      </c>
      <c r="AE912" s="227">
        <f>AD912</f>
        <v>0.0068304854069693105</v>
      </c>
      <c r="AF912" s="227">
        <f>AE912</f>
        <v>0.0068304854069693105</v>
      </c>
      <c r="AG912" s="227">
        <f>AF912</f>
        <v>0.0068304854069693105</v>
      </c>
      <c r="AH912" s="227">
        <f>AG912</f>
        <v>0.0068304854069693105</v>
      </c>
      <c r="AI912" s="227">
        <f>AH912</f>
        <v>0.0068304854069693105</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33" t="inlineStr">
        <is>
          <t>IO_GTAP (legacy I:K 3285-3296)</t>
        </is>
      </c>
      <c r="K913" s="9" t="str">
        <f>LOWER(CtryCode)&amp;".distn."&amp;$A913&amp;IF($B913="","","."&amp;$B913)&amp;IF($C913="","",".dec."&amp;$C913)&amp;"."&amp;K$5</f>
        <v>egy.distn.secsout.nav.1</v>
      </c>
      <c r="L913" s="226">
        <f>IFERROR(SUMIF(DSecCpat,$B913,DSecOut)/SUM(DSecOut),0)</f>
        <v>0.045059339300433654</v>
      </c>
      <c r="M913" s="227">
        <f>L913</f>
        <v>0.045059339300433654</v>
      </c>
      <c r="N913" s="227">
        <f>M913</f>
        <v>0.045059339300433654</v>
      </c>
      <c r="O913" s="227">
        <f>N913</f>
        <v>0.045059339300433654</v>
      </c>
      <c r="P913" s="227">
        <f>O913</f>
        <v>0.045059339300433654</v>
      </c>
      <c r="Q913" s="227">
        <f>P913</f>
        <v>0.045059339300433654</v>
      </c>
      <c r="R913" s="227">
        <f>Q913</f>
        <v>0.045059339300433654</v>
      </c>
      <c r="S913" s="227">
        <f>R913</f>
        <v>0.045059339300433654</v>
      </c>
      <c r="T913" s="227">
        <f>S913</f>
        <v>0.045059339300433654</v>
      </c>
      <c r="U913" s="227">
        <f>T913</f>
        <v>0.045059339300433654</v>
      </c>
      <c r="V913" s="227">
        <f>U913</f>
        <v>0.045059339300433654</v>
      </c>
      <c r="W913" s="207" t="str">
        <f>IF(X$5=K$5,SUM(Y913:AI913)-SUM(L913:V913),"")</f>
        <v/>
      </c>
      <c r="X913" s="9" t="str">
        <f>LOWER(CtryCode)&amp;".distn."&amp;$A913&amp;IF($B913="","","."&amp;$B913)&amp;IF($C913="","",".dec."&amp;$C913)&amp;"."&amp;X$5</f>
        <v>egy.distn.secsout.nav.2</v>
      </c>
      <c r="Y913" s="226">
        <f>IFERROR(SUMIF(DSecCpat,$B913,DSecOut)/SUM(DSecOut),0)</f>
        <v>0.045059339300433654</v>
      </c>
      <c r="Z913" s="227">
        <f>Y913</f>
        <v>0.045059339300433654</v>
      </c>
      <c r="AA913" s="227">
        <f>Z913</f>
        <v>0.045059339300433654</v>
      </c>
      <c r="AB913" s="227">
        <f>AA913</f>
        <v>0.045059339300433654</v>
      </c>
      <c r="AC913" s="227">
        <f>AB913</f>
        <v>0.045059339300433654</v>
      </c>
      <c r="AD913" s="227">
        <f>AC913</f>
        <v>0.045059339300433654</v>
      </c>
      <c r="AE913" s="227">
        <f>AD913</f>
        <v>0.045059339300433654</v>
      </c>
      <c r="AF913" s="227">
        <f>AE913</f>
        <v>0.045059339300433654</v>
      </c>
      <c r="AG913" s="227">
        <f>AF913</f>
        <v>0.045059339300433654</v>
      </c>
      <c r="AH913" s="227">
        <f>AG913</f>
        <v>0.045059339300433654</v>
      </c>
      <c r="AI913" s="227">
        <f>AH913</f>
        <v>0.045059339300433654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33" t="inlineStr">
        <is>
          <t>IO_GTAP (legacy I:K 3285-3296)</t>
        </is>
      </c>
      <c r="K914" s="9" t="str">
        <f>LOWER(CtryCode)&amp;".distn."&amp;$A914&amp;IF($B914="","","."&amp;$B914)&amp;IF($C914="","",".dec."&amp;$C914)&amp;"."&amp;K$5</f>
        <v>egy.distn.secsout.foo.1</v>
      </c>
      <c r="L914" s="226">
        <f>IFERROR(SUMIF(DSecCpat,$B914,DSecOut)/SUM(DSecOut),0)</f>
        <v>0.2285589854099775</v>
      </c>
      <c r="M914" s="227">
        <f>L914</f>
        <v>0.2285589854099775</v>
      </c>
      <c r="N914" s="227">
        <f>M914</f>
        <v>0.2285589854099775</v>
      </c>
      <c r="O914" s="227">
        <f>N914</f>
        <v>0.2285589854099775</v>
      </c>
      <c r="P914" s="227">
        <f>O914</f>
        <v>0.2285589854099775</v>
      </c>
      <c r="Q914" s="227">
        <f>P914</f>
        <v>0.2285589854099775</v>
      </c>
      <c r="R914" s="227">
        <f>Q914</f>
        <v>0.2285589854099775</v>
      </c>
      <c r="S914" s="227">
        <f>R914</f>
        <v>0.2285589854099775</v>
      </c>
      <c r="T914" s="227">
        <f>S914</f>
        <v>0.2285589854099775</v>
      </c>
      <c r="U914" s="227">
        <f>T914</f>
        <v>0.2285589854099775</v>
      </c>
      <c r="V914" s="227">
        <f>U914</f>
        <v>0.2285589854099775</v>
      </c>
      <c r="W914" s="207" t="str">
        <f>IF(X$5=K$5,SUM(Y914:AI914)-SUM(L914:V914),"")</f>
        <v/>
      </c>
      <c r="X914" s="9" t="str">
        <f>LOWER(CtryCode)&amp;".distn."&amp;$A914&amp;IF($B914="","","."&amp;$B914)&amp;IF($C914="","",".dec."&amp;$C914)&amp;"."&amp;X$5</f>
        <v>egy.distn.secsout.foo.2</v>
      </c>
      <c r="Y914" s="226">
        <f>IFERROR(SUMIF(DSecCpat,$B914,DSecOut)/SUM(DSecOut),0)</f>
        <v>0.2285589854099775</v>
      </c>
      <c r="Z914" s="227">
        <f>Y914</f>
        <v>0.2285589854099775</v>
      </c>
      <c r="AA914" s="227">
        <f>Z914</f>
        <v>0.2285589854099775</v>
      </c>
      <c r="AB914" s="227">
        <f>AA914</f>
        <v>0.2285589854099775</v>
      </c>
      <c r="AC914" s="227">
        <f>AB914</f>
        <v>0.2285589854099775</v>
      </c>
      <c r="AD914" s="227">
        <f>AC914</f>
        <v>0.2285589854099775</v>
      </c>
      <c r="AE914" s="227">
        <f>AD914</f>
        <v>0.2285589854099775</v>
      </c>
      <c r="AF914" s="227">
        <f>AE914</f>
        <v>0.2285589854099775</v>
      </c>
      <c r="AG914" s="227">
        <f>AF914</f>
        <v>0.2285589854099775</v>
      </c>
      <c r="AH914" s="227">
        <f>AG914</f>
        <v>0.2285589854099775</v>
      </c>
      <c r="AI914" s="227">
        <f>AH914</f>
        <v>0.2285589854099775</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33" t="inlineStr">
        <is>
          <t>IO_GTAP (legacy I:K 3285-3296)</t>
        </is>
      </c>
      <c r="K915" s="9" t="str">
        <f>LOWER(CtryCode)&amp;".distn."&amp;$A915&amp;IF($B915="","","."&amp;$B915)&amp;IF($C915="","",".dec."&amp;$C915)&amp;"."&amp;K$5</f>
        <v>egy.distn.secsout.srv.1</v>
      </c>
      <c r="L915" s="226">
        <f>IFERROR(SUMIF(DSecCpat,$B915,DSecOut)/SUM(DSecOut),0)</f>
        <v>0.3244422596462645</v>
      </c>
      <c r="M915" s="227">
        <f>L915</f>
        <v>0.3244422596462645</v>
      </c>
      <c r="N915" s="227">
        <f>M915</f>
        <v>0.3244422596462645</v>
      </c>
      <c r="O915" s="227">
        <f>N915</f>
        <v>0.3244422596462645</v>
      </c>
      <c r="P915" s="227">
        <f>O915</f>
        <v>0.3244422596462645</v>
      </c>
      <c r="Q915" s="227">
        <f>P915</f>
        <v>0.3244422596462645</v>
      </c>
      <c r="R915" s="227">
        <f>Q915</f>
        <v>0.3244422596462645</v>
      </c>
      <c r="S915" s="227">
        <f>R915</f>
        <v>0.3244422596462645</v>
      </c>
      <c r="T915" s="227">
        <f>S915</f>
        <v>0.3244422596462645</v>
      </c>
      <c r="U915" s="227">
        <f>T915</f>
        <v>0.3244422596462645</v>
      </c>
      <c r="V915" s="227">
        <f>U915</f>
        <v>0.3244422596462645</v>
      </c>
      <c r="W915" s="207" t="str">
        <f>IF(X$5=K$5,SUM(Y915:AI915)-SUM(L915:V915),"")</f>
        <v/>
      </c>
      <c r="X915" s="9" t="str">
        <f>LOWER(CtryCode)&amp;".distn."&amp;$A915&amp;IF($B915="","","."&amp;$B915)&amp;IF($C915="","",".dec."&amp;$C915)&amp;"."&amp;X$5</f>
        <v>egy.distn.secsout.srv.2</v>
      </c>
      <c r="Y915" s="226">
        <f>IFERROR(SUMIF(DSecCpat,$B915,DSecOut)/SUM(DSecOut),0)</f>
        <v>0.3244422596462645</v>
      </c>
      <c r="Z915" s="227">
        <f>Y915</f>
        <v>0.3244422596462645</v>
      </c>
      <c r="AA915" s="227">
        <f>Z915</f>
        <v>0.3244422596462645</v>
      </c>
      <c r="AB915" s="227">
        <f>AA915</f>
        <v>0.3244422596462645</v>
      </c>
      <c r="AC915" s="227">
        <f>AB915</f>
        <v>0.3244422596462645</v>
      </c>
      <c r="AD915" s="227">
        <f>AC915</f>
        <v>0.3244422596462645</v>
      </c>
      <c r="AE915" s="227">
        <f>AD915</f>
        <v>0.3244422596462645</v>
      </c>
      <c r="AF915" s="227">
        <f>AE915</f>
        <v>0.3244422596462645</v>
      </c>
      <c r="AG915" s="227">
        <f>AF915</f>
        <v>0.3244422596462645</v>
      </c>
      <c r="AH915" s="227">
        <f>AG915</f>
        <v>0.3244422596462645</v>
      </c>
      <c r="AI915" s="227">
        <f>AH915</f>
        <v>0.3244422596462645</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33" t="inlineStr">
        <is>
          <t>IO_GTAP (legacy I:K 3285-3296)</t>
        </is>
      </c>
      <c r="K916" s="9" t="str">
        <f>LOWER(CtryCode)&amp;".distn."&amp;$A916&amp;IF($B916="","","."&amp;$B916)&amp;IF($C916="","",".dec."&amp;$C916)&amp;"."&amp;K$5</f>
        <v>egy.distn.secsout.mch.1</v>
      </c>
      <c r="L916" s="226">
        <f>IFERROR(SUMIF(DSecCpat,$B916,DSecOut)/SUM(DSecOut),0)</f>
        <v>0.02828909863055296</v>
      </c>
      <c r="M916" s="227">
        <f>L916</f>
        <v>0.02828909863055296</v>
      </c>
      <c r="N916" s="227">
        <f>M916</f>
        <v>0.02828909863055296</v>
      </c>
      <c r="O916" s="227">
        <f>N916</f>
        <v>0.02828909863055296</v>
      </c>
      <c r="P916" s="227">
        <f>O916</f>
        <v>0.02828909863055296</v>
      </c>
      <c r="Q916" s="227">
        <f>P916</f>
        <v>0.02828909863055296</v>
      </c>
      <c r="R916" s="227">
        <f>Q916</f>
        <v>0.02828909863055296</v>
      </c>
      <c r="S916" s="227">
        <f>R916</f>
        <v>0.02828909863055296</v>
      </c>
      <c r="T916" s="227">
        <f>S916</f>
        <v>0.02828909863055296</v>
      </c>
      <c r="U916" s="227">
        <f>T916</f>
        <v>0.02828909863055296</v>
      </c>
      <c r="V916" s="227">
        <f>U916</f>
        <v>0.02828909863055296</v>
      </c>
      <c r="W916" s="207" t="str">
        <f>IF(X$5=K$5,SUM(Y916:AI916)-SUM(L916:V916),"")</f>
        <v/>
      </c>
      <c r="X916" s="9" t="str">
        <f>LOWER(CtryCode)&amp;".distn."&amp;$A916&amp;IF($B916="","","."&amp;$B916)&amp;IF($C916="","",".dec."&amp;$C916)&amp;"."&amp;X$5</f>
        <v>egy.distn.secsout.mch.2</v>
      </c>
      <c r="Y916" s="226">
        <f>IFERROR(SUMIF(DSecCpat,$B916,DSecOut)/SUM(DSecOut),0)</f>
        <v>0.02828909863055296</v>
      </c>
      <c r="Z916" s="227">
        <f>Y916</f>
        <v>0.02828909863055296</v>
      </c>
      <c r="AA916" s="227">
        <f>Z916</f>
        <v>0.02828909863055296</v>
      </c>
      <c r="AB916" s="227">
        <f>AA916</f>
        <v>0.02828909863055296</v>
      </c>
      <c r="AC916" s="227">
        <f>AB916</f>
        <v>0.02828909863055296</v>
      </c>
      <c r="AD916" s="227">
        <f>AC916</f>
        <v>0.02828909863055296</v>
      </c>
      <c r="AE916" s="227">
        <f>AD916</f>
        <v>0.02828909863055296</v>
      </c>
      <c r="AF916" s="227">
        <f>AE916</f>
        <v>0.02828909863055296</v>
      </c>
      <c r="AG916" s="227">
        <f>AF916</f>
        <v>0.02828909863055296</v>
      </c>
      <c r="AH916" s="227">
        <f>AG916</f>
        <v>0.02828909863055296</v>
      </c>
      <c r="AI916" s="227">
        <f>AH916</f>
        <v>0.02828909863055296</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33" t="inlineStr">
        <is>
          <t>IO_GTAP (legacy I:K 3285-3296)</t>
        </is>
      </c>
      <c r="K917" s="9" t="str">
        <f>LOWER(CtryCode)&amp;".distn."&amp;$A917&amp;IF($B917="","","."&amp;$B917)&amp;IF($C917="","",".dec."&amp;$C917)&amp;"."&amp;K$5</f>
        <v>egy.distn.secsout.irn.1</v>
      </c>
      <c r="L917" s="226">
        <f>IFERROR(SUMIF(DSecCpat,$B917,DSecOut)/SUM(DSecOut),0)</f>
        <v>0.006037517702718237</v>
      </c>
      <c r="M917" s="227">
        <f>L917</f>
        <v>0.006037517702718237</v>
      </c>
      <c r="N917" s="227">
        <f>M917</f>
        <v>0.006037517702718237</v>
      </c>
      <c r="O917" s="227">
        <f>N917</f>
        <v>0.006037517702718237</v>
      </c>
      <c r="P917" s="227">
        <f>O917</f>
        <v>0.006037517702718237</v>
      </c>
      <c r="Q917" s="227">
        <f>P917</f>
        <v>0.006037517702718237</v>
      </c>
      <c r="R917" s="227">
        <f>Q917</f>
        <v>0.006037517702718237</v>
      </c>
      <c r="S917" s="227">
        <f>R917</f>
        <v>0.006037517702718237</v>
      </c>
      <c r="T917" s="227">
        <f>S917</f>
        <v>0.006037517702718237</v>
      </c>
      <c r="U917" s="227">
        <f>T917</f>
        <v>0.006037517702718237</v>
      </c>
      <c r="V917" s="227">
        <f>U917</f>
        <v>0.006037517702718237</v>
      </c>
      <c r="W917" s="207" t="str">
        <f>IF(X$5=K$5,SUM(Y917:AI917)-SUM(L917:V917),"")</f>
        <v/>
      </c>
      <c r="X917" s="9" t="str">
        <f>LOWER(CtryCode)&amp;".distn."&amp;$A917&amp;IF($B917="","","."&amp;$B917)&amp;IF($C917="","",".dec."&amp;$C917)&amp;"."&amp;X$5</f>
        <v>egy.distn.secsout.irn.2</v>
      </c>
      <c r="Y917" s="226">
        <f>IFERROR(SUMIF(DSecCpat,$B917,DSecOut)/SUM(DSecOut),0)</f>
        <v>0.006037517702718237</v>
      </c>
      <c r="Z917" s="227">
        <f>Y917</f>
        <v>0.006037517702718237</v>
      </c>
      <c r="AA917" s="227">
        <f>Z917</f>
        <v>0.006037517702718237</v>
      </c>
      <c r="AB917" s="227">
        <f>AA917</f>
        <v>0.006037517702718237</v>
      </c>
      <c r="AC917" s="227">
        <f>AB917</f>
        <v>0.006037517702718237</v>
      </c>
      <c r="AD917" s="227">
        <f>AC917</f>
        <v>0.006037517702718237</v>
      </c>
      <c r="AE917" s="227">
        <f>AD917</f>
        <v>0.006037517702718237</v>
      </c>
      <c r="AF917" s="227">
        <f>AE917</f>
        <v>0.006037517702718237</v>
      </c>
      <c r="AG917" s="227">
        <f>AF917</f>
        <v>0.006037517702718237</v>
      </c>
      <c r="AH917" s="227">
        <f>AG917</f>
        <v>0.006037517702718237</v>
      </c>
      <c r="AI917" s="227">
        <f>AH917</f>
        <v>0.006037517702718237</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33" t="inlineStr">
        <is>
          <t>IO_GTAP (legacy I:K 3285-3296)</t>
        </is>
      </c>
      <c r="K918" s="9" t="str">
        <f>LOWER(CtryCode)&amp;".distn."&amp;$A918&amp;IF($B918="","","."&amp;$B918)&amp;IF($C918="","",".dec."&amp;$C918)&amp;"."&amp;K$5</f>
        <v>egy.distn.secsout.nfm.1</v>
      </c>
      <c r="L918" s="226">
        <f>IFERROR(SUMIF(DSecCpat,$B918,DSecOut)/SUM(DSecOut),0)</f>
        <v>0.010475700727685245</v>
      </c>
      <c r="M918" s="227">
        <f>L918</f>
        <v>0.010475700727685245</v>
      </c>
      <c r="N918" s="227">
        <f>M918</f>
        <v>0.010475700727685245</v>
      </c>
      <c r="O918" s="227">
        <f>N918</f>
        <v>0.010475700727685245</v>
      </c>
      <c r="P918" s="227">
        <f>O918</f>
        <v>0.010475700727685245</v>
      </c>
      <c r="Q918" s="227">
        <f>P918</f>
        <v>0.010475700727685245</v>
      </c>
      <c r="R918" s="227">
        <f>Q918</f>
        <v>0.010475700727685245</v>
      </c>
      <c r="S918" s="227">
        <f>R918</f>
        <v>0.010475700727685245</v>
      </c>
      <c r="T918" s="227">
        <f>S918</f>
        <v>0.010475700727685245</v>
      </c>
      <c r="U918" s="227">
        <f>T918</f>
        <v>0.010475700727685245</v>
      </c>
      <c r="V918" s="227">
        <f>U918</f>
        <v>0.010475700727685245</v>
      </c>
      <c r="W918" s="207" t="str">
        <f>IF(X$5=K$5,SUM(Y918:AI918)-SUM(L918:V918),"")</f>
        <v/>
      </c>
      <c r="X918" s="9" t="str">
        <f>LOWER(CtryCode)&amp;".distn."&amp;$A918&amp;IF($B918="","","."&amp;$B918)&amp;IF($C918="","",".dec."&amp;$C918)&amp;"."&amp;X$5</f>
        <v>egy.distn.secsout.nfm.2</v>
      </c>
      <c r="Y918" s="226">
        <f>IFERROR(SUMIF(DSecCpat,$B918,DSecOut)/SUM(DSecOut),0)</f>
        <v>0.010475700727685245</v>
      </c>
      <c r="Z918" s="227">
        <f>Y918</f>
        <v>0.010475700727685245</v>
      </c>
      <c r="AA918" s="227">
        <f>Z918</f>
        <v>0.010475700727685245</v>
      </c>
      <c r="AB918" s="227">
        <f>AA918</f>
        <v>0.010475700727685245</v>
      </c>
      <c r="AC918" s="227">
        <f>AB918</f>
        <v>0.010475700727685245</v>
      </c>
      <c r="AD918" s="227">
        <f>AC918</f>
        <v>0.010475700727685245</v>
      </c>
      <c r="AE918" s="227">
        <f>AD918</f>
        <v>0.010475700727685245</v>
      </c>
      <c r="AF918" s="227">
        <f>AE918</f>
        <v>0.010475700727685245</v>
      </c>
      <c r="AG918" s="227">
        <f>AF918</f>
        <v>0.010475700727685245</v>
      </c>
      <c r="AH918" s="227">
        <f>AG918</f>
        <v>0.010475700727685245</v>
      </c>
      <c r="AI918" s="227">
        <f>AH918</f>
        <v>0.010475700727685245</v>
      </c>
    </row>
    <row r="919" hidden="1" outlineLevel="1">
      <c r="A919" s="62" t="inlineStr">
        <is>
          <t>secsout</t>
        </is>
      </c>
      <c r="B919" s="3" t="inlineStr">
        <is>
          <t>mac</t>
        </is>
      </c>
      <c r="C919" s="3" t="inlineStr"/>
      <c r="D919" s="3" t="n"/>
      <c r="E919" s="3" t="n"/>
      <c r="H919" s="3" t="inlineStr">
        <is>
          <t>Machinery: share of output</t>
        </is>
      </c>
      <c r="I919" s="3" t="inlineStr">
        <is>
          <t>fraction</t>
        </is>
      </c>
      <c r="J919" s="133" t="inlineStr">
        <is>
          <t>IO_GTAP (legacy I:K 3285-3296)</t>
        </is>
      </c>
      <c r="K919" s="9" t="str">
        <f>LOWER(CtryCode)&amp;".distn."&amp;$A919&amp;IF($B919="","","."&amp;$B919)&amp;IF($C919="","",".dec."&amp;$C919)&amp;"."&amp;K$5</f>
        <v>egy.distn.secsout.mac.1</v>
      </c>
      <c r="L919" s="226">
        <f>IFERROR(SUMIF(DSecCpat,$B919,DSecOut)/SUM(DSecOut),0)</f>
        <v>0.04629454536732315</v>
      </c>
      <c r="M919" s="227">
        <f>L919</f>
        <v>0.04629454536732315</v>
      </c>
      <c r="N919" s="227">
        <f>M919</f>
        <v>0.04629454536732315</v>
      </c>
      <c r="O919" s="227">
        <f>N919</f>
        <v>0.04629454536732315</v>
      </c>
      <c r="P919" s="227">
        <f>O919</f>
        <v>0.04629454536732315</v>
      </c>
      <c r="Q919" s="227">
        <f>P919</f>
        <v>0.04629454536732315</v>
      </c>
      <c r="R919" s="227">
        <f>Q919</f>
        <v>0.04629454536732315</v>
      </c>
      <c r="S919" s="227">
        <f>R919</f>
        <v>0.04629454536732315</v>
      </c>
      <c r="T919" s="227">
        <f>S919</f>
        <v>0.04629454536732315</v>
      </c>
      <c r="U919" s="227">
        <f>T919</f>
        <v>0.04629454536732315</v>
      </c>
      <c r="V919" s="227">
        <f>U919</f>
        <v>0.04629454536732315</v>
      </c>
      <c r="W919" s="207" t="str">
        <f>IF(X$5=K$5,SUM(Y919:AI919)-SUM(L919:V919),"")</f>
        <v/>
      </c>
      <c r="X919" s="9" t="str">
        <f>LOWER(CtryCode)&amp;".distn."&amp;$A919&amp;IF($B919="","","."&amp;$B919)&amp;IF($C919="","",".dec."&amp;$C919)&amp;"."&amp;X$5</f>
        <v>egy.distn.secsout.mac.2</v>
      </c>
      <c r="Y919" s="226">
        <f>IFERROR(SUMIF(DSecCpat,$B919,DSecOut)/SUM(DSecOut),0)</f>
        <v>0.04629454536732315</v>
      </c>
      <c r="Z919" s="227">
        <f>Y919</f>
        <v>0.04629454536732315</v>
      </c>
      <c r="AA919" s="227">
        <f>Z919</f>
        <v>0.04629454536732315</v>
      </c>
      <c r="AB919" s="227">
        <f>AA919</f>
        <v>0.04629454536732315</v>
      </c>
      <c r="AC919" s="227">
        <f>AB919</f>
        <v>0.04629454536732315</v>
      </c>
      <c r="AD919" s="227">
        <f>AC919</f>
        <v>0.04629454536732315</v>
      </c>
      <c r="AE919" s="227">
        <f>AD919</f>
        <v>0.04629454536732315</v>
      </c>
      <c r="AF919" s="227">
        <f>AE919</f>
        <v>0.04629454536732315</v>
      </c>
      <c r="AG919" s="227">
        <f>AF919</f>
        <v>0.04629454536732315</v>
      </c>
      <c r="AH919" s="227">
        <f>AG919</f>
        <v>0.04629454536732315</v>
      </c>
      <c r="AI919" s="227">
        <f>AH919</f>
        <v>0.04629454536732315</v>
      </c>
    </row>
    <row r="920" hidden="1" outlineLevel="1">
      <c r="A920" s="62" t="inlineStr">
        <is>
          <t>secsout</t>
        </is>
      </c>
      <c r="B920" s="3" t="inlineStr">
        <is>
          <t>cem</t>
        </is>
      </c>
      <c r="C920" s="3" t="inlineStr"/>
      <c r="D920" s="3" t="n"/>
      <c r="E920" s="3" t="n"/>
      <c r="H920" s="3" t="inlineStr">
        <is>
          <t>Cement: share of output</t>
        </is>
      </c>
      <c r="I920" s="3" t="inlineStr">
        <is>
          <t>fraction</t>
        </is>
      </c>
      <c r="J920" s="133" t="inlineStr">
        <is>
          <t>IO_GTAP (legacy I:K 3285-3296)</t>
        </is>
      </c>
      <c r="K920" s="9" t="str">
        <f>LOWER(CtryCode)&amp;".distn."&amp;$A920&amp;IF($B920="","","."&amp;$B920)&amp;IF($C920="","",".dec."&amp;$C920)&amp;"."&amp;K$5</f>
        <v>egy.distn.secsout.cem.1</v>
      </c>
      <c r="L920" s="226">
        <f>IFERROR(SUMIF(DSecCpat,$B920,DSecOut)/SUM(DSecOut),0)</f>
        <v>0.022350582386243198</v>
      </c>
      <c r="M920" s="227">
        <f>L920</f>
        <v>0.022350582386243198</v>
      </c>
      <c r="N920" s="227">
        <f>M920</f>
        <v>0.022350582386243198</v>
      </c>
      <c r="O920" s="227">
        <f>N920</f>
        <v>0.022350582386243198</v>
      </c>
      <c r="P920" s="227">
        <f>O920</f>
        <v>0.022350582386243198</v>
      </c>
      <c r="Q920" s="227">
        <f>P920</f>
        <v>0.022350582386243198</v>
      </c>
      <c r="R920" s="227">
        <f>Q920</f>
        <v>0.022350582386243198</v>
      </c>
      <c r="S920" s="227">
        <f>R920</f>
        <v>0.022350582386243198</v>
      </c>
      <c r="T920" s="227">
        <f>S920</f>
        <v>0.022350582386243198</v>
      </c>
      <c r="U920" s="227">
        <f>T920</f>
        <v>0.022350582386243198</v>
      </c>
      <c r="V920" s="227">
        <f>U920</f>
        <v>0.022350582386243198</v>
      </c>
      <c r="W920" s="207" t="str">
        <f>IF(X$5=K$5,SUM(Y920:AI920)-SUM(L920:V920),"")</f>
        <v/>
      </c>
      <c r="X920" s="9" t="str">
        <f>LOWER(CtryCode)&amp;".distn."&amp;$A920&amp;IF($B920="","","."&amp;$B920)&amp;IF($C920="","",".dec."&amp;$C920)&amp;"."&amp;X$5</f>
        <v>egy.distn.secsout.cem.2</v>
      </c>
      <c r="Y920" s="226">
        <f>IFERROR(SUMIF(DSecCpat,$B920,DSecOut)/SUM(DSecOut),0)</f>
        <v>0.022350582386243198</v>
      </c>
      <c r="Z920" s="227">
        <f>Y920</f>
        <v>0.022350582386243198</v>
      </c>
      <c r="AA920" s="227">
        <f>Z920</f>
        <v>0.022350582386243198</v>
      </c>
      <c r="AB920" s="227">
        <f>AA920</f>
        <v>0.022350582386243198</v>
      </c>
      <c r="AC920" s="227">
        <f>AB920</f>
        <v>0.022350582386243198</v>
      </c>
      <c r="AD920" s="227">
        <f>AC920</f>
        <v>0.022350582386243198</v>
      </c>
      <c r="AE920" s="227">
        <f>AD920</f>
        <v>0.022350582386243198</v>
      </c>
      <c r="AF920" s="227">
        <f>AE920</f>
        <v>0.022350582386243198</v>
      </c>
      <c r="AG920" s="227">
        <f>AF920</f>
        <v>0.022350582386243198</v>
      </c>
      <c r="AH920" s="227">
        <f>AG920</f>
        <v>0.022350582386243198</v>
      </c>
      <c r="AI920" s="227">
        <f>AH920</f>
        <v>0.022350582386243198</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33" t="inlineStr">
        <is>
          <t>IO_GTAP (legacy I:K 3285-3296)</t>
        </is>
      </c>
      <c r="K921" s="9" t="str">
        <f>LOWER(CtryCode)&amp;".distn."&amp;$A921&amp;IF($B921="","","."&amp;$B921)&amp;IF($C921="","",".dec."&amp;$C921)&amp;"."&amp;K$5</f>
        <v>egy.distn.secsout.omn.1</v>
      </c>
      <c r="L921" s="226">
        <f>IFERROR(SUMIF(DSecCpat,$B921,DSecOut)/SUM(DSecOut),0)</f>
        <v>0.10872467477879603</v>
      </c>
      <c r="M921" s="227">
        <f>L921</f>
        <v>0.10872467477879603</v>
      </c>
      <c r="N921" s="227">
        <f>M921</f>
        <v>0.10872467477879603</v>
      </c>
      <c r="O921" s="227">
        <f>N921</f>
        <v>0.10872467477879603</v>
      </c>
      <c r="P921" s="227">
        <f>O921</f>
        <v>0.10872467477879603</v>
      </c>
      <c r="Q921" s="227">
        <f>P921</f>
        <v>0.10872467477879603</v>
      </c>
      <c r="R921" s="227">
        <f>Q921</f>
        <v>0.10872467477879603</v>
      </c>
      <c r="S921" s="227">
        <f>R921</f>
        <v>0.10872467477879603</v>
      </c>
      <c r="T921" s="227">
        <f>S921</f>
        <v>0.10872467477879603</v>
      </c>
      <c r="U921" s="227">
        <f>T921</f>
        <v>0.10872467477879603</v>
      </c>
      <c r="V921" s="227">
        <f>U921</f>
        <v>0.10872467477879603</v>
      </c>
      <c r="W921" s="207" t="str">
        <f>IF(X$5=K$5,SUM(Y921:AI921)-SUM(L921:V921),"")</f>
        <v/>
      </c>
      <c r="X921" s="9" t="str">
        <f>LOWER(CtryCode)&amp;".distn."&amp;$A921&amp;IF($B921="","","."&amp;$B921)&amp;IF($C921="","",".dec."&amp;$C921)&amp;"."&amp;X$5</f>
        <v>egy.distn.secsout.omn.2</v>
      </c>
      <c r="Y921" s="226">
        <f>IFERROR(SUMIF(DSecCpat,$B921,DSecOut)/SUM(DSecOut),0)</f>
        <v>0.10872467477879603</v>
      </c>
      <c r="Z921" s="227">
        <f>Y921</f>
        <v>0.10872467477879603</v>
      </c>
      <c r="AA921" s="227">
        <f>Z921</f>
        <v>0.10872467477879603</v>
      </c>
      <c r="AB921" s="227">
        <f>AA921</f>
        <v>0.10872467477879603</v>
      </c>
      <c r="AC921" s="227">
        <f>AB921</f>
        <v>0.10872467477879603</v>
      </c>
      <c r="AD921" s="227">
        <f>AC921</f>
        <v>0.10872467477879603</v>
      </c>
      <c r="AE921" s="227">
        <f>AD921</f>
        <v>0.10872467477879603</v>
      </c>
      <c r="AF921" s="227">
        <f>AE921</f>
        <v>0.10872467477879603</v>
      </c>
      <c r="AG921" s="227">
        <f>AF921</f>
        <v>0.10872467477879603</v>
      </c>
      <c r="AH921" s="227">
        <f>AG921</f>
        <v>0.10872467477879603</v>
      </c>
      <c r="AI921" s="227">
        <f>AH921</f>
        <v>0.10872467477879603</v>
      </c>
    </row>
    <row r="922" hidden="1" outlineLevel="1">
      <c r="A922" s="62" t="inlineStr">
        <is>
          <t>secsout</t>
        </is>
      </c>
      <c r="B922" s="3" t="inlineStr">
        <is>
          <t>cst</t>
        </is>
      </c>
      <c r="C922" s="3" t="inlineStr"/>
      <c r="D922" s="3" t="n"/>
      <c r="E922" s="3" t="n"/>
      <c r="H922" s="3" t="inlineStr">
        <is>
          <t>Construction: share of output</t>
        </is>
      </c>
      <c r="I922" s="3" t="inlineStr">
        <is>
          <t>fraction</t>
        </is>
      </c>
      <c r="J922" s="133" t="inlineStr">
        <is>
          <t>IO_GTAP (legacy I:K 3285-3296)</t>
        </is>
      </c>
      <c r="K922" s="9" t="str">
        <f>LOWER(CtryCode)&amp;".distn."&amp;$A922&amp;IF($B922="","","."&amp;$B922)&amp;IF($C922="","",".dec."&amp;$C922)&amp;"."&amp;K$5</f>
        <v>egy.distn.secsout.cst.1</v>
      </c>
      <c r="L922" s="226">
        <f>IFERROR(SUMIF(DSecCpat,$B922,DSecOut)/SUM(DSecOut),0)</f>
        <v>0.05772892497222023</v>
      </c>
      <c r="M922" s="227">
        <f>L922</f>
        <v>0.05772892497222023</v>
      </c>
      <c r="N922" s="227">
        <f>M922</f>
        <v>0.05772892497222023</v>
      </c>
      <c r="O922" s="227">
        <f>N922</f>
        <v>0.05772892497222023</v>
      </c>
      <c r="P922" s="227">
        <f>O922</f>
        <v>0.05772892497222023</v>
      </c>
      <c r="Q922" s="227">
        <f>P922</f>
        <v>0.05772892497222023</v>
      </c>
      <c r="R922" s="227">
        <f>Q922</f>
        <v>0.05772892497222023</v>
      </c>
      <c r="S922" s="227">
        <f>R922</f>
        <v>0.05772892497222023</v>
      </c>
      <c r="T922" s="227">
        <f>S922</f>
        <v>0.05772892497222023</v>
      </c>
      <c r="U922" s="227">
        <f>T922</f>
        <v>0.05772892497222023</v>
      </c>
      <c r="V922" s="227">
        <f>U922</f>
        <v>0.05772892497222023</v>
      </c>
      <c r="W922" s="207" t="str">
        <f>IF(X$5=K$5,SUM(Y922:AI922)-SUM(L922:V922),"")</f>
        <v/>
      </c>
      <c r="X922" s="9" t="str">
        <f>LOWER(CtryCode)&amp;".distn."&amp;$A922&amp;IF($B922="","","."&amp;$B922)&amp;IF($C922="","",".dec."&amp;$C922)&amp;"."&amp;X$5</f>
        <v>egy.distn.secsout.cst.2</v>
      </c>
      <c r="Y922" s="226">
        <f>IFERROR(SUMIF(DSecCpat,$B922,DSecOut)/SUM(DSecOut),0)</f>
        <v>0.05772892497222023</v>
      </c>
      <c r="Z922" s="227">
        <f>Y922</f>
        <v>0.05772892497222023</v>
      </c>
      <c r="AA922" s="227">
        <f>Z922</f>
        <v>0.05772892497222023</v>
      </c>
      <c r="AB922" s="227">
        <f>AA922</f>
        <v>0.05772892497222023</v>
      </c>
      <c r="AC922" s="227">
        <f>AB922</f>
        <v>0.05772892497222023</v>
      </c>
      <c r="AD922" s="227">
        <f>AC922</f>
        <v>0.05772892497222023</v>
      </c>
      <c r="AE922" s="227">
        <f>AD922</f>
        <v>0.05772892497222023</v>
      </c>
      <c r="AF922" s="227">
        <f>AE922</f>
        <v>0.05772892497222023</v>
      </c>
      <c r="AG922" s="227">
        <f>AF922</f>
        <v>0.05772892497222023</v>
      </c>
      <c r="AH922" s="227">
        <f>AG922</f>
        <v>0.05772892497222023</v>
      </c>
      <c r="AI922" s="227">
        <f>AH922</f>
        <v>0.05772892497222023</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33" t="inlineStr">
        <is>
          <t>IO_GTAP (legacy I:K 3285-3296)</t>
        </is>
      </c>
      <c r="K923" s="9" t="str">
        <f>LOWER(CtryCode)&amp;".distn."&amp;$A923&amp;IF($B923="","","."&amp;$B923)&amp;IF($C923="","",".dec."&amp;$C923)&amp;"."&amp;K$5</f>
        <v>egy.distn.secsout.ftr.1</v>
      </c>
      <c r="L923" s="226">
        <f>IFERROR(SUMIF(DSecCpat,$B923,DSecOut)/SUM(DSecOut),0)</f>
        <v>0.06007798009639795</v>
      </c>
      <c r="M923" s="227">
        <f>L923</f>
        <v>0.06007798009639795</v>
      </c>
      <c r="N923" s="227">
        <f>M923</f>
        <v>0.06007798009639795</v>
      </c>
      <c r="O923" s="227">
        <f>N923</f>
        <v>0.06007798009639795</v>
      </c>
      <c r="P923" s="227">
        <f>O923</f>
        <v>0.06007798009639795</v>
      </c>
      <c r="Q923" s="227">
        <f>P923</f>
        <v>0.06007798009639795</v>
      </c>
      <c r="R923" s="227">
        <f>Q923</f>
        <v>0.06007798009639795</v>
      </c>
      <c r="S923" s="227">
        <f>R923</f>
        <v>0.06007798009639795</v>
      </c>
      <c r="T923" s="227">
        <f>S923</f>
        <v>0.06007798009639795</v>
      </c>
      <c r="U923" s="227">
        <f>T923</f>
        <v>0.06007798009639795</v>
      </c>
      <c r="V923" s="227">
        <f>U923</f>
        <v>0.06007798009639795</v>
      </c>
      <c r="W923" s="207" t="str">
        <f>IF(X$5=K$5,SUM(Y923:AI923)-SUM(L923:V923),"")</f>
        <v/>
      </c>
      <c r="X923" s="9" t="str">
        <f>LOWER(CtryCode)&amp;".distn."&amp;$A923&amp;IF($B923="","","."&amp;$B923)&amp;IF($C923="","",".dec."&amp;$C923)&amp;"."&amp;X$5</f>
        <v>egy.distn.secsout.ftr.2</v>
      </c>
      <c r="Y923" s="226">
        <f>IFERROR(SUMIF(DSecCpat,$B923,DSecOut)/SUM(DSecOut),0)</f>
        <v>0.06007798009639795</v>
      </c>
      <c r="Z923" s="227">
        <f>Y923</f>
        <v>0.06007798009639795</v>
      </c>
      <c r="AA923" s="227">
        <f>Z923</f>
        <v>0.06007798009639795</v>
      </c>
      <c r="AB923" s="227">
        <f>AA923</f>
        <v>0.06007798009639795</v>
      </c>
      <c r="AC923" s="227">
        <f>AB923</f>
        <v>0.06007798009639795</v>
      </c>
      <c r="AD923" s="227">
        <f>AC923</f>
        <v>0.06007798009639795</v>
      </c>
      <c r="AE923" s="227">
        <f>AD923</f>
        <v>0.06007798009639795</v>
      </c>
      <c r="AF923" s="227">
        <f>AE923</f>
        <v>0.06007798009639795</v>
      </c>
      <c r="AG923" s="227">
        <f>AF923</f>
        <v>0.06007798009639795</v>
      </c>
      <c r="AH923" s="227">
        <f>AG923</f>
        <v>0.06007798009639795</v>
      </c>
      <c r="AI923" s="227">
        <f>AH923</f>
        <v>0.06007798009639795</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33" t="inlineStr">
        <is>
          <t>IO_GTAP (legacy I:K 3285-3296)</t>
        </is>
      </c>
      <c r="K924" s="9" t="str">
        <f>LOWER(CtryCode)&amp;".distn."&amp;$A924&amp;IF($B924="","","."&amp;$B924)&amp;IF($C924="","",".dec."&amp;$C924)&amp;"."&amp;K$5</f>
        <v>egy.distn.secsout.res.1</v>
      </c>
      <c r="L924" s="226">
        <f>IFERROR(SUMIF(DSecCpat,$B924,DSecOut)/SUM(DSecOut),0)</f>
        <v>0.02612267718683052</v>
      </c>
      <c r="M924" s="227">
        <f>L924</f>
        <v>0.02612267718683052</v>
      </c>
      <c r="N924" s="227">
        <f>M924</f>
        <v>0.02612267718683052</v>
      </c>
      <c r="O924" s="227">
        <f>N924</f>
        <v>0.02612267718683052</v>
      </c>
      <c r="P924" s="227">
        <f>O924</f>
        <v>0.02612267718683052</v>
      </c>
      <c r="Q924" s="227">
        <f>P924</f>
        <v>0.02612267718683052</v>
      </c>
      <c r="R924" s="227">
        <f>Q924</f>
        <v>0.02612267718683052</v>
      </c>
      <c r="S924" s="227">
        <f>R924</f>
        <v>0.02612267718683052</v>
      </c>
      <c r="T924" s="227">
        <f>S924</f>
        <v>0.02612267718683052</v>
      </c>
      <c r="U924" s="227">
        <f>T924</f>
        <v>0.02612267718683052</v>
      </c>
      <c r="V924" s="227">
        <f>U924</f>
        <v>0.02612267718683052</v>
      </c>
      <c r="W924" s="207" t="str">
        <f>IF(X$5=K$5,SUM(Y924:AI924)-SUM(L924:V924),"")</f>
        <v/>
      </c>
      <c r="X924" s="9" t="str">
        <f>LOWER(CtryCode)&amp;".distn."&amp;$A924&amp;IF($B924="","","."&amp;$B924)&amp;IF($C924="","",".dec."&amp;$C924)&amp;"."&amp;X$5</f>
        <v>egy.distn.secsout.res.2</v>
      </c>
      <c r="Y924" s="226">
        <f>IFERROR(SUMIF(DSecCpat,$B924,DSecOut)/SUM(DSecOut),0)</f>
        <v>0.02612267718683052</v>
      </c>
      <c r="Z924" s="227">
        <f>Y924</f>
        <v>0.02612267718683052</v>
      </c>
      <c r="AA924" s="227">
        <f>Z924</f>
        <v>0.02612267718683052</v>
      </c>
      <c r="AB924" s="227">
        <f>AA924</f>
        <v>0.02612267718683052</v>
      </c>
      <c r="AC924" s="227">
        <f>AB924</f>
        <v>0.02612267718683052</v>
      </c>
      <c r="AD924" s="227">
        <f>AC924</f>
        <v>0.02612267718683052</v>
      </c>
      <c r="AE924" s="227">
        <f>AD924</f>
        <v>0.02612267718683052</v>
      </c>
      <c r="AF924" s="227">
        <f>AE924</f>
        <v>0.02612267718683052</v>
      </c>
      <c r="AG924" s="227">
        <f>AF924</f>
        <v>0.02612267718683052</v>
      </c>
      <c r="AH924" s="227">
        <f>AG924</f>
        <v>0.02612267718683052</v>
      </c>
      <c r="AI924" s="227">
        <f>AH924</f>
        <v>0.02612267718683052</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33" t="inlineStr">
        <is>
          <t>IO_GTAP (legacy I:K 3285-3296)</t>
        </is>
      </c>
      <c r="K925" s="9" t="str">
        <f>LOWER(CtryCode)&amp;".distn."&amp;$A925&amp;IF($B925="","","."&amp;$B925)&amp;IF($C925="","",".dec."&amp;$C925)&amp;"."&amp;K$5</f>
        <v>egy.distn.secsout.pow.1</v>
      </c>
      <c r="L925" s="226">
        <f>IFERROR(SUMIF(DSecCpat,$B925,DSecOut)/SUM(DSecOut),0)</f>
        <v>0.029007228387587687</v>
      </c>
      <c r="M925" s="227">
        <f>L925</f>
        <v>0.029007228387587687</v>
      </c>
      <c r="N925" s="227">
        <f>M925</f>
        <v>0.029007228387587687</v>
      </c>
      <c r="O925" s="227">
        <f>N925</f>
        <v>0.029007228387587687</v>
      </c>
      <c r="P925" s="227">
        <f>O925</f>
        <v>0.029007228387587687</v>
      </c>
      <c r="Q925" s="227">
        <f>P925</f>
        <v>0.029007228387587687</v>
      </c>
      <c r="R925" s="227">
        <f>Q925</f>
        <v>0.029007228387587687</v>
      </c>
      <c r="S925" s="227">
        <f>R925</f>
        <v>0.029007228387587687</v>
      </c>
      <c r="T925" s="227">
        <f>S925</f>
        <v>0.029007228387587687</v>
      </c>
      <c r="U925" s="227">
        <f>T925</f>
        <v>0.029007228387587687</v>
      </c>
      <c r="V925" s="227">
        <f>U925</f>
        <v>0.029007228387587687</v>
      </c>
      <c r="W925" s="207" t="str">
        <f>IF(X$5=K$5,SUM(Y925:AI925)-SUM(L925:V925),"")</f>
        <v/>
      </c>
      <c r="X925" s="9" t="str">
        <f>LOWER(CtryCode)&amp;".distn."&amp;$A925&amp;IF($B925="","","."&amp;$B925)&amp;IF($C925="","",".dec."&amp;$C925)&amp;"."&amp;X$5</f>
        <v>egy.distn.secsout.pow.2</v>
      </c>
      <c r="Y925" s="226">
        <f>IFERROR(SUMIF(DSecCpat,$B925,DSecOut)/SUM(DSecOut),0)</f>
        <v>0.029007228387587687</v>
      </c>
      <c r="Z925" s="227">
        <f>Y925</f>
        <v>0.029007228387587687</v>
      </c>
      <c r="AA925" s="227">
        <f>Z925</f>
        <v>0.029007228387587687</v>
      </c>
      <c r="AB925" s="227">
        <f>AA925</f>
        <v>0.029007228387587687</v>
      </c>
      <c r="AC925" s="227">
        <f>AB925</f>
        <v>0.029007228387587687</v>
      </c>
      <c r="AD925" s="227">
        <f>AC925</f>
        <v>0.029007228387587687</v>
      </c>
      <c r="AE925" s="227">
        <f>AD925</f>
        <v>0.029007228387587687</v>
      </c>
      <c r="AF925" s="227">
        <f>AE925</f>
        <v>0.029007228387587687</v>
      </c>
      <c r="AG925" s="227">
        <f>AF925</f>
        <v>0.029007228387587687</v>
      </c>
      <c r="AH925" s="227">
        <f>AG925</f>
        <v>0.029007228387587687</v>
      </c>
      <c r="AI925" s="227">
        <f>AH925</f>
        <v>0.029007228387587687</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33"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7" t="str">
        <f>IF(X$5=K$5,SUM(Y926:AI926)-SUM(L926:V926),"")</f>
        <v/>
      </c>
      <c r="X926" s="9" t="str">
        <f>LOWER(CtryCode)&amp;".distn."&amp;$A926&amp;IF($B926="","","."&amp;$B926)&amp;IF($C926="","",".dec."&amp;$C926)&amp;"."&amp;X$5</f>
        <v>egy.distn.ppici.avi.2</v>
      </c>
      <c r="Y926" s="37">
        <f>IFERROR(SUMPRODUCT((DSecCpat=$B926)*DSecOut*Y$638:Y$701)/SUMIF(DSecCpat,$B926,DSecOut),0)</f>
        <v>0.007945517124091769</v>
      </c>
      <c r="Z926" s="38">
        <f>Y926</f>
        <v>0.007945517124091769</v>
      </c>
      <c r="AA926" s="38">
        <f>Z926</f>
        <v>0.007945517124091769</v>
      </c>
      <c r="AB926" s="38">
        <f>AA926</f>
        <v>0.007945517124091769</v>
      </c>
      <c r="AC926" s="38">
        <f>AB926</f>
        <v>0.007945517124091769</v>
      </c>
      <c r="AD926" s="38">
        <f>AC926</f>
        <v>0.007945517124091769</v>
      </c>
      <c r="AE926" s="38">
        <f>AD926</f>
        <v>0.007945517124091769</v>
      </c>
      <c r="AF926" s="38">
        <f>AE926</f>
        <v>0.007945517124091769</v>
      </c>
      <c r="AG926" s="38">
        <f>AF926</f>
        <v>0.007945517124091769</v>
      </c>
      <c r="AH926" s="38">
        <f>AG926</f>
        <v>0.007945517124091769</v>
      </c>
      <c r="AI926" s="38">
        <f>AH926</f>
        <v>0.007945517124091769</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33"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7" t="str">
        <f>IF(X$5=K$5,SUM(Y927:AI927)-SUM(L927:V927),"")</f>
        <v/>
      </c>
      <c r="X927" s="9" t="str">
        <f>LOWER(CtryCode)&amp;".distn."&amp;$A927&amp;IF($B927="","","."&amp;$B927)&amp;IF($C927="","",".dec."&amp;$C927)&amp;"."&amp;X$5</f>
        <v>egy.distn.ppici.nav.2</v>
      </c>
      <c r="Y927" s="37">
        <f>IFERROR(SUMPRODUCT((DSecCpat=$B927)*DSecOut*Y$638:Y$701)/SUMIF(DSecCpat,$B927,DSecOut),0)</f>
        <v>0.006042649724102491</v>
      </c>
      <c r="Z927" s="38">
        <f>Y927</f>
        <v>0.006042649724102491</v>
      </c>
      <c r="AA927" s="38">
        <f>Z927</f>
        <v>0.006042649724102491</v>
      </c>
      <c r="AB927" s="38">
        <f>AA927</f>
        <v>0.006042649724102491</v>
      </c>
      <c r="AC927" s="38">
        <f>AB927</f>
        <v>0.006042649724102491</v>
      </c>
      <c r="AD927" s="38">
        <f>AC927</f>
        <v>0.006042649724102491</v>
      </c>
      <c r="AE927" s="38">
        <f>AD927</f>
        <v>0.006042649724102491</v>
      </c>
      <c r="AF927" s="38">
        <f>AE927</f>
        <v>0.006042649724102491</v>
      </c>
      <c r="AG927" s="38">
        <f>AF927</f>
        <v>0.006042649724102491</v>
      </c>
      <c r="AH927" s="38">
        <f>AG927</f>
        <v>0.006042649724102491</v>
      </c>
      <c r="AI927" s="38">
        <f>AH927</f>
        <v>0.006042649724102491</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33"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7" t="str">
        <f>IF(X$5=K$5,SUM(Y928:AI928)-SUM(L928:V928),"")</f>
        <v/>
      </c>
      <c r="X928" s="9" t="str">
        <f>LOWER(CtryCode)&amp;".distn."&amp;$A928&amp;IF($B928="","","."&amp;$B928)&amp;IF($C928="","",".dec."&amp;$C928)&amp;"."&amp;X$5</f>
        <v>egy.distn.ppici.foo.2</v>
      </c>
      <c r="Y928" s="37">
        <f>IFERROR(SUMPRODUCT((DSecCpat=$B928)*DSecOut*Y$638:Y$701)/SUMIF(DSecCpat,$B928,DSecOut),0)</f>
        <v>0.0012642805398747179</v>
      </c>
      <c r="Z928" s="38">
        <f>Y928</f>
        <v>0.0012642805398747179</v>
      </c>
      <c r="AA928" s="38">
        <f>Z928</f>
        <v>0.0012642805398747179</v>
      </c>
      <c r="AB928" s="38">
        <f>AA928</f>
        <v>0.0012642805398747179</v>
      </c>
      <c r="AC928" s="38">
        <f>AB928</f>
        <v>0.0012642805398747179</v>
      </c>
      <c r="AD928" s="38">
        <f>AC928</f>
        <v>0.0012642805398747179</v>
      </c>
      <c r="AE928" s="38">
        <f>AD928</f>
        <v>0.0012642805398747179</v>
      </c>
      <c r="AF928" s="38">
        <f>AE928</f>
        <v>0.0012642805398747179</v>
      </c>
      <c r="AG928" s="38">
        <f>AF928</f>
        <v>0.0012642805398747179</v>
      </c>
      <c r="AH928" s="38">
        <f>AG928</f>
        <v>0.0012642805398747179</v>
      </c>
      <c r="AI928" s="38">
        <f>AH928</f>
        <v>0.0012642805398747179</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33"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7" t="str">
        <f>IF(X$5=K$5,SUM(Y929:AI929)-SUM(L929:V929),"")</f>
        <v/>
      </c>
      <c r="X929" s="9" t="str">
        <f>LOWER(CtryCode)&amp;".distn."&amp;$A929&amp;IF($B929="","","."&amp;$B929)&amp;IF($C929="","",".dec."&amp;$C929)&amp;"."&amp;X$5</f>
        <v>egy.distn.ppici.srv.2</v>
      </c>
      <c r="Y929" s="37">
        <f>IFERROR(SUMPRODUCT((DSecCpat=$B929)*DSecOut*Y$638:Y$701)/SUMIF(DSecCpat,$B929,DSecOut),0)</f>
        <v>0.0008746165785625846</v>
      </c>
      <c r="Z929" s="38">
        <f>Y929</f>
        <v>0.0008746165785625846</v>
      </c>
      <c r="AA929" s="38">
        <f>Z929</f>
        <v>0.0008746165785625846</v>
      </c>
      <c r="AB929" s="38">
        <f>AA929</f>
        <v>0.0008746165785625846</v>
      </c>
      <c r="AC929" s="38">
        <f>AB929</f>
        <v>0.0008746165785625846</v>
      </c>
      <c r="AD929" s="38">
        <f>AC929</f>
        <v>0.0008746165785625846</v>
      </c>
      <c r="AE929" s="38">
        <f>AD929</f>
        <v>0.0008746165785625846</v>
      </c>
      <c r="AF929" s="38">
        <f>AE929</f>
        <v>0.0008746165785625846</v>
      </c>
      <c r="AG929" s="38">
        <f>AF929</f>
        <v>0.0008746165785625846</v>
      </c>
      <c r="AH929" s="38">
        <f>AG929</f>
        <v>0.0008746165785625846</v>
      </c>
      <c r="AI929" s="38">
        <f>AH929</f>
        <v>0.0008746165785625846</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33"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7" t="str">
        <f>IF(X$5=K$5,SUM(Y930:AI930)-SUM(L930:V930),"")</f>
        <v/>
      </c>
      <c r="X930" s="9" t="str">
        <f>LOWER(CtryCode)&amp;".distn."&amp;$A930&amp;IF($B930="","","."&amp;$B930)&amp;IF($C930="","",".dec."&amp;$C930)&amp;"."&amp;X$5</f>
        <v>egy.distn.ppici.mch.2</v>
      </c>
      <c r="Y930" s="37">
        <f>IFERROR(SUMPRODUCT((DSecCpat=$B930)*DSecOut*Y$638:Y$701)/SUMIF(DSecCpat,$B930,DSecOut),0)</f>
        <v>0.006213243156500998</v>
      </c>
      <c r="Z930" s="38">
        <f>Y930</f>
        <v>0.006213243156500998</v>
      </c>
      <c r="AA930" s="38">
        <f>Z930</f>
        <v>0.006213243156500998</v>
      </c>
      <c r="AB930" s="38">
        <f>AA930</f>
        <v>0.006213243156500998</v>
      </c>
      <c r="AC930" s="38">
        <f>AB930</f>
        <v>0.006213243156500998</v>
      </c>
      <c r="AD930" s="38">
        <f>AC930</f>
        <v>0.006213243156500998</v>
      </c>
      <c r="AE930" s="38">
        <f>AD930</f>
        <v>0.006213243156500998</v>
      </c>
      <c r="AF930" s="38">
        <f>AE930</f>
        <v>0.006213243156500998</v>
      </c>
      <c r="AG930" s="38">
        <f>AF930</f>
        <v>0.006213243156500998</v>
      </c>
      <c r="AH930" s="38">
        <f>AG930</f>
        <v>0.006213243156500998</v>
      </c>
      <c r="AI930" s="38">
        <f>AH930</f>
        <v>0.006213243156500998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33"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7" t="str">
        <f>IF(X$5=K$5,SUM(Y931:AI931)-SUM(L931:V931),"")</f>
        <v/>
      </c>
      <c r="X931" s="9" t="str">
        <f>LOWER(CtryCode)&amp;".distn."&amp;$A931&amp;IF($B931="","","."&amp;$B931)&amp;IF($C931="","",".dec."&amp;$C931)&amp;"."&amp;X$5</f>
        <v>egy.distn.ppici.irn.2</v>
      </c>
      <c r="Y931" s="37">
        <f>IFERROR(SUMPRODUCT((DSecCpat=$B931)*DSecOut*Y$638:Y$701)/SUMIF(DSecCpat,$B931,DSecOut),0)</f>
        <v>0.005772657576415131</v>
      </c>
      <c r="Z931" s="38">
        <f>Y931</f>
        <v>0.005772657576415131</v>
      </c>
      <c r="AA931" s="38">
        <f>Z931</f>
        <v>0.005772657576415131</v>
      </c>
      <c r="AB931" s="38">
        <f>AA931</f>
        <v>0.005772657576415131</v>
      </c>
      <c r="AC931" s="38">
        <f>AB931</f>
        <v>0.005772657576415131</v>
      </c>
      <c r="AD931" s="38">
        <f>AC931</f>
        <v>0.005772657576415131</v>
      </c>
      <c r="AE931" s="38">
        <f>AD931</f>
        <v>0.005772657576415131</v>
      </c>
      <c r="AF931" s="38">
        <f>AE931</f>
        <v>0.005772657576415131</v>
      </c>
      <c r="AG931" s="38">
        <f>AF931</f>
        <v>0.005772657576415131</v>
      </c>
      <c r="AH931" s="38">
        <f>AG931</f>
        <v>0.005772657576415131</v>
      </c>
      <c r="AI931" s="38">
        <f>AH931</f>
        <v>0.005772657576415131</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33"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7" t="str">
        <f>IF(X$5=K$5,SUM(Y932:AI932)-SUM(L932:V932),"")</f>
        <v/>
      </c>
      <c r="X932" s="9" t="str">
        <f>LOWER(CtryCode)&amp;".distn."&amp;$A932&amp;IF($B932="","","."&amp;$B932)&amp;IF($C932="","",".dec."&amp;$C932)&amp;"."&amp;X$5</f>
        <v>egy.distn.ppici.nfm.2</v>
      </c>
      <c r="Y932" s="37">
        <f>IFERROR(SUMPRODUCT((DSecCpat=$B932)*DSecOut*Y$638:Y$701)/SUMIF(DSecCpat,$B932,DSecOut),0)</f>
        <v>0.004261037871751051</v>
      </c>
      <c r="Z932" s="38">
        <f>Y932</f>
        <v>0.004261037871751051</v>
      </c>
      <c r="AA932" s="38">
        <f>Z932</f>
        <v>0.004261037871751051</v>
      </c>
      <c r="AB932" s="38">
        <f>AA932</f>
        <v>0.004261037871751051</v>
      </c>
      <c r="AC932" s="38">
        <f>AB932</f>
        <v>0.004261037871751051</v>
      </c>
      <c r="AD932" s="38">
        <f>AC932</f>
        <v>0.004261037871751051</v>
      </c>
      <c r="AE932" s="38">
        <f>AD932</f>
        <v>0.004261037871751051</v>
      </c>
      <c r="AF932" s="38">
        <f>AE932</f>
        <v>0.004261037871751051</v>
      </c>
      <c r="AG932" s="38">
        <f>AF932</f>
        <v>0.004261037871751051</v>
      </c>
      <c r="AH932" s="38">
        <f>AG932</f>
        <v>0.004261037871751051</v>
      </c>
      <c r="AI932" s="38">
        <f>AH932</f>
        <v>0.004261037871751051</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33"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7" t="str">
        <f>IF(X$5=K$5,SUM(Y933:AI933)-SUM(L933:V933),"")</f>
        <v/>
      </c>
      <c r="X933" s="9" t="str">
        <f>LOWER(CtryCode)&amp;".distn."&amp;$A933&amp;IF($B933="","","."&amp;$B933)&amp;IF($C933="","",".dec."&amp;$C933)&amp;"."&amp;X$5</f>
        <v>egy.distn.ppici.mac.2</v>
      </c>
      <c r="Y933" s="37">
        <f>IFERROR(SUMPRODUCT((DSecCpat=$B933)*DSecOut*Y$638:Y$701)/SUMIF(DSecCpat,$B933,DSecOut),0)</f>
        <v>0.0024377676291077693</v>
      </c>
      <c r="Z933" s="38">
        <f>Y933</f>
        <v>0.0024377676291077693</v>
      </c>
      <c r="AA933" s="38">
        <f>Z933</f>
        <v>0.0024377676291077693</v>
      </c>
      <c r="AB933" s="38">
        <f>AA933</f>
        <v>0.0024377676291077693</v>
      </c>
      <c r="AC933" s="38">
        <f>AB933</f>
        <v>0.0024377676291077693</v>
      </c>
      <c r="AD933" s="38">
        <f>AC933</f>
        <v>0.0024377676291077693</v>
      </c>
      <c r="AE933" s="38">
        <f>AD933</f>
        <v>0.0024377676291077693</v>
      </c>
      <c r="AF933" s="38">
        <f>AE933</f>
        <v>0.0024377676291077693</v>
      </c>
      <c r="AG933" s="38">
        <f>AF933</f>
        <v>0.0024377676291077693</v>
      </c>
      <c r="AH933" s="38">
        <f>AG933</f>
        <v>0.0024377676291077693</v>
      </c>
      <c r="AI933" s="38">
        <f>AH933</f>
        <v>0.0024377676291077693</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33"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7" t="str">
        <f>IF(X$5=K$5,SUM(Y934:AI934)-SUM(L934:V934),"")</f>
        <v/>
      </c>
      <c r="X934" s="9" t="str">
        <f>LOWER(CtryCode)&amp;".distn."&amp;$A934&amp;IF($B934="","","."&amp;$B934)&amp;IF($C934="","",".dec."&amp;$C934)&amp;"."&amp;X$5</f>
        <v>egy.distn.ppici.cem.2</v>
      </c>
      <c r="Y934" s="37">
        <f>IFERROR(SUMPRODUCT((DSecCpat=$B934)*DSecOut*Y$638:Y$701)/SUMIF(DSecCpat,$B934,DSecOut),0)</f>
        <v>0.002081291425119216</v>
      </c>
      <c r="Z934" s="38">
        <f>Y934</f>
        <v>0.002081291425119216</v>
      </c>
      <c r="AA934" s="38">
        <f>Z934</f>
        <v>0.002081291425119216</v>
      </c>
      <c r="AB934" s="38">
        <f>AA934</f>
        <v>0.002081291425119216</v>
      </c>
      <c r="AC934" s="38">
        <f>AB934</f>
        <v>0.002081291425119216</v>
      </c>
      <c r="AD934" s="38">
        <f>AC934</f>
        <v>0.002081291425119216</v>
      </c>
      <c r="AE934" s="38">
        <f>AD934</f>
        <v>0.002081291425119216</v>
      </c>
      <c r="AF934" s="38">
        <f>AE934</f>
        <v>0.002081291425119216</v>
      </c>
      <c r="AG934" s="38">
        <f>AF934</f>
        <v>0.002081291425119216</v>
      </c>
      <c r="AH934" s="38">
        <f>AG934</f>
        <v>0.002081291425119216</v>
      </c>
      <c r="AI934" s="38">
        <f>AH934</f>
        <v>0.002081291425119216</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33"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7" t="str">
        <f>IF(X$5=K$5,SUM(Y935:AI935)-SUM(L935:V935),"")</f>
        <v/>
      </c>
      <c r="X935" s="9" t="str">
        <f>LOWER(CtryCode)&amp;".distn."&amp;$A935&amp;IF($B935="","","."&amp;$B935)&amp;IF($C935="","",".dec."&amp;$C935)&amp;"."&amp;X$5</f>
        <v>egy.distn.ppici.omn.2</v>
      </c>
      <c r="Y935" s="37">
        <f>IFERROR(SUMPRODUCT((DSecCpat=$B935)*DSecOut*Y$638:Y$701)/SUMIF(DSecCpat,$B935,DSecOut),0)</f>
        <v>0.0014282778969263914</v>
      </c>
      <c r="Z935" s="38">
        <f>Y935</f>
        <v>0.0014282778969263914</v>
      </c>
      <c r="AA935" s="38">
        <f>Z935</f>
        <v>0.0014282778969263914</v>
      </c>
      <c r="AB935" s="38">
        <f>AA935</f>
        <v>0.0014282778969263914</v>
      </c>
      <c r="AC935" s="38">
        <f>AB935</f>
        <v>0.0014282778969263914</v>
      </c>
      <c r="AD935" s="38">
        <f>AC935</f>
        <v>0.0014282778969263914</v>
      </c>
      <c r="AE935" s="38">
        <f>AD935</f>
        <v>0.0014282778969263914</v>
      </c>
      <c r="AF935" s="38">
        <f>AE935</f>
        <v>0.0014282778969263914</v>
      </c>
      <c r="AG935" s="38">
        <f>AF935</f>
        <v>0.0014282778969263914</v>
      </c>
      <c r="AH935" s="38">
        <f>AG935</f>
        <v>0.0014282778969263914</v>
      </c>
      <c r="AI935" s="38">
        <f>AH935</f>
        <v>0.0014282778969263914</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33"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7" t="str">
        <f>IF(X$5=K$5,SUM(Y936:AI936)-SUM(L936:V936),"")</f>
        <v/>
      </c>
      <c r="X936" s="9" t="str">
        <f>LOWER(CtryCode)&amp;".distn."&amp;$A936&amp;IF($B936="","","."&amp;$B936)&amp;IF($C936="","",".dec."&amp;$C936)&amp;"."&amp;X$5</f>
        <v>egy.distn.ppici.cst.2</v>
      </c>
      <c r="Y936" s="37">
        <f>IFERROR(SUMPRODUCT((DSecCpat=$B936)*DSecOut*Y$638:Y$701)/SUMIF(DSecCpat,$B936,DSecOut),0)</f>
        <v>0.0020275813393545285</v>
      </c>
      <c r="Z936" s="38">
        <f>Y936</f>
        <v>0.0020275813393545285</v>
      </c>
      <c r="AA936" s="38">
        <f>Z936</f>
        <v>0.0020275813393545285</v>
      </c>
      <c r="AB936" s="38">
        <f>AA936</f>
        <v>0.0020275813393545285</v>
      </c>
      <c r="AC936" s="38">
        <f>AB936</f>
        <v>0.0020275813393545285</v>
      </c>
      <c r="AD936" s="38">
        <f>AC936</f>
        <v>0.0020275813393545285</v>
      </c>
      <c r="AE936" s="38">
        <f>AD936</f>
        <v>0.0020275813393545285</v>
      </c>
      <c r="AF936" s="38">
        <f>AE936</f>
        <v>0.0020275813393545285</v>
      </c>
      <c r="AG936" s="38">
        <f>AF936</f>
        <v>0.0020275813393545285</v>
      </c>
      <c r="AH936" s="38">
        <f>AG936</f>
        <v>0.0020275813393545285</v>
      </c>
      <c r="AI936" s="38">
        <f>AH936</f>
        <v>0.0020275813393545285</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33"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7"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33"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7" t="str">
        <f>IF(X$5=K$5,SUM(Y938:AI938)-SUM(L938:V938),"")</f>
        <v/>
      </c>
      <c r="X938" s="9" t="str">
        <f>LOWER(CtryCode)&amp;".distn."&amp;$A938&amp;IF($B938="","","."&amp;$B938)&amp;IF($C938="","",".dec."&amp;$C938)&amp;"."&amp;X$5</f>
        <v>egy.distn.ppici.res.2</v>
      </c>
      <c r="Y938" s="37">
        <f>IFERROR(SUMPRODUCT((DSecCpat=$B938)*DSecOut*Y$638:Y$701)/SUMIF(DSecCpat,$B938,DSecOut),0)</f>
        <v>0.0010668084325739908</v>
      </c>
      <c r="Z938" s="38">
        <f>Y938</f>
        <v>0.0010668084325739908</v>
      </c>
      <c r="AA938" s="38">
        <f>Z938</f>
        <v>0.0010668084325739908</v>
      </c>
      <c r="AB938" s="38">
        <f>AA938</f>
        <v>0.0010668084325739908</v>
      </c>
      <c r="AC938" s="38">
        <f>AB938</f>
        <v>0.0010668084325739908</v>
      </c>
      <c r="AD938" s="38">
        <f>AC938</f>
        <v>0.0010668084325739908</v>
      </c>
      <c r="AE938" s="38">
        <f>AD938</f>
        <v>0.0010668084325739908</v>
      </c>
      <c r="AF938" s="38">
        <f>AE938</f>
        <v>0.0010668084325739908</v>
      </c>
      <c r="AG938" s="38">
        <f>AF938</f>
        <v>0.0010668084325739908</v>
      </c>
      <c r="AH938" s="38">
        <f>AG938</f>
        <v>0.0010668084325739908</v>
      </c>
      <c r="AI938" s="38">
        <f>AH938</f>
        <v>0.0010668084325739908</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33"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7"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33"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7" t="str">
        <f>IF(X$5=K$5,SUM(Y940:AI940)-SUM(L940:V940),"")</f>
        <v/>
      </c>
      <c r="X940" s="9" t="str">
        <f>LOWER(CtryCode)&amp;".distn."&amp;$A940&amp;IF($B940="","","."&amp;$B940)&amp;IF($C940="","",".dec."&amp;$C940)&amp;"."&amp;X$5</f>
        <v>egy.distn.ppic.avi.2</v>
      </c>
      <c r="Y940" s="37">
        <f>IFERROR(SUMPRODUCT((DSecCpat=$B940)*DSecOut*Y$704:Y$767)/SUMIF(DSecCpat,$B940,DSecOut),0)</f>
        <v>0.007945517124091769</v>
      </c>
      <c r="Z940" s="38">
        <f>Y940</f>
        <v>0.007945517124091769</v>
      </c>
      <c r="AA940" s="38">
        <f>Z940</f>
        <v>0.007945517124091769</v>
      </c>
      <c r="AB940" s="38">
        <f>AA940</f>
        <v>0.007945517124091769</v>
      </c>
      <c r="AC940" s="38">
        <f>AB940</f>
        <v>0.007945517124091769</v>
      </c>
      <c r="AD940" s="38">
        <f>AC940</f>
        <v>0.007945517124091769</v>
      </c>
      <c r="AE940" s="38">
        <f>AD940</f>
        <v>0.007945517124091769</v>
      </c>
      <c r="AF940" s="38">
        <f>AE940</f>
        <v>0.007945517124091769</v>
      </c>
      <c r="AG940" s="38">
        <f>AF940</f>
        <v>0.007945517124091769</v>
      </c>
      <c r="AH940" s="38">
        <f>AG940</f>
        <v>0.007945517124091769</v>
      </c>
      <c r="AI940" s="38">
        <f>AH940</f>
        <v>0.007945517124091769</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33"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7" t="str">
        <f>IF(X$5=K$5,SUM(Y941:AI941)-SUM(L941:V941),"")</f>
        <v/>
      </c>
      <c r="X941" s="9" t="str">
        <f>LOWER(CtryCode)&amp;".distn."&amp;$A941&amp;IF($B941="","","."&amp;$B941)&amp;IF($C941="","",".dec."&amp;$C941)&amp;"."&amp;X$5</f>
        <v>egy.distn.ppic.nav.2</v>
      </c>
      <c r="Y941" s="37">
        <f>IFERROR(SUMPRODUCT((DSecCpat=$B941)*DSecOut*Y$704:Y$767)/SUMIF(DSecCpat,$B941,DSecOut),0)</f>
        <v>0.006042649724102491</v>
      </c>
      <c r="Z941" s="38">
        <f>Y941</f>
        <v>0.006042649724102491</v>
      </c>
      <c r="AA941" s="38">
        <f>Z941</f>
        <v>0.006042649724102491</v>
      </c>
      <c r="AB941" s="38">
        <f>AA941</f>
        <v>0.006042649724102491</v>
      </c>
      <c r="AC941" s="38">
        <f>AB941</f>
        <v>0.006042649724102491</v>
      </c>
      <c r="AD941" s="38">
        <f>AC941</f>
        <v>0.006042649724102491</v>
      </c>
      <c r="AE941" s="38">
        <f>AD941</f>
        <v>0.006042649724102491</v>
      </c>
      <c r="AF941" s="38">
        <f>AE941</f>
        <v>0.006042649724102491</v>
      </c>
      <c r="AG941" s="38">
        <f>AF941</f>
        <v>0.006042649724102491</v>
      </c>
      <c r="AH941" s="38">
        <f>AG941</f>
        <v>0.006042649724102491</v>
      </c>
      <c r="AI941" s="38">
        <f>AH941</f>
        <v>0.006042649724102491</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33"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7" t="str">
        <f>IF(X$5=K$5,SUM(Y942:AI942)-SUM(L942:V942),"")</f>
        <v/>
      </c>
      <c r="X942" s="9" t="str">
        <f>LOWER(CtryCode)&amp;".distn."&amp;$A942&amp;IF($B942="","","."&amp;$B942)&amp;IF($C942="","",".dec."&amp;$C942)&amp;"."&amp;X$5</f>
        <v>egy.distn.ppic.foo.2</v>
      </c>
      <c r="Y942" s="37">
        <f>IFERROR(SUMPRODUCT((DSecCpat=$B942)*DSecOut*Y$704:Y$767)/SUMIF(DSecCpat,$B942,DSecOut),0)</f>
        <v>0.0012642805398747179</v>
      </c>
      <c r="Z942" s="38">
        <f>Y942</f>
        <v>0.0012642805398747179</v>
      </c>
      <c r="AA942" s="38">
        <f>Z942</f>
        <v>0.0012642805398747179</v>
      </c>
      <c r="AB942" s="38">
        <f>AA942</f>
        <v>0.0012642805398747179</v>
      </c>
      <c r="AC942" s="38">
        <f>AB942</f>
        <v>0.0012642805398747179</v>
      </c>
      <c r="AD942" s="38">
        <f>AC942</f>
        <v>0.0012642805398747179</v>
      </c>
      <c r="AE942" s="38">
        <f>AD942</f>
        <v>0.0012642805398747179</v>
      </c>
      <c r="AF942" s="38">
        <f>AE942</f>
        <v>0.0012642805398747179</v>
      </c>
      <c r="AG942" s="38">
        <f>AF942</f>
        <v>0.0012642805398747179</v>
      </c>
      <c r="AH942" s="38">
        <f>AG942</f>
        <v>0.0012642805398747179</v>
      </c>
      <c r="AI942" s="38">
        <f>AH942</f>
        <v>0.0012642805398747179</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33"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7" t="str">
        <f>IF(X$5=K$5,SUM(Y943:AI943)-SUM(L943:V943),"")</f>
        <v/>
      </c>
      <c r="X943" s="9" t="str">
        <f>LOWER(CtryCode)&amp;".distn."&amp;$A943&amp;IF($B943="","","."&amp;$B943)&amp;IF($C943="","",".dec."&amp;$C943)&amp;"."&amp;X$5</f>
        <v>egy.distn.ppic.srv.2</v>
      </c>
      <c r="Y943" s="37">
        <f>IFERROR(SUMPRODUCT((DSecCpat=$B943)*DSecOut*Y$704:Y$767)/SUMIF(DSecCpat,$B943,DSecOut),0)</f>
        <v>0.0008746165785625846</v>
      </c>
      <c r="Z943" s="38">
        <f>Y943</f>
        <v>0.0008746165785625846</v>
      </c>
      <c r="AA943" s="38">
        <f>Z943</f>
        <v>0.0008746165785625846</v>
      </c>
      <c r="AB943" s="38">
        <f>AA943</f>
        <v>0.0008746165785625846</v>
      </c>
      <c r="AC943" s="38">
        <f>AB943</f>
        <v>0.0008746165785625846</v>
      </c>
      <c r="AD943" s="38">
        <f>AC943</f>
        <v>0.0008746165785625846</v>
      </c>
      <c r="AE943" s="38">
        <f>AD943</f>
        <v>0.0008746165785625846</v>
      </c>
      <c r="AF943" s="38">
        <f>AE943</f>
        <v>0.0008746165785625846</v>
      </c>
      <c r="AG943" s="38">
        <f>AF943</f>
        <v>0.0008746165785625846</v>
      </c>
      <c r="AH943" s="38">
        <f>AG943</f>
        <v>0.0008746165785625846</v>
      </c>
      <c r="AI943" s="38">
        <f>AH943</f>
        <v>0.0008746165785625846</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33"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7" t="str">
        <f>IF(X$5=K$5,SUM(Y944:AI944)-SUM(L944:V944),"")</f>
        <v/>
      </c>
      <c r="X944" s="9" t="str">
        <f>LOWER(CtryCode)&amp;".distn."&amp;$A944&amp;IF($B944="","","."&amp;$B944)&amp;IF($C944="","",".dec."&amp;$C944)&amp;"."&amp;X$5</f>
        <v>egy.distn.ppic.mch.2</v>
      </c>
      <c r="Y944" s="37">
        <f>IFERROR(SUMPRODUCT((DSecCpat=$B944)*DSecOut*Y$704:Y$767)/SUMIF(DSecCpat,$B944,DSecOut),0)</f>
        <v>0.006213243156500998</v>
      </c>
      <c r="Z944" s="38">
        <f>Y944</f>
        <v>0.006213243156500998</v>
      </c>
      <c r="AA944" s="38">
        <f>Z944</f>
        <v>0.006213243156500998</v>
      </c>
      <c r="AB944" s="38">
        <f>AA944</f>
        <v>0.006213243156500998</v>
      </c>
      <c r="AC944" s="38">
        <f>AB944</f>
        <v>0.006213243156500998</v>
      </c>
      <c r="AD944" s="38">
        <f>AC944</f>
        <v>0.006213243156500998</v>
      </c>
      <c r="AE944" s="38">
        <f>AD944</f>
        <v>0.006213243156500998</v>
      </c>
      <c r="AF944" s="38">
        <f>AE944</f>
        <v>0.006213243156500998</v>
      </c>
      <c r="AG944" s="38">
        <f>AF944</f>
        <v>0.006213243156500998</v>
      </c>
      <c r="AH944" s="38">
        <f>AG944</f>
        <v>0.006213243156500998</v>
      </c>
      <c r="AI944" s="38">
        <f>AH944</f>
        <v>0.006213243156500998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33"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7" t="str">
        <f>IF(X$5=K$5,SUM(Y945:AI945)-SUM(L945:V945),"")</f>
        <v/>
      </c>
      <c r="X945" s="9" t="str">
        <f>LOWER(CtryCode)&amp;".distn."&amp;$A945&amp;IF($B945="","","."&amp;$B945)&amp;IF($C945="","",".dec."&amp;$C945)&amp;"."&amp;X$5</f>
        <v>egy.distn.ppic.irn.2</v>
      </c>
      <c r="Y945" s="37">
        <f>IFERROR(SUMPRODUCT((DSecCpat=$B945)*DSecOut*Y$704:Y$767)/SUMIF(DSecCpat,$B945,DSecOut),0)</f>
        <v>0.005772657576415131</v>
      </c>
      <c r="Z945" s="38">
        <f>Y945</f>
        <v>0.005772657576415131</v>
      </c>
      <c r="AA945" s="38">
        <f>Z945</f>
        <v>0.005772657576415131</v>
      </c>
      <c r="AB945" s="38">
        <f>AA945</f>
        <v>0.005772657576415131</v>
      </c>
      <c r="AC945" s="38">
        <f>AB945</f>
        <v>0.005772657576415131</v>
      </c>
      <c r="AD945" s="38">
        <f>AC945</f>
        <v>0.005772657576415131</v>
      </c>
      <c r="AE945" s="38">
        <f>AD945</f>
        <v>0.005772657576415131</v>
      </c>
      <c r="AF945" s="38">
        <f>AE945</f>
        <v>0.005772657576415131</v>
      </c>
      <c r="AG945" s="38">
        <f>AF945</f>
        <v>0.005772657576415131</v>
      </c>
      <c r="AH945" s="38">
        <f>AG945</f>
        <v>0.005772657576415131</v>
      </c>
      <c r="AI945" s="38">
        <f>AH945</f>
        <v>0.005772657576415131</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33"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7" t="str">
        <f>IF(X$5=K$5,SUM(Y946:AI946)-SUM(L946:V946),"")</f>
        <v/>
      </c>
      <c r="X946" s="9" t="str">
        <f>LOWER(CtryCode)&amp;".distn."&amp;$A946&amp;IF($B946="","","."&amp;$B946)&amp;IF($C946="","",".dec."&amp;$C946)&amp;"."&amp;X$5</f>
        <v>egy.distn.ppic.nfm.2</v>
      </c>
      <c r="Y946" s="37">
        <f>IFERROR(SUMPRODUCT((DSecCpat=$B946)*DSecOut*Y$704:Y$767)/SUMIF(DSecCpat,$B946,DSecOut),0)</f>
        <v>0.004261037871751051</v>
      </c>
      <c r="Z946" s="38">
        <f>Y946</f>
        <v>0.004261037871751051</v>
      </c>
      <c r="AA946" s="38">
        <f>Z946</f>
        <v>0.004261037871751051</v>
      </c>
      <c r="AB946" s="38">
        <f>AA946</f>
        <v>0.004261037871751051</v>
      </c>
      <c r="AC946" s="38">
        <f>AB946</f>
        <v>0.004261037871751051</v>
      </c>
      <c r="AD946" s="38">
        <f>AC946</f>
        <v>0.004261037871751051</v>
      </c>
      <c r="AE946" s="38">
        <f>AD946</f>
        <v>0.004261037871751051</v>
      </c>
      <c r="AF946" s="38">
        <f>AE946</f>
        <v>0.004261037871751051</v>
      </c>
      <c r="AG946" s="38">
        <f>AF946</f>
        <v>0.004261037871751051</v>
      </c>
      <c r="AH946" s="38">
        <f>AG946</f>
        <v>0.004261037871751051</v>
      </c>
      <c r="AI946" s="38">
        <f>AH946</f>
        <v>0.004261037871751051</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33"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7" t="str">
        <f>IF(X$5=K$5,SUM(Y947:AI947)-SUM(L947:V947),"")</f>
        <v/>
      </c>
      <c r="X947" s="9" t="str">
        <f>LOWER(CtryCode)&amp;".distn."&amp;$A947&amp;IF($B947="","","."&amp;$B947)&amp;IF($C947="","",".dec."&amp;$C947)&amp;"."&amp;X$5</f>
        <v>egy.distn.ppic.mac.2</v>
      </c>
      <c r="Y947" s="37">
        <f>IFERROR(SUMPRODUCT((DSecCpat=$B947)*DSecOut*Y$704:Y$767)/SUMIF(DSecCpat,$B947,DSecOut),0)</f>
        <v>0.0024377676291077693</v>
      </c>
      <c r="Z947" s="38">
        <f>Y947</f>
        <v>0.0024377676291077693</v>
      </c>
      <c r="AA947" s="38">
        <f>Z947</f>
        <v>0.0024377676291077693</v>
      </c>
      <c r="AB947" s="38">
        <f>AA947</f>
        <v>0.0024377676291077693</v>
      </c>
      <c r="AC947" s="38">
        <f>AB947</f>
        <v>0.0024377676291077693</v>
      </c>
      <c r="AD947" s="38">
        <f>AC947</f>
        <v>0.0024377676291077693</v>
      </c>
      <c r="AE947" s="38">
        <f>AD947</f>
        <v>0.0024377676291077693</v>
      </c>
      <c r="AF947" s="38">
        <f>AE947</f>
        <v>0.0024377676291077693</v>
      </c>
      <c r="AG947" s="38">
        <f>AF947</f>
        <v>0.0024377676291077693</v>
      </c>
      <c r="AH947" s="38">
        <f>AG947</f>
        <v>0.0024377676291077693</v>
      </c>
      <c r="AI947" s="38">
        <f>AH947</f>
        <v>0.0024377676291077693</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33"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7" t="str">
        <f>IF(X$5=K$5,SUM(Y948:AI948)-SUM(L948:V948),"")</f>
        <v/>
      </c>
      <c r="X948" s="9" t="str">
        <f>LOWER(CtryCode)&amp;".distn."&amp;$A948&amp;IF($B948="","","."&amp;$B948)&amp;IF($C948="","",".dec."&amp;$C948)&amp;"."&amp;X$5</f>
        <v>egy.distn.ppic.cem.2</v>
      </c>
      <c r="Y948" s="37">
        <f>IFERROR(SUMPRODUCT((DSecCpat=$B948)*DSecOut*Y$704:Y$767)/SUMIF(DSecCpat,$B948,DSecOut),0)</f>
        <v>0.002081291425119216</v>
      </c>
      <c r="Z948" s="38">
        <f>Y948</f>
        <v>0.002081291425119216</v>
      </c>
      <c r="AA948" s="38">
        <f>Z948</f>
        <v>0.002081291425119216</v>
      </c>
      <c r="AB948" s="38">
        <f>AA948</f>
        <v>0.002081291425119216</v>
      </c>
      <c r="AC948" s="38">
        <f>AB948</f>
        <v>0.002081291425119216</v>
      </c>
      <c r="AD948" s="38">
        <f>AC948</f>
        <v>0.002081291425119216</v>
      </c>
      <c r="AE948" s="38">
        <f>AD948</f>
        <v>0.002081291425119216</v>
      </c>
      <c r="AF948" s="38">
        <f>AE948</f>
        <v>0.002081291425119216</v>
      </c>
      <c r="AG948" s="38">
        <f>AF948</f>
        <v>0.002081291425119216</v>
      </c>
      <c r="AH948" s="38">
        <f>AG948</f>
        <v>0.002081291425119216</v>
      </c>
      <c r="AI948" s="38">
        <f>AH948</f>
        <v>0.002081291425119216</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33"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7" t="str">
        <f>IF(X$5=K$5,SUM(Y949:AI949)-SUM(L949:V949),"")</f>
        <v/>
      </c>
      <c r="X949" s="9" t="str">
        <f>LOWER(CtryCode)&amp;".distn."&amp;$A949&amp;IF($B949="","","."&amp;$B949)&amp;IF($C949="","",".dec."&amp;$C949)&amp;"."&amp;X$5</f>
        <v>egy.distn.ppic.omn.2</v>
      </c>
      <c r="Y949" s="37">
        <f>IFERROR(SUMPRODUCT((DSecCpat=$B949)*DSecOut*Y$704:Y$767)/SUMIF(DSecCpat,$B949,DSecOut),0)</f>
        <v>0.0014282778969263914</v>
      </c>
      <c r="Z949" s="38">
        <f>Y949</f>
        <v>0.0014282778969263914</v>
      </c>
      <c r="AA949" s="38">
        <f>Z949</f>
        <v>0.0014282778969263914</v>
      </c>
      <c r="AB949" s="38">
        <f>AA949</f>
        <v>0.0014282778969263914</v>
      </c>
      <c r="AC949" s="38">
        <f>AB949</f>
        <v>0.0014282778969263914</v>
      </c>
      <c r="AD949" s="38">
        <f>AC949</f>
        <v>0.0014282778969263914</v>
      </c>
      <c r="AE949" s="38">
        <f>AD949</f>
        <v>0.0014282778969263914</v>
      </c>
      <c r="AF949" s="38">
        <f>AE949</f>
        <v>0.0014282778969263914</v>
      </c>
      <c r="AG949" s="38">
        <f>AF949</f>
        <v>0.0014282778969263914</v>
      </c>
      <c r="AH949" s="38">
        <f>AG949</f>
        <v>0.0014282778969263914</v>
      </c>
      <c r="AI949" s="38">
        <f>AH949</f>
        <v>0.0014282778969263914</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33"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7" t="str">
        <f>IF(X$5=K$5,SUM(Y950:AI950)-SUM(L950:V950),"")</f>
        <v/>
      </c>
      <c r="X950" s="9" t="str">
        <f>LOWER(CtryCode)&amp;".distn."&amp;$A950&amp;IF($B950="","","."&amp;$B950)&amp;IF($C950="","",".dec."&amp;$C950)&amp;"."&amp;X$5</f>
        <v>egy.distn.ppic.cst.2</v>
      </c>
      <c r="Y950" s="37">
        <f>IFERROR(SUMPRODUCT((DSecCpat=$B950)*DSecOut*Y$704:Y$767)/SUMIF(DSecCpat,$B950,DSecOut),0)</f>
        <v>0.0020275813393545285</v>
      </c>
      <c r="Z950" s="38">
        <f>Y950</f>
        <v>0.0020275813393545285</v>
      </c>
      <c r="AA950" s="38">
        <f>Z950</f>
        <v>0.0020275813393545285</v>
      </c>
      <c r="AB950" s="38">
        <f>AA950</f>
        <v>0.0020275813393545285</v>
      </c>
      <c r="AC950" s="38">
        <f>AB950</f>
        <v>0.0020275813393545285</v>
      </c>
      <c r="AD950" s="38">
        <f>AC950</f>
        <v>0.0020275813393545285</v>
      </c>
      <c r="AE950" s="38">
        <f>AD950</f>
        <v>0.0020275813393545285</v>
      </c>
      <c r="AF950" s="38">
        <f>AE950</f>
        <v>0.0020275813393545285</v>
      </c>
      <c r="AG950" s="38">
        <f>AF950</f>
        <v>0.0020275813393545285</v>
      </c>
      <c r="AH950" s="38">
        <f>AG950</f>
        <v>0.0020275813393545285</v>
      </c>
      <c r="AI950" s="38">
        <f>AH950</f>
        <v>0.0020275813393545285</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33"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7"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33"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7" t="str">
        <f>IF(X$5=K$5,SUM(Y952:AI952)-SUM(L952:V952),"")</f>
        <v/>
      </c>
      <c r="X952" s="9" t="str">
        <f>LOWER(CtryCode)&amp;".distn."&amp;$A952&amp;IF($B952="","","."&amp;$B952)&amp;IF($C952="","",".dec."&amp;$C952)&amp;"."&amp;X$5</f>
        <v>egy.distn.ppic.res.2</v>
      </c>
      <c r="Y952" s="37">
        <f>IFERROR(SUMPRODUCT((DSecCpat=$B952)*DSecOut*Y$704:Y$767)/SUMIF(DSecCpat,$B952,DSecOut),0)</f>
        <v>0.0010668084325739908</v>
      </c>
      <c r="Z952" s="38">
        <f>Y952</f>
        <v>0.0010668084325739908</v>
      </c>
      <c r="AA952" s="38">
        <f>Z952</f>
        <v>0.0010668084325739908</v>
      </c>
      <c r="AB952" s="38">
        <f>AA952</f>
        <v>0.0010668084325739908</v>
      </c>
      <c r="AC952" s="38">
        <f>AB952</f>
        <v>0.0010668084325739908</v>
      </c>
      <c r="AD952" s="38">
        <f>AC952</f>
        <v>0.0010668084325739908</v>
      </c>
      <c r="AE952" s="38">
        <f>AD952</f>
        <v>0.0010668084325739908</v>
      </c>
      <c r="AF952" s="38">
        <f>AE952</f>
        <v>0.0010668084325739908</v>
      </c>
      <c r="AG952" s="38">
        <f>AF952</f>
        <v>0.0010668084325739908</v>
      </c>
      <c r="AH952" s="38">
        <f>AG952</f>
        <v>0.0010668084325739908</v>
      </c>
      <c r="AI952" s="38">
        <f>AH952</f>
        <v>0.0010668084325739908</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33"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7"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33"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7" t="str">
        <f>IF(X$5=K$5,SUM(Y954:AI954)-SUM(L954:V954),"")</f>
        <v/>
      </c>
      <c r="X954" s="9" t="str">
        <f>LOWER(CtryCode)&amp;".distn."&amp;$A954&amp;IF($B954="","","."&amp;$B954)&amp;IF($C954="","",".dec."&amp;$C954)&amp;"."&amp;X$5</f>
        <v>egy.distn.outpriin.avi.2</v>
      </c>
      <c r="Y954" s="37">
        <f>IFERROR(SUMPRODUCT((DSecCpat=$B954)*DSecHhd*Y$704:Y$767)/SUMIF(DSecCpat,$B954,DSecHhd),0)</f>
        <v>0.007945517124091769</v>
      </c>
      <c r="Z954" s="38">
        <f>Y954</f>
        <v>0.007945517124091769</v>
      </c>
      <c r="AA954" s="38">
        <f>Z954</f>
        <v>0.007945517124091769</v>
      </c>
      <c r="AB954" s="38">
        <f>AA954</f>
        <v>0.007945517124091769</v>
      </c>
      <c r="AC954" s="38">
        <f>AB954</f>
        <v>0.007945517124091769</v>
      </c>
      <c r="AD954" s="38">
        <f>AC954</f>
        <v>0.007945517124091769</v>
      </c>
      <c r="AE954" s="38">
        <f>AD954</f>
        <v>0.007945517124091769</v>
      </c>
      <c r="AF954" s="38">
        <f>AE954</f>
        <v>0.007945517124091769</v>
      </c>
      <c r="AG954" s="38">
        <f>AF954</f>
        <v>0.007945517124091769</v>
      </c>
      <c r="AH954" s="38">
        <f>AG954</f>
        <v>0.007945517124091769</v>
      </c>
      <c r="AI954" s="38">
        <f>AH954</f>
        <v>0.007945517124091769</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33"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7" t="str">
        <f>IF(X$5=K$5,SUM(Y955:AI955)-SUM(L955:V955),"")</f>
        <v/>
      </c>
      <c r="X955" s="9" t="str">
        <f>LOWER(CtryCode)&amp;".distn."&amp;$A955&amp;IF($B955="","","."&amp;$B955)&amp;IF($C955="","",".dec."&amp;$C955)&amp;"."&amp;X$5</f>
        <v>egy.distn.outpriin.nav.2</v>
      </c>
      <c r="Y955" s="37">
        <f>IFERROR(SUMPRODUCT((DSecCpat=$B955)*DSecHhd*Y$704:Y$767)/SUMIF(DSecCpat,$B955,DSecHhd),0)</f>
        <v>0.006013376903013069</v>
      </c>
      <c r="Z955" s="38">
        <f>Y955</f>
        <v>0.006013376903013069</v>
      </c>
      <c r="AA955" s="38">
        <f>Z955</f>
        <v>0.006013376903013069</v>
      </c>
      <c r="AB955" s="38">
        <f>AA955</f>
        <v>0.006013376903013069</v>
      </c>
      <c r="AC955" s="38">
        <f>AB955</f>
        <v>0.006013376903013069</v>
      </c>
      <c r="AD955" s="38">
        <f>AC955</f>
        <v>0.006013376903013069</v>
      </c>
      <c r="AE955" s="38">
        <f>AD955</f>
        <v>0.006013376903013069</v>
      </c>
      <c r="AF955" s="38">
        <f>AE955</f>
        <v>0.006013376903013069</v>
      </c>
      <c r="AG955" s="38">
        <f>AF955</f>
        <v>0.006013376903013069</v>
      </c>
      <c r="AH955" s="38">
        <f>AG955</f>
        <v>0.006013376903013069</v>
      </c>
      <c r="AI955" s="38">
        <f>AH955</f>
        <v>0.006013376903013069</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33"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7" t="str">
        <f>IF(X$5=K$5,SUM(Y956:AI956)-SUM(L956:V956),"")</f>
        <v/>
      </c>
      <c r="X956" s="9" t="str">
        <f>LOWER(CtryCode)&amp;".distn."&amp;$A956&amp;IF($B956="","","."&amp;$B956)&amp;IF($C956="","",".dec."&amp;$C956)&amp;"."&amp;X$5</f>
        <v>egy.distn.outpriin.foo.2</v>
      </c>
      <c r="Y956" s="37">
        <f>IFERROR(SUMPRODUCT((DSecCpat=$B956)*DSecHhd*Y$704:Y$767)/SUMIF(DSecCpat,$B956,DSecHhd),0)</f>
        <v>0.0012350609992572818</v>
      </c>
      <c r="Z956" s="38">
        <f>Y956</f>
        <v>0.0012350609992572818</v>
      </c>
      <c r="AA956" s="38">
        <f>Z956</f>
        <v>0.0012350609992572818</v>
      </c>
      <c r="AB956" s="38">
        <f>AA956</f>
        <v>0.0012350609992572818</v>
      </c>
      <c r="AC956" s="38">
        <f>AB956</f>
        <v>0.0012350609992572818</v>
      </c>
      <c r="AD956" s="38">
        <f>AC956</f>
        <v>0.0012350609992572818</v>
      </c>
      <c r="AE956" s="38">
        <f>AD956</f>
        <v>0.0012350609992572818</v>
      </c>
      <c r="AF956" s="38">
        <f>AE956</f>
        <v>0.0012350609992572818</v>
      </c>
      <c r="AG956" s="38">
        <f>AF956</f>
        <v>0.0012350609992572818</v>
      </c>
      <c r="AH956" s="38">
        <f>AG956</f>
        <v>0.0012350609992572818</v>
      </c>
      <c r="AI956" s="38">
        <f>AH956</f>
        <v>0.0012350609992572818</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33"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7" t="str">
        <f>IF(X$5=K$5,SUM(Y957:AI957)-SUM(L957:V957),"")</f>
        <v/>
      </c>
      <c r="X957" s="9" t="str">
        <f>LOWER(CtryCode)&amp;".distn."&amp;$A957&amp;IF($B957="","","."&amp;$B957)&amp;IF($C957="","",".dec."&amp;$C957)&amp;"."&amp;X$5</f>
        <v>egy.distn.outpriin.srv.2</v>
      </c>
      <c r="Y957" s="37">
        <f>IFERROR(SUMPRODUCT((DSecCpat=$B957)*DSecHhd*Y$704:Y$767)/SUMIF(DSecCpat,$B957,DSecHhd),0)</f>
        <v>0.0006684611684740864</v>
      </c>
      <c r="Z957" s="38">
        <f>Y957</f>
        <v>0.0006684611684740864</v>
      </c>
      <c r="AA957" s="38">
        <f>Z957</f>
        <v>0.0006684611684740864</v>
      </c>
      <c r="AB957" s="38">
        <f>AA957</f>
        <v>0.0006684611684740864</v>
      </c>
      <c r="AC957" s="38">
        <f>AB957</f>
        <v>0.0006684611684740864</v>
      </c>
      <c r="AD957" s="38">
        <f>AC957</f>
        <v>0.0006684611684740864</v>
      </c>
      <c r="AE957" s="38">
        <f>AD957</f>
        <v>0.0006684611684740864</v>
      </c>
      <c r="AF957" s="38">
        <f>AE957</f>
        <v>0.0006684611684740864</v>
      </c>
      <c r="AG957" s="38">
        <f>AF957</f>
        <v>0.0006684611684740864</v>
      </c>
      <c r="AH957" s="38">
        <f>AG957</f>
        <v>0.0006684611684740864</v>
      </c>
      <c r="AI957" s="38">
        <f>AH957</f>
        <v>0.0006684611684740864</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33"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7" t="str">
        <f>IF(X$5=K$5,SUM(Y958:AI958)-SUM(L958:V958),"")</f>
        <v/>
      </c>
      <c r="X958" s="9" t="str">
        <f>LOWER(CtryCode)&amp;".distn."&amp;$A958&amp;IF($B958="","","."&amp;$B958)&amp;IF($C958="","",".dec."&amp;$C958)&amp;"."&amp;X$5</f>
        <v>egy.distn.outpriin.mch.2</v>
      </c>
      <c r="Y958" s="37">
        <f>IFERROR(SUMPRODUCT((DSecCpat=$B958)*DSecHhd*Y$704:Y$767)/SUMIF(DSecCpat,$B958,DSecHhd),0)</f>
        <v>0.005824645962875467</v>
      </c>
      <c r="Z958" s="38">
        <f>Y958</f>
        <v>0.005824645962875467</v>
      </c>
      <c r="AA958" s="38">
        <f>Z958</f>
        <v>0.005824645962875467</v>
      </c>
      <c r="AB958" s="38">
        <f>AA958</f>
        <v>0.005824645962875467</v>
      </c>
      <c r="AC958" s="38">
        <f>AB958</f>
        <v>0.005824645962875467</v>
      </c>
      <c r="AD958" s="38">
        <f>AC958</f>
        <v>0.005824645962875467</v>
      </c>
      <c r="AE958" s="38">
        <f>AD958</f>
        <v>0.005824645962875467</v>
      </c>
      <c r="AF958" s="38">
        <f>AE958</f>
        <v>0.005824645962875467</v>
      </c>
      <c r="AG958" s="38">
        <f>AF958</f>
        <v>0.005824645962875467</v>
      </c>
      <c r="AH958" s="38">
        <f>AG958</f>
        <v>0.005824645962875467</v>
      </c>
      <c r="AI958" s="38">
        <f>AH958</f>
        <v>0.005824645962875467</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33"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7" t="str">
        <f>IF(X$5=K$5,SUM(Y959:AI959)-SUM(L959:V959),"")</f>
        <v/>
      </c>
      <c r="X959" s="9" t="str">
        <f>LOWER(CtryCode)&amp;".distn."&amp;$A959&amp;IF($B959="","","."&amp;$B959)&amp;IF($C959="","",".dec."&amp;$C959)&amp;"."&amp;X$5</f>
        <v>egy.distn.outpriin.irn.2</v>
      </c>
      <c r="Y959" s="37">
        <f>IFERROR(SUMPRODUCT((DSecCpat=$B959)*DSecHhd*Y$704:Y$767)/SUMIF(DSecCpat,$B959,DSecHhd),0)</f>
        <v>0.005772657576415131</v>
      </c>
      <c r="Z959" s="38">
        <f>Y959</f>
        <v>0.005772657576415131</v>
      </c>
      <c r="AA959" s="38">
        <f>Z959</f>
        <v>0.005772657576415131</v>
      </c>
      <c r="AB959" s="38">
        <f>AA959</f>
        <v>0.005772657576415131</v>
      </c>
      <c r="AC959" s="38">
        <f>AB959</f>
        <v>0.005772657576415131</v>
      </c>
      <c r="AD959" s="38">
        <f>AC959</f>
        <v>0.005772657576415131</v>
      </c>
      <c r="AE959" s="38">
        <f>AD959</f>
        <v>0.005772657576415131</v>
      </c>
      <c r="AF959" s="38">
        <f>AE959</f>
        <v>0.005772657576415131</v>
      </c>
      <c r="AG959" s="38">
        <f>AF959</f>
        <v>0.005772657576415131</v>
      </c>
      <c r="AH959" s="38">
        <f>AG959</f>
        <v>0.005772657576415131</v>
      </c>
      <c r="AI959" s="38">
        <f>AH959</f>
        <v>0.005772657576415131</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33"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7" t="str">
        <f>IF(X$5=K$5,SUM(Y960:AI960)-SUM(L960:V960),"")</f>
        <v/>
      </c>
      <c r="X960" s="9" t="str">
        <f>LOWER(CtryCode)&amp;".distn."&amp;$A960&amp;IF($B960="","","."&amp;$B960)&amp;IF($C960="","",".dec."&amp;$C960)&amp;"."&amp;X$5</f>
        <v>egy.distn.outpriin.nfm.2</v>
      </c>
      <c r="Y960" s="37">
        <f>IFERROR(SUMPRODUCT((DSecCpat=$B960)*DSecHhd*Y$704:Y$767)/SUMIF(DSecCpat,$B960,DSecHhd),0)</f>
        <v>0.004261037871751051</v>
      </c>
      <c r="Z960" s="38">
        <f>Y960</f>
        <v>0.004261037871751051</v>
      </c>
      <c r="AA960" s="38">
        <f>Z960</f>
        <v>0.004261037871751051</v>
      </c>
      <c r="AB960" s="38">
        <f>AA960</f>
        <v>0.004261037871751051</v>
      </c>
      <c r="AC960" s="38">
        <f>AB960</f>
        <v>0.004261037871751051</v>
      </c>
      <c r="AD960" s="38">
        <f>AC960</f>
        <v>0.004261037871751051</v>
      </c>
      <c r="AE960" s="38">
        <f>AD960</f>
        <v>0.004261037871751051</v>
      </c>
      <c r="AF960" s="38">
        <f>AE960</f>
        <v>0.004261037871751051</v>
      </c>
      <c r="AG960" s="38">
        <f>AF960</f>
        <v>0.004261037871751051</v>
      </c>
      <c r="AH960" s="38">
        <f>AG960</f>
        <v>0.004261037871751051</v>
      </c>
      <c r="AI960" s="38">
        <f>AH960</f>
        <v>0.004261037871751051</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33"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7" t="str">
        <f>IF(X$5=K$5,SUM(Y961:AI961)-SUM(L961:V961),"")</f>
        <v/>
      </c>
      <c r="X961" s="9" t="str">
        <f>LOWER(CtryCode)&amp;".distn."&amp;$A961&amp;IF($B961="","","."&amp;$B961)&amp;IF($C961="","",".dec."&amp;$C961)&amp;"."&amp;X$5</f>
        <v>egy.distn.outpriin.mac.2</v>
      </c>
      <c r="Y961" s="37">
        <f>IFERROR(SUMPRODUCT((DSecCpat=$B961)*DSecHhd*Y$704:Y$767)/SUMIF(DSecCpat,$B961,DSecHhd),0)</f>
        <v>0.0021853033257888334</v>
      </c>
      <c r="Z961" s="38">
        <f>Y961</f>
        <v>0.0021853033257888334</v>
      </c>
      <c r="AA961" s="38">
        <f>Z961</f>
        <v>0.0021853033257888334</v>
      </c>
      <c r="AB961" s="38">
        <f>AA961</f>
        <v>0.0021853033257888334</v>
      </c>
      <c r="AC961" s="38">
        <f>AB961</f>
        <v>0.0021853033257888334</v>
      </c>
      <c r="AD961" s="38">
        <f>AC961</f>
        <v>0.0021853033257888334</v>
      </c>
      <c r="AE961" s="38">
        <f>AD961</f>
        <v>0.0021853033257888334</v>
      </c>
      <c r="AF961" s="38">
        <f>AE961</f>
        <v>0.0021853033257888334</v>
      </c>
      <c r="AG961" s="38">
        <f>AF961</f>
        <v>0.0021853033257888334</v>
      </c>
      <c r="AH961" s="38">
        <f>AG961</f>
        <v>0.0021853033257888334</v>
      </c>
      <c r="AI961" s="38">
        <f>AH961</f>
        <v>0.0021853033257888334</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33"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7" t="str">
        <f>IF(X$5=K$5,SUM(Y962:AI962)-SUM(L962:V962),"")</f>
        <v/>
      </c>
      <c r="X962" s="9" t="str">
        <f>LOWER(CtryCode)&amp;".distn."&amp;$A962&amp;IF($B962="","","."&amp;$B962)&amp;IF($C962="","",".dec."&amp;$C962)&amp;"."&amp;X$5</f>
        <v>egy.distn.outpriin.cem.2</v>
      </c>
      <c r="Y962" s="37">
        <f>IFERROR(SUMPRODUCT((DSecCpat=$B962)*DSecHhd*Y$704:Y$767)/SUMIF(DSecCpat,$B962,DSecHhd),0)</f>
        <v>0.002081291425119216</v>
      </c>
      <c r="Z962" s="38">
        <f>Y962</f>
        <v>0.002081291425119216</v>
      </c>
      <c r="AA962" s="38">
        <f>Z962</f>
        <v>0.002081291425119216</v>
      </c>
      <c r="AB962" s="38">
        <f>AA962</f>
        <v>0.002081291425119216</v>
      </c>
      <c r="AC962" s="38">
        <f>AB962</f>
        <v>0.002081291425119216</v>
      </c>
      <c r="AD962" s="38">
        <f>AC962</f>
        <v>0.002081291425119216</v>
      </c>
      <c r="AE962" s="38">
        <f>AD962</f>
        <v>0.002081291425119216</v>
      </c>
      <c r="AF962" s="38">
        <f>AE962</f>
        <v>0.002081291425119216</v>
      </c>
      <c r="AG962" s="38">
        <f>AF962</f>
        <v>0.002081291425119216</v>
      </c>
      <c r="AH962" s="38">
        <f>AG962</f>
        <v>0.002081291425119216</v>
      </c>
      <c r="AI962" s="38">
        <f>AH962</f>
        <v>0.002081291425119216</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33"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7" t="str">
        <f>IF(X$5=K$5,SUM(Y963:AI963)-SUM(L963:V963),"")</f>
        <v/>
      </c>
      <c r="X963" s="9" t="str">
        <f>LOWER(CtryCode)&amp;".distn."&amp;$A963&amp;IF($B963="","","."&amp;$B963)&amp;IF($C963="","",".dec."&amp;$C963)&amp;"."&amp;X$5</f>
        <v>egy.distn.outpriin.omn.2</v>
      </c>
      <c r="Y963" s="37">
        <f>IFERROR(SUMPRODUCT((DSecCpat=$B963)*DSecHhd*Y$704:Y$767)/SUMIF(DSecCpat,$B963,DSecHhd),0)</f>
        <v>0.001331321192654905</v>
      </c>
      <c r="Z963" s="38">
        <f>Y963</f>
        <v>0.001331321192654905</v>
      </c>
      <c r="AA963" s="38">
        <f>Z963</f>
        <v>0.001331321192654905</v>
      </c>
      <c r="AB963" s="38">
        <f>AA963</f>
        <v>0.001331321192654905</v>
      </c>
      <c r="AC963" s="38">
        <f>AB963</f>
        <v>0.001331321192654905</v>
      </c>
      <c r="AD963" s="38">
        <f>AC963</f>
        <v>0.001331321192654905</v>
      </c>
      <c r="AE963" s="38">
        <f>AD963</f>
        <v>0.001331321192654905</v>
      </c>
      <c r="AF963" s="38">
        <f>AE963</f>
        <v>0.001331321192654905</v>
      </c>
      <c r="AG963" s="38">
        <f>AF963</f>
        <v>0.001331321192654905</v>
      </c>
      <c r="AH963" s="38">
        <f>AG963</f>
        <v>0.001331321192654905</v>
      </c>
      <c r="AI963" s="38">
        <f>AH963</f>
        <v>0.001331321192654905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33"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7" t="str">
        <f>IF(X$5=K$5,SUM(Y964:AI964)-SUM(L964:V964),"")</f>
        <v/>
      </c>
      <c r="X964" s="9" t="str">
        <f>LOWER(CtryCode)&amp;".distn."&amp;$A964&amp;IF($B964="","","."&amp;$B964)&amp;IF($C964="","",".dec."&amp;$C964)&amp;"."&amp;X$5</f>
        <v>egy.distn.outpriin.cst.2</v>
      </c>
      <c r="Y964" s="37">
        <f>IFERROR(SUMPRODUCT((DSecCpat=$B964)*DSecHhd*Y$704:Y$767)/SUMIF(DSecCpat,$B964,DSecHhd),0)</f>
        <v>0.0020275813393545285</v>
      </c>
      <c r="Z964" s="38">
        <f>Y964</f>
        <v>0.0020275813393545285</v>
      </c>
      <c r="AA964" s="38">
        <f>Z964</f>
        <v>0.0020275813393545285</v>
      </c>
      <c r="AB964" s="38">
        <f>AA964</f>
        <v>0.0020275813393545285</v>
      </c>
      <c r="AC964" s="38">
        <f>AB964</f>
        <v>0.0020275813393545285</v>
      </c>
      <c r="AD964" s="38">
        <f>AC964</f>
        <v>0.0020275813393545285</v>
      </c>
      <c r="AE964" s="38">
        <f>AD964</f>
        <v>0.0020275813393545285</v>
      </c>
      <c r="AF964" s="38">
        <f>AE964</f>
        <v>0.0020275813393545285</v>
      </c>
      <c r="AG964" s="38">
        <f>AF964</f>
        <v>0.0020275813393545285</v>
      </c>
      <c r="AH964" s="38">
        <f>AG964</f>
        <v>0.0020275813393545285</v>
      </c>
      <c r="AI964" s="38">
        <f>AH964</f>
        <v>0.0020275813393545285</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33"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7"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33"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7" t="str">
        <f>IF(X$5=K$5,SUM(Y966:AI966)-SUM(L966:V966),"")</f>
        <v/>
      </c>
      <c r="X966" s="9" t="str">
        <f>LOWER(CtryCode)&amp;".distn."&amp;$A966&amp;IF($B966="","","."&amp;$B966)&amp;IF($C966="","",".dec."&amp;$C966)&amp;"."&amp;X$5</f>
        <v>egy.distn.outpriin.res.2</v>
      </c>
      <c r="Y966" s="37">
        <f>IFERROR(SUMPRODUCT((DSecCpat=$B966)*DSecHhd*Y$704:Y$767)/SUMIF(DSecCpat,$B966,DSecHhd),0)</f>
        <v>0.0010668084325739908</v>
      </c>
      <c r="Z966" s="38">
        <f>Y966</f>
        <v>0.0010668084325739908</v>
      </c>
      <c r="AA966" s="38">
        <f>Z966</f>
        <v>0.0010668084325739908</v>
      </c>
      <c r="AB966" s="38">
        <f>AA966</f>
        <v>0.0010668084325739908</v>
      </c>
      <c r="AC966" s="38">
        <f>AB966</f>
        <v>0.0010668084325739908</v>
      </c>
      <c r="AD966" s="38">
        <f>AC966</f>
        <v>0.0010668084325739908</v>
      </c>
      <c r="AE966" s="38">
        <f>AD966</f>
        <v>0.0010668084325739908</v>
      </c>
      <c r="AF966" s="38">
        <f>AE966</f>
        <v>0.0010668084325739908</v>
      </c>
      <c r="AG966" s="38">
        <f>AF966</f>
        <v>0.0010668084325739908</v>
      </c>
      <c r="AH966" s="38">
        <f>AG966</f>
        <v>0.0010668084325739908</v>
      </c>
      <c r="AI966" s="38">
        <f>AH966</f>
        <v>0.0010668084325739908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33"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7"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33"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7" t="str">
        <f>IF(X$5=K$5,SUM(Y969:AI969)-SUM(L969:V969),"")</f>
        <v/>
      </c>
      <c r="X969" s="9" t="str">
        <f>LOWER(CtryCode)&amp;".distn."&amp;$A969&amp;IF($B969="","","."&amp;$B969)&amp;IF($C969="","",".dec."&amp;$C969)&amp;"."&amp;X$5</f>
        <v>egy.distn.ppic.all.2</v>
      </c>
      <c r="Y969" s="35">
        <f>IFERROR(SUMPRODUCT(DSecOut,Y$704:Y$767)/SUM(DSecOut),0)</f>
        <v>0.001614112180535897</v>
      </c>
      <c r="Z969" s="36">
        <f>Y969</f>
        <v>0.001614112180535897</v>
      </c>
      <c r="AA969" s="36">
        <f>Z969</f>
        <v>0.001614112180535897</v>
      </c>
      <c r="AB969" s="36">
        <f>AA969</f>
        <v>0.001614112180535897</v>
      </c>
      <c r="AC969" s="36">
        <f>AB969</f>
        <v>0.001614112180535897</v>
      </c>
      <c r="AD969" s="36">
        <f>AC969</f>
        <v>0.001614112180535897</v>
      </c>
      <c r="AE969" s="36">
        <f>AD969</f>
        <v>0.001614112180535897</v>
      </c>
      <c r="AF969" s="36">
        <f>AE969</f>
        <v>0.001614112180535897</v>
      </c>
      <c r="AG969" s="36">
        <f>AF969</f>
        <v>0.001614112180535897</v>
      </c>
      <c r="AH969" s="36">
        <f>AG969</f>
        <v>0.001614112180535897</v>
      </c>
      <c r="AI969" s="36">
        <f>AH969</f>
        <v>0.001614112180535897</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72"/>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ScenarioDefinition!$J$520</f>
        <v>2024.0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ScenarioDefinition!$J$521</f>
        <v>0.5</v>
      </c>
    </row>
    <row r="15">
      <c r="B15" s="3" t="inlineStr">
        <is>
          <t>ETS: convergence exponent of the next-price proposal (legacy convergence factor, row 1966)</t>
        </is>
      </c>
      <c r="C15" s="8">
        <f>ScenarioDefinition!$J$522</f>
        <v>0.5</v>
      </c>
    </row>
    <row r="16">
      <c r="B16" s="6" t="inlineStr">
        <is>
          <t>ETS volatility table (sheet ETS+LTS rows 5-7; MTInputs labels ETSVolatility, 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6">
        <f>ScenarioDefinition!$J$523</f>
        <v>1.0</v>
      </c>
    </row>
    <row r="20">
      <c r="B20" s="3" t="inlineStr">
        <is>
          <t>Output code prefix (country.mit.; defined name CodePrefix)</t>
        </is>
      </c>
      <c r="C20" s="87"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203" t="n">
        <v>332.662858</v>
      </c>
    </row>
    <row r="23">
      <c r="B23" s="3" t="inlineStr">
        <is>
          <t>US GDP deflator of ResultsYear (WEO USA|ngdp_d; DeflRes)</t>
        </is>
      </c>
      <c r="C23" s="203" t="n">
        <v>132.681448</v>
      </c>
    </row>
    <row r="24">
      <c r="B24" s="3" t="inlineStr">
        <is>
          <t>Prices_dom row of the country and base year (PDomBase)</t>
        </is>
      </c>
      <c r="C24" s="58" t="n">
        <v>4</v>
      </c>
    </row>
    <row r="25">
      <c r="B25" s="3" t="inlineStr">
        <is>
          <t>Prices_dom row of the country and last historical price year (PDomLast)</t>
        </is>
      </c>
      <c r="C25" s="58" t="n">
        <v>6</v>
      </c>
    </row>
    <row r="26">
      <c r="B26" s="3" t="inlineStr">
        <is>
          <t>Last GHG inventory year of the country (sheet GHGs; GHGYear)</t>
        </is>
      </c>
      <c r="C26" s="58" t="n">
        <v>2024</v>
      </c>
    </row>
    <row r="27">
      <c r="B27" s="3" t="inlineStr">
        <is>
          <t>Calibrate energy CO2 to the GHG inventory (Yes / No; v0.4.11: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v0.4.11)</t>
        </is>
      </c>
      <c r="C28" s="228" t="n">
        <v>211.0535364</v>
      </c>
    </row>
    <row r="29">
      <c r="B29" s="3" t="inlineStr">
        <is>
          <t>CO2 calibration factor (EFCalib): C28 / C30 if C27 = Yes, else 1; every CO2 EF is multiplied by it</t>
        </is>
      </c>
      <c r="C29" s="60">
        <f>IF(LEFT($C$27,3)="Yes",IFERROR($C$28/$C$30,1),1)</f>
        <v>0.9807281492906733</v>
      </c>
    </row>
    <row r="30">
      <c r="B30" s="3" t="inlineStr">
        <is>
          <t>Scenario-1 energy CO2 with uncalibrated EFs in the base year (Mt CO2; sheet BaselineCO2 row raw; as legacy row 623: the base-year energy balance, v0.4.11)</t>
        </is>
      </c>
      <c r="C30" s="228" t="n">
        <v>215.2008551530286</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9">
        <f>INDEX(SDBase,MATCH("SCCTargetConsistentCP",SDParam,0))</f>
        <v>75.0</v>
      </c>
    </row>
    <row r="34">
      <c r="B34" s="3" t="inlineStr">
        <is>
          <t>Year of the target-consistent price (SCCTgtYr)</t>
        </is>
      </c>
      <c r="C34" s="146">
        <f>ScenarioDefinition!$J$524</f>
        <v>2030.0</v>
      </c>
    </row>
    <row r="35">
      <c r="B35" s="3" t="inlineStr">
        <is>
          <t>SCC: real growth a year (SCCGr)</t>
        </is>
      </c>
      <c r="C35" s="230">
        <f>INDEX(SDBase,MATCH("SCCRise",SDParam,0))</f>
        <v>0.04</v>
      </c>
    </row>
    <row r="36">
      <c r="B36" s="3" t="inlineStr">
        <is>
          <t>Source of the national SCC: Target, Ricke, Manual or EPA (NSCCSrc; legacy Target*)</t>
        </is>
      </c>
      <c r="C36" s="174" t="str">
        <f>INDEX(SDBase,MATCH("NSCCSource",SDParam,0))</f>
        <v>Target*</v>
      </c>
    </row>
    <row r="37">
      <c r="B37" s="3" t="inlineStr">
        <is>
          <t>Source of the global SCC: Target, Ricke, Manual or EPA (GSCCSrc; legacy Target*)</t>
        </is>
      </c>
      <c r="C37" s="174" t="str">
        <f>INDEX(SDBase,MATCH("GSCCSource",SDParam,0))</f>
        <v>Target*</v>
      </c>
    </row>
    <row r="38">
      <c r="B38" s="3" t="inlineStr">
        <is>
          <t>Ricke et al. (2018): pure rate of time preference, 1 or 2 (%)</t>
        </is>
      </c>
      <c r="C38" s="146" t="str">
        <f>INDEX(SDBase,MATCH("NSCCDiscountRate",SDParam,0))</f>
        <v>2%*</v>
      </c>
    </row>
    <row r="39">
      <c r="B39" s="3" t="inlineStr">
        <is>
          <t>Ricke et al. (2018): elasticity of marginal utility, 0p7 or 1p5</t>
        </is>
      </c>
      <c r="C39" s="174" t="str">
        <f>INDEX(SDBase,MATCH("NSCCMargUtilofCons",SDParam,0))</f>
        <v>1.5%*</v>
      </c>
    </row>
    <row r="40">
      <c r="B40" s="3" t="inlineStr">
        <is>
          <t>US EPA SCC (2.5% discount rate) in the base year (USD per tCO2 real; SCCEpa)</t>
        </is>
      </c>
      <c r="C40" s="229">
        <f>ScenarioDefinition!$J$525</f>
        <v>62.0</v>
      </c>
    </row>
    <row r="41">
      <c r="B41" s="3" t="inlineStr">
        <is>
          <t>Key of the national Ricke value (sheet SCC; RickeN)</t>
        </is>
      </c>
      <c r="C41" s="87" t="str">
        <f>LOWER($C$4)&amp;"."&amp;LEFT($C$38,1)&amp;"."&amp;SUBSTITUTE(LEFT($C$39,FIND("%",$C$39&amp;"%")-1),".","p")</f>
        <v>egy.2.1p5</v>
      </c>
    </row>
    <row r="42">
      <c r="B42" s="3" t="inlineStr">
        <is>
          <t>Key of the global Ricke value (sheet SCC; RickeG)</t>
        </is>
      </c>
      <c r="C42" s="87"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v0.4.11)</t>
        </is>
      </c>
      <c r="C44" s="3" t="str">
        <f>$C$4&amp;"|info_"</f>
        <v>EGY|info_</v>
      </c>
    </row>
    <row r="45">
      <c r="B45" s="3" t="inlineStr">
        <is>
          <t>Power: the investment deficit left after the second round goes to gas (Yes / No; legacy typed switch E4248, default No; PwDeficitGas; v0.5.4)</t>
        </is>
      </c>
      <c r="C45" s="8" t="str">
        <f>ScenarioDefinition!$J$527</f>
        <v>No</v>
      </c>
    </row>
    <row r="46">
      <c r="B46" s="6" t="inlineStr">
        <is>
          <t>Methane fee applies to (Yes / No; inputs on sheet Manual inputs J196:J200, the legacy addresses; shown here; v0.5.2)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v0.4.13,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(v0.4.15, I31)</t>
        </is>
      </c>
      <c r="C54" s="8" t="str">
        <f>ScenarioDefinition!$J$526</f>
        <v>Legacy*</v>
      </c>
    </row>
    <row r="55">
      <c r="B55" s="6" t="inlineStr">
        <is>
          <t>Multiplier group of each MTInputs MultipliersSource (row 226; first three letters, column B; any other text: the income group; MultSrcKey, MultSrcVal; v0.4.15,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v0.5.1)</t>
        </is>
      </c>
      <c r="C59" s="3" t="str">
        <f>INDEX(SDBase,MATCH("BiomassLeakage",SDParam,0))</f>
        <v>No</v>
      </c>
    </row>
    <row r="60">
      <c r="B60" s="6" t="inlineStr">
        <is>
          <t>Residential cookstove efficiency by fuel (MTInputs NatGasEff, LPGEff, KerEff, BioEff, scenario 1; CookEffKey, CookEffVal, CookEffBio; legacy C5578-C5593; v0.5.1)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v0.5.1)</t>
        </is>
      </c>
      <c r="C65" s="3" t="str">
        <f>IFERROR(INDEX(DCookFuel,MATCH(CtryCode&amp;".distn.pcoff.ove",DCookKey,0)),"lpg")</f>
        <v>lpg</v>
      </c>
    </row>
    <row r="66">
      <c r="B66" s="3" t="inlineStr">
        <is>
          <t>Power: the coal implicit cost enters generation costs and tariffs (Yes / No; legacy: Yes; PwCoalICTariff; v0.5.6, PowerFeatures_Plan P5, decision 6). It always enters dispatch and investment</t>
        </is>
      </c>
      <c r="C66" s="8" t="str">
        <f>ScenarioDefinition!$J$528</f>
        <v>Yes</v>
      </c>
    </row>
    <row r="67"/>
    <row r="68">
      <c r="B68" s="6" t="inlineStr">
        <is>
          <t>Initially exempt residential demand (legacy rows 1784-1795, 5564-5570; v0.5.6,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203">
        <f>IFERROR(INDEX(DHHVal,$E72,MATCH(CookFuel&amp;"_share",DHHVar,0)),0)</f>
        <v>2.732878313095273</v>
      </c>
      <c r="C72" s="125">
        <f>IFERROR(INDEX(DHHVal,$E72,MATCH("cons_pc_acrent",DHHVar,0)),0)</f>
        <v>5316.450441728693</v>
      </c>
      <c r="D72" s="58">
        <f>IF(AND(LEFT($C$69,1)="Y",$A72&lt;=$C$70),1,0)</f>
        <v>0.0</v>
      </c>
      <c r="E72" s="58">
        <f>MATCH(CtryCode&amp;".distn.bsh.dec.ove.mean."&amp;$A72,DHHKey,0)</f>
        <v>1.0</v>
      </c>
      <c r="F72" s="125">
        <f>IFERROR(INDEX(DHHVal,$E72,MATCH("popw",DHHVar,0)),0)</f>
        <v>9942776.140414724</v>
      </c>
    </row>
    <row r="73">
      <c r="A73" s="58" t="n">
        <v>2</v>
      </c>
      <c r="B73" s="203">
        <f>IFERROR(INDEX(DHHVal,$E73,MATCH(CookFuel&amp;"_share",DHHVar,0)),0)</f>
        <v>2.347839307810304</v>
      </c>
      <c r="C73" s="125">
        <f>IFERROR(INDEX(DHHVal,$E73,MATCH("cons_pc_acrent",DHHVar,0)),0)</f>
        <v>6774.641488347366</v>
      </c>
      <c r="D73" s="58">
        <f>IF(AND(LEFT($C$69,1)="Y",$A73&lt;=$C$70),1,0)</f>
        <v>0.0</v>
      </c>
      <c r="E73" s="58">
        <f>MATCH(CtryCode&amp;".distn.bsh.dec.ove.mean."&amp;$A73,DHHKey,0)</f>
        <v>2.0</v>
      </c>
      <c r="F73" s="125">
        <f>IFERROR(INDEX(DHHVal,$E73,MATCH("popw",DHHVar,0)),0)</f>
        <v>9769176.619459534</v>
      </c>
    </row>
    <row r="74">
      <c r="A74" s="58" t="n">
        <v>3</v>
      </c>
      <c r="B74" s="203">
        <f>IFERROR(INDEX(DHHVal,$E74,MATCH(CookFuel&amp;"_share",DHHVar,0)),0)</f>
        <v>2.066171666044051</v>
      </c>
      <c r="C74" s="125">
        <f>IFERROR(INDEX(DHHVal,$E74,MATCH("cons_pc_acrent",DHHVar,0)),0)</f>
        <v>8368.166384666636</v>
      </c>
      <c r="D74" s="58">
        <f>IF(AND(LEFT($C$69,1)="Y",$A74&lt;=$C$70),1,0)</f>
        <v>0.0</v>
      </c>
      <c r="E74" s="58">
        <f>MATCH(CtryCode&amp;".distn.bsh.dec.ove.mean."&amp;$A74,DHHKey,0)</f>
        <v>3.0</v>
      </c>
      <c r="F74" s="125">
        <f>IFERROR(INDEX(DHHVal,$E74,MATCH("popw",DHHVar,0)),0)</f>
        <v>11107330.69828401</v>
      </c>
    </row>
    <row r="75">
      <c r="A75" s="58" t="n">
        <v>4</v>
      </c>
      <c r="B75" s="203">
        <f>IFERROR(INDEX(DHHVal,$E75,MATCH(CookFuel&amp;"_share",DHHVar,0)),0)</f>
        <v>1.771361052151576</v>
      </c>
      <c r="C75" s="125">
        <f>IFERROR(INDEX(DHHVal,$E75,MATCH("cons_pc_acrent",DHHVar,0)),0)</f>
        <v>9974.527581536568</v>
      </c>
      <c r="D75" s="58">
        <f>IF(AND(LEFT($C$69,1)="Y",$A75&lt;=$C$70),1,0)</f>
        <v>0.0</v>
      </c>
      <c r="E75" s="58">
        <f>MATCH(CtryCode&amp;".distn.bsh.dec.ove.mean."&amp;$A75,DHHKey,0)</f>
        <v>4.0</v>
      </c>
      <c r="F75" s="125">
        <f>IFERROR(INDEX(DHHVal,$E75,MATCH("popw",DHHVar,0)),0)</f>
        <v>9991490.687151534</v>
      </c>
    </row>
    <row r="76">
      <c r="A76" s="58" t="n">
        <v>5</v>
      </c>
      <c r="B76" s="203">
        <f>IFERROR(INDEX(DHHVal,$E76,MATCH(CookFuel&amp;"_share",DHHVar,0)),0)</f>
        <v>1.729992103661582</v>
      </c>
      <c r="C76" s="125">
        <f>IFERROR(INDEX(DHHVal,$E76,MATCH("cons_pc_acrent",DHHVar,0)),0)</f>
        <v>10520.12234342251</v>
      </c>
      <c r="D76" s="58">
        <f>IF(AND(LEFT($C$69,1)="Y",$A76&lt;=$C$70),1,0)</f>
        <v>0.0</v>
      </c>
      <c r="E76" s="58">
        <f>MATCH(CtryCode&amp;".distn.bsh.dec.ove.mean."&amp;$A76,DHHKey,0)</f>
        <v>5.0</v>
      </c>
      <c r="F76" s="125">
        <f>IFERROR(INDEX(DHHVal,$E76,MATCH("popw",DHHVar,0)),0)</f>
        <v>10193105.6876218</v>
      </c>
    </row>
    <row r="77">
      <c r="A77" s="58" t="n">
        <v>6</v>
      </c>
      <c r="B77" s="203">
        <f>IFERROR(INDEX(DHHVal,$E77,MATCH(CookFuel&amp;"_share",DHHVar,0)),0)</f>
        <v>1.600655486697883</v>
      </c>
      <c r="C77" s="125">
        <f>IFERROR(INDEX(DHHVal,$E77,MATCH("cons_pc_acrent",DHHVar,0)),0)</f>
        <v>11195.96720261516</v>
      </c>
      <c r="D77" s="58">
        <f>IF(AND(LEFT($C$69,1)="Y",$A77&lt;=$C$70),1,0)</f>
        <v>0.0</v>
      </c>
      <c r="E77" s="58">
        <f>MATCH(CtryCode&amp;".distn.bsh.dec.ove.mean."&amp;$A77,DHHKey,0)</f>
        <v>6.0</v>
      </c>
      <c r="F77" s="125">
        <f>IFERROR(INDEX(DHHVal,$E77,MATCH("popw",DHHVar,0)),0)</f>
        <v>11194230.4871516</v>
      </c>
    </row>
    <row r="78">
      <c r="A78" s="58" t="n">
        <v>7</v>
      </c>
      <c r="B78" s="203">
        <f>IFERROR(INDEX(DHHVal,$E78,MATCH(CookFuel&amp;"_share",DHHVar,0)),0)</f>
        <v>1.598236862680213</v>
      </c>
      <c r="C78" s="125">
        <f>IFERROR(INDEX(DHHVal,$E78,MATCH("cons_pc_acrent",DHHVar,0)),0)</f>
        <v>14051.5989372174</v>
      </c>
      <c r="D78" s="58">
        <f>IF(AND(LEFT($C$69,1)="Y",$A78&lt;=$C$70),1,0)</f>
        <v>0.0</v>
      </c>
      <c r="E78" s="58">
        <f>MATCH(CtryCode&amp;".distn.bsh.dec.ove.mean."&amp;$A78,DHHKey,0)</f>
        <v>7.0</v>
      </c>
      <c r="F78" s="125">
        <f>IFERROR(INDEX(DHHVal,$E78,MATCH("popw",DHHVar,0)),0)</f>
        <v>10409614.41706669</v>
      </c>
    </row>
    <row r="79">
      <c r="A79" s="58" t="n">
        <v>8</v>
      </c>
      <c r="B79" s="203">
        <f>IFERROR(INDEX(DHHVal,$E79,MATCH(CookFuel&amp;"_share",DHHVar,0)),0)</f>
        <v>1.367792566030258</v>
      </c>
      <c r="C79" s="125">
        <f>IFERROR(INDEX(DHHVal,$E79,MATCH("cons_pc_acrent",DHHVar,0)),0)</f>
        <v>16133.79964390557</v>
      </c>
      <c r="D79" s="58">
        <f>IF(AND(LEFT($C$69,1)="Y",$A79&lt;=$C$70),1,0)</f>
        <v>0.0</v>
      </c>
      <c r="E79" s="58">
        <f>MATCH(CtryCode&amp;".distn.bsh.dec.ove.mean."&amp;$A79,DHHKey,0)</f>
        <v>8.0</v>
      </c>
      <c r="F79" s="125">
        <f>IFERROR(INDEX(DHHVal,$E79,MATCH("popw",DHHVar,0)),0)</f>
        <v>10888960.80708582</v>
      </c>
    </row>
    <row r="80">
      <c r="A80" s="58" t="n">
        <v>9</v>
      </c>
      <c r="B80" s="203">
        <f>IFERROR(INDEX(DHHVal,$E80,MATCH(CookFuel&amp;"_share",DHHVar,0)),0)</f>
        <v>1.180808895013426</v>
      </c>
      <c r="C80" s="125">
        <f>IFERROR(INDEX(DHHVal,$E80,MATCH("cons_pc_acrent",DHHVar,0)),0)</f>
        <v>19214.42845852649</v>
      </c>
      <c r="D80" s="58">
        <f>IF(AND(LEFT($C$69,1)="Y",$A80&lt;=$C$70),1,0)</f>
        <v>0.0</v>
      </c>
      <c r="E80" s="58">
        <f>MATCH(CtryCode&amp;".distn.bsh.dec.ove.mean."&amp;$A80,DHHKey,0)</f>
        <v>9.0</v>
      </c>
      <c r="F80" s="125">
        <f>IFERROR(INDEX(DHHVal,$E80,MATCH("popw",DHHVar,0)),0)</f>
        <v>9998899.328392392</v>
      </c>
    </row>
    <row r="81">
      <c r="A81" s="58" t="n">
        <v>10</v>
      </c>
      <c r="B81" s="203">
        <f>IFERROR(INDEX(DHHVal,$E81,MATCH(CookFuel&amp;"_share",DHHVar,0)),0)</f>
        <v>1.008182819886205</v>
      </c>
      <c r="C81" s="125">
        <f>IFERROR(INDEX(DHHVal,$E81,MATCH("cons_pc_acrent",DHHVar,0)),0)</f>
        <v>26724.98793139221</v>
      </c>
      <c r="D81" s="58">
        <f>IF(AND(LEFT($C$69,1)="Y",$A81&lt;=$C$70),1,0)</f>
        <v>0.0</v>
      </c>
      <c r="E81" s="58">
        <f>MATCH(CtryCode&amp;".distn.bsh.dec.ove.mean."&amp;$A81,DHHKey,0)</f>
        <v>10.0</v>
      </c>
      <c r="F81" s="125">
        <f>IFERROR(INDEX(DHHVal,$E81,MATCH("popw",DHHVar,0)),0)</f>
        <v>9650051.198518392</v>
      </c>
    </row>
    <row r="82">
      <c r="A82" s="3" t="inlineStr">
        <is>
          <t>Basket</t>
        </is>
      </c>
      <c r="B82" s="203">
        <f>IFERROR(INDEX(DHHVal,$E82,MATCH(CookFuel&amp;"_share",DHHVar,0)),0)</f>
        <v>1.764627246801565</v>
      </c>
      <c r="C82" s="125">
        <f>IFERROR(INDEX(DHHVal,$E82,MATCH("cons_pc_acrent",DHHVar,0)),0)</f>
        <v>12565.63265605558</v>
      </c>
      <c r="D82" s="58">
        <f>OR(CookFuel={"nga","lpg","ker"})*1</f>
        <v>1.0</v>
      </c>
      <c r="E82" s="58">
        <f>MATCH(CtryCode&amp;".distn.bsh.bkt.ove.mean."&amp;BasketQ,DHHKey,0)</f>
        <v>11.0</v>
      </c>
      <c r="F82" s="125">
        <f>IFERROR(INDEX(DHHVal,$E82,MATCH("popw",DHHVar,0)),0)</f>
        <v>110589782.3240585</v>
      </c>
    </row>
    <row r="83">
      <c r="B83" s="6" t="inlineStr">
        <is>
          <t>Share of the most-used cooking fuel initially exempt (ExemptCookShare): spend of the exempt deciles / economy-wide spend of the basket row 82 (v0.9.0, R6.3, I136, as legacy K1795); 0 unless the fuel is gas, LPG or kerosene</t>
        </is>
      </c>
      <c r="C83" s="227">
        <f>IFERROR(SUMPRODUCT(B72:B81,C72:C81,F72:F81,D72:D81)/(B82*C82*F82)*D82,0)</f>
        <v>0.0</v>
      </c>
    </row>
    <row r="84"/>
    <row r="85">
      <c r="B85" s="6" t="inlineStr">
        <is>
          <t>Manual inputs (v0.9.0, R8): domestic prices, elasticities (MTInputs DomPrTax, ElIncMainSrc, ElPrcMainSrc, scenario 1)</t>
        </is>
      </c>
    </row>
    <row r="86">
      <c r="B86" s="3" t="inlineStr">
        <is>
          <t>Manual domestic prices in use (1 / 0; DomPrTax = Yes; ManPrOn; Manual inputs G59:N146, legacy rows 765-829)</t>
        </is>
      </c>
      <c r="C86" s="58">
        <f>IF(LEFT(INDEX(SDBase,MATCH("DomPrTax",SDParam,0)),1)="Y",1,0)</f>
        <v>0.0</v>
      </c>
    </row>
    <row r="87">
      <c r="B87" s="3" t="inlineStr">
        <is>
          <t>Manual income elasticities (1 / 0; ElIncMainSrc = Manual; ElIncMan; Manual inputs K279:N286)</t>
        </is>
      </c>
      <c r="C87" s="58">
        <f>IF(INDEX(SDBase,MATCH("ElIncMainSrc",SDParam,0))="Manual",1,0)</f>
        <v>0.0</v>
      </c>
    </row>
    <row r="88">
      <c r="B88" s="3" t="inlineStr">
        <is>
          <t>Manual price elasticities (1 / 0; ElPrcMainSrc = Manual; ElPrcMan; Manual inputs K291:N307, L319:L321)</t>
        </is>
      </c>
      <c r="C88" s="58">
        <f>IF(INDEX(SDBase,MATCH("ElPrcMainSrc",SDParam,0))="Manual",1,0)</f>
        <v>0.0</v>
      </c>
    </row>
    <row r="89">
      <c r="B89" s="3" t="inlineStr">
        <is>
          <t>Substitution elasticity biomass / LPG of the leakage (ResBioSubst; Elasticities C131, or Manual inputs L319 if ElPrcMan = 1; blank: #N/A, I140; R8.5)</t>
        </is>
      </c>
      <c r="C89" s="64" t="n">
        <v>0.25</v>
      </c>
    </row>
    <row r="90"/>
    <row r="91"/>
    <row r="92"/>
    <row r="93"/>
    <row r="94">
      <c r="A94" s="4" t="inlineStr">
        <is>
          <t>Constants: named constants and policy assumptions without an MTInputs row (looked up by Mitigation)</t>
        </is>
      </c>
      <c r="B94" s="5" t="n"/>
      <c r="C94" s="5" t="n"/>
      <c r="D94" s="5" t="n"/>
      <c r="E94" s="5" t="n"/>
      <c r="F94" s="5" t="n"/>
      <c r="G94" s="5" t="n"/>
      <c r="H94" s="5" t="n"/>
      <c r="I94" s="5" t="n"/>
      <c r="J94" s="5" t="n"/>
      <c r="K94" s="5" t="n"/>
      <c r="L94" s="5" t="n"/>
      <c r="M94" s="5" t="n"/>
      <c r="N94" s="5" t="n"/>
      <c r="O94" s="5" t="n"/>
      <c r="P94" s="5" t="n"/>
      <c r="Q94" s="5" t="n"/>
      <c r="R94" s="5" t="n"/>
      <c r="S94" s="5" t="n"/>
      <c r="T94" s="5" t="n"/>
      <c r="U94" s="5" t="n"/>
      <c r="V94" s="5" t="n"/>
      <c r="W94" s="5" t="n"/>
    </row>
    <row r="95">
      <c r="A95" s="3" t="inlineStr">
        <is>
          <t>Rows with a defined name (column A) are used by name in formulas; the other rows are looked up by key = variable|fuel|sector (Mitigation columns A|B|C) or by the key in the row description.</t>
        </is>
      </c>
    </row>
    <row r="96">
      <c r="A96" s="19" t="inlineStr">
        <is>
          <t>Key / defined name</t>
        </is>
      </c>
      <c r="B96" s="19" t="inlineStr">
        <is>
          <t>Value</t>
        </is>
      </c>
      <c r="C96" s="19" t="inlineStr">
        <is>
          <t>Unit</t>
        </is>
      </c>
      <c r="D96" s="19" t="inlineStr">
        <is>
          <t>Description</t>
        </is>
      </c>
      <c r="E96" s="19" t="inlineStr">
        <is>
          <t>Source</t>
        </is>
      </c>
    </row>
    <row r="97">
      <c r="A97" s="6" t="inlineStr">
        <is>
          <t>ManCapOff</t>
        </is>
      </c>
      <c r="B97" s="231" t="n">
        <v>14</v>
      </c>
      <c r="C97" s="3" t="inlineStr">
        <is>
          <t>rows</t>
        </is>
      </c>
      <c r="D97" s="3" t="inlineStr">
        <is>
          <t>Manual inputs: rows from the scenario-1 to the other-scenario capacity block (349 -&gt; 363)</t>
        </is>
      </c>
      <c r="E97" s="3" t="inlineStr">
        <is>
          <t>legacy Manual inputs rows 349-357, 363-371 (v0.5.6, P3)</t>
        </is>
      </c>
    </row>
    <row r="98">
      <c r="A98" s="6" t="inlineStr">
        <is>
          <t>CoalICYr</t>
        </is>
      </c>
      <c r="B98" s="231" t="n">
        <v>2030</v>
      </c>
      <c r="C98" s="3" t="inlineStr">
        <is>
          <t>year</t>
        </is>
      </c>
      <c r="D98" s="3" t="inlineStr">
        <is>
          <t>Year the coal implicit cost reaches its long-term value</t>
        </is>
      </c>
      <c r="E98" s="3" t="inlineStr">
        <is>
          <t>legacy K88 (v0.5.6, P5)</t>
        </is>
      </c>
    </row>
    <row r="99">
      <c r="A99" s="6" t="inlineStr">
        <is>
          <t>MethGJperKtoe</t>
        </is>
      </c>
      <c r="B99" s="231" t="n">
        <v>41868</v>
      </c>
      <c r="C99" s="3" t="inlineStr">
        <is>
          <t>GJ per ktoe</t>
        </is>
      </c>
      <c r="D99" s="3" t="inlineStr">
        <is>
          <t>Production of fuels for supply methane: GJ per ktoe</t>
        </is>
      </c>
      <c r="E99" s="3" t="inlineStr">
        <is>
          <t>legacy rows 6137-6144 (v0.6.0)</t>
        </is>
      </c>
    </row>
    <row r="100">
      <c r="A100" s="6" t="inlineStr">
        <is>
          <t>MethGJperBbl</t>
        </is>
      </c>
      <c r="B100" s="231" t="n">
        <v>6.1408</v>
      </c>
      <c r="C100" s="3" t="inlineStr">
        <is>
          <t>GJ per barrel</t>
        </is>
      </c>
      <c r="D100" s="3" t="inlineStr">
        <is>
          <t>Crude oil: GJ per barrel (legacy unit of the oil price)</t>
        </is>
      </c>
      <c r="E100" s="3" t="inlineStr">
        <is>
          <t>legacy rows 6137-6144 (v0.6.0)</t>
        </is>
      </c>
    </row>
    <row r="101">
      <c r="A101" s="6" t="inlineStr">
        <is>
          <t>MethGJperT</t>
        </is>
      </c>
      <c r="B101" s="231" t="n">
        <v>29.3076</v>
      </c>
      <c r="C101" s="3" t="inlineStr">
        <is>
          <t>GJ per tonne</t>
        </is>
      </c>
      <c r="D101" s="3" t="inlineStr">
        <is>
          <t>Coal: GJ per tonne (legacy unit of the coal price)</t>
        </is>
      </c>
      <c r="E101" s="3" t="inlineStr">
        <is>
          <t>legacy rows 6137-6144 (v0.6.0)</t>
        </is>
      </c>
    </row>
    <row r="102">
      <c r="A102" s="6" t="inlineStr">
        <is>
          <t>MethGJperMMBtu</t>
        </is>
      </c>
      <c r="B102" s="231" t="n">
        <v>1.055056</v>
      </c>
      <c r="C102" s="3" t="inlineStr">
        <is>
          <t>GJ per MMBtu</t>
        </is>
      </c>
      <c r="D102" s="3" t="inlineStr">
        <is>
          <t>Natural gas: GJ per MMBtu (legacy unit of the gas price)</t>
        </is>
      </c>
      <c r="E102" s="3" t="inlineStr">
        <is>
          <t>legacy rows 6137-6144 (v0.6.0)</t>
        </is>
      </c>
    </row>
    <row r="103">
      <c r="A103" s="6" t="inlineStr">
        <is>
          <t>PwAvgLag</t>
        </is>
      </c>
      <c r="B103" s="231" t="n">
        <v>4</v>
      </c>
      <c r="C103" s="3" t="inlineStr">
        <is>
          <t>years</t>
        </is>
      </c>
      <c r="D103" s="3" t="inlineStr">
        <is>
          <t>Fuel price for power: trailing average over this year and the 4 before</t>
        </is>
      </c>
      <c r="E103" s="3" t="inlineStr">
        <is>
          <t>v0.6.2 (legacy bug L126: legacy rows 3155-3163 average t-2 .. t+2)</t>
        </is>
      </c>
    </row>
    <row r="104">
      <c r="A104" s="6" t="inlineStr">
        <is>
          <t>LitersPerKtoeOil</t>
        </is>
      </c>
      <c r="B104" s="231" t="n">
        <v>1108792</v>
      </c>
      <c r="C104" s="3" t="inlineStr">
        <is>
          <t>liters per ktoe</t>
        </is>
      </c>
      <c r="D104" s="3" t="inlineStr">
        <is>
          <t>Crude oil: liters per ktoe (spreads the oil producer subsidy)</t>
        </is>
      </c>
      <c r="E104" s="3" t="inlineStr">
        <is>
          <t>legacy _conv_ktoe_liter_oil, Mitigation O953 (v0.6.1, I49)</t>
        </is>
      </c>
    </row>
    <row r="105">
      <c r="A105" s="6" t="inlineStr">
        <is>
          <t>LitersPerBbl</t>
        </is>
      </c>
      <c r="B105" s="231" t="n">
        <v>158.987294928</v>
      </c>
      <c r="C105" s="3" t="inlineStr">
        <is>
          <t>liters per barrel</t>
        </is>
      </c>
      <c r="D105" s="3" t="inlineStr">
        <is>
          <t>Liters in a barrel (other oil products are priced per barrel)</t>
        </is>
      </c>
      <c r="E105" s="3" t="inlineStr">
        <is>
          <t>Definition (v0.6.1, I49; legacy bug L125)</t>
        </is>
      </c>
    </row>
    <row r="106">
      <c r="A106" s="6" t="inlineStr">
        <is>
          <t>NDCYrCap</t>
        </is>
      </c>
      <c r="B106" s="231" t="n">
        <v>2035</v>
      </c>
      <c r="C106" s="3" t="inlineStr">
        <is>
          <t>year</t>
        </is>
      </c>
      <c r="D106" s="3" t="inlineStr">
        <is>
          <t>Latest NDC target year used (later targets are compared in this year)</t>
        </is>
      </c>
      <c r="E106" s="3" t="inlineStr">
        <is>
          <t>legacy Mitigation F18405 (v0.5.7)</t>
        </is>
      </c>
    </row>
    <row r="107">
      <c r="A107" s="6" t="inlineStr">
        <is>
          <t>HoursYr</t>
        </is>
      </c>
      <c r="B107" s="231" t="n">
        <v>8760</v>
      </c>
      <c r="C107" s="3" t="inlineStr">
        <is>
          <t>hours per year</t>
        </is>
      </c>
      <c r="D107" s="3" t="inlineStr">
        <is>
          <t>Hours in a year</t>
        </is>
      </c>
      <c r="E107" s="3" t="inlineStr">
        <is>
          <t>Definition</t>
        </is>
      </c>
    </row>
    <row r="108">
      <c r="A108" s="6" t="inlineStr">
        <is>
          <t>kWperMW</t>
        </is>
      </c>
      <c r="B108" s="231" t="n">
        <v>1000</v>
      </c>
      <c r="C108" s="3" t="inlineStr">
        <is>
          <t>kW per MW</t>
        </is>
      </c>
      <c r="D108" s="3" t="inlineStr">
        <is>
          <t>Kilowatts per megawatt</t>
        </is>
      </c>
      <c r="E108" s="3" t="inlineStr">
        <is>
          <t>Definition</t>
        </is>
      </c>
    </row>
    <row r="109">
      <c r="A109" s="6" t="inlineStr">
        <is>
          <t>USDperM</t>
        </is>
      </c>
      <c r="B109" s="231" t="n">
        <v>1000000</v>
      </c>
      <c r="C109" s="3" t="inlineStr">
        <is>
          <t>USD per USD million</t>
        </is>
      </c>
      <c r="D109" s="3" t="inlineStr">
        <is>
          <t>US dollars per million US dollars</t>
        </is>
      </c>
      <c r="E109" s="3" t="inlineStr">
        <is>
          <t>Definition</t>
        </is>
      </c>
    </row>
    <row r="110">
      <c r="A110" s="6" t="inlineStr">
        <is>
          <t>MWyMkWh</t>
        </is>
      </c>
      <c r="B110" s="232">
        <f>HoursYr*kWperMW/USDperM</f>
        <v>8.76</v>
      </c>
      <c r="C110" s="3" t="inlineStr">
        <is>
          <t>million kWh per MWy</t>
        </is>
      </c>
      <c r="D110" s="3" t="inlineStr">
        <is>
          <t>Million kWh in one MW-year (8.76): $/kWh x MWy x MWyMkWh = USD million</t>
        </is>
      </c>
      <c r="E110" s="3" t="inlineStr">
        <is>
          <t>Definition</t>
        </is>
      </c>
    </row>
    <row r="111">
      <c r="A111" s="6" t="inlineStr">
        <is>
          <t>PriceFloor</t>
        </is>
      </c>
      <c r="B111" s="231">
        <f>ScenarioDefinition!$J$534</f>
        <v>0.01</v>
      </c>
      <c r="C111" s="3" t="inlineStr">
        <is>
          <t>$/GJ real</t>
        </is>
      </c>
      <c r="D111" s="3" t="inlineStr">
        <is>
          <t>Floor of the after-tax fuel price (atp)</t>
        </is>
      </c>
      <c r="E111" s="3" t="inlineStr">
        <is>
          <t>Legacy CPAT (fuel price floor)</t>
        </is>
      </c>
    </row>
    <row r="112">
      <c r="A112" s="6" t="inlineStr">
        <is>
          <t>GWPCH4F</t>
        </is>
      </c>
      <c r="B112" s="231" t="n">
        <v>29.8</v>
      </c>
      <c r="C112" s="3" t="inlineStr">
        <is>
          <t>t CO2e per t CH4</t>
        </is>
      </c>
      <c r="D112" s="3" t="inlineStr">
        <is>
          <t>Global warming potential (100 years) of fossil methane</t>
        </is>
      </c>
      <c r="E112" s="3" t="inlineStr">
        <is>
          <t>IPCC AR6; legacy Mitigation row 1030</t>
        </is>
      </c>
    </row>
    <row r="113">
      <c r="A113" s="6" t="inlineStr">
        <is>
          <t>GWPCH4NF</t>
        </is>
      </c>
      <c r="B113" s="231" t="n">
        <v>27.2</v>
      </c>
      <c r="C113" s="3" t="inlineStr">
        <is>
          <t>t CO2e per t CH4</t>
        </is>
      </c>
      <c r="D113" s="3" t="inlineStr">
        <is>
          <t>Global warming potential (100 years) of non-fossil methane</t>
        </is>
      </c>
      <c r="E113" s="3" t="inlineStr">
        <is>
          <t>IPCC AR6; legacy Mitigation row 1029</t>
        </is>
      </c>
    </row>
    <row r="114">
      <c r="A114" s="6" t="inlineStr">
        <is>
          <t>tPerKt</t>
        </is>
      </c>
      <c r="B114" s="231" t="n">
        <v>1000</v>
      </c>
      <c r="C114" s="3" t="inlineStr">
        <is>
          <t>t per kt</t>
        </is>
      </c>
      <c r="D114" s="3" t="inlineStr">
        <is>
          <t>Tonnes per kilotonne</t>
        </is>
      </c>
      <c r="E114" s="3" t="inlineStr">
        <is>
          <t>Definition</t>
        </is>
      </c>
    </row>
    <row r="115">
      <c r="A115" s="6" t="inlineStr">
        <is>
          <t>EFtPerKtoe</t>
        </is>
      </c>
      <c r="B115" s="232">
        <f>Settings!$C$13*tPerKt</f>
        <v>41.868</v>
      </c>
      <c r="C115" s="3" t="inlineStr">
        <is>
          <t>t/ktoe per kt/PJ</t>
        </is>
      </c>
      <c r="D115" s="3" t="inlineStr">
        <is>
          <t>Converts an emission factor in kt per PJ to t per ktoe (PJ per ktoe x tPerKt)</t>
        </is>
      </c>
      <c r="E115" s="3" t="inlineStr">
        <is>
          <t>Definition</t>
        </is>
      </c>
    </row>
    <row r="116">
      <c r="A116" s="6" t="inlineStr">
        <is>
          <t>ktPerMt</t>
        </is>
      </c>
      <c r="B116" s="231" t="n">
        <v>1000</v>
      </c>
      <c r="C116" s="3" t="inlineStr">
        <is>
          <t>kt per Mt</t>
        </is>
      </c>
      <c r="D116" s="3" t="inlineStr">
        <is>
          <t>Kilotonnes per megatonne</t>
        </is>
      </c>
      <c r="E116" s="3" t="inlineStr">
        <is>
          <t>Definition</t>
        </is>
      </c>
    </row>
    <row r="117">
      <c r="A117" s="6" t="inlineStr">
        <is>
          <t>GdpExtHalf</t>
        </is>
      </c>
      <c r="B117" s="231" t="n">
        <v>0.5</v>
      </c>
      <c r="C117" s="3" t="inlineStr">
        <is>
          <t>factor</t>
        </is>
      </c>
      <c r="D117" s="3" t="inlineStr">
        <is>
          <t>Real GDP growth past the last WEO year, when it was falling: at least this factor times the average of the last three years (otherwise the linear trend)</t>
        </is>
      </c>
      <c r="E117" s="3" t="inlineStr">
        <is>
          <t>Legacy Mitigation row 420</t>
        </is>
      </c>
    </row>
    <row r="118">
      <c r="A118" s="6" t="inlineStr">
        <is>
          <t>WaccDefault</t>
        </is>
      </c>
      <c r="B118" s="231">
        <f>ScenarioDefinition!$J$543</f>
        <v>0.075</v>
      </c>
      <c r="C118" s="3" t="inlineStr">
        <is>
          <t>share</t>
        </is>
      </c>
      <c r="D118" s="3" t="inlineStr">
        <is>
          <t>WACC of a country missing from CoC or without CoC risk data (legacy XLOOKUP default; v0.4.10: also without risk data, L56)</t>
        </is>
      </c>
      <c r="E118" s="3" t="inlineStr">
        <is>
          <t>Legacy Mitigation rows 2988-2996</t>
        </is>
      </c>
    </row>
    <row r="119">
      <c r="A119" s="6" t="inlineStr">
        <is>
          <t>HydInvShare</t>
        </is>
      </c>
      <c r="B119" s="231">
        <f>ScenarioDefinition!$J$542</f>
        <v>0.5</v>
      </c>
      <c r="C119" s="3" t="inlineStr">
        <is>
          <t>share</t>
        </is>
      </c>
      <c r="D119" s="3" t="inlineStr">
        <is>
          <t>Hydro invests from the base year when its generation share is above this value, else from NewInvHydYear (v0.4.10, L54 fixed)</t>
        </is>
      </c>
      <c r="E119" s="3" t="inlineStr">
        <is>
          <t>Legacy Mitigation row 4067 (intended test of row 3846)</t>
        </is>
      </c>
    </row>
    <row r="120">
      <c r="A120" s="6" t="inlineStr">
        <is>
          <t>UraniumFuel</t>
        </is>
      </c>
      <c r="B120" s="233" t="n">
        <v>0.004</v>
      </c>
      <c r="C120" s="3" t="inlineStr">
        <is>
          <t>$/kWh</t>
        </is>
      </c>
      <c r="D120" s="3" t="inlineStr">
        <is>
          <t>Nuclear fuel cost per kWh of final electricity (legacy typed constant)</t>
        </is>
      </c>
      <c r="E120" s="3" t="inlineStr">
        <is>
          <t>Legacy Mitigation row 710</t>
        </is>
      </c>
    </row>
    <row r="121">
      <c r="A121" s="6" t="inlineStr">
        <is>
          <t>InvPresentShare</t>
        </is>
      </c>
      <c r="B121" s="233">
        <f>ScenarioDefinition!$J$541</f>
        <v>0.001</v>
      </c>
      <c r="C121" s="3" t="inlineStr">
        <is>
          <t>share</t>
        </is>
      </c>
      <c r="D121" s="3" t="inlineStr">
        <is>
          <t>New investment "If Present": allowed when the type has more than this share of capacity</t>
        </is>
      </c>
      <c r="E121" s="3" t="inlineStr">
        <is>
          <t>Legacy Mitigation rows 4061-4069</t>
        </is>
      </c>
    </row>
    <row r="122">
      <c r="A122" s="6" t="inlineStr">
        <is>
          <t>StMargFactor</t>
        </is>
      </c>
      <c r="B122" s="231" t="n">
        <v>2</v>
      </c>
      <c r="C122" s="3" t="inlineStr">
        <is>
          <t>factor</t>
        </is>
      </c>
      <c r="D122" s="3" t="inlineStr">
        <is>
          <t>Marginal hours of short-term storage = this x total hours for 100% VRE</t>
        </is>
      </c>
      <c r="E122" s="3" t="inlineStr">
        <is>
          <t>Legacy Mitigation row 3873</t>
        </is>
      </c>
    </row>
    <row r="123">
      <c r="A123" s="6" t="inlineStr">
        <is>
          <t>EarlyMaxShare</t>
        </is>
      </c>
      <c r="B123" s="231">
        <f>ScenarioDefinition!$J$540</f>
        <v>0.8</v>
      </c>
      <c r="C123" s="3" t="inlineStr">
        <is>
          <t>share</t>
        </is>
      </c>
      <c r="D123" s="3" t="inlineStr">
        <is>
          <t>Maximum early coal retirement, share of coal effective capacity (legacy typed)</t>
        </is>
      </c>
      <c r="E123" s="3" t="inlineStr">
        <is>
          <t>Legacy Mitigation row 3975</t>
        </is>
      </c>
    </row>
    <row r="124">
      <c r="A124" s="6" t="inlineStr">
        <is>
          <t>KtoeGWh</t>
        </is>
      </c>
      <c r="B124" s="231" t="n">
        <v>11.63</v>
      </c>
      <c r="C124" s="3" t="inlineStr">
        <is>
          <t>GWh per ktoe</t>
        </is>
      </c>
      <c r="D124" s="3" t="inlineStr">
        <is>
          <t>GWh in a ktoe</t>
        </is>
      </c>
      <c r="E124" s="3" t="inlineStr">
        <is>
          <t>Legacy Mitigation row 1033</t>
        </is>
      </c>
    </row>
    <row r="125">
      <c r="A125" s="6" t="inlineStr">
        <is>
          <t>IncfA</t>
        </is>
      </c>
      <c r="B125" s="231" t="n">
        <v>0.012019</v>
      </c>
      <c r="C125" s="3" t="inlineStr">
        <is>
          <t>factor</t>
        </is>
      </c>
      <c r="D125" s="3" t="inlineStr">
        <is>
          <t>Income factor polynomial in x = ln GDP per capita: coefficient of x^4</t>
        </is>
      </c>
      <c r="E125" s="3" t="inlineStr">
        <is>
          <t>Legacy Mitigation row 2432</t>
        </is>
      </c>
    </row>
    <row r="126">
      <c r="A126" s="6" t="inlineStr">
        <is>
          <t>IncfB</t>
        </is>
      </c>
      <c r="B126" s="231" t="n">
        <v>-0.365464</v>
      </c>
      <c r="C126" s="3" t="inlineStr">
        <is>
          <t>factor</t>
        </is>
      </c>
      <c r="D126" s="3" t="inlineStr">
        <is>
          <t>Income factor polynomial: coefficient of x^3</t>
        </is>
      </c>
      <c r="E126" s="3" t="inlineStr">
        <is>
          <t>Legacy Mitigation row 2432</t>
        </is>
      </c>
    </row>
    <row r="127">
      <c r="A127" s="6" t="inlineStr">
        <is>
          <t>IncfC</t>
        </is>
      </c>
      <c r="B127" s="231" t="n">
        <v>4.011846</v>
      </c>
      <c r="C127" s="3" t="inlineStr">
        <is>
          <t>factor</t>
        </is>
      </c>
      <c r="D127" s="3" t="inlineStr">
        <is>
          <t>Income factor polynomial: coefficient of x^2</t>
        </is>
      </c>
      <c r="E127" s="3" t="inlineStr">
        <is>
          <t>Legacy Mitigation row 2432</t>
        </is>
      </c>
    </row>
    <row r="128">
      <c r="A128" s="6" t="inlineStr">
        <is>
          <t>IncfD</t>
        </is>
      </c>
      <c r="B128" s="231" t="n">
        <v>-18.722243</v>
      </c>
      <c r="C128" s="3" t="inlineStr">
        <is>
          <t>factor</t>
        </is>
      </c>
      <c r="D128" s="3" t="inlineStr">
        <is>
          <t>Income factor polynomial: coefficient of x</t>
        </is>
      </c>
      <c r="E128" s="3" t="inlineStr">
        <is>
          <t>Legacy Mitigation row 2432</t>
        </is>
      </c>
    </row>
    <row r="129">
      <c r="A129" s="6" t="inlineStr">
        <is>
          <t>IncfE</t>
        </is>
      </c>
      <c r="B129" s="231" t="n">
        <v>31.75949</v>
      </c>
      <c r="C129" s="3" t="inlineStr">
        <is>
          <t>factor</t>
        </is>
      </c>
      <c r="D129" s="3" t="inlineStr">
        <is>
          <t>Income factor polynomial: constant (31.59949 + 0.16)</t>
        </is>
      </c>
      <c r="E129" s="3" t="inlineStr">
        <is>
          <t>Legacy Mitigation row 2432</t>
        </is>
      </c>
    </row>
    <row r="130">
      <c r="A130" s="6" t="inlineStr">
        <is>
          <t>IncfLnCap</t>
        </is>
      </c>
      <c r="B130" s="231" t="n">
        <v>10</v>
      </c>
      <c r="C130" s="3" t="inlineStr">
        <is>
          <t>ln USD</t>
        </is>
      </c>
      <c r="D130" s="3" t="inlineStr">
        <is>
          <t>Cap on ln GDP per capita in the income factor</t>
        </is>
      </c>
      <c r="E130" s="3" t="inlineStr">
        <is>
          <t>Legacy Mitigation row 2431</t>
        </is>
      </c>
    </row>
    <row r="131">
      <c r="A131" s="6" t="inlineStr">
        <is>
          <t>IncfNorm</t>
        </is>
      </c>
      <c r="B131" s="231" t="n">
        <v>0.74</v>
      </c>
      <c r="C131" s="3" t="inlineStr">
        <is>
          <t>factor</t>
        </is>
      </c>
      <c r="D131" s="3" t="inlineStr">
        <is>
          <t>Income factor divisor (normalisation)</t>
        </is>
      </c>
      <c r="E131" s="3" t="inlineStr">
        <is>
          <t>Legacy Mitigation row 2433 (G2432)</t>
        </is>
      </c>
    </row>
    <row r="132">
      <c r="A132" s="6" t="inlineStr">
        <is>
          <t>MultLastLag</t>
        </is>
      </c>
      <c r="B132" s="231" t="n">
        <v>11</v>
      </c>
      <c r="C132" s="3" t="inlineStr">
        <is>
          <t>years</t>
        </is>
      </c>
      <c r="D132" s="3" t="inlineStr">
        <is>
          <t>Last lag of the legacy multiplier tables (columns D:O = lags 0-11); later lags hold its value</t>
        </is>
      </c>
      <c r="E132" s="3" t="inlineStr">
        <is>
          <t>Legacy Multipliers rows 36-57, 90-203</t>
        </is>
      </c>
    </row>
    <row r="133">
      <c r="A133" s="6" t="inlineStr">
        <is>
          <t>KgPerT</t>
        </is>
      </c>
      <c r="B133" s="231" t="n">
        <v>1000</v>
      </c>
      <c r="C133" s="3" t="inlineStr">
        <is>
          <t>kg per t</t>
        </is>
      </c>
      <c r="D133" s="3" t="inlineStr">
        <is>
          <t>Kilograms per tonne (EF_GHG factors are kg CO2 per GJ)</t>
        </is>
      </c>
      <c r="E133" s="3" t="inlineStr">
        <is>
          <t>Definition</t>
        </is>
      </c>
    </row>
    <row r="134">
      <c r="A134" s="6" t="inlineStr">
        <is>
          <t>EFOilIEA</t>
        </is>
      </c>
      <c r="B134" s="231" t="n">
        <v>0.07333333333333333</v>
      </c>
      <c r="C134" s="3" t="inlineStr">
        <is>
          <t>tCO2/GJ</t>
        </is>
      </c>
      <c r="D134" s="3" t="inlineStr">
        <is>
          <t>Generic CO2 factor of other oil products, IEA (20 tC/TJ x 44/12; v0.9.0, R3.2)</t>
        </is>
      </c>
      <c r="E134" s="3" t="inlineStr">
        <is>
          <t>Legacy Mitigation row 967</t>
        </is>
      </c>
    </row>
    <row r="135">
      <c r="A135" s="6" t="inlineStr">
        <is>
          <t>ApCoalResMin</t>
        </is>
      </c>
      <c r="B135" s="233" t="n">
        <v>0.001</v>
      </c>
      <c r="C135" s="3" t="inlineStr">
        <is>
          <t>share</t>
        </is>
      </c>
      <c r="D135" s="3" t="inlineStr">
        <is>
          <t>Residential coal air-pollution cost applies only where coal is above this share of buildings fuel use (v0.9.0, R1.3; bug L192 fixed: legacy divides by a typed 9127)</t>
        </is>
      </c>
      <c r="E135" s="3" t="inlineStr">
        <is>
          <t>Legacy Mitigation row 17739</t>
        </is>
      </c>
    </row>
    <row r="136">
      <c r="A136" s="6" t="inlineStr">
        <is>
          <t>EFJetIEA</t>
        </is>
      </c>
      <c r="B136" s="231" t="n">
        <v>0.07149999999999999</v>
      </c>
      <c r="C136" s="3" t="inlineStr">
        <is>
          <t>tCO2/GJ</t>
        </is>
      </c>
      <c r="D136" s="3" t="inlineStr">
        <is>
          <t>CO2 emission factor of jet fuel, IEA global (19.5 tC/TJ x 44/12): legacy uses it for aviation and for jet fuel in every sector</t>
        </is>
      </c>
      <c r="E136" s="3" t="inlineStr">
        <is>
          <t>Legacy Mitigation rows 970, 1010-1011</t>
        </is>
      </c>
    </row>
    <row r="137">
      <c r="A137" s="6" t="inlineStr">
        <is>
          <t>FlareCO2perCH4</t>
        </is>
      </c>
      <c r="B137" s="231" t="n">
        <v>2.75</v>
      </c>
      <c r="C137" s="3" t="inlineStr">
        <is>
          <t>t CO2 per t CH4</t>
        </is>
      </c>
      <c r="D137" s="3" t="inlineStr">
        <is>
          <t>CO2 from burning (flaring) one tonne of methane (44/16)</t>
        </is>
      </c>
      <c r="E137" s="3" t="inlineStr">
        <is>
          <t>Definition</t>
        </is>
      </c>
    </row>
    <row r="138">
      <c r="A138" s="6" t="inlineStr">
        <is>
          <t>EFEndYear</t>
        </is>
      </c>
      <c r="B138" s="231">
        <f>ScenarioDefinition!$J$535</f>
        <v>2039.0</v>
      </c>
      <c r="C138" s="3" t="inlineStr">
        <is>
          <t>year</t>
        </is>
      </c>
      <c r="D138" s="3" t="inlineStr">
        <is>
          <t>Year of the final combustion emission factor: linear path from the base year, continued after it, as legacy (v0.8.4, I98; the final factor follows EFSel, name EFFinShare)</t>
        </is>
      </c>
      <c r="E138" s="3" t="inlineStr">
        <is>
          <t>Legacy Mitigation rows 1052-1663 (column AC = 2039; AD, AE extrapolate)</t>
        </is>
      </c>
    </row>
    <row r="139">
      <c r="A139" s="6" t="inlineStr">
        <is>
          <t>MperBn</t>
        </is>
      </c>
      <c r="B139" s="231" t="n">
        <v>1000</v>
      </c>
      <c r="C139" s="3" t="inlineStr">
        <is>
          <t>USD million per USD billion</t>
        </is>
      </c>
      <c r="D139" s="3" t="inlineStr">
        <is>
          <t>Millions in a billion (GDP in USD bn, revenue in USD m)</t>
        </is>
      </c>
      <c r="E139" s="3" t="inlineStr">
        <is>
          <t>Definition</t>
        </is>
      </c>
    </row>
    <row r="140">
      <c r="A140" s="6" t="inlineStr">
        <is>
          <t>PctPerUnit</t>
        </is>
      </c>
      <c r="B140" s="231" t="n">
        <v>100</v>
      </c>
      <c r="C140" s="3" t="inlineStr">
        <is>
          <t>percent per unit</t>
        </is>
      </c>
      <c r="D140" s="3" t="inlineStr">
        <is>
          <t>MTInputs revenue-use shares are in percent</t>
        </is>
      </c>
      <c r="E140" s="3" t="inlineStr">
        <is>
          <t>Definition</t>
        </is>
      </c>
    </row>
    <row r="141">
      <c r="A141" s="6" t="inlineStr">
        <is>
          <t>PomPerOC</t>
        </is>
      </c>
      <c r="B141" s="231" t="n">
        <v>1.3</v>
      </c>
      <c r="C141" s="3" t="inlineStr">
        <is>
          <t>t POM per t OC</t>
        </is>
      </c>
      <c r="D141" s="3" t="inlineStr">
        <is>
          <t>Primary organic matter per tonne of organic carbon (POM = 1.3 x OC)</t>
        </is>
      </c>
      <c r="E141" s="3" t="inlineStr">
        <is>
          <t>Legacy Mitigation rows 7428-7435</t>
        </is>
      </c>
    </row>
    <row r="142">
      <c r="A142" s="6" t="inlineStr">
        <is>
          <t>GJperkWh</t>
        </is>
      </c>
      <c r="B142" s="233" t="n">
        <v>0.0036</v>
      </c>
      <c r="C142" s="3" t="inlineStr">
        <is>
          <t>GJ per kWh</t>
        </is>
      </c>
      <c r="D142" s="3" t="inlineStr">
        <is>
          <t>Gigajoules in one kilowatt-hour</t>
        </is>
      </c>
      <c r="E142" s="3" t="inlineStr">
        <is>
          <t>Definition</t>
        </is>
      </c>
    </row>
    <row r="143">
      <c r="A143" s="6" t="inlineStr">
        <is>
          <t>CapAvgShr</t>
        </is>
      </c>
      <c r="B143" s="231" t="n">
        <v>0.5</v>
      </c>
      <c r="C143" s="3" t="inlineStr">
        <is>
          <t>share</t>
        </is>
      </c>
      <c r="D143" s="3" t="inlineStr">
        <is>
          <t>Average outstanding share of the capital over the lifetime (straight-line repayment): amortised capex = capex x (1/N + wacc x CapAvgShr)</t>
        </is>
      </c>
      <c r="E143" s="3" t="inlineStr">
        <is>
          <t>Legacy Mitigation rows 3247-3255 (B8)</t>
        </is>
      </c>
    </row>
    <row r="144">
      <c r="A144" s="6" t="inlineStr">
        <is>
          <t>TieBreak</t>
        </is>
      </c>
      <c r="B144" s="233" t="n">
        <v>1.356e-06</v>
      </c>
      <c r="C144" s="3" t="inlineStr">
        <is>
          <t>$/kWh</t>
        </is>
      </c>
      <c r="D144" s="3" t="inlineStr">
        <is>
          <t>Tie breaker added to the cost of each generation type (x its position - 1)</t>
        </is>
      </c>
      <c r="E144" s="3" t="inlineStr">
        <is>
          <t>Legacy CPAT (dispatch tie breaker)</t>
        </is>
      </c>
    </row>
    <row r="145">
      <c r="A145" s="6" t="inlineStr">
        <is>
          <t>PassLo</t>
        </is>
      </c>
      <c r="B145" s="231">
        <f>ScenarioDefinition!$J$531</f>
        <v>0.25</v>
      </c>
      <c r="C145" s="3" t="inlineStr">
        <is>
          <t>share</t>
        </is>
      </c>
      <c r="D145" s="3" t="inlineStr">
        <is>
          <t>Pass-through buckets: a raw pass-through up to this value counts as 0</t>
        </is>
      </c>
      <c r="E145" s="3" t="inlineStr">
        <is>
          <t>Legacy CPAT (pass-through buckets)</t>
        </is>
      </c>
    </row>
    <row r="146">
      <c r="A146" s="6" t="inlineStr">
        <is>
          <t>PassHi</t>
        </is>
      </c>
      <c r="B146" s="231">
        <f>ScenarioDefinition!$J$533</f>
        <v>0.5</v>
      </c>
      <c r="C146" s="3" t="inlineStr">
        <is>
          <t>share</t>
        </is>
      </c>
      <c r="D146" s="3" t="inlineStr">
        <is>
          <t>Pass-through buckets: above PassLo and up to this value counts as PassMid, above as 1</t>
        </is>
      </c>
      <c r="E146" s="3" t="inlineStr">
        <is>
          <t>Legacy CPAT (pass-through buckets)</t>
        </is>
      </c>
    </row>
    <row r="147">
      <c r="A147" s="6" t="inlineStr">
        <is>
          <t>PassMid</t>
        </is>
      </c>
      <c r="B147" s="231">
        <f>ScenarioDefinition!$J$532</f>
        <v>0.5</v>
      </c>
      <c r="C147" s="3" t="inlineStr">
        <is>
          <t>share</t>
        </is>
      </c>
      <c r="D147" s="3" t="inlineStr">
        <is>
          <t>Pass-through of the middle bucket</t>
        </is>
      </c>
      <c r="E147" s="3" t="inlineStr">
        <is>
          <t>Legacy CPAT (pass-through buckets)</t>
        </is>
      </c>
    </row>
    <row r="148">
      <c r="A148" s="6" t="inlineStr">
        <is>
          <t>MethShareCap</t>
        </is>
      </c>
      <c r="B148" s="231">
        <f>ScenarioDefinition!$J$536</f>
        <v>10.0</v>
      </c>
      <c r="C148" s="3" t="inlineStr">
        <is>
          <t>factor</t>
        </is>
      </c>
      <c r="D148" s="3" t="inlineStr">
        <is>
          <t>Methane source shares: at most this multiple of the source's share of activity</t>
        </is>
      </c>
      <c r="E148" s="3" t="inlineStr">
        <is>
          <t>Legacy Mitigation row 899</t>
        </is>
      </c>
    </row>
    <row r="149">
      <c r="A149" s="6" t="inlineStr">
        <is>
          <t>Thousand</t>
        </is>
      </c>
      <c r="B149" s="231" t="n">
        <v>1000</v>
      </c>
      <c r="C149" s="3" t="inlineStr">
        <is>
          <t>units per thousand</t>
        </is>
      </c>
      <c r="D149" s="3" t="inlineStr">
        <is>
          <t>Thousand (per-1,000 people, kt, GWh)</t>
        </is>
      </c>
      <c r="E149" s="3" t="inlineStr">
        <is>
          <t>Definition</t>
        </is>
      </c>
    </row>
    <row r="150">
      <c r="A150" s="6" t="inlineStr">
        <is>
          <t>Million</t>
        </is>
      </c>
      <c r="B150" s="231" t="n">
        <v>1000000</v>
      </c>
      <c r="C150" s="3" t="inlineStr">
        <is>
          <t>units per million</t>
        </is>
      </c>
      <c r="D150" s="3" t="inlineStr">
        <is>
          <t>Million (population, GJ per PJ, grams per tonne)</t>
        </is>
      </c>
      <c r="E150" s="3" t="inlineStr">
        <is>
          <t>Definition</t>
        </is>
      </c>
    </row>
    <row r="151">
      <c r="A151" s="6" t="inlineStr">
        <is>
          <t>Billion</t>
        </is>
      </c>
      <c r="B151" s="231" t="n">
        <v>1000000000</v>
      </c>
      <c r="C151" s="3" t="inlineStr">
        <is>
          <t>units per billion</t>
        </is>
      </c>
      <c r="D151" s="3" t="inlineStr">
        <is>
          <t>Billion (liters, km)</t>
        </is>
      </c>
      <c r="E151" s="3" t="inlineStr">
        <is>
          <t>Definition</t>
        </is>
      </c>
    </row>
    <row r="152">
      <c r="A152" s="6" t="inlineStr">
        <is>
          <t>TrRALag</t>
        </is>
      </c>
      <c r="B152" s="231">
        <f>ScenarioDefinition!$J$538</f>
        <v>3.0</v>
      </c>
      <c r="C152" s="3" t="inlineStr">
        <is>
          <t>years</t>
        </is>
      </c>
      <c r="D152" s="3" t="inlineStr">
        <is>
          <t>Range anxiety: the start value holds in the first years of the horizon (base year counted as 1)</t>
        </is>
      </c>
      <c r="E152" s="3" t="inlineStr">
        <is>
          <t>Legacy Mitigation rows 4354-4356 (range anxiety from column O)</t>
        </is>
      </c>
    </row>
    <row r="153">
      <c r="A153" s="6" t="inlineStr">
        <is>
          <t>TrPivotLag</t>
        </is>
      </c>
      <c r="B153" s="231">
        <f>ScenarioDefinition!$J$539</f>
        <v>2.0</v>
      </c>
      <c r="C153" s="3" t="inlineStr">
        <is>
          <t>years</t>
        </is>
      </c>
      <c r="D153" s="3" t="inlineStr">
        <is>
          <t>Feebate pivot: blank in the first years of the horizon (base year counted as 1)</t>
        </is>
      </c>
      <c r="E153" s="3" t="inlineStr">
        <is>
          <t>Legacy Mitigation rows 4517, 4633, 4690 (from column N)</t>
        </is>
      </c>
    </row>
    <row r="154">
      <c r="A154" s="6" t="inlineStr">
        <is>
          <t>TrOwnDecline</t>
        </is>
      </c>
      <c r="B154" s="231">
        <f>ScenarioDefinition!$J$537</f>
        <v>0.1</v>
      </c>
      <c r="C154" s="3" t="inlineStr">
        <is>
          <t>share per year</t>
        </is>
      </c>
      <c r="D154" s="3" t="inlineStr">
        <is>
          <t>Maximum annual decrease of passenger and freight ownership (fix B4: the legacy 2-3 wheeler value; legacy 0)</t>
        </is>
      </c>
      <c r="E154" s="3" t="inlineStr">
        <is>
          <t>Methods, chapter Transport B4</t>
        </is>
      </c>
    </row>
    <row r="155">
      <c r="A155" s="6" t="inlineStr">
        <is>
          <t>TrFEWGso</t>
        </is>
      </c>
      <c r="B155" s="231" t="n">
        <v>0.75</v>
      </c>
      <c r="C155" s="3" t="inlineStr">
        <is>
          <t>share</t>
        </is>
      </c>
      <c r="D155" s="3" t="inlineStr">
        <is>
          <t>Average gasoline fuel economy without fuel use: weight of passenger vehicles (2-3 wheelers the rest)</t>
        </is>
      </c>
      <c r="E155" s="3" t="inlineStr">
        <is>
          <t>Legacy Mitigation row 5356</t>
        </is>
      </c>
    </row>
    <row r="156">
      <c r="A156" s="6" t="inlineStr">
        <is>
          <t>TrFEWHalf</t>
        </is>
      </c>
      <c r="B156" s="231" t="n">
        <v>0.5</v>
      </c>
      <c r="C156" s="3" t="inlineStr">
        <is>
          <t>share</t>
        </is>
      </c>
      <c r="D156" s="3" t="inlineStr">
        <is>
          <t>Average diesel, LPG and gas fuel economy without fuel use: weight of passenger vehicles (freight the rest)</t>
        </is>
      </c>
      <c r="E156" s="3" t="inlineStr">
        <is>
          <t>Legacy Mitigation rows 5360, 5364, 5368</t>
        </is>
      </c>
    </row>
    <row r="157">
      <c r="A157" s="6" t="inlineStr">
        <is>
          <t>TrFEWEvP</t>
        </is>
      </c>
      <c r="B157" s="231" t="n">
        <v>0.5</v>
      </c>
      <c r="C157" s="3" t="inlineStr">
        <is>
          <t>share</t>
        </is>
      </c>
      <c r="D157" s="3" t="inlineStr">
        <is>
          <t>Average EV fuel economy without electricity use: weight of passenger BEVs</t>
        </is>
      </c>
      <c r="E157" s="3" t="inlineStr">
        <is>
          <t>Legacy Mitigation row 5373</t>
        </is>
      </c>
    </row>
    <row r="158">
      <c r="A158" s="6" t="inlineStr">
        <is>
          <t>TrFEWEvO</t>
        </is>
      </c>
      <c r="B158" s="231" t="n">
        <v>0.25</v>
      </c>
      <c r="C158" s="3" t="inlineStr">
        <is>
          <t>share</t>
        </is>
      </c>
      <c r="D158" s="3" t="inlineStr">
        <is>
          <t>Average EV fuel economy without electricity use: weight of freight and of 2-3 wheeler BEVs each</t>
        </is>
      </c>
      <c r="E158" s="3" t="inlineStr">
        <is>
          <t>Legacy Mitigation row 5373</t>
        </is>
      </c>
    </row>
    <row r="159">
      <c r="A159" s="6" t="inlineStr">
        <is>
          <t>ResSubstLag</t>
        </is>
      </c>
      <c r="B159" s="231" t="n">
        <v>1</v>
      </c>
      <c r="C159" s="3" t="inlineStr">
        <is>
          <t>years</t>
        </is>
      </c>
      <c r="D159" s="3" t="inlineStr">
        <is>
          <t>Residential leakage to biomass: substitution lag (the coefficient of the leaked share is divided by it; v0.5.1)</t>
        </is>
      </c>
      <c r="E159" s="3" t="inlineStr">
        <is>
          <t>Legacy Mitigation E5571 (typed 1)</t>
        </is>
      </c>
    </row>
    <row r="160">
      <c r="A160" s="6" t="inlineStr">
        <is>
          <t>MitGW</t>
        </is>
      </c>
      <c r="B160" s="231" t="n">
        <v>22</v>
      </c>
      <c r="C160" s="3" t="inlineStr">
        <is>
          <t>columns</t>
        </is>
      </c>
      <c r="D160" s="3" t="inlineStr">
        <is>
          <t>Width of a Mitigation scenario group (code column, years, spacer); Distribution reads group n of Mitigation at (n - 1) x MitGW + the year column of group 1</t>
        </is>
      </c>
      <c r="E160" s="3" t="inlineStr">
        <is>
          <t>Definition (v0.4.4)</t>
        </is>
      </c>
    </row>
    <row r="161">
      <c r="A161" s="6" t="inlineStr">
        <is>
          <t>BasketQ</t>
        </is>
      </c>
      <c r="B161" s="231" t="n">
        <v>9999</v>
      </c>
      <c r="C161" s="3" t="inlineStr">
        <is>
          <t>code</t>
        </is>
      </c>
      <c r="D161" s="3" t="inlineStr">
        <is>
          <t>Quantile code of the basket (whole sample) in HHSurvey and HH_Elast</t>
        </is>
      </c>
      <c r="E161" s="3" t="inlineStr">
        <is>
          <t>Legacy HHSurvey (quant_cons 9999)</t>
        </is>
      </c>
    </row>
    <row r="162">
      <c r="A162" s="6" t="inlineStr">
        <is>
          <t>DecPerQuint</t>
        </is>
      </c>
      <c r="B162" s="231" t="n">
        <v>2</v>
      </c>
      <c r="C162" s="3" t="inlineStr">
        <is>
          <t>deciles per quintile</t>
        </is>
      </c>
      <c r="D162" s="3" t="inlineStr">
        <is>
          <t>ASPIRE data are by quintile: decile d reads quintile ROUNDUP(d / 2)</t>
        </is>
      </c>
      <c r="E162" s="3" t="inlineStr">
        <is>
          <t>Legacy Distribution row 2558</t>
        </is>
      </c>
    </row>
    <row r="163">
      <c r="A163" s="6" t="inlineStr">
        <is>
          <t>PlDecScale</t>
        </is>
      </c>
      <c r="B163" s="231" t="n">
        <v>10</v>
      </c>
      <c r="C163" s="3" t="inlineStr">
        <is>
          <t>ratio</t>
        </is>
      </c>
      <c r="D163" s="3" t="inlineStr">
        <is>
          <t>Poverty-line targeting: the HHSurvey pct_belowpl_* value of a decile x 10 = share of the decile below the line (%; deciles of 10%)</t>
        </is>
      </c>
      <c r="E163" s="3" t="inlineStr">
        <is>
          <t>legacy Distribution rows 2649-2651 (v0.6.0)</t>
        </is>
      </c>
    </row>
    <row r="164">
      <c r="A164" s="6" t="inlineStr">
        <is>
          <t>DWLTri</t>
        </is>
      </c>
      <c r="B164" s="231" t="n">
        <v>0.5</v>
      </c>
      <c r="C164" s="3" t="inlineStr">
        <is>
          <t>ratio</t>
        </is>
      </c>
      <c r="D164" s="3" t="inlineStr">
        <is>
          <t>Harberger triangle: deadweight loss = 1/2 x lost demand x price change</t>
        </is>
      </c>
      <c r="E164" s="3" t="inlineStr">
        <is>
          <t>Legacy Distribution rows 859-883 (units corrected, register)</t>
        </is>
      </c>
    </row>
    <row r="165">
      <c r="A165" s="6" t="inlineStr">
        <is>
          <t>PsElFloor</t>
        </is>
      </c>
      <c r="B165" s="231" t="n">
        <v>-0.3</v>
      </c>
      <c r="C165" s="3" t="inlineStr">
        <is>
          <t>USD/kWh</t>
        </is>
      </c>
      <c r="D165" s="3" t="inlineStr">
        <is>
          <t>Floor of the electricity producer subsidy per kWh (the part beyond it is the residual pser, outside prices; v0.9.0, R7.6, I146)</t>
        </is>
      </c>
      <c r="E165" s="3" t="inlineStr">
        <is>
          <t>Legacy Mitigation H3590:H3591</t>
        </is>
      </c>
    </row>
    <row r="166">
      <c r="A166" s="3" t="inlineStr">
        <is>
          <t>exf|all|all</t>
        </is>
      </c>
      <c r="B166" s="231" t="n">
        <v>1</v>
      </c>
      <c r="C166" s="3" t="inlineStr">
        <is>
          <t>factor</t>
        </is>
      </c>
      <c r="D166" s="3" t="inlineStr">
        <is>
          <t>Exemption factor of the new policies where no exemption applies (1 = taxed; v0.5.1)</t>
        </is>
      </c>
      <c r="E166" s="3" t="inlineStr">
        <is>
          <t>Definition</t>
        </is>
      </c>
    </row>
    <row r="167">
      <c r="A167" s="3" t="inlineStr">
        <is>
          <t>gp.hi|oil</t>
        </is>
      </c>
      <c r="B167" s="231" t="n">
        <v>1.5</v>
      </c>
      <c r="C167" s="3" t="inlineStr">
        <is>
          <t>factor</t>
        </is>
      </c>
      <c r="D167" s="3" t="inlineStr">
        <is>
          <t>International price, High forecast adjustment: Crude oil</t>
        </is>
      </c>
      <c r="E167" s="3" t="inlineStr">
        <is>
          <t>Legacy CPAT</t>
        </is>
      </c>
    </row>
    <row r="168">
      <c r="A168" s="3" t="inlineStr">
        <is>
          <t>gp.hi|coa</t>
        </is>
      </c>
      <c r="B168" s="231" t="n">
        <v>1.25</v>
      </c>
      <c r="C168" s="3" t="inlineStr">
        <is>
          <t>factor</t>
        </is>
      </c>
      <c r="D168" s="3" t="inlineStr">
        <is>
          <t>International price, High forecast adjustment: Coal</t>
        </is>
      </c>
      <c r="E168" s="3" t="inlineStr">
        <is>
          <t>Legacy CPAT</t>
        </is>
      </c>
    </row>
    <row r="169">
      <c r="A169" s="3" t="inlineStr">
        <is>
          <t>gp.hi|nga</t>
        </is>
      </c>
      <c r="B169" s="231" t="n">
        <v>1.25</v>
      </c>
      <c r="C169" s="3" t="inlineStr">
        <is>
          <t>factor</t>
        </is>
      </c>
      <c r="D169" s="3" t="inlineStr">
        <is>
          <t>International price, High forecast adjustment: Natural gas (country gas market)</t>
        </is>
      </c>
      <c r="E169" s="3" t="inlineStr">
        <is>
          <t>Legacy CPAT</t>
        </is>
      </c>
    </row>
    <row r="170">
      <c r="A170" s="3" t="inlineStr">
        <is>
          <t>gp.hi|one</t>
        </is>
      </c>
      <c r="B170" s="231" t="n">
        <v>1</v>
      </c>
      <c r="C170" s="3" t="inlineStr">
        <is>
          <t>factor</t>
        </is>
      </c>
      <c r="D170" s="3" t="inlineStr">
        <is>
          <t>International price, High forecast adjustment: Flat (no price change)</t>
        </is>
      </c>
      <c r="E170" s="3" t="inlineStr">
        <is>
          <t>Legacy CPAT</t>
        </is>
      </c>
    </row>
    <row r="171">
      <c r="A171" s="3" t="inlineStr">
        <is>
          <t>gp.lo|oil</t>
        </is>
      </c>
      <c r="B171" s="231" t="n">
        <v>0.5</v>
      </c>
      <c r="C171" s="3" t="inlineStr">
        <is>
          <t>factor</t>
        </is>
      </c>
      <c r="D171" s="3" t="inlineStr">
        <is>
          <t>International price, Low forecast adjustment: Crude oil</t>
        </is>
      </c>
      <c r="E171" s="3" t="inlineStr">
        <is>
          <t>Legacy CPAT</t>
        </is>
      </c>
    </row>
    <row r="172">
      <c r="A172" s="3" t="inlineStr">
        <is>
          <t>gp.lo|coa</t>
        </is>
      </c>
      <c r="B172" s="231" t="n">
        <v>0.75</v>
      </c>
      <c r="C172" s="3" t="inlineStr">
        <is>
          <t>factor</t>
        </is>
      </c>
      <c r="D172" s="3" t="inlineStr">
        <is>
          <t>International price, Low forecast adjustment: Coal</t>
        </is>
      </c>
      <c r="E172" s="3" t="inlineStr">
        <is>
          <t>Legacy CPAT</t>
        </is>
      </c>
    </row>
    <row r="173">
      <c r="A173" s="3" t="inlineStr">
        <is>
          <t>gp.lo|nga</t>
        </is>
      </c>
      <c r="B173" s="231" t="n">
        <v>0.75</v>
      </c>
      <c r="C173" s="3" t="inlineStr">
        <is>
          <t>factor</t>
        </is>
      </c>
      <c r="D173" s="3" t="inlineStr">
        <is>
          <t>International price, Low forecast adjustment: Natural gas (country gas market)</t>
        </is>
      </c>
      <c r="E173" s="3" t="inlineStr">
        <is>
          <t>Legacy CPAT</t>
        </is>
      </c>
    </row>
    <row r="174">
      <c r="A174" s="3" t="inlineStr">
        <is>
          <t>gp.lo|one</t>
        </is>
      </c>
      <c r="B174" s="231" t="n">
        <v>1</v>
      </c>
      <c r="C174" s="3" t="inlineStr">
        <is>
          <t>factor</t>
        </is>
      </c>
      <c r="D174" s="3" t="inlineStr">
        <is>
          <t>International price, Low forecast adjustment: Flat (no price change)</t>
        </is>
      </c>
      <c r="E174" s="3" t="inlineStr">
        <is>
          <t>Legacy CPAT</t>
        </is>
      </c>
    </row>
    <row r="175">
      <c r="A175" s="3" t="inlineStr">
        <is>
          <t>pw.c|gncav</t>
        </is>
      </c>
      <c r="B175" s="231" t="n">
        <v>1</v>
      </c>
      <c r="C175" s="3" t="inlineStr">
        <is>
          <t>factor</t>
        </is>
      </c>
      <c r="D175" s="3" t="inlineStr">
        <is>
          <t>Scale factor of power row gncav</t>
        </is>
      </c>
      <c r="E175" s="3" t="inlineStr">
        <is>
          <t>Definition (1)</t>
        </is>
      </c>
    </row>
    <row r="176">
      <c r="A176" s="3" t="inlineStr">
        <is>
          <t>pw.c|rcarb</t>
        </is>
      </c>
      <c r="B176" s="231" t="n">
        <v>1</v>
      </c>
      <c r="C176" s="3" t="inlineStr">
        <is>
          <t>factor</t>
        </is>
      </c>
      <c r="D176" s="3" t="inlineStr">
        <is>
          <t>Scale factor of power row rcarb</t>
        </is>
      </c>
      <c r="E176" s="3" t="inlineStr">
        <is>
          <t>Definition (1)</t>
        </is>
      </c>
    </row>
    <row r="177">
      <c r="A177" s="3" t="inlineStr">
        <is>
          <t>pw.c|rgap</t>
        </is>
      </c>
      <c r="B177" s="231" t="n">
        <v>1</v>
      </c>
      <c r="C177" s="3" t="inlineStr">
        <is>
          <t>factor</t>
        </is>
      </c>
      <c r="D177" s="3" t="inlineStr">
        <is>
          <t>Scale factor of power row rgap</t>
        </is>
      </c>
      <c r="E177" s="3" t="inlineStr">
        <is>
          <t>Definition (1)</t>
        </is>
      </c>
    </row>
    <row r="178">
      <c r="A178" s="3" t="inlineStr">
        <is>
          <t>pw.c|vre</t>
        </is>
      </c>
      <c r="B178" s="231" t="n">
        <v>1</v>
      </c>
      <c r="C178" s="3" t="inlineStr">
        <is>
          <t>factor</t>
        </is>
      </c>
      <c r="D178" s="3" t="inlineStr">
        <is>
          <t>Scale factor of power row vre</t>
        </is>
      </c>
      <c r="E178" s="3" t="inlineStr">
        <is>
          <t>Definition (1)</t>
        </is>
      </c>
    </row>
    <row r="179"/>
    <row r="180"/>
    <row r="181"/>
    <row r="182"/>
    <row r="183">
      <c r="A183" s="4" t="inlineStr">
        <is>
          <t>Mapping: subsectors, fuels and policy keys to CPAT parameter groups</t>
        </is>
      </c>
      <c r="B183" s="5" t="n"/>
      <c r="C183" s="5"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row>
    <row r="184">
      <c r="A184" s="6" t="inlineStr">
        <is>
          <t>Subsectors</t>
        </is>
      </c>
    </row>
    <row r="185">
      <c r="A185" s="19" t="inlineStr">
        <is>
          <t>Code</t>
        </is>
      </c>
      <c r="B185" s="19" t="inlineStr">
        <is>
          <t>Name</t>
        </is>
      </c>
      <c r="C185" s="19" t="inlineStr">
        <is>
          <t>Group</t>
        </is>
      </c>
      <c r="D185" s="19" t="inlineStr">
        <is>
          <t>Elasticity sector</t>
        </is>
      </c>
      <c r="E185" s="19" t="inlineStr">
        <is>
          <t>EF sector</t>
        </is>
      </c>
      <c r="F185" s="19" t="inlineStr">
        <is>
          <t>Coal/gas price sector</t>
        </is>
      </c>
      <c r="G185" s="19" t="inlineStr">
        <is>
          <t>Feebate sector</t>
        </is>
      </c>
      <c r="H185" s="19" t="inlineStr">
        <is>
          <t>Coverage position</t>
        </is>
      </c>
      <c r="I185" s="19" t="inlineStr">
        <is>
          <t>ECP sector</t>
        </is>
      </c>
      <c r="J185" s="19" t="inlineStr">
        <is>
          <t>Balances flow 1</t>
        </is>
      </c>
      <c r="K185" s="19" t="inlineStr">
        <is>
          <t>Sign 1</t>
        </is>
      </c>
      <c r="L185" s="19" t="inlineStr">
        <is>
          <t>Balances flow 2</t>
        </is>
      </c>
      <c r="M185" s="19" t="inlineStr">
        <is>
          <t>Sign 2</t>
        </is>
      </c>
    </row>
    <row r="186">
      <c r="A186" s="3" t="inlineStr">
        <is>
          <t>rod</t>
        </is>
      </c>
      <c r="B186" s="3" t="inlineStr">
        <is>
          <t>Road</t>
        </is>
      </c>
      <c r="C186" s="3" t="inlineStr">
        <is>
          <t>tra</t>
        </is>
      </c>
      <c r="D186" s="3" t="inlineStr">
        <is>
          <t>tra</t>
        </is>
      </c>
      <c r="E186" s="3" t="inlineStr">
        <is>
          <t>rod</t>
        </is>
      </c>
      <c r="F186" s="3" t="inlineStr">
        <is>
          <t>res</t>
        </is>
      </c>
      <c r="G186" s="3" t="inlineStr">
        <is>
          <t>tra</t>
        </is>
      </c>
      <c r="H186" s="3" t="n">
        <v>2</v>
      </c>
      <c r="I186" s="3" t="inlineStr">
        <is>
          <t>trs</t>
        </is>
      </c>
      <c r="J186" s="3" t="inlineStr">
        <is>
          <t>road</t>
        </is>
      </c>
      <c r="K186" s="3" t="n">
        <v>1</v>
      </c>
      <c r="L186" s="3" t="inlineStr"/>
      <c r="M186" s="3" t="n">
        <v>0</v>
      </c>
    </row>
    <row r="187">
      <c r="A187" s="3" t="inlineStr">
        <is>
          <t>ral</t>
        </is>
      </c>
      <c r="B187" s="3" t="inlineStr">
        <is>
          <t>Rail</t>
        </is>
      </c>
      <c r="C187" s="3" t="inlineStr">
        <is>
          <t>tra</t>
        </is>
      </c>
      <c r="D187" s="3" t="inlineStr">
        <is>
          <t>tra</t>
        </is>
      </c>
      <c r="E187" s="3" t="inlineStr">
        <is>
          <t>rod</t>
        </is>
      </c>
      <c r="F187" s="3" t="inlineStr">
        <is>
          <t>ind</t>
        </is>
      </c>
      <c r="G187" s="3" t="inlineStr">
        <is>
          <t>tra</t>
        </is>
      </c>
      <c r="H187" s="3" t="n">
        <v>3</v>
      </c>
      <c r="I187" s="3" t="inlineStr">
        <is>
          <t>trs</t>
        </is>
      </c>
      <c r="J187" s="3" t="inlineStr">
        <is>
          <t>rail</t>
        </is>
      </c>
      <c r="K187" s="3" t="n">
        <v>1</v>
      </c>
      <c r="L187" s="3" t="inlineStr"/>
      <c r="M187" s="3" t="n">
        <v>0</v>
      </c>
    </row>
    <row r="188">
      <c r="A188" s="3" t="inlineStr">
        <is>
          <t>avi</t>
        </is>
      </c>
      <c r="B188" s="3" t="inlineStr">
        <is>
          <t>Domestic aviation</t>
        </is>
      </c>
      <c r="C188" s="3" t="inlineStr">
        <is>
          <t>tra</t>
        </is>
      </c>
      <c r="D188" s="3" t="inlineStr">
        <is>
          <t>tra</t>
        </is>
      </c>
      <c r="E188" s="3" t="inlineStr">
        <is>
          <t>rod</t>
        </is>
      </c>
      <c r="F188" s="3" t="inlineStr">
        <is>
          <t>ind</t>
        </is>
      </c>
      <c r="G188" s="3" t="inlineStr">
        <is>
          <t>tra</t>
        </is>
      </c>
      <c r="H188" s="3" t="n">
        <v>4</v>
      </c>
      <c r="I188" s="3" t="inlineStr">
        <is>
          <t>trs</t>
        </is>
      </c>
      <c r="J188" s="3" t="inlineStr">
        <is>
          <t>domesair</t>
        </is>
      </c>
      <c r="K188" s="3" t="n">
        <v>1</v>
      </c>
      <c r="L188" s="3" t="inlineStr"/>
      <c r="M188" s="3" t="n">
        <v>0</v>
      </c>
    </row>
    <row r="189">
      <c r="A189" s="3" t="inlineStr">
        <is>
          <t>nav</t>
        </is>
      </c>
      <c r="B189" s="3" t="inlineStr">
        <is>
          <t>Domestic navigation</t>
        </is>
      </c>
      <c r="C189" s="3" t="inlineStr">
        <is>
          <t>tra</t>
        </is>
      </c>
      <c r="D189" s="3" t="inlineStr">
        <is>
          <t>tra</t>
        </is>
      </c>
      <c r="E189" s="3" t="inlineStr">
        <is>
          <t>rod</t>
        </is>
      </c>
      <c r="F189" s="3" t="inlineStr">
        <is>
          <t>ind</t>
        </is>
      </c>
      <c r="G189" s="3" t="inlineStr">
        <is>
          <t>tra</t>
        </is>
      </c>
      <c r="H189" s="3" t="n">
        <v>5</v>
      </c>
      <c r="I189" s="3" t="inlineStr">
        <is>
          <t>trs</t>
        </is>
      </c>
      <c r="J189" s="3" t="inlineStr">
        <is>
          <t>domesnav</t>
        </is>
      </c>
      <c r="K189" s="3" t="n">
        <v>1</v>
      </c>
      <c r="L189" s="3" t="inlineStr"/>
      <c r="M189" s="3" t="n">
        <v>0</v>
      </c>
    </row>
    <row r="190">
      <c r="A190" s="3" t="inlineStr">
        <is>
          <t>res</t>
        </is>
      </c>
      <c r="B190" s="3" t="inlineStr">
        <is>
          <t>Residential</t>
        </is>
      </c>
      <c r="C190" s="3" t="inlineStr">
        <is>
          <t>bld</t>
        </is>
      </c>
      <c r="D190" s="3" t="inlineStr">
        <is>
          <t>res</t>
        </is>
      </c>
      <c r="E190" s="3" t="inlineStr">
        <is>
          <t>res</t>
        </is>
      </c>
      <c r="F190" s="3" t="inlineStr">
        <is>
          <t>res</t>
        </is>
      </c>
      <c r="G190" s="3" t="inlineStr">
        <is>
          <t>res</t>
        </is>
      </c>
      <c r="H190" s="3" t="n">
        <v>6</v>
      </c>
      <c r="I190" s="3" t="inlineStr">
        <is>
          <t>res</t>
        </is>
      </c>
      <c r="J190" s="3" t="inlineStr">
        <is>
          <t>resident</t>
        </is>
      </c>
      <c r="K190" s="3" t="n">
        <v>1</v>
      </c>
      <c r="L190" s="3" t="inlineStr"/>
      <c r="M190" s="3" t="n">
        <v>0</v>
      </c>
    </row>
    <row r="191">
      <c r="A191" s="3" t="inlineStr">
        <is>
          <t>foo</t>
        </is>
      </c>
      <c r="B191" s="3" t="inlineStr">
        <is>
          <t>Food &amp; forestry</t>
        </is>
      </c>
      <c r="C191" s="3" t="inlineStr">
        <is>
          <t>bld</t>
        </is>
      </c>
      <c r="D191" s="3" t="inlineStr">
        <is>
          <t>ind</t>
        </is>
      </c>
      <c r="E191" s="3" t="inlineStr">
        <is>
          <t>res</t>
        </is>
      </c>
      <c r="F191" s="3" t="inlineStr">
        <is>
          <t>ind</t>
        </is>
      </c>
      <c r="G191" s="3" t="inlineStr">
        <is>
          <t>res</t>
        </is>
      </c>
      <c r="H191" s="3" t="n">
        <v>7</v>
      </c>
      <c r="I191" s="3" t="inlineStr">
        <is>
          <t>res</t>
        </is>
      </c>
      <c r="J191" s="3" t="inlineStr">
        <is>
          <t>food_forest</t>
        </is>
      </c>
      <c r="K191" s="3" t="n">
        <v>1</v>
      </c>
      <c r="L191" s="3" t="inlineStr"/>
      <c r="M191" s="3" t="n">
        <v>0</v>
      </c>
    </row>
    <row r="192">
      <c r="A192" s="3" t="inlineStr">
        <is>
          <t>srv</t>
        </is>
      </c>
      <c r="B192" s="3" t="inlineStr">
        <is>
          <t>Services (public &amp; private)</t>
        </is>
      </c>
      <c r="C192" s="3" t="inlineStr">
        <is>
          <t>bld</t>
        </is>
      </c>
      <c r="D192" s="3" t="inlineStr">
        <is>
          <t>srv</t>
        </is>
      </c>
      <c r="E192" s="3" t="inlineStr">
        <is>
          <t>res</t>
        </is>
      </c>
      <c r="F192" s="3" t="inlineStr">
        <is>
          <t>ind</t>
        </is>
      </c>
      <c r="G192" s="3" t="inlineStr">
        <is>
          <t>res</t>
        </is>
      </c>
      <c r="H192" s="3" t="n">
        <v>8</v>
      </c>
      <c r="I192" s="3" t="inlineStr">
        <is>
          <t>res</t>
        </is>
      </c>
      <c r="J192" s="3" t="inlineStr">
        <is>
          <t>services</t>
        </is>
      </c>
      <c r="K192" s="3" t="n">
        <v>1</v>
      </c>
      <c r="L192" s="3" t="inlineStr"/>
      <c r="M192" s="3" t="n">
        <v>0</v>
      </c>
    </row>
    <row r="193">
      <c r="A193" s="3" t="inlineStr">
        <is>
          <t>mch</t>
        </is>
      </c>
      <c r="B193" s="3" t="inlineStr">
        <is>
          <t>Mining &amp; chemicals</t>
        </is>
      </c>
      <c r="C193" s="3" t="inlineStr">
        <is>
          <t>ind</t>
        </is>
      </c>
      <c r="D193" s="3" t="inlineStr">
        <is>
          <t>ind</t>
        </is>
      </c>
      <c r="E193" s="3" t="inlineStr">
        <is>
          <t>ind</t>
        </is>
      </c>
      <c r="F193" s="3" t="inlineStr">
        <is>
          <t>ind</t>
        </is>
      </c>
      <c r="G193" s="3" t="inlineStr">
        <is>
          <t>ind</t>
        </is>
      </c>
      <c r="H193" s="3" t="n">
        <v>9</v>
      </c>
      <c r="I193" s="3" t="inlineStr">
        <is>
          <t>ind</t>
        </is>
      </c>
      <c r="J193" s="3" t="inlineStr">
        <is>
          <t>mining_chemicals</t>
        </is>
      </c>
      <c r="K193" s="3" t="n">
        <v>1</v>
      </c>
      <c r="L193" s="3" t="inlineStr"/>
      <c r="M193" s="3" t="n">
        <v>0</v>
      </c>
    </row>
    <row r="194">
      <c r="A194" s="3" t="inlineStr">
        <is>
          <t>irn</t>
        </is>
      </c>
      <c r="B194" s="3" t="inlineStr">
        <is>
          <t>Iron &amp; steel</t>
        </is>
      </c>
      <c r="C194" s="3" t="inlineStr">
        <is>
          <t>ind</t>
        </is>
      </c>
      <c r="D194" s="3" t="inlineStr">
        <is>
          <t>ind</t>
        </is>
      </c>
      <c r="E194" s="3" t="inlineStr">
        <is>
          <t>ind</t>
        </is>
      </c>
      <c r="F194" s="3" t="inlineStr">
        <is>
          <t>ind</t>
        </is>
      </c>
      <c r="G194" s="3" t="inlineStr">
        <is>
          <t>ind</t>
        </is>
      </c>
      <c r="H194" s="3" t="n">
        <v>10</v>
      </c>
      <c r="I194" s="3" t="inlineStr">
        <is>
          <t>ind</t>
        </is>
      </c>
      <c r="J194" s="3" t="inlineStr">
        <is>
          <t>ironstl</t>
        </is>
      </c>
      <c r="K194" s="3" t="n">
        <v>1</v>
      </c>
      <c r="L194" s="3" t="inlineStr"/>
      <c r="M194" s="3" t="n">
        <v>0</v>
      </c>
    </row>
    <row r="195">
      <c r="A195" s="3" t="inlineStr">
        <is>
          <t>nfm</t>
        </is>
      </c>
      <c r="B195" s="3" t="inlineStr">
        <is>
          <t>Other metals</t>
        </is>
      </c>
      <c r="C195" s="3" t="inlineStr">
        <is>
          <t>ind</t>
        </is>
      </c>
      <c r="D195" s="3" t="inlineStr">
        <is>
          <t>ind</t>
        </is>
      </c>
      <c r="E195" s="3" t="inlineStr">
        <is>
          <t>ind</t>
        </is>
      </c>
      <c r="F195" s="3" t="inlineStr">
        <is>
          <t>ind</t>
        </is>
      </c>
      <c r="G195" s="3" t="inlineStr">
        <is>
          <t>ind</t>
        </is>
      </c>
      <c r="H195" s="3" t="n">
        <v>11</v>
      </c>
      <c r="I195" s="3" t="inlineStr">
        <is>
          <t>ind</t>
        </is>
      </c>
      <c r="J195" s="3" t="inlineStr">
        <is>
          <t>nonferrmet</t>
        </is>
      </c>
      <c r="K195" s="3" t="n">
        <v>1</v>
      </c>
      <c r="L195" s="3" t="inlineStr"/>
      <c r="M195" s="3" t="n">
        <v>0</v>
      </c>
    </row>
    <row r="196">
      <c r="A196" s="3" t="inlineStr">
        <is>
          <t>mac</t>
        </is>
      </c>
      <c r="B196" s="3" t="inlineStr">
        <is>
          <t>Machinery</t>
        </is>
      </c>
      <c r="C196" s="3" t="inlineStr">
        <is>
          <t>ind</t>
        </is>
      </c>
      <c r="D196" s="3" t="inlineStr">
        <is>
          <t>ind</t>
        </is>
      </c>
      <c r="E196" s="3" t="inlineStr">
        <is>
          <t>ind</t>
        </is>
      </c>
      <c r="F196" s="3" t="inlineStr">
        <is>
          <t>ind</t>
        </is>
      </c>
      <c r="G196" s="3" t="inlineStr">
        <is>
          <t>ind</t>
        </is>
      </c>
      <c r="H196" s="3" t="n">
        <v>12</v>
      </c>
      <c r="I196" s="3" t="inlineStr">
        <is>
          <t>ind</t>
        </is>
      </c>
      <c r="J196" s="3" t="inlineStr">
        <is>
          <t>machinery</t>
        </is>
      </c>
      <c r="K196" s="3" t="n">
        <v>1</v>
      </c>
      <c r="L196" s="3" t="inlineStr"/>
      <c r="M196" s="3" t="n">
        <v>0</v>
      </c>
    </row>
    <row r="197">
      <c r="A197" s="3" t="inlineStr">
        <is>
          <t>cem</t>
        </is>
      </c>
      <c r="B197" s="3" t="inlineStr">
        <is>
          <t>Cement</t>
        </is>
      </c>
      <c r="C197" s="3" t="inlineStr">
        <is>
          <t>ind</t>
        </is>
      </c>
      <c r="D197" s="3" t="inlineStr">
        <is>
          <t>ind</t>
        </is>
      </c>
      <c r="E197" s="3" t="inlineStr">
        <is>
          <t>ind</t>
        </is>
      </c>
      <c r="F197" s="3" t="inlineStr">
        <is>
          <t>ind</t>
        </is>
      </c>
      <c r="G197" s="3" t="inlineStr">
        <is>
          <t>ind</t>
        </is>
      </c>
      <c r="H197" s="3" t="n">
        <v>13</v>
      </c>
      <c r="I197" s="3" t="inlineStr">
        <is>
          <t>ind</t>
        </is>
      </c>
      <c r="J197" s="3" t="inlineStr">
        <is>
          <t>cement</t>
        </is>
      </c>
      <c r="K197" s="3" t="n">
        <v>1</v>
      </c>
      <c r="L197" s="3" t="inlineStr"/>
      <c r="M197" s="3" t="n">
        <v>0</v>
      </c>
    </row>
    <row r="198">
      <c r="A198" s="3" t="inlineStr">
        <is>
          <t>omn</t>
        </is>
      </c>
      <c r="B198" s="3" t="inlineStr">
        <is>
          <t>Other manufacturing</t>
        </is>
      </c>
      <c r="C198" s="3" t="inlineStr">
        <is>
          <t>ind</t>
        </is>
      </c>
      <c r="D198" s="3" t="inlineStr">
        <is>
          <t>ind</t>
        </is>
      </c>
      <c r="E198" s="3" t="inlineStr">
        <is>
          <t>ind</t>
        </is>
      </c>
      <c r="F198" s="3" t="inlineStr">
        <is>
          <t>ind</t>
        </is>
      </c>
      <c r="G198" s="3" t="inlineStr">
        <is>
          <t>ind</t>
        </is>
      </c>
      <c r="H198" s="3" t="n">
        <v>14</v>
      </c>
      <c r="I198" s="3" t="inlineStr">
        <is>
          <t>ind</t>
        </is>
      </c>
      <c r="J198" s="3" t="inlineStr">
        <is>
          <t>other_manufact</t>
        </is>
      </c>
      <c r="K198" s="3" t="n">
        <v>1</v>
      </c>
      <c r="L198" s="3" t="inlineStr"/>
      <c r="M198" s="3" t="n">
        <v>0</v>
      </c>
    </row>
    <row r="199">
      <c r="A199" s="3" t="inlineStr">
        <is>
          <t>cst</t>
        </is>
      </c>
      <c r="B199" s="3" t="inlineStr">
        <is>
          <t>Construction</t>
        </is>
      </c>
      <c r="C199" s="3" t="inlineStr">
        <is>
          <t>ind</t>
        </is>
      </c>
      <c r="D199" s="3" t="inlineStr">
        <is>
          <t>ind</t>
        </is>
      </c>
      <c r="E199" s="3" t="inlineStr">
        <is>
          <t>ind</t>
        </is>
      </c>
      <c r="F199" s="3" t="inlineStr">
        <is>
          <t>ind</t>
        </is>
      </c>
      <c r="G199" s="3" t="inlineStr">
        <is>
          <t>ind</t>
        </is>
      </c>
      <c r="H199" s="3" t="n">
        <v>15</v>
      </c>
      <c r="I199" s="3" t="inlineStr">
        <is>
          <t>ind</t>
        </is>
      </c>
      <c r="J199" s="3" t="inlineStr">
        <is>
          <t>construc</t>
        </is>
      </c>
      <c r="K199" s="3" t="n">
        <v>1</v>
      </c>
      <c r="L199" s="3" t="inlineStr"/>
      <c r="M199" s="3" t="n">
        <v>0</v>
      </c>
    </row>
    <row r="200">
      <c r="A200" s="3" t="inlineStr">
        <is>
          <t>ftr</t>
        </is>
      </c>
      <c r="B200" s="3" t="inlineStr">
        <is>
          <t>Fuel transformation</t>
        </is>
      </c>
      <c r="C200" s="3" t="inlineStr">
        <is>
          <t>ind</t>
        </is>
      </c>
      <c r="D200" s="3" t="inlineStr">
        <is>
          <t>ind</t>
        </is>
      </c>
      <c r="E200" s="3" t="inlineStr">
        <is>
          <t>ind</t>
        </is>
      </c>
      <c r="F200" s="3" t="inlineStr">
        <is>
          <t>ind</t>
        </is>
      </c>
      <c r="G200" s="3" t="inlineStr">
        <is>
          <t>ind</t>
        </is>
      </c>
      <c r="H200" s="3" t="n">
        <v>16</v>
      </c>
      <c r="I200" s="3" t="inlineStr">
        <is>
          <t>ind</t>
        </is>
      </c>
      <c r="J200" s="3" t="inlineStr">
        <is>
          <t>ownuse</t>
        </is>
      </c>
      <c r="K200" s="3" t="n">
        <v>-1</v>
      </c>
      <c r="L200" s="3" t="inlineStr">
        <is>
          <t>heat</t>
        </is>
      </c>
      <c r="M200" s="3" t="n">
        <v>-1</v>
      </c>
    </row>
    <row r="201">
      <c r="A201" s="3" t="inlineStr">
        <is>
          <t>oen</t>
        </is>
      </c>
      <c r="B201" s="3" t="inlineStr">
        <is>
          <t>Other energy use</t>
        </is>
      </c>
      <c r="C201" s="3" t="inlineStr">
        <is>
          <t>oen</t>
        </is>
      </c>
      <c r="D201" s="3" t="inlineStr">
        <is>
          <t>ind</t>
        </is>
      </c>
      <c r="E201" s="3" t="inlineStr">
        <is>
          <t>ind</t>
        </is>
      </c>
      <c r="F201" s="3" t="inlineStr">
        <is>
          <t>ind</t>
        </is>
      </c>
      <c r="G201" s="3" t="inlineStr">
        <is>
          <t>ind</t>
        </is>
      </c>
      <c r="H201" s="3" t="n">
        <v>17</v>
      </c>
      <c r="I201" s="3" t="inlineStr">
        <is>
          <t>ind</t>
        </is>
      </c>
      <c r="J201" s="3" t="inlineStr">
        <is>
          <t>ononspec</t>
        </is>
      </c>
      <c r="K201" s="3" t="n">
        <v>1</v>
      </c>
      <c r="L201" s="3" t="inlineStr"/>
      <c r="M201" s="3" t="n">
        <v>0</v>
      </c>
    </row>
    <row r="202">
      <c r="A202" s="3" t="inlineStr">
        <is>
          <t>all</t>
        </is>
      </c>
      <c r="B202" s="3" t="inlineStr">
        <is>
          <t>All sectors</t>
        </is>
      </c>
    </row>
    <row r="203">
      <c r="A203" s="3" t="inlineStr">
        <is>
          <t>pow</t>
        </is>
      </c>
      <c r="B203" s="3" t="inlineStr">
        <is>
          <t>Power</t>
        </is>
      </c>
    </row>
    <row r="204">
      <c r="A204" s="3" t="inlineStr">
        <is>
          <t>tra</t>
        </is>
      </c>
      <c r="B204" s="3" t="inlineStr">
        <is>
          <t>Transport</t>
        </is>
      </c>
    </row>
    <row r="205">
      <c r="A205" s="3" t="inlineStr">
        <is>
          <t>bld</t>
        </is>
      </c>
      <c r="B205" s="3" t="inlineStr">
        <is>
          <t>Buildings</t>
        </is>
      </c>
    </row>
    <row r="206">
      <c r="A206" s="3" t="inlineStr">
        <is>
          <t>ind</t>
        </is>
      </c>
      <c r="B206" s="3" t="inlineStr">
        <is>
          <t>Industry</t>
        </is>
      </c>
    </row>
    <row r="207">
      <c r="A207" s="3" t="inlineStr">
        <is>
          <t>int</t>
        </is>
      </c>
      <c r="B207" s="3" t="inlineStr">
        <is>
          <t>International</t>
        </is>
      </c>
    </row>
    <row r="208">
      <c r="A208" s="3" t="inlineStr">
        <is>
          <t>enr</t>
        </is>
      </c>
      <c r="B208" s="3" t="inlineStr">
        <is>
          <t>Energy</t>
        </is>
      </c>
    </row>
    <row r="209">
      <c r="A209" s="3" t="inlineStr">
        <is>
          <t>ipr</t>
        </is>
      </c>
      <c r="B209" s="3" t="inlineStr">
        <is>
          <t>Industrial processes</t>
        </is>
      </c>
    </row>
    <row r="210">
      <c r="A210" s="3" t="inlineStr">
        <is>
          <t>agr</t>
        </is>
      </c>
      <c r="B210" s="3" t="inlineStr">
        <is>
          <t>Agriculture</t>
        </is>
      </c>
    </row>
    <row r="211">
      <c r="A211" s="3" t="inlineStr">
        <is>
          <t>lucf</t>
        </is>
      </c>
      <c r="B211" s="3" t="inlineStr">
        <is>
          <t>LULUCF</t>
        </is>
      </c>
    </row>
    <row r="212">
      <c r="A212" s="3" t="inlineStr">
        <is>
          <t>wst</t>
        </is>
      </c>
      <c r="B212" s="3" t="inlineStr">
        <is>
          <t>Waste</t>
        </is>
      </c>
    </row>
    <row r="213">
      <c r="A213" s="3" t="inlineStr">
        <is>
          <t>oth</t>
        </is>
      </c>
      <c r="B213" s="3" t="inlineStr">
        <is>
          <t>Other</t>
        </is>
      </c>
    </row>
    <row r="214">
      <c r="A214" s="3" t="inlineStr">
        <is>
          <t>fod</t>
        </is>
      </c>
      <c r="B214" s="3" t="inlineStr">
        <is>
          <t>of which food</t>
        </is>
      </c>
    </row>
    <row r="215">
      <c r="A215" s="3" t="inlineStr">
        <is>
          <t>fag</t>
        </is>
      </c>
      <c r="B215" s="3" t="inlineStr">
        <is>
          <t>of which forestry and agriculture</t>
        </is>
      </c>
    </row>
    <row r="216">
      <c r="A216" s="3" t="inlineStr">
        <is>
          <t>cpp</t>
        </is>
      </c>
      <c r="B216" s="3" t="inlineStr">
        <is>
          <t>Coal power plants</t>
        </is>
      </c>
    </row>
    <row r="217">
      <c r="A217" s="3" t="inlineStr">
        <is>
          <t>gpp</t>
        </is>
      </c>
      <c r="B217" s="3" t="inlineStr">
        <is>
          <t>Gas power plants</t>
        </is>
      </c>
    </row>
    <row r="218">
      <c r="A218" s="3" t="inlineStr">
        <is>
          <t>opp</t>
        </is>
      </c>
      <c r="B218" s="3" t="inlineStr">
        <is>
          <t>Other power plants</t>
        </is>
      </c>
    </row>
    <row r="219">
      <c r="A219" s="3" t="inlineStr">
        <is>
          <t>gro</t>
        </is>
      </c>
      <c r="B219" s="3" t="inlineStr">
        <is>
          <t>Ground level other</t>
        </is>
      </c>
    </row>
    <row r="220">
      <c r="A220" s="3" t="inlineStr">
        <is>
          <t>pas</t>
        </is>
      </c>
      <c r="B220" s="3" t="inlineStr">
        <is>
          <t>Passenger and light vehicles</t>
        </is>
      </c>
    </row>
    <row r="221">
      <c r="A221" s="3" t="inlineStr">
        <is>
          <t>pau</t>
        </is>
      </c>
      <c r="B221" s="3" t="inlineStr">
        <is>
          <t>Used passenger and light vehicles</t>
        </is>
      </c>
    </row>
    <row r="222">
      <c r="A222" s="3" t="inlineStr">
        <is>
          <t>lgt</t>
        </is>
      </c>
      <c r="B222" s="3" t="inlineStr">
        <is>
          <t>Light vehicles</t>
        </is>
      </c>
    </row>
    <row r="223">
      <c r="A223" s="3" t="inlineStr">
        <is>
          <t>fre</t>
        </is>
      </c>
      <c r="B223" s="3" t="inlineStr">
        <is>
          <t>Freight vehicles</t>
        </is>
      </c>
    </row>
    <row r="224">
      <c r="A224" s="3" t="inlineStr">
        <is>
          <t>cyc</t>
        </is>
      </c>
      <c r="B224" s="3" t="inlineStr">
        <is>
          <t>2-3 wheelers</t>
        </is>
      </c>
    </row>
    <row r="225">
      <c r="A225" s="3" t="inlineStr">
        <is>
          <t>bus</t>
        </is>
      </c>
      <c r="B225" s="3" t="inlineStr">
        <is>
          <t>Buses</t>
        </is>
      </c>
    </row>
    <row r="226"/>
    <row r="227">
      <c r="A227" s="6" t="inlineStr">
        <is>
          <t>Fuels</t>
        </is>
      </c>
    </row>
    <row r="228">
      <c r="A228" s="19" t="inlineStr">
        <is>
          <t>Code</t>
        </is>
      </c>
      <c r="B228" s="19" t="inlineStr">
        <is>
          <t>Name</t>
        </is>
      </c>
      <c r="C228" s="19" t="inlineStr">
        <is>
          <t>Elasticity fuel</t>
        </is>
      </c>
      <c r="D228" s="19" t="inlineStr">
        <is>
          <t>AEEI fuel</t>
        </is>
      </c>
      <c r="E228" s="19" t="inlineStr">
        <is>
          <t>Price sector rule</t>
        </is>
      </c>
      <c r="F228" s="19" t="inlineStr">
        <is>
          <t>Price unit</t>
        </is>
      </c>
      <c r="G228" s="19" t="inlineStr">
        <is>
          <t>GJ per price unit</t>
        </is>
      </c>
      <c r="H228" s="19" t="inlineStr">
        <is>
          <t>Fuel position</t>
        </is>
      </c>
      <c r="I228" s="19" t="inlineStr">
        <is>
          <t>Price fuel (section 2)</t>
        </is>
      </c>
    </row>
    <row r="229">
      <c r="A229" s="3" t="inlineStr">
        <is>
          <t>coa</t>
        </is>
      </c>
      <c r="B229" s="3" t="inlineStr">
        <is>
          <t>Coal</t>
        </is>
      </c>
      <c r="C229" s="3" t="inlineStr">
        <is>
          <t>coa</t>
        </is>
      </c>
      <c r="D229" s="3" t="inlineStr">
        <is>
          <t>coa</t>
        </is>
      </c>
      <c r="E229" s="3" t="inlineStr">
        <is>
          <t>sub</t>
        </is>
      </c>
      <c r="F229" s="3" t="inlineStr">
        <is>
          <t>$/GJ</t>
        </is>
      </c>
      <c r="G229" s="3" t="n">
        <v>1</v>
      </c>
      <c r="H229" s="3" t="n">
        <v>1</v>
      </c>
      <c r="I229" s="3" t="inlineStr">
        <is>
          <t>coa</t>
        </is>
      </c>
    </row>
    <row r="230">
      <c r="A230" s="3" t="inlineStr">
        <is>
          <t>nga</t>
        </is>
      </c>
      <c r="B230" s="3" t="inlineStr">
        <is>
          <t>Natural gas</t>
        </is>
      </c>
      <c r="C230" s="3" t="inlineStr">
        <is>
          <t>nga</t>
        </is>
      </c>
      <c r="D230" s="3" t="inlineStr">
        <is>
          <t>nga</t>
        </is>
      </c>
      <c r="E230" s="3" t="inlineStr">
        <is>
          <t>sub</t>
        </is>
      </c>
      <c r="F230" s="3" t="inlineStr">
        <is>
          <t>$/GJ</t>
        </is>
      </c>
      <c r="G230" s="3" t="n">
        <v>1</v>
      </c>
      <c r="H230" s="3" t="n">
        <v>2</v>
      </c>
      <c r="I230" s="3" t="inlineStr">
        <is>
          <t>nga</t>
        </is>
      </c>
    </row>
    <row r="231">
      <c r="A231" s="3" t="inlineStr">
        <is>
          <t>gso</t>
        </is>
      </c>
      <c r="B231" s="3" t="inlineStr">
        <is>
          <t>Gasoline</t>
        </is>
      </c>
      <c r="C231" s="3" t="inlineStr">
        <is>
          <t>gso</t>
        </is>
      </c>
      <c r="D231" s="3" t="inlineStr">
        <is>
          <t>oil</t>
        </is>
      </c>
      <c r="E231" s="3" t="inlineStr">
        <is>
          <t>all</t>
        </is>
      </c>
      <c r="F231" s="3" t="inlineStr">
        <is>
          <t>$/liter</t>
        </is>
      </c>
      <c r="G231" s="3" t="n">
        <v>0.03496974000000001</v>
      </c>
      <c r="H231" s="3" t="n">
        <v>3</v>
      </c>
      <c r="I231" s="3" t="inlineStr">
        <is>
          <t>gso</t>
        </is>
      </c>
    </row>
    <row r="232">
      <c r="A232" s="3" t="inlineStr">
        <is>
          <t>die</t>
        </is>
      </c>
      <c r="B232" s="3" t="inlineStr">
        <is>
          <t>Diesel</t>
        </is>
      </c>
      <c r="C232" s="3" t="inlineStr">
        <is>
          <t>die</t>
        </is>
      </c>
      <c r="D232" s="3" t="inlineStr">
        <is>
          <t>oil</t>
        </is>
      </c>
      <c r="E232" s="3" t="inlineStr">
        <is>
          <t>all</t>
        </is>
      </c>
      <c r="F232" s="3" t="inlineStr">
        <is>
          <t>$/liter</t>
        </is>
      </c>
      <c r="G232" s="3" t="n">
        <v>0.03729519000000001</v>
      </c>
      <c r="H232" s="3" t="n">
        <v>4</v>
      </c>
      <c r="I232" s="3" t="inlineStr">
        <is>
          <t>die</t>
        </is>
      </c>
    </row>
    <row r="233">
      <c r="A233" s="3" t="inlineStr">
        <is>
          <t>lpg</t>
        </is>
      </c>
      <c r="B233" s="3" t="inlineStr">
        <is>
          <t>LPG</t>
        </is>
      </c>
      <c r="C233" s="3" t="inlineStr">
        <is>
          <t>oil</t>
        </is>
      </c>
      <c r="D233" s="3" t="inlineStr">
        <is>
          <t>oil</t>
        </is>
      </c>
      <c r="E233" s="3" t="inlineStr">
        <is>
          <t>all</t>
        </is>
      </c>
      <c r="F233" s="3" t="inlineStr">
        <is>
          <t>$/liter</t>
        </is>
      </c>
      <c r="G233" s="3" t="n">
        <v>0.02577968854495125</v>
      </c>
      <c r="H233" s="3" t="n">
        <v>5</v>
      </c>
      <c r="I233" s="3" t="inlineStr">
        <is>
          <t>lpg</t>
        </is>
      </c>
    </row>
    <row r="234">
      <c r="A234" s="3" t="inlineStr">
        <is>
          <t>ker</t>
        </is>
      </c>
      <c r="B234" s="3" t="inlineStr">
        <is>
          <t>Kerosene</t>
        </is>
      </c>
      <c r="C234" s="3" t="inlineStr">
        <is>
          <t>oil</t>
        </is>
      </c>
      <c r="D234" s="3" t="inlineStr">
        <is>
          <t>oil</t>
        </is>
      </c>
      <c r="E234" s="3" t="inlineStr">
        <is>
          <t>all</t>
        </is>
      </c>
      <c r="F234" s="3" t="inlineStr">
        <is>
          <t>$/liter</t>
        </is>
      </c>
      <c r="G234" s="3" t="n">
        <v>0.03774882965510715</v>
      </c>
      <c r="H234" s="3" t="n">
        <v>6</v>
      </c>
      <c r="I234" s="3" t="inlineStr">
        <is>
          <t>ker</t>
        </is>
      </c>
    </row>
    <row r="235">
      <c r="A235" s="3" t="inlineStr">
        <is>
          <t>jfu</t>
        </is>
      </c>
      <c r="B235" s="3" t="inlineStr">
        <is>
          <t>Jet fuel</t>
        </is>
      </c>
      <c r="C235" s="3" t="inlineStr">
        <is>
          <t>oil</t>
        </is>
      </c>
      <c r="D235" s="3" t="inlineStr">
        <is>
          <t>oil</t>
        </is>
      </c>
      <c r="E235" s="3" t="inlineStr">
        <is>
          <t>all</t>
        </is>
      </c>
      <c r="F235" s="3" t="inlineStr">
        <is>
          <t>$/liter</t>
        </is>
      </c>
      <c r="G235" s="3" t="n">
        <v>0.0348608</v>
      </c>
      <c r="H235" s="3" t="n">
        <v>7</v>
      </c>
      <c r="I235" s="3" t="inlineStr">
        <is>
          <t>ker</t>
        </is>
      </c>
    </row>
    <row r="236">
      <c r="A236" s="3" t="inlineStr">
        <is>
          <t>oop</t>
        </is>
      </c>
      <c r="B236" s="3" t="inlineStr">
        <is>
          <t>Other oil products</t>
        </is>
      </c>
      <c r="C236" s="3" t="inlineStr">
        <is>
          <t>oil</t>
        </is>
      </c>
      <c r="D236" s="3" t="inlineStr">
        <is>
          <t>oil</t>
        </is>
      </c>
      <c r="E236" s="3" t="inlineStr">
        <is>
          <t>all</t>
        </is>
      </c>
      <c r="F236" s="3" t="inlineStr">
        <is>
          <t>$/bbl</t>
        </is>
      </c>
      <c r="G236" s="3" t="n">
        <v>6.12</v>
      </c>
      <c r="H236" s="3" t="n">
        <v>8</v>
      </c>
      <c r="I236" s="3" t="inlineStr">
        <is>
          <t>oop</t>
        </is>
      </c>
    </row>
    <row r="237">
      <c r="A237" s="3" t="inlineStr">
        <is>
          <t>bio</t>
        </is>
      </c>
      <c r="B237" s="3" t="inlineStr">
        <is>
          <t>Biomass</t>
        </is>
      </c>
      <c r="C237" s="3" t="inlineStr">
        <is>
          <t>bio</t>
        </is>
      </c>
      <c r="D237" s="3" t="inlineStr">
        <is>
          <t>bio</t>
        </is>
      </c>
      <c r="E237" s="3" t="inlineStr">
        <is>
          <t>all</t>
        </is>
      </c>
      <c r="F237" s="3" t="inlineStr">
        <is>
          <t>$/GJ</t>
        </is>
      </c>
      <c r="G237" s="3" t="n">
        <v>1</v>
      </c>
      <c r="H237" s="3" t="n">
        <v>9</v>
      </c>
      <c r="I237" s="3" t="inlineStr">
        <is>
          <t>bio</t>
        </is>
      </c>
    </row>
    <row r="238">
      <c r="A238" s="3" t="inlineStr">
        <is>
          <t>all</t>
        </is>
      </c>
      <c r="B238" s="3" t="inlineStr">
        <is>
          <t>All fuels</t>
        </is>
      </c>
    </row>
    <row r="239">
      <c r="A239" s="3" t="inlineStr">
        <is>
          <t>ecy</t>
        </is>
      </c>
      <c r="B239" s="3" t="inlineStr">
        <is>
          <t>Electricity</t>
        </is>
      </c>
    </row>
    <row r="240">
      <c r="A240" s="3" t="inlineStr">
        <is>
          <t>oil</t>
        </is>
      </c>
      <c r="B240" s="3" t="inlineStr">
        <is>
          <t>Crude oil</t>
        </is>
      </c>
    </row>
    <row r="241">
      <c r="A241" s="3" t="inlineStr">
        <is>
          <t>one</t>
        </is>
      </c>
      <c r="B241" s="3" t="inlineStr">
        <is>
          <t>Flat (no change)</t>
        </is>
      </c>
    </row>
    <row r="242">
      <c r="A242" s="3" t="inlineStr">
        <is>
          <t>nuc</t>
        </is>
      </c>
      <c r="B242" s="3" t="inlineStr">
        <is>
          <t>Nuclear</t>
        </is>
      </c>
    </row>
    <row r="243">
      <c r="A243" s="3" t="inlineStr">
        <is>
          <t>wnd</t>
        </is>
      </c>
      <c r="B243" s="3" t="inlineStr">
        <is>
          <t>Wind</t>
        </is>
      </c>
    </row>
    <row r="244">
      <c r="A244" s="3" t="inlineStr">
        <is>
          <t>sol</t>
        </is>
      </c>
      <c r="B244" s="3" t="inlineStr">
        <is>
          <t>Solar</t>
        </is>
      </c>
    </row>
    <row r="245">
      <c r="A245" s="3" t="inlineStr">
        <is>
          <t>hyd</t>
        </is>
      </c>
      <c r="B245" s="3" t="inlineStr">
        <is>
          <t>Hydro</t>
        </is>
      </c>
    </row>
    <row r="246">
      <c r="A246" s="3" t="inlineStr">
        <is>
          <t>ore</t>
        </is>
      </c>
      <c r="B246" s="3" t="inlineStr">
        <is>
          <t>Other renewables</t>
        </is>
      </c>
    </row>
    <row r="247">
      <c r="A247" s="3" t="inlineStr">
        <is>
          <t>og</t>
        </is>
      </c>
      <c r="B247" s="3" t="inlineStr">
        <is>
          <t>Oil and gas extraction</t>
        </is>
      </c>
    </row>
    <row r="248">
      <c r="A248" s="3" t="inlineStr">
        <is>
          <t>dg</t>
        </is>
      </c>
      <c r="B248" s="3" t="inlineStr">
        <is>
          <t>Downstream gas</t>
        </is>
      </c>
    </row>
    <row r="249">
      <c r="A249" s="3" t="inlineStr">
        <is>
          <t>cm</t>
        </is>
      </c>
      <c r="B249" s="3" t="inlineStr">
        <is>
          <t>Coal mining</t>
        </is>
      </c>
    </row>
    <row r="250">
      <c r="A250" s="3" t="inlineStr">
        <is>
          <t>bm</t>
        </is>
      </c>
      <c r="B250" s="3" t="inlineStr">
        <is>
          <t>Biomass use</t>
        </is>
      </c>
    </row>
    <row r="251">
      <c r="A251" s="3" t="inlineStr">
        <is>
          <t>liv</t>
        </is>
      </c>
      <c r="B251" s="3" t="inlineStr">
        <is>
          <t>Livestock</t>
        </is>
      </c>
    </row>
    <row r="252">
      <c r="A252" s="3" t="inlineStr">
        <is>
          <t>ric</t>
        </is>
      </c>
      <c r="B252" s="3" t="inlineStr">
        <is>
          <t>Rice</t>
        </is>
      </c>
    </row>
    <row r="253">
      <c r="A253" s="3" t="inlineStr">
        <is>
          <t>wst</t>
        </is>
      </c>
      <c r="B253" s="3" t="inlineStr">
        <is>
          <t>Waste</t>
        </is>
      </c>
    </row>
    <row r="254">
      <c r="A254" s="3" t="inlineStr">
        <is>
          <t>co2</t>
        </is>
      </c>
      <c r="B254" s="3" t="inlineStr">
        <is>
          <t>CO2</t>
        </is>
      </c>
    </row>
    <row r="255">
      <c r="A255" s="3" t="inlineStr">
        <is>
          <t>ch4</t>
        </is>
      </c>
      <c r="B255" s="3" t="inlineStr">
        <is>
          <t>CH4</t>
        </is>
      </c>
    </row>
    <row r="256">
      <c r="A256" s="3" t="inlineStr">
        <is>
          <t>n2o</t>
        </is>
      </c>
      <c r="B256" s="3" t="inlineStr">
        <is>
          <t>N2O</t>
        </is>
      </c>
    </row>
    <row r="257">
      <c r="A257" s="3" t="inlineStr">
        <is>
          <t>fga</t>
        </is>
      </c>
      <c r="B257" s="3" t="inlineStr">
        <is>
          <t>F-gases</t>
        </is>
      </c>
    </row>
    <row r="258">
      <c r="A258" s="3" t="inlineStr">
        <is>
          <t>pm2</t>
        </is>
      </c>
      <c r="B258" s="3" t="inlineStr">
        <is>
          <t>PM2.5</t>
        </is>
      </c>
    </row>
    <row r="259">
      <c r="A259" s="3" t="inlineStr">
        <is>
          <t>nox</t>
        </is>
      </c>
      <c r="B259" s="3" t="inlineStr">
        <is>
          <t>NOx</t>
        </is>
      </c>
    </row>
    <row r="260">
      <c r="A260" s="3" t="inlineStr">
        <is>
          <t>so2</t>
        </is>
      </c>
      <c r="B260" s="3" t="inlineStr">
        <is>
          <t>SO2</t>
        </is>
      </c>
    </row>
    <row r="261">
      <c r="A261" s="3" t="inlineStr">
        <is>
          <t>voc</t>
        </is>
      </c>
      <c r="B261" s="3" t="inlineStr">
        <is>
          <t>VOC</t>
        </is>
      </c>
    </row>
    <row r="262">
      <c r="A262" s="3" t="inlineStr">
        <is>
          <t>bc</t>
        </is>
      </c>
      <c r="B262" s="3" t="inlineStr">
        <is>
          <t>Black carbon</t>
        </is>
      </c>
    </row>
    <row r="263">
      <c r="A263" s="3" t="inlineStr">
        <is>
          <t>oc</t>
        </is>
      </c>
      <c r="B263" s="3" t="inlineStr">
        <is>
          <t>Organic carbon</t>
        </is>
      </c>
    </row>
    <row r="264">
      <c r="A264" s="3" t="inlineStr">
        <is>
          <t>co</t>
        </is>
      </c>
      <c r="B264" s="3" t="inlineStr">
        <is>
          <t>CO</t>
        </is>
      </c>
    </row>
    <row r="265">
      <c r="A265" s="3" t="inlineStr">
        <is>
          <t>pom</t>
        </is>
      </c>
      <c r="B265" s="3" t="inlineStr">
        <is>
          <t>Primary organic matter</t>
        </is>
      </c>
    </row>
    <row r="266">
      <c r="A266" s="3" t="inlineStr">
        <is>
          <t>opm</t>
        </is>
      </c>
      <c r="B266" s="3" t="inlineStr">
        <is>
          <t>Other PM2.5</t>
        </is>
      </c>
    </row>
    <row r="267">
      <c r="A267" s="3" t="inlineStr">
        <is>
          <t>exc</t>
        </is>
      </c>
      <c r="B267" s="3" t="inlineStr">
        <is>
          <t>Revenue (energy tax increase)</t>
        </is>
      </c>
    </row>
    <row r="268">
      <c r="A268" s="3" t="inlineStr">
        <is>
          <t>pit</t>
        </is>
      </c>
      <c r="B268" s="3" t="inlineStr">
        <is>
          <t>Labour tax cuts</t>
        </is>
      </c>
    </row>
    <row r="269">
      <c r="A269" s="3" t="inlineStr">
        <is>
          <t>cit</t>
        </is>
      </c>
      <c r="B269" s="3" t="inlineStr">
        <is>
          <t>Corporate tax cuts</t>
        </is>
      </c>
    </row>
    <row r="270">
      <c r="A270" s="3" t="inlineStr">
        <is>
          <t>capt</t>
        </is>
      </c>
      <c r="B270" s="3" t="inlineStr">
        <is>
          <t>Public investment</t>
        </is>
      </c>
    </row>
    <row r="271">
      <c r="A271" s="3" t="inlineStr">
        <is>
          <t>gnfs</t>
        </is>
      </c>
      <c r="B271" s="3" t="inlineStr">
        <is>
          <t>Current spending</t>
        </is>
      </c>
    </row>
    <row r="272">
      <c r="A272" s="3" t="inlineStr">
        <is>
          <t>trns</t>
        </is>
      </c>
      <c r="B272" s="3" t="inlineStr">
        <is>
          <t>Targeted transfers</t>
        </is>
      </c>
    </row>
    <row r="273">
      <c r="A273" s="3" t="inlineStr">
        <is>
          <t>none</t>
        </is>
      </c>
      <c r="B273" s="3" t="inlineStr">
        <is>
          <t>None</t>
        </is>
      </c>
    </row>
    <row r="274">
      <c r="A274" s="3" t="inlineStr">
        <is>
          <t>l1</t>
        </is>
      </c>
      <c r="B274" s="3" t="inlineStr">
        <is>
          <t>1 years back</t>
        </is>
      </c>
    </row>
    <row r="275">
      <c r="A275" s="3" t="inlineStr">
        <is>
          <t>l2</t>
        </is>
      </c>
      <c r="B275" s="3" t="inlineStr">
        <is>
          <t>2 years back</t>
        </is>
      </c>
    </row>
    <row r="276">
      <c r="A276" s="3" t="inlineStr">
        <is>
          <t>l3</t>
        </is>
      </c>
      <c r="B276" s="3" t="inlineStr">
        <is>
          <t>3 years back</t>
        </is>
      </c>
    </row>
    <row r="277">
      <c r="A277" s="3" t="inlineStr">
        <is>
          <t>l4</t>
        </is>
      </c>
      <c r="B277" s="3" t="inlineStr">
        <is>
          <t>4 years back</t>
        </is>
      </c>
    </row>
    <row r="278">
      <c r="A278" s="3" t="inlineStr">
        <is>
          <t>l5</t>
        </is>
      </c>
      <c r="B278" s="3" t="inlineStr">
        <is>
          <t>5 years back</t>
        </is>
      </c>
    </row>
    <row r="279">
      <c r="A279" s="3" t="inlineStr">
        <is>
          <t>l6</t>
        </is>
      </c>
      <c r="B279" s="3" t="inlineStr">
        <is>
          <t>6 years back</t>
        </is>
      </c>
    </row>
    <row r="280">
      <c r="A280" s="3" t="inlineStr">
        <is>
          <t>l7</t>
        </is>
      </c>
      <c r="B280" s="3" t="inlineStr">
        <is>
          <t>7 years back</t>
        </is>
      </c>
    </row>
    <row r="281">
      <c r="A281" s="3" t="inlineStr">
        <is>
          <t>l8</t>
        </is>
      </c>
      <c r="B281" s="3" t="inlineStr">
        <is>
          <t>8 years back</t>
        </is>
      </c>
    </row>
    <row r="282">
      <c r="A282" s="3" t="inlineStr">
        <is>
          <t>l9</t>
        </is>
      </c>
      <c r="B282" s="3" t="inlineStr">
        <is>
          <t>9 years back</t>
        </is>
      </c>
    </row>
    <row r="283">
      <c r="A283" s="3" t="inlineStr">
        <is>
          <t>l10</t>
        </is>
      </c>
      <c r="B283" s="3" t="inlineStr">
        <is>
          <t>10 years back</t>
        </is>
      </c>
    </row>
    <row r="284">
      <c r="A284" s="3" t="inlineStr">
        <is>
          <t>l11</t>
        </is>
      </c>
      <c r="B284" s="3" t="inlineStr">
        <is>
          <t>11 years back</t>
        </is>
      </c>
    </row>
    <row r="285">
      <c r="A285" s="3" t="inlineStr">
        <is>
          <t>l12</t>
        </is>
      </c>
      <c r="B285" s="3" t="inlineStr">
        <is>
          <t>12 years back</t>
        </is>
      </c>
    </row>
    <row r="286">
      <c r="A286" s="3" t="inlineStr">
        <is>
          <t>l13</t>
        </is>
      </c>
      <c r="B286" s="3" t="inlineStr">
        <is>
          <t>13 years back</t>
        </is>
      </c>
    </row>
    <row r="287">
      <c r="A287" s="3" t="inlineStr">
        <is>
          <t>l14</t>
        </is>
      </c>
      <c r="B287" s="3" t="inlineStr">
        <is>
          <t>14 years back</t>
        </is>
      </c>
    </row>
    <row r="288">
      <c r="A288" s="3" t="inlineStr">
        <is>
          <t>l15</t>
        </is>
      </c>
      <c r="B288" s="3" t="inlineStr">
        <is>
          <t>15 years back</t>
        </is>
      </c>
    </row>
    <row r="289">
      <c r="A289" s="3" t="inlineStr">
        <is>
          <t>l16</t>
        </is>
      </c>
      <c r="B289" s="3" t="inlineStr">
        <is>
          <t>16 years back</t>
        </is>
      </c>
    </row>
    <row r="290">
      <c r="A290" s="3" t="inlineStr">
        <is>
          <t>l17</t>
        </is>
      </c>
      <c r="B290" s="3" t="inlineStr">
        <is>
          <t>17 years back</t>
        </is>
      </c>
    </row>
    <row r="291">
      <c r="A291" s="3" t="inlineStr">
        <is>
          <t>l18</t>
        </is>
      </c>
      <c r="B291" s="3" t="inlineStr">
        <is>
          <t>18 years back</t>
        </is>
      </c>
    </row>
    <row r="292">
      <c r="A292" s="3" t="inlineStr">
        <is>
          <t>l19</t>
        </is>
      </c>
      <c r="B292" s="3" t="inlineStr">
        <is>
          <t>19 years back</t>
        </is>
      </c>
    </row>
    <row r="293">
      <c r="A293" s="3" t="inlineStr">
        <is>
          <t>phv</t>
        </is>
      </c>
      <c r="B293" s="3" t="inlineStr">
        <is>
          <t>Plug-in hybrid</t>
        </is>
      </c>
    </row>
    <row r="294">
      <c r="A294" s="3" t="inlineStr">
        <is>
          <t>bev</t>
        </is>
      </c>
      <c r="B294" s="3" t="inlineStr">
        <is>
          <t>Battery electric</t>
        </is>
      </c>
    </row>
    <row r="295">
      <c r="A295" s="3" t="inlineStr">
        <is>
          <t>ev</t>
        </is>
      </c>
      <c r="B295" s="3" t="inlineStr">
        <is>
          <t>Electric (BEV and PHEV)</t>
        </is>
      </c>
    </row>
    <row r="296">
      <c r="A296" s="3" t="inlineStr">
        <is>
          <t>ice</t>
        </is>
      </c>
      <c r="B296" s="3" t="inlineStr">
        <is>
          <t>Internal combustion</t>
        </is>
      </c>
    </row>
    <row r="297"/>
    <row r="298">
      <c r="A298" s="6" t="inlineStr">
        <is>
          <t>Price fuels (fuel price reform, MTInputs rows 142-169)</t>
        </is>
      </c>
    </row>
    <row r="299">
      <c r="A299" s="19" t="inlineStr">
        <is>
          <t>Price code</t>
        </is>
      </c>
      <c r="B299" s="19" t="inlineStr">
        <is>
          <t>Label</t>
        </is>
      </c>
      <c r="C299" s="19" t="inlineStr">
        <is>
          <t>MTInputs row: starting increase</t>
        </is>
      </c>
      <c r="D299" s="19" t="inlineStr">
        <is>
          <t>MTInputs row: final increase</t>
        </is>
      </c>
      <c r="E299" s="19" t="inlineStr">
        <is>
          <t>Position</t>
        </is>
      </c>
    </row>
    <row r="300">
      <c r="A300" s="3" t="inlineStr">
        <is>
          <t>coa.pow</t>
        </is>
      </c>
      <c r="B300" s="3" t="inlineStr">
        <is>
          <t>Coal, Power</t>
        </is>
      </c>
      <c r="C300" s="3" t="n">
        <v>142</v>
      </c>
      <c r="D300" s="3" t="n">
        <v>156</v>
      </c>
      <c r="E300" s="3" t="n">
        <v>1</v>
      </c>
    </row>
    <row r="301">
      <c r="A301" s="3" t="inlineStr">
        <is>
          <t>coa.res</t>
        </is>
      </c>
      <c r="B301" s="3" t="inlineStr">
        <is>
          <t>Coal, Residential</t>
        </is>
      </c>
      <c r="C301" s="3" t="n">
        <v>143</v>
      </c>
      <c r="D301" s="3" t="n">
        <v>157</v>
      </c>
      <c r="E301" s="3" t="n">
        <v>2</v>
      </c>
    </row>
    <row r="302">
      <c r="A302" s="3" t="inlineStr">
        <is>
          <t>coa.ind</t>
        </is>
      </c>
      <c r="B302" s="3" t="inlineStr">
        <is>
          <t>Coal, Industry</t>
        </is>
      </c>
      <c r="C302" s="3" t="n">
        <v>144</v>
      </c>
      <c r="D302" s="3" t="n">
        <v>158</v>
      </c>
      <c r="E302" s="3" t="n">
        <v>3</v>
      </c>
    </row>
    <row r="303">
      <c r="A303" s="3" t="inlineStr">
        <is>
          <t>nga.pow</t>
        </is>
      </c>
      <c r="B303" s="3" t="inlineStr">
        <is>
          <t>Natural gas, Power</t>
        </is>
      </c>
      <c r="C303" s="3" t="n">
        <v>145</v>
      </c>
      <c r="D303" s="3" t="n">
        <v>159</v>
      </c>
      <c r="E303" s="3" t="n">
        <v>4</v>
      </c>
    </row>
    <row r="304">
      <c r="A304" s="3" t="inlineStr">
        <is>
          <t>nga.res</t>
        </is>
      </c>
      <c r="B304" s="3" t="inlineStr">
        <is>
          <t>Natural gas, Residential</t>
        </is>
      </c>
      <c r="C304" s="3" t="n">
        <v>146</v>
      </c>
      <c r="D304" s="3" t="n">
        <v>160</v>
      </c>
      <c r="E304" s="3" t="n">
        <v>5</v>
      </c>
    </row>
    <row r="305">
      <c r="A305" s="3" t="inlineStr">
        <is>
          <t>nga.ind</t>
        </is>
      </c>
      <c r="B305" s="3" t="inlineStr">
        <is>
          <t>Natural gas, Industry</t>
        </is>
      </c>
      <c r="C305" s="3" t="n">
        <v>147</v>
      </c>
      <c r="D305" s="3" t="n">
        <v>161</v>
      </c>
      <c r="E305" s="3" t="n">
        <v>6</v>
      </c>
    </row>
    <row r="306">
      <c r="A306" s="3" t="inlineStr">
        <is>
          <t>ecy.res</t>
        </is>
      </c>
      <c r="B306" s="3" t="inlineStr">
        <is>
          <t>Electricity, Residential</t>
        </is>
      </c>
      <c r="C306" s="3" t="n">
        <v>148</v>
      </c>
      <c r="D306" s="3" t="n">
        <v>162</v>
      </c>
      <c r="E306" s="3" t="n">
        <v>7</v>
      </c>
    </row>
    <row r="307">
      <c r="A307" s="3" t="inlineStr">
        <is>
          <t>ecy.ind</t>
        </is>
      </c>
      <c r="B307" s="3" t="inlineStr">
        <is>
          <t>Electricity, Industry</t>
        </is>
      </c>
      <c r="C307" s="3" t="n">
        <v>149</v>
      </c>
      <c r="D307" s="3" t="n">
        <v>163</v>
      </c>
      <c r="E307" s="3" t="n">
        <v>8</v>
      </c>
    </row>
    <row r="308">
      <c r="A308" s="3" t="inlineStr">
        <is>
          <t>gso.all</t>
        </is>
      </c>
      <c r="B308" s="3" t="inlineStr">
        <is>
          <t>Gasoline, All</t>
        </is>
      </c>
      <c r="C308" s="3" t="n">
        <v>150</v>
      </c>
      <c r="D308" s="3" t="n">
        <v>164</v>
      </c>
      <c r="E308" s="3" t="n">
        <v>9</v>
      </c>
    </row>
    <row r="309">
      <c r="A309" s="3" t="inlineStr">
        <is>
          <t>die.all</t>
        </is>
      </c>
      <c r="B309" s="3" t="inlineStr">
        <is>
          <t>Diesel, All</t>
        </is>
      </c>
      <c r="C309" s="3" t="n">
        <v>151</v>
      </c>
      <c r="D309" s="3" t="n">
        <v>165</v>
      </c>
      <c r="E309" s="3" t="n">
        <v>10</v>
      </c>
    </row>
    <row r="310">
      <c r="A310" s="3" t="inlineStr">
        <is>
          <t>lpg.all</t>
        </is>
      </c>
      <c r="B310" s="3" t="inlineStr">
        <is>
          <t>LPG, All</t>
        </is>
      </c>
      <c r="C310" s="3" t="n">
        <v>152</v>
      </c>
      <c r="D310" s="3" t="n">
        <v>166</v>
      </c>
      <c r="E310" s="3" t="n">
        <v>11</v>
      </c>
    </row>
    <row r="311">
      <c r="A311" s="3" t="inlineStr">
        <is>
          <t>ker.all</t>
        </is>
      </c>
      <c r="B311" s="3" t="inlineStr">
        <is>
          <t>Kerosene, All</t>
        </is>
      </c>
      <c r="C311" s="3" t="n">
        <v>153</v>
      </c>
      <c r="D311" s="3" t="n">
        <v>167</v>
      </c>
      <c r="E311" s="3" t="n">
        <v>12</v>
      </c>
    </row>
    <row r="312">
      <c r="A312" s="3" t="inlineStr">
        <is>
          <t>oop.all</t>
        </is>
      </c>
      <c r="B312" s="3" t="inlineStr">
        <is>
          <t>Other oil products, All</t>
        </is>
      </c>
      <c r="C312" s="3" t="n">
        <v>154</v>
      </c>
      <c r="D312" s="3" t="n">
        <v>168</v>
      </c>
      <c r="E312" s="3" t="n">
        <v>13</v>
      </c>
    </row>
    <row r="313">
      <c r="A313" s="3" t="inlineStr">
        <is>
          <t>bio.all</t>
        </is>
      </c>
      <c r="B313" s="3" t="inlineStr">
        <is>
          <t>Biomass, All</t>
        </is>
      </c>
      <c r="C313" s="3" t="n">
        <v>155</v>
      </c>
      <c r="D313" s="3" t="n">
        <v>169</v>
      </c>
      <c r="E313" s="3" t="n">
        <v>14</v>
      </c>
    </row>
    <row r="314"/>
    <row r="315">
      <c r="A315" s="6" t="inlineStr">
        <is>
          <t>Feebate sectors (MTInputs rows 56-64)</t>
        </is>
      </c>
    </row>
    <row r="316">
      <c r="A316" s="19" t="inlineStr">
        <is>
          <t>Code</t>
        </is>
      </c>
      <c r="B316" s="19" t="inlineStr">
        <is>
          <t>Starting rate (NameOfParameter)</t>
        </is>
      </c>
      <c r="C316" s="19" t="inlineStr">
        <is>
          <t>Target rate (NameOfParameter)</t>
        </is>
      </c>
      <c r="D316" s="19" t="inlineStr">
        <is>
          <t>Position</t>
        </is>
      </c>
    </row>
    <row r="317">
      <c r="A317" s="3" t="inlineStr">
        <is>
          <t>pow</t>
        </is>
      </c>
      <c r="B317" s="3" t="inlineStr">
        <is>
          <t>Feb_Level_Start_Pow</t>
        </is>
      </c>
      <c r="C317" s="3" t="inlineStr">
        <is>
          <t>Feb_Level_Target_Pow</t>
        </is>
      </c>
      <c r="D317" s="3" t="n">
        <v>1</v>
      </c>
    </row>
    <row r="318">
      <c r="A318" s="3" t="inlineStr">
        <is>
          <t>tra</t>
        </is>
      </c>
      <c r="B318" s="3" t="inlineStr">
        <is>
          <t>Feb_Level_Start_Trans</t>
        </is>
      </c>
      <c r="C318" s="3" t="inlineStr">
        <is>
          <t>Feb_Level_Target_Trans</t>
        </is>
      </c>
      <c r="D318" s="3" t="n">
        <v>2</v>
      </c>
    </row>
    <row r="319">
      <c r="A319" s="3" t="inlineStr">
        <is>
          <t>res</t>
        </is>
      </c>
      <c r="B319" s="3" t="inlineStr">
        <is>
          <t>Feb_Level_Start_Res</t>
        </is>
      </c>
      <c r="C319" s="3" t="inlineStr">
        <is>
          <t>Feb_Level_Target_Res</t>
        </is>
      </c>
      <c r="D319" s="3" t="n">
        <v>3</v>
      </c>
    </row>
    <row r="320">
      <c r="A320" s="3" t="inlineStr">
        <is>
          <t>ind</t>
        </is>
      </c>
      <c r="B320" s="3" t="inlineStr">
        <is>
          <t>Feb_Level_Start_Ind</t>
        </is>
      </c>
      <c r="C320" s="3" t="inlineStr">
        <is>
          <t>Feb_Level_Target_Ind</t>
        </is>
      </c>
      <c r="D320" s="3" t="n">
        <v>4</v>
      </c>
    </row>
    <row r="321"/>
    <row r="322"/>
    <row r="323">
      <c r="A323" s="3" t="inlineStr">
        <is>
          <t>Price sector rule: 'sub' = the subsector's coal/gas price sector (rod and res use residential coal/gas prices, as CPAT); 'all' = the fuel's single price.</t>
        </is>
      </c>
    </row>
    <row r="324">
      <c r="A324" s="3" t="inlineStr">
        <is>
          <t>GJ per price unit: legacy Mitigation rows 980-1009 (conversion factor, volume unit to GJ).</t>
        </is>
      </c>
    </row>
    <row r="325">
      <c r="A325" s="3" t="inlineStr">
        <is>
          <t>Coverage position: order of the MTInputs sector switches (power first, then the 16 subsectors).</t>
        </is>
      </c>
    </row>
    <row r="326">
      <c r="A326" s="3" t="inlineStr">
        <is>
          <t>ECP sector: sector of the legacy existing carbon pricing data (sheet ECP: pow, trs, res, ind); buildings (residential, food &amp; forestry, services) = res, industry and other energy use = ind.</t>
        </is>
      </c>
    </row>
    <row r="327">
      <c r="A327" s="3" t="inlineStr">
        <is>
          <t>Feebate sector for food &amp; forestry and services = residential (assumption; legacy groups them as Commercial).</t>
        </is>
      </c>
    </row>
    <row r="328">
      <c r="A328" s="3" t="inlineStr">
        <is>
          <t>Rows 21-44 and 57-115: labels only (totals, policy rows).</t>
        </is>
      </c>
    </row>
    <row r="329"/>
    <row r="330"/>
    <row r="331">
      <c r="A331" s="6" t="inlineStr">
        <is>
          <t>MTInputs rows read by Mitigation (Mitigation column D looks the row up here by key; the row is found by NameOfParameter, or by its label below a heading)</t>
        </is>
      </c>
    </row>
    <row r="332">
      <c r="A332" s="19" t="inlineStr">
        <is>
          <t>Key (variable|fuel|sector)</t>
        </is>
      </c>
      <c r="B332" s="19" t="inlineStr">
        <is>
          <t>NameOfParameter (MTInputs H)</t>
        </is>
      </c>
      <c r="C332" s="19" t="inlineStr">
        <is>
          <t>Heading above (MTInputs B)</t>
        </is>
      </c>
      <c r="D332" s="19" t="inlineStr">
        <is>
          <t>Label (MTInputs B)</t>
        </is>
      </c>
      <c r="E332" s="19" t="inlineStr">
        <is>
          <t>Heading row</t>
        </is>
      </c>
      <c r="F332" s="19" t="inlineStr">
        <is>
          <t>MTInputs row</t>
        </is>
      </c>
      <c r="G332" s="19" t="inlineStr">
        <is>
          <t>Label found (check)</t>
        </is>
      </c>
    </row>
    <row r="333">
      <c r="A333" s="3" t="inlineStr">
        <is>
          <t>CPIntro||</t>
        </is>
      </c>
      <c r="B333" s="3" t="inlineStr">
        <is>
          <t>CPIntro</t>
        </is>
      </c>
      <c r="C333" s="3" t="n"/>
      <c r="D333" s="3" t="n"/>
      <c r="E333" s="58">
        <f>IF($C333="",0,MATCH($C333,MTDesc,0))</f>
        <v>0.0</v>
      </c>
      <c r="F333" s="58">
        <f>IF($B333&lt;&gt;"",MATCH($B333,MTName,0),$E333+MATCH($D333,INDEX(MTDesc,$E333+1):MTEnd,0))</f>
        <v>18.0</v>
      </c>
      <c r="G333" s="3" t="str">
        <f>INDEX(MTDesc,$F333)</f>
        <v>Carbon pricing start year</v>
      </c>
    </row>
    <row r="334">
      <c r="A334" s="3" t="inlineStr">
        <is>
          <t>CPLevelStart||</t>
        </is>
      </c>
      <c r="B334" s="3" t="inlineStr">
        <is>
          <t>CPLevelStart</t>
        </is>
      </c>
      <c r="C334" s="3" t="n"/>
      <c r="D334" s="3" t="n"/>
      <c r="E334" s="58">
        <f>IF($C334="",0,MATCH($C334,MTDesc,0))</f>
        <v>0.0</v>
      </c>
      <c r="F334" s="58">
        <f>IF($B334&lt;&gt;"",MATCH($B334,MTName,0),$E334+MATCH($D334,INDEX(MTDesc,$E334+1):MTEnd,0))</f>
        <v>19.0</v>
      </c>
      <c r="G334" s="3" t="str">
        <f>INDEX(MTDesc,$F334)</f>
        <v>Starting carbon price</v>
      </c>
    </row>
    <row r="335">
      <c r="A335" s="3" t="inlineStr">
        <is>
          <t>CPLevelTarget||</t>
        </is>
      </c>
      <c r="B335" s="3" t="inlineStr">
        <is>
          <t>CPLevelTarget</t>
        </is>
      </c>
      <c r="C335" s="3" t="n"/>
      <c r="D335" s="3" t="n"/>
      <c r="E335" s="58">
        <f>IF($C335="",0,MATCH($C335,MTDesc,0))</f>
        <v>0.0</v>
      </c>
      <c r="F335" s="58">
        <f>IF($B335&lt;&gt;"",MATCH($B335,MTName,0),$E335+MATCH($D335,INDEX(MTDesc,$E335+1):MTEnd,0))</f>
        <v>20.0</v>
      </c>
      <c r="G335" s="3" t="str">
        <f>INDEX(MTDesc,$F335)</f>
        <v>Target level of carbon price</v>
      </c>
    </row>
    <row r="336">
      <c r="A336" s="3" t="inlineStr">
        <is>
          <t>CPOutro||</t>
        </is>
      </c>
      <c r="B336" s="3" t="inlineStr">
        <is>
          <t>CPOutro</t>
        </is>
      </c>
      <c r="C336" s="3" t="n"/>
      <c r="D336" s="3" t="n"/>
      <c r="E336" s="58">
        <f>IF($C336="",0,MATCH($C336,MTDesc,0))</f>
        <v>0.0</v>
      </c>
      <c r="F336" s="58">
        <f>IF($B336&lt;&gt;"",MATCH($B336,MTName,0),$E336+MATCH($D336,INDEX(MTDesc,$E336+1):MTEnd,0))</f>
        <v>21.0</v>
      </c>
      <c r="G336" s="3" t="str">
        <f>INDEX(MTDesc,$F336)</f>
        <v>Year to reach target level</v>
      </c>
    </row>
    <row r="337">
      <c r="A337" s="3" t="inlineStr">
        <is>
          <t>ExtendCarbonPriceBeyondOutro||</t>
        </is>
      </c>
      <c r="B337" s="3" t="inlineStr">
        <is>
          <t>ExtendCarbonPriceBeyondOutro</t>
        </is>
      </c>
      <c r="C337" s="3" t="n"/>
      <c r="D337" s="3" t="n"/>
      <c r="E337" s="58">
        <f>IF($C337="",0,MATCH($C337,MTDesc,0))</f>
        <v>0.0</v>
      </c>
      <c r="F337" s="58">
        <f>IF($B337&lt;&gt;"",MATCH($B337,MTName,0),$E337+MATCH($D337,INDEX(MTDesc,$E337+1):MTEnd,0))</f>
        <v>265.0</v>
      </c>
      <c r="G337" s="3" t="str">
        <f>INDEX(MTDesc,$F337)</f>
        <v>Price pathway continues to rise after target year?</v>
      </c>
    </row>
    <row r="338">
      <c r="A338" s="3" t="inlineStr">
        <is>
          <t>NomorReal||</t>
        </is>
      </c>
      <c r="B338" s="3" t="inlineStr">
        <is>
          <t>NomorReal</t>
        </is>
      </c>
      <c r="C338" s="3" t="n"/>
      <c r="D338" s="3" t="n"/>
      <c r="E338" s="58">
        <f>IF($C338="",0,MATCH($C338,MTDesc,0))</f>
        <v>0.0</v>
      </c>
      <c r="F338" s="58">
        <f>IF($B338&lt;&gt;"",MATCH($B338,MTName,0),$E338+MATCH($D338,INDEX(MTDesc,$E338+1):MTEnd,0))</f>
        <v>266.0</v>
      </c>
      <c r="G338" s="3" t="str">
        <f>INDEX(MTDesc,$F338)</f>
        <v>Tax pathway is in nominal or real terms?</v>
      </c>
    </row>
    <row r="339">
      <c r="A339" s="3" t="inlineStr">
        <is>
          <t>ExemptPhaseout||</t>
        </is>
      </c>
      <c r="B339" s="3" t="inlineStr">
        <is>
          <t>ExemptPhaseout</t>
        </is>
      </c>
      <c r="C339" s="3" t="n"/>
      <c r="D339" s="3" t="n"/>
      <c r="E339" s="58">
        <f>IF($C339="",0,MATCH($C339,MTDesc,0))</f>
        <v>0.0</v>
      </c>
      <c r="F339" s="58">
        <f>IF($B339&lt;&gt;"",MATCH($B339,MTName,0),$E339+MATCH($D339,INDEX(MTDesc,$E339+1):MTEnd,0))</f>
        <v>49.0</v>
      </c>
      <c r="G339" s="3" t="str">
        <f>INDEX(MTDesc,$F339)</f>
        <v>Apply exemption phaseout?</v>
      </c>
    </row>
    <row r="340">
      <c r="A340" s="3" t="inlineStr">
        <is>
          <t>YearPha||</t>
        </is>
      </c>
      <c r="B340" s="3" t="inlineStr">
        <is>
          <t>YearPha</t>
        </is>
      </c>
      <c r="C340" s="3" t="n"/>
      <c r="D340" s="3" t="n"/>
      <c r="E340" s="58">
        <f>IF($C340="",0,MATCH($C340,MTDesc,0))</f>
        <v>0.0</v>
      </c>
      <c r="F340" s="58">
        <f>IF($B340&lt;&gt;"",MATCH($B340,MTName,0),$E340+MATCH($D340,INDEX(MTDesc,$E340+1):MTEnd,0))</f>
        <v>50.0</v>
      </c>
      <c r="G340" s="3" t="str">
        <f>INDEX(MTDesc,$F340)</f>
        <v>Year to start exemption phaseout (if applicable)</v>
      </c>
    </row>
    <row r="341">
      <c r="A341" s="3" t="inlineStr">
        <is>
          <t>ExemptPhaseoutPeriod||</t>
        </is>
      </c>
      <c r="B341" s="3" t="inlineStr">
        <is>
          <t>ExemptPhaseoutPeriod</t>
        </is>
      </c>
      <c r="C341" s="3" t="n"/>
      <c r="D341" s="3" t="n"/>
      <c r="E341" s="58">
        <f>IF($C341="",0,MATCH($C341,MTDesc,0))</f>
        <v>0.0</v>
      </c>
      <c r="F341" s="58">
        <f>IF($B341&lt;&gt;"",MATCH($B341,MTName,0),$E341+MATCH($D341,INDEX(MTDesc,$E341+1):MTEnd,0))</f>
        <v>51.0</v>
      </c>
      <c r="G341" s="3" t="str">
        <f>INDEX(MTDesc,$F341)</f>
        <v>Period to reach full exemption phaseout (if applicable)</v>
      </c>
    </row>
    <row r="342">
      <c r="A342" s="3" t="inlineStr">
        <is>
          <t>ctcov|coa|all</t>
        </is>
      </c>
      <c r="B342" s="3" t="inlineStr">
        <is>
          <t>MCovCoa</t>
        </is>
      </c>
      <c r="C342" s="3" t="n"/>
      <c r="D342" s="3" t="n"/>
      <c r="E342" s="58">
        <f>IF($C342="",0,MATCH($C342,MTDesc,0))</f>
        <v>0.0</v>
      </c>
      <c r="F342" s="58">
        <f>IF($B342&lt;&gt;"",MATCH($B342,MTName,0),$E342+MATCH($D342,INDEX(MTDesc,$E342+1):MTEnd,0))</f>
        <v>23.0</v>
      </c>
      <c r="G342" s="3" t="str">
        <f>INDEX(MTDesc,$F342)</f>
        <v>Apply tax to coal?</v>
      </c>
    </row>
    <row r="343">
      <c r="A343" s="3" t="inlineStr">
        <is>
          <t>ctcov|nga|all</t>
        </is>
      </c>
      <c r="B343" s="3" t="inlineStr">
        <is>
          <t>MCovNga</t>
        </is>
      </c>
      <c r="C343" s="3" t="n"/>
      <c r="D343" s="3" t="n"/>
      <c r="E343" s="58">
        <f>IF($C343="",0,MATCH($C343,MTDesc,0))</f>
        <v>0.0</v>
      </c>
      <c r="F343" s="58">
        <f>IF($B343&lt;&gt;"",MATCH($B343,MTName,0),$E343+MATCH($D343,INDEX(MTDesc,$E343+1):MTEnd,0))</f>
        <v>24.0</v>
      </c>
      <c r="G343" s="3" t="str">
        <f>INDEX(MTDesc,$F343)</f>
        <v>Apply tax to natural gas?</v>
      </c>
    </row>
    <row r="344">
      <c r="A344" s="3" t="inlineStr">
        <is>
          <t>ctcov|gso|all</t>
        </is>
      </c>
      <c r="B344" s="3" t="inlineStr">
        <is>
          <t>MCovGso</t>
        </is>
      </c>
      <c r="C344" s="3" t="n"/>
      <c r="D344" s="3" t="n"/>
      <c r="E344" s="58">
        <f>IF($C344="",0,MATCH($C344,MTDesc,0))</f>
        <v>0.0</v>
      </c>
      <c r="F344" s="58">
        <f>IF($B344&lt;&gt;"",MATCH($B344,MTName,0),$E344+MATCH($D344,INDEX(MTDesc,$E344+1):MTEnd,0))</f>
        <v>25.0</v>
      </c>
      <c r="G344" s="3" t="str">
        <f>INDEX(MTDesc,$F344)</f>
        <v>Apply tax to gasoline?</v>
      </c>
    </row>
    <row r="345">
      <c r="A345" s="3" t="inlineStr">
        <is>
          <t>ctcov|die|all</t>
        </is>
      </c>
      <c r="B345" s="3" t="inlineStr">
        <is>
          <t>MCovDie</t>
        </is>
      </c>
      <c r="C345" s="3" t="n"/>
      <c r="D345" s="3" t="n"/>
      <c r="E345" s="58">
        <f>IF($C345="",0,MATCH($C345,MTDesc,0))</f>
        <v>0.0</v>
      </c>
      <c r="F345" s="58">
        <f>IF($B345&lt;&gt;"",MATCH($B345,MTName,0),$E345+MATCH($D345,INDEX(MTDesc,$E345+1):MTEnd,0))</f>
        <v>26.0</v>
      </c>
      <c r="G345" s="3" t="str">
        <f>INDEX(MTDesc,$F345)</f>
        <v>Apply tax to diesel?</v>
      </c>
    </row>
    <row r="346">
      <c r="A346" s="3" t="inlineStr">
        <is>
          <t>ctcov|lpg|all</t>
        </is>
      </c>
      <c r="B346" s="3" t="inlineStr">
        <is>
          <t>MCovLpg</t>
        </is>
      </c>
      <c r="C346" s="3" t="n"/>
      <c r="D346" s="3" t="n"/>
      <c r="E346" s="58">
        <f>IF($C346="",0,MATCH($C346,MTDesc,0))</f>
        <v>0.0</v>
      </c>
      <c r="F346" s="58">
        <f>IF($B346&lt;&gt;"",MATCH($B346,MTName,0),$E346+MATCH($D346,INDEX(MTDesc,$E346+1):MTEnd,0))</f>
        <v>27.0</v>
      </c>
      <c r="G346" s="3" t="str">
        <f>INDEX(MTDesc,$F346)</f>
        <v>Apply tax to LPG?</v>
      </c>
    </row>
    <row r="347">
      <c r="A347" s="3" t="inlineStr">
        <is>
          <t>ctcov|ker|all</t>
        </is>
      </c>
      <c r="B347" s="3" t="inlineStr">
        <is>
          <t>MCovKer</t>
        </is>
      </c>
      <c r="C347" s="3" t="n"/>
      <c r="D347" s="3" t="n"/>
      <c r="E347" s="58">
        <f>IF($C347="",0,MATCH($C347,MTDesc,0))</f>
        <v>0.0</v>
      </c>
      <c r="F347" s="58">
        <f>IF($B347&lt;&gt;"",MATCH($B347,MTName,0),$E347+MATCH($D347,INDEX(MTDesc,$E347+1):MTEnd,0))</f>
        <v>28.0</v>
      </c>
      <c r="G347" s="3" t="str">
        <f>INDEX(MTDesc,$F347)</f>
        <v>Apply tax to kerosene?</v>
      </c>
    </row>
    <row r="348">
      <c r="A348" s="3" t="inlineStr">
        <is>
          <t>ctcov|jfu|all</t>
        </is>
      </c>
      <c r="B348" s="3" t="inlineStr">
        <is>
          <t>MCovKer</t>
        </is>
      </c>
      <c r="C348" s="3" t="n"/>
      <c r="D348" s="3" t="n"/>
      <c r="E348" s="58">
        <f>IF($C348="",0,MATCH($C348,MTDesc,0))</f>
        <v>0.0</v>
      </c>
      <c r="F348" s="58">
        <f>IF($B348&lt;&gt;"",MATCH($B348,MTName,0),$E348+MATCH($D348,INDEX(MTDesc,$E348+1):MTEnd,0))</f>
        <v>28.0</v>
      </c>
      <c r="G348" s="3" t="str">
        <f>INDEX(MTDesc,$F348)</f>
        <v>Apply tax to kerosene?</v>
      </c>
    </row>
    <row r="349">
      <c r="A349" s="3" t="inlineStr">
        <is>
          <t>ctcov|oop|all</t>
        </is>
      </c>
      <c r="B349" s="3" t="inlineStr">
        <is>
          <t>MCovOop</t>
        </is>
      </c>
      <c r="C349" s="3" t="n"/>
      <c r="D349" s="3" t="n"/>
      <c r="E349" s="58">
        <f>IF($C349="",0,MATCH($C349,MTDesc,0))</f>
        <v>0.0</v>
      </c>
      <c r="F349" s="58">
        <f>IF($B349&lt;&gt;"",MATCH($B349,MTName,0),$E349+MATCH($D349,INDEX(MTDesc,$E349+1):MTEnd,0))</f>
        <v>29.0</v>
      </c>
      <c r="G349" s="3" t="str">
        <f>INDEX(MTDesc,$F349)</f>
        <v>Apply tax to non-road oil products?</v>
      </c>
    </row>
    <row r="350">
      <c r="A350" s="3" t="inlineStr">
        <is>
          <t>ctcov|bio|all</t>
        </is>
      </c>
      <c r="B350" s="3" t="inlineStr">
        <is>
          <t>CTaxCoversBiomass</t>
        </is>
      </c>
      <c r="C350" s="3" t="n"/>
      <c r="D350" s="3" t="n"/>
      <c r="E350" s="58">
        <f>IF($C350="",0,MATCH($C350,MTDesc,0))</f>
        <v>0.0</v>
      </c>
      <c r="F350" s="58">
        <f>IF($B350&lt;&gt;"",MATCH($B350,MTName,0),$E350+MATCH($D350,INDEX(MTDesc,$E350+1):MTEnd,0))</f>
        <v>481.0</v>
      </c>
      <c r="G350" s="3" t="str">
        <f>INDEX(MTDesc,$F350)</f>
        <v>Carbon tax covers biomass (TRUE / FALSE; EF 0, so no effect unless a factor is added; was Constants ctcov|bio|all)</v>
      </c>
    </row>
    <row r="351">
      <c r="A351" s="3" t="inlineStr">
        <is>
          <t>ctcov|all|pow</t>
        </is>
      </c>
      <c r="B351" s="3" t="inlineStr">
        <is>
          <t>MCovPow</t>
        </is>
      </c>
      <c r="C351" s="3" t="n"/>
      <c r="D351" s="3" t="n"/>
      <c r="E351" s="58">
        <f>IF($C351="",0,MATCH($C351,MTDesc,0))</f>
        <v>0.0</v>
      </c>
      <c r="F351" s="58">
        <f>IF($B351&lt;&gt;"",MATCH($B351,MTName,0),$E351+MATCH($D351,INDEX(MTDesc,$E351+1):MTEnd,0))</f>
        <v>31.0</v>
      </c>
      <c r="G351" s="3" t="str">
        <f>INDEX(MTDesc,$F351)</f>
        <v>Apply tax to power sector?</v>
      </c>
    </row>
    <row r="352">
      <c r="A352" s="3" t="inlineStr">
        <is>
          <t>ctcov|all|rod</t>
        </is>
      </c>
      <c r="B352" s="3" t="inlineStr">
        <is>
          <t>MCovRod</t>
        </is>
      </c>
      <c r="C352" s="3" t="n"/>
      <c r="D352" s="3" t="n"/>
      <c r="E352" s="58">
        <f>IF($C352="",0,MATCH($C352,MTDesc,0))</f>
        <v>0.0</v>
      </c>
      <c r="F352" s="58">
        <f>IF($B352&lt;&gt;"",MATCH($B352,MTName,0),$E352+MATCH($D352,INDEX(MTDesc,$E352+1):MTEnd,0))</f>
        <v>32.0</v>
      </c>
      <c r="G352" s="3" t="str">
        <f>INDEX(MTDesc,$F352)</f>
        <v>Apply tax to road transportation?</v>
      </c>
    </row>
    <row r="353">
      <c r="A353" s="3" t="inlineStr">
        <is>
          <t>ctcov|all|ral</t>
        </is>
      </c>
      <c r="B353" s="3" t="inlineStr">
        <is>
          <t>MCovRal</t>
        </is>
      </c>
      <c r="C353" s="3" t="n"/>
      <c r="D353" s="3" t="n"/>
      <c r="E353" s="58">
        <f>IF($C353="",0,MATCH($C353,MTDesc,0))</f>
        <v>0.0</v>
      </c>
      <c r="F353" s="58">
        <f>IF($B353&lt;&gt;"",MATCH($B353,MTName,0),$E353+MATCH($D353,INDEX(MTDesc,$E353+1):MTEnd,0))</f>
        <v>33.0</v>
      </c>
      <c r="G353" s="3" t="str">
        <f>INDEX(MTDesc,$F353)</f>
        <v>Apply tax to rail transportation?</v>
      </c>
    </row>
    <row r="354">
      <c r="A354" s="3" t="inlineStr">
        <is>
          <t>ctcov|all|avi</t>
        </is>
      </c>
      <c r="B354" s="3" t="inlineStr">
        <is>
          <t>MCovAvi</t>
        </is>
      </c>
      <c r="C354" s="3" t="n"/>
      <c r="D354" s="3" t="n"/>
      <c r="E354" s="58">
        <f>IF($C354="",0,MATCH($C354,MTDesc,0))</f>
        <v>0.0</v>
      </c>
      <c r="F354" s="58">
        <f>IF($B354&lt;&gt;"",MATCH($B354,MTName,0),$E354+MATCH($D354,INDEX(MTDesc,$E354+1):MTEnd,0))</f>
        <v>34.0</v>
      </c>
      <c r="G354" s="3" t="str">
        <f>INDEX(MTDesc,$F354)</f>
        <v>Apply tax to domestic aviation?</v>
      </c>
    </row>
    <row r="355">
      <c r="A355" s="3" t="inlineStr">
        <is>
          <t>ctcov|all|nav</t>
        </is>
      </c>
      <c r="B355" s="3" t="inlineStr">
        <is>
          <t>MCovNav</t>
        </is>
      </c>
      <c r="C355" s="3" t="n"/>
      <c r="D355" s="3" t="n"/>
      <c r="E355" s="58">
        <f>IF($C355="",0,MATCH($C355,MTDesc,0))</f>
        <v>0.0</v>
      </c>
      <c r="F355" s="58">
        <f>IF($B355&lt;&gt;"",MATCH($B355,MTName,0),$E355+MATCH($D355,INDEX(MTDesc,$E355+1):MTEnd,0))</f>
        <v>35.0</v>
      </c>
      <c r="G355" s="3" t="str">
        <f>INDEX(MTDesc,$F355)</f>
        <v>Apply tax to domestic shipping?</v>
      </c>
    </row>
    <row r="356">
      <c r="A356" s="3" t="inlineStr">
        <is>
          <t>ctcov|all|res</t>
        </is>
      </c>
      <c r="B356" s="3" t="inlineStr">
        <is>
          <t>MCovRes</t>
        </is>
      </c>
      <c r="C356" s="3" t="n"/>
      <c r="D356" s="3" t="n"/>
      <c r="E356" s="58">
        <f>IF($C356="",0,MATCH($C356,MTDesc,0))</f>
        <v>0.0</v>
      </c>
      <c r="F356" s="58">
        <f>IF($B356&lt;&gt;"",MATCH($B356,MTName,0),$E356+MATCH($D356,INDEX(MTDesc,$E356+1):MTEnd,0))</f>
        <v>36.0</v>
      </c>
      <c r="G356" s="3" t="str">
        <f>INDEX(MTDesc,$F356)</f>
        <v>Apply tax to residential sector?</v>
      </c>
    </row>
    <row r="357">
      <c r="A357" s="3" t="inlineStr">
        <is>
          <t>ctcov|all|foo</t>
        </is>
      </c>
      <c r="B357" s="3" t="inlineStr">
        <is>
          <t>MCovFoo</t>
        </is>
      </c>
      <c r="C357" s="3" t="n"/>
      <c r="D357" s="3" t="n"/>
      <c r="E357" s="58">
        <f>IF($C357="",0,MATCH($C357,MTDesc,0))</f>
        <v>0.0</v>
      </c>
      <c r="F357" s="58">
        <f>IF($B357&lt;&gt;"",MATCH($B357,MTName,0),$E357+MATCH($D357,INDEX(MTDesc,$E357+1):MTEnd,0))</f>
        <v>37.0</v>
      </c>
      <c r="G357" s="3" t="str">
        <f>INDEX(MTDesc,$F357)</f>
        <v>Apply tax to food &amp; forestry?</v>
      </c>
    </row>
    <row r="358">
      <c r="A358" s="3" t="inlineStr">
        <is>
          <t>ctcov|all|srv</t>
        </is>
      </c>
      <c r="B358" s="3" t="inlineStr">
        <is>
          <t>MCovSrv</t>
        </is>
      </c>
      <c r="C358" s="3" t="n"/>
      <c r="D358" s="3" t="n"/>
      <c r="E358" s="58">
        <f>IF($C358="",0,MATCH($C358,MTDesc,0))</f>
        <v>0.0</v>
      </c>
      <c r="F358" s="58">
        <f>IF($B358&lt;&gt;"",MATCH($B358,MTName,0),$E358+MATCH($D358,INDEX(MTDesc,$E358+1):MTEnd,0))</f>
        <v>38.0</v>
      </c>
      <c r="G358" s="3" t="str">
        <f>INDEX(MTDesc,$F358)</f>
        <v>Apply tax to services (private / public)?</v>
      </c>
    </row>
    <row r="359">
      <c r="A359" s="3" t="inlineStr">
        <is>
          <t>ctcov|all|mch</t>
        </is>
      </c>
      <c r="B359" s="3" t="inlineStr">
        <is>
          <t>MCovMch</t>
        </is>
      </c>
      <c r="C359" s="3" t="n"/>
      <c r="D359" s="3" t="n"/>
      <c r="E359" s="58">
        <f>IF($C359="",0,MATCH($C359,MTDesc,0))</f>
        <v>0.0</v>
      </c>
      <c r="F359" s="58">
        <f>IF($B359&lt;&gt;"",MATCH($B359,MTName,0),$E359+MATCH($D359,INDEX(MTDesc,$E359+1):MTEnd,0))</f>
        <v>39.0</v>
      </c>
      <c r="G359" s="3" t="str">
        <f>INDEX(MTDesc,$F359)</f>
        <v>Apply tax to mining &amp; chemicals?</v>
      </c>
    </row>
    <row r="360">
      <c r="A360" s="3" t="inlineStr">
        <is>
          <t>ctcov|all|irn</t>
        </is>
      </c>
      <c r="B360" s="3" t="inlineStr">
        <is>
          <t>MCovIrn</t>
        </is>
      </c>
      <c r="C360" s="3" t="n"/>
      <c r="D360" s="3" t="n"/>
      <c r="E360" s="58">
        <f>IF($C360="",0,MATCH($C360,MTDesc,0))</f>
        <v>0.0</v>
      </c>
      <c r="F360" s="58">
        <f>IF($B360&lt;&gt;"",MATCH($B360,MTName,0),$E360+MATCH($D360,INDEX(MTDesc,$E360+1):MTEnd,0))</f>
        <v>40.0</v>
      </c>
      <c r="G360" s="3" t="str">
        <f>INDEX(MTDesc,$F360)</f>
        <v>Apply tax to iron and steel?</v>
      </c>
    </row>
    <row r="361">
      <c r="A361" s="3" t="inlineStr">
        <is>
          <t>ctcov|all|nfm</t>
        </is>
      </c>
      <c r="B361" s="3" t="inlineStr">
        <is>
          <t>MCovNfm</t>
        </is>
      </c>
      <c r="C361" s="3" t="n"/>
      <c r="D361" s="3" t="n"/>
      <c r="E361" s="58">
        <f>IF($C361="",0,MATCH($C361,MTDesc,0))</f>
        <v>0.0</v>
      </c>
      <c r="F361" s="58">
        <f>IF($B361&lt;&gt;"",MATCH($B361,MTName,0),$E361+MATCH($D361,INDEX(MTDesc,$E361+1):MTEnd,0))</f>
        <v>41.0</v>
      </c>
      <c r="G361" s="3" t="str">
        <f>INDEX(MTDesc,$F361)</f>
        <v>Apply tax to non-ferrous metals?</v>
      </c>
    </row>
    <row r="362">
      <c r="A362" s="3" t="inlineStr">
        <is>
          <t>ctcov|all|mac</t>
        </is>
      </c>
      <c r="B362" s="3" t="inlineStr">
        <is>
          <t>MCovMac</t>
        </is>
      </c>
      <c r="C362" s="3" t="n"/>
      <c r="D362" s="3" t="n"/>
      <c r="E362" s="58">
        <f>IF($C362="",0,MATCH($C362,MTDesc,0))</f>
        <v>0.0</v>
      </c>
      <c r="F362" s="58">
        <f>IF($B362&lt;&gt;"",MATCH($B362,MTName,0),$E362+MATCH($D362,INDEX(MTDesc,$E362+1):MTEnd,0))</f>
        <v>42.0</v>
      </c>
      <c r="G362" s="3" t="str">
        <f>INDEX(MTDesc,$F362)</f>
        <v>Apply tax to machinery?</v>
      </c>
    </row>
    <row r="363">
      <c r="A363" s="3" t="inlineStr">
        <is>
          <t>ctcov|all|cem</t>
        </is>
      </c>
      <c r="B363" s="3" t="inlineStr">
        <is>
          <t>MCovCem</t>
        </is>
      </c>
      <c r="C363" s="3" t="n"/>
      <c r="D363" s="3" t="n"/>
      <c r="E363" s="58">
        <f>IF($C363="",0,MATCH($C363,MTDesc,0))</f>
        <v>0.0</v>
      </c>
      <c r="F363" s="58">
        <f>IF($B363&lt;&gt;"",MATCH($B363,MTName,0),$E363+MATCH($D363,INDEX(MTDesc,$E363+1):MTEnd,0))</f>
        <v>43.0</v>
      </c>
      <c r="G363" s="3" t="str">
        <f>INDEX(MTDesc,$F363)</f>
        <v>Apply tax to cement?</v>
      </c>
    </row>
    <row r="364">
      <c r="A364" s="3" t="inlineStr">
        <is>
          <t>ctcov|all|omn</t>
        </is>
      </c>
      <c r="B364" s="3" t="inlineStr">
        <is>
          <t>MCovOmn</t>
        </is>
      </c>
      <c r="C364" s="3" t="n"/>
      <c r="D364" s="3" t="n"/>
      <c r="E364" s="58">
        <f>IF($C364="",0,MATCH($C364,MTDesc,0))</f>
        <v>0.0</v>
      </c>
      <c r="F364" s="58">
        <f>IF($B364&lt;&gt;"",MATCH($B364,MTName,0),$E364+MATCH($D364,INDEX(MTDesc,$E364+1):MTEnd,0))</f>
        <v>44.0</v>
      </c>
      <c r="G364" s="3" t="str">
        <f>INDEX(MTDesc,$F364)</f>
        <v>Apply tax to other manucfacturing?</v>
      </c>
    </row>
    <row r="365">
      <c r="A365" s="3" t="inlineStr">
        <is>
          <t>ctcov|all|cst</t>
        </is>
      </c>
      <c r="B365" s="3" t="inlineStr">
        <is>
          <t>MCovCst</t>
        </is>
      </c>
      <c r="C365" s="3" t="n"/>
      <c r="D365" s="3" t="n"/>
      <c r="E365" s="58">
        <f>IF($C365="",0,MATCH($C365,MTDesc,0))</f>
        <v>0.0</v>
      </c>
      <c r="F365" s="58">
        <f>IF($B365&lt;&gt;"",MATCH($B365,MTName,0),$E365+MATCH($D365,INDEX(MTDesc,$E365+1):MTEnd,0))</f>
        <v>45.0</v>
      </c>
      <c r="G365" s="3" t="str">
        <f>INDEX(MTDesc,$F365)</f>
        <v>Apply tax to construction?</v>
      </c>
    </row>
    <row r="366">
      <c r="A366" s="3" t="inlineStr">
        <is>
          <t>ctcov|all|ftr</t>
        </is>
      </c>
      <c r="B366" s="3" t="inlineStr">
        <is>
          <t>MCovFtr</t>
        </is>
      </c>
      <c r="C366" s="3" t="n"/>
      <c r="D366" s="3" t="n"/>
      <c r="E366" s="58">
        <f>IF($C366="",0,MATCH($C366,MTDesc,0))</f>
        <v>0.0</v>
      </c>
      <c r="F366" s="58">
        <f>IF($B366&lt;&gt;"",MATCH($B366,MTName,0),$E366+MATCH($D366,INDEX(MTDesc,$E366+1):MTEnd,0))</f>
        <v>46.0</v>
      </c>
      <c r="G366" s="3" t="str">
        <f>INDEX(MTDesc,$F366)</f>
        <v>Apply tax to fuel transformation?</v>
      </c>
    </row>
    <row r="367">
      <c r="A367" s="3" t="inlineStr">
        <is>
          <t>ctcov|all|oen</t>
        </is>
      </c>
      <c r="B367" s="3" t="inlineStr">
        <is>
          <t>MCovOen</t>
        </is>
      </c>
      <c r="C367" s="3" t="n"/>
      <c r="D367" s="3" t="n"/>
      <c r="E367" s="58">
        <f>IF($C367="",0,MATCH($C367,MTDesc,0))</f>
        <v>0.0</v>
      </c>
      <c r="F367" s="58">
        <f>IF($B367&lt;&gt;"",MATCH($B367,MTName,0),$E367+MATCH($D367,INDEX(MTDesc,$E367+1):MTEnd,0))</f>
        <v>47.0</v>
      </c>
      <c r="G367" s="3" t="str">
        <f>INDEX(MTDesc,$F367)</f>
        <v>Apply tax to other energy use?</v>
      </c>
    </row>
    <row r="368">
      <c r="A368" s="3" t="inlineStr">
        <is>
          <t>fpr.yr0||</t>
        </is>
      </c>
      <c r="B368" s="3" t="inlineStr">
        <is>
          <t>FprIntro</t>
        </is>
      </c>
      <c r="C368" s="3" t="n"/>
      <c r="D368" s="3" t="n"/>
      <c r="E368" s="58">
        <f>IF($C368="",0,MATCH($C368,MTDesc,0))</f>
        <v>0.0</v>
      </c>
      <c r="F368" s="58">
        <f>IF($B368&lt;&gt;"",MATCH($B368,MTName,0),$E368+MATCH($D368,INDEX(MTDesc,$E368+1):MTEnd,0))</f>
        <v>140.0</v>
      </c>
      <c r="G368" s="3" t="str">
        <f>INDEX(MTDesc,$F368)</f>
        <v>Starting year</v>
      </c>
    </row>
    <row r="369">
      <c r="A369" s="3" t="inlineStr">
        <is>
          <t>fpr.yr1||</t>
        </is>
      </c>
      <c r="B369" s="3" t="inlineStr">
        <is>
          <t>FprOutro</t>
        </is>
      </c>
      <c r="C369" s="3" t="n"/>
      <c r="D369" s="3" t="n"/>
      <c r="E369" s="58">
        <f>IF($C369="",0,MATCH($C369,MTDesc,0))</f>
        <v>0.0</v>
      </c>
      <c r="F369" s="58">
        <f>IF($B369&lt;&gt;"",MATCH($B369,MTName,0),$E369+MATCH($D369,INDEX(MTDesc,$E369+1):MTEnd,0))</f>
        <v>141.0</v>
      </c>
      <c r="G369" s="3" t="str">
        <f>INDEX(MTDesc,$F369)</f>
        <v>Target year</v>
      </c>
    </row>
    <row r="370">
      <c r="A370" s="3" t="inlineStr">
        <is>
          <t>fpr.s|coa|pow</t>
        </is>
      </c>
      <c r="B370" s="3" t="inlineStr">
        <is>
          <t>FprStartCoaPow</t>
        </is>
      </c>
      <c r="C370" s="3" t="n"/>
      <c r="D370" s="3" t="n"/>
      <c r="E370" s="58">
        <f>IF($C370="",0,MATCH($C370,MTDesc,0))</f>
        <v>0.0</v>
      </c>
      <c r="F370" s="58">
        <f>IF($B370&lt;&gt;"",MATCH($B370,MTName,0),$E370+MATCH($D370,INDEX(MTDesc,$E370+1):MTEnd,0))</f>
        <v>142.0</v>
      </c>
      <c r="G370" s="3" t="str">
        <f>INDEX(MTDesc,$F370)</f>
        <v>Starting price increase, Coal , Power</v>
      </c>
    </row>
    <row r="371">
      <c r="A371" s="3" t="inlineStr">
        <is>
          <t>fpr.s|coa|res</t>
        </is>
      </c>
      <c r="B371" s="3" t="inlineStr">
        <is>
          <t>FprStartCoaRes</t>
        </is>
      </c>
      <c r="C371" s="3" t="n"/>
      <c r="D371" s="3" t="n"/>
      <c r="E371" s="58">
        <f>IF($C371="",0,MATCH($C371,MTDesc,0))</f>
        <v>0.0</v>
      </c>
      <c r="F371" s="58">
        <f>IF($B371&lt;&gt;"",MATCH($B371,MTName,0),$E371+MATCH($D371,INDEX(MTDesc,$E371+1):MTEnd,0))</f>
        <v>143.0</v>
      </c>
      <c r="G371" s="3" t="str">
        <f>INDEX(MTDesc,$F371)</f>
        <v>Starting price increase, Coal , Residential</v>
      </c>
    </row>
    <row r="372">
      <c r="A372" s="3" t="inlineStr">
        <is>
          <t>fpr.s|coa|ind</t>
        </is>
      </c>
      <c r="B372" s="3" t="inlineStr">
        <is>
          <t>FprStartCoaInd</t>
        </is>
      </c>
      <c r="C372" s="3" t="n"/>
      <c r="D372" s="3" t="n"/>
      <c r="E372" s="58">
        <f>IF($C372="",0,MATCH($C372,MTDesc,0))</f>
        <v>0.0</v>
      </c>
      <c r="F372" s="58">
        <f>IF($B372&lt;&gt;"",MATCH($B372,MTName,0),$E372+MATCH($D372,INDEX(MTDesc,$E372+1):MTEnd,0))</f>
        <v>144.0</v>
      </c>
      <c r="G372" s="3" t="str">
        <f>INDEX(MTDesc,$F372)</f>
        <v>Starting price increase, Coal , Industry</v>
      </c>
    </row>
    <row r="373">
      <c r="A373" s="3" t="inlineStr">
        <is>
          <t>fpr.s|nga|pow</t>
        </is>
      </c>
      <c r="B373" s="3" t="inlineStr">
        <is>
          <t>FprStartNgaPow</t>
        </is>
      </c>
      <c r="C373" s="3" t="n"/>
      <c r="D373" s="3" t="n"/>
      <c r="E373" s="58">
        <f>IF($C373="",0,MATCH($C373,MTDesc,0))</f>
        <v>0.0</v>
      </c>
      <c r="F373" s="58">
        <f>IF($B373&lt;&gt;"",MATCH($B373,MTName,0),$E373+MATCH($D373,INDEX(MTDesc,$E373+1):MTEnd,0))</f>
        <v>145.0</v>
      </c>
      <c r="G373" s="3" t="str">
        <f>INDEX(MTDesc,$F373)</f>
        <v>Starting price increase, Natural gas , Power</v>
      </c>
    </row>
    <row r="374">
      <c r="A374" s="3" t="inlineStr">
        <is>
          <t>fpr.s|nga|res</t>
        </is>
      </c>
      <c r="B374" s="3" t="inlineStr">
        <is>
          <t>FprStartNgaRes</t>
        </is>
      </c>
      <c r="C374" s="3" t="n"/>
      <c r="D374" s="3" t="n"/>
      <c r="E374" s="58">
        <f>IF($C374="",0,MATCH($C374,MTDesc,0))</f>
        <v>0.0</v>
      </c>
      <c r="F374" s="58">
        <f>IF($B374&lt;&gt;"",MATCH($B374,MTName,0),$E374+MATCH($D374,INDEX(MTDesc,$E374+1):MTEnd,0))</f>
        <v>146.0</v>
      </c>
      <c r="G374" s="3" t="str">
        <f>INDEX(MTDesc,$F374)</f>
        <v>Starting price increase, Natural gas , Residential</v>
      </c>
    </row>
    <row r="375">
      <c r="A375" s="3" t="inlineStr">
        <is>
          <t>fpr.s|nga|ind</t>
        </is>
      </c>
      <c r="B375" s="3" t="inlineStr">
        <is>
          <t>FprStartNgaInd</t>
        </is>
      </c>
      <c r="C375" s="3" t="n"/>
      <c r="D375" s="3" t="n"/>
      <c r="E375" s="58">
        <f>IF($C375="",0,MATCH($C375,MTDesc,0))</f>
        <v>0.0</v>
      </c>
      <c r="F375" s="58">
        <f>IF($B375&lt;&gt;"",MATCH($B375,MTName,0),$E375+MATCH($D375,INDEX(MTDesc,$E375+1):MTEnd,0))</f>
        <v>147.0</v>
      </c>
      <c r="G375" s="3" t="str">
        <f>INDEX(MTDesc,$F375)</f>
        <v>Starting price increase, Natural gas , Industry</v>
      </c>
    </row>
    <row r="376">
      <c r="A376" s="3" t="inlineStr">
        <is>
          <t>fpr.s|ecy|res</t>
        </is>
      </c>
      <c r="B376" s="3" t="inlineStr">
        <is>
          <t>FprStartEcyRes</t>
        </is>
      </c>
      <c r="C376" s="3" t="n"/>
      <c r="D376" s="3" t="n"/>
      <c r="E376" s="58">
        <f>IF($C376="",0,MATCH($C376,MTDesc,0))</f>
        <v>0.0</v>
      </c>
      <c r="F376" s="58">
        <f>IF($B376&lt;&gt;"",MATCH($B376,MTName,0),$E376+MATCH($D376,INDEX(MTDesc,$E376+1):MTEnd,0))</f>
        <v>148.0</v>
      </c>
      <c r="G376" s="3" t="str">
        <f>INDEX(MTDesc,$F376)</f>
        <v>Starting price increase, Electricity , Residential</v>
      </c>
    </row>
    <row r="377">
      <c r="A377" s="3" t="inlineStr">
        <is>
          <t>fpr.s|ecy|ind</t>
        </is>
      </c>
      <c r="B377" s="3" t="inlineStr">
        <is>
          <t>FprStartEcyInd</t>
        </is>
      </c>
      <c r="C377" s="3" t="n"/>
      <c r="D377" s="3" t="n"/>
      <c r="E377" s="58">
        <f>IF($C377="",0,MATCH($C377,MTDesc,0))</f>
        <v>0.0</v>
      </c>
      <c r="F377" s="58">
        <f>IF($B377&lt;&gt;"",MATCH($B377,MTName,0),$E377+MATCH($D377,INDEX(MTDesc,$E377+1):MTEnd,0))</f>
        <v>149.0</v>
      </c>
      <c r="G377" s="3" t="str">
        <f>INDEX(MTDesc,$F377)</f>
        <v>Starting price increase, Electricity , Industry</v>
      </c>
    </row>
    <row r="378">
      <c r="A378" s="3" t="inlineStr">
        <is>
          <t>fpr.s|gso|all</t>
        </is>
      </c>
      <c r="B378" s="3" t="inlineStr">
        <is>
          <t>FprStartGsoAll</t>
        </is>
      </c>
      <c r="C378" s="3" t="n"/>
      <c r="D378" s="3" t="n"/>
      <c r="E378" s="58">
        <f>IF($C378="",0,MATCH($C378,MTDesc,0))</f>
        <v>0.0</v>
      </c>
      <c r="F378" s="58">
        <f>IF($B378&lt;&gt;"",MATCH($B378,MTName,0),$E378+MATCH($D378,INDEX(MTDesc,$E378+1):MTEnd,0))</f>
        <v>150.0</v>
      </c>
      <c r="G378" s="3" t="str">
        <f>INDEX(MTDesc,$F378)</f>
        <v>Starting price increase, Gasoline , All</v>
      </c>
    </row>
    <row r="379">
      <c r="A379" s="3" t="inlineStr">
        <is>
          <t>fpr.s|die|all</t>
        </is>
      </c>
      <c r="B379" s="3" t="inlineStr">
        <is>
          <t>FprStartDieAll</t>
        </is>
      </c>
      <c r="C379" s="3" t="n"/>
      <c r="D379" s="3" t="n"/>
      <c r="E379" s="58">
        <f>IF($C379="",0,MATCH($C379,MTDesc,0))</f>
        <v>0.0</v>
      </c>
      <c r="F379" s="58">
        <f>IF($B379&lt;&gt;"",MATCH($B379,MTName,0),$E379+MATCH($D379,INDEX(MTDesc,$E379+1):MTEnd,0))</f>
        <v>151.0</v>
      </c>
      <c r="G379" s="3" t="str">
        <f>INDEX(MTDesc,$F379)</f>
        <v>Starting price increase, Diesel  , All</v>
      </c>
    </row>
    <row r="380">
      <c r="A380" s="3" t="inlineStr">
        <is>
          <t>fpr.s|lpg|all</t>
        </is>
      </c>
      <c r="B380" s="3" t="inlineStr">
        <is>
          <t>FprStartLpgAll</t>
        </is>
      </c>
      <c r="C380" s="3" t="n"/>
      <c r="D380" s="3" t="n"/>
      <c r="E380" s="58">
        <f>IF($C380="",0,MATCH($C380,MTDesc,0))</f>
        <v>0.0</v>
      </c>
      <c r="F380" s="58">
        <f>IF($B380&lt;&gt;"",MATCH($B380,MTName,0),$E380+MATCH($D380,INDEX(MTDesc,$E380+1):MTEnd,0))</f>
        <v>152.0</v>
      </c>
      <c r="G380" s="3" t="str">
        <f>INDEX(MTDesc,$F380)</f>
        <v>Starting price increase, LPG , All</v>
      </c>
    </row>
    <row r="381">
      <c r="A381" s="3" t="inlineStr">
        <is>
          <t>fpr.s|ker|all</t>
        </is>
      </c>
      <c r="B381" s="3" t="inlineStr">
        <is>
          <t>FprStartKerAll</t>
        </is>
      </c>
      <c r="C381" s="3" t="n"/>
      <c r="D381" s="3" t="n"/>
      <c r="E381" s="58">
        <f>IF($C381="",0,MATCH($C381,MTDesc,0))</f>
        <v>0.0</v>
      </c>
      <c r="F381" s="58">
        <f>IF($B381&lt;&gt;"",MATCH($B381,MTName,0),$E381+MATCH($D381,INDEX(MTDesc,$E381+1):MTEnd,0))</f>
        <v>153.0</v>
      </c>
      <c r="G381" s="3" t="str">
        <f>INDEX(MTDesc,$F381)</f>
        <v>Starting price increase, Kerosene , All</v>
      </c>
    </row>
    <row r="382">
      <c r="A382" s="3" t="inlineStr">
        <is>
          <t>fpr.s|oop|all</t>
        </is>
      </c>
      <c r="B382" s="3" t="inlineStr">
        <is>
          <t>FprStartOopAll</t>
        </is>
      </c>
      <c r="C382" s="3" t="n"/>
      <c r="D382" s="3" t="n"/>
      <c r="E382" s="58">
        <f>IF($C382="",0,MATCH($C382,MTDesc,0))</f>
        <v>0.0</v>
      </c>
      <c r="F382" s="58">
        <f>IF($B382&lt;&gt;"",MATCH($B382,MTName,0),$E382+MATCH($D382,INDEX(MTDesc,$E382+1):MTEnd,0))</f>
        <v>154.0</v>
      </c>
      <c r="G382" s="3" t="str">
        <f>INDEX(MTDesc,$F382)</f>
        <v>Starting price increase, Other oil products , All</v>
      </c>
    </row>
    <row r="383">
      <c r="A383" s="3" t="inlineStr">
        <is>
          <t>fpr.s|bio|all</t>
        </is>
      </c>
      <c r="B383" s="3" t="inlineStr">
        <is>
          <t>FprStartBioAll</t>
        </is>
      </c>
      <c r="C383" s="3" t="n"/>
      <c r="D383" s="3" t="n"/>
      <c r="E383" s="58">
        <f>IF($C383="",0,MATCH($C383,MTDesc,0))</f>
        <v>0.0</v>
      </c>
      <c r="F383" s="58">
        <f>IF($B383&lt;&gt;"",MATCH($B383,MTName,0),$E383+MATCH($D383,INDEX(MTDesc,$E383+1):MTEnd,0))</f>
        <v>155.0</v>
      </c>
      <c r="G383" s="3" t="str">
        <f>INDEX(MTDesc,$F383)</f>
        <v>Starting price increase, Biomass , All</v>
      </c>
    </row>
    <row r="384">
      <c r="A384" s="3" t="inlineStr">
        <is>
          <t>fpr.f|coa|pow</t>
        </is>
      </c>
      <c r="B384" s="3" t="inlineStr">
        <is>
          <t>FprFinalCoaPow</t>
        </is>
      </c>
      <c r="C384" s="3" t="n"/>
      <c r="D384" s="3" t="n"/>
      <c r="E384" s="58">
        <f>IF($C384="",0,MATCH($C384,MTDesc,0))</f>
        <v>0.0</v>
      </c>
      <c r="F384" s="58">
        <f>IF($B384&lt;&gt;"",MATCH($B384,MTName,0),$E384+MATCH($D384,INDEX(MTDesc,$E384+1):MTEnd,0))</f>
        <v>156.0</v>
      </c>
      <c r="G384" s="3" t="str">
        <f>INDEX(MTDesc,$F384)</f>
        <v>Final price increase, Coal , Power</v>
      </c>
    </row>
    <row r="385">
      <c r="A385" s="3" t="inlineStr">
        <is>
          <t>fpr.f|coa|res</t>
        </is>
      </c>
      <c r="B385" s="3" t="inlineStr">
        <is>
          <t>FprFinalCoaRes</t>
        </is>
      </c>
      <c r="C385" s="3" t="n"/>
      <c r="D385" s="3" t="n"/>
      <c r="E385" s="58">
        <f>IF($C385="",0,MATCH($C385,MTDesc,0))</f>
        <v>0.0</v>
      </c>
      <c r="F385" s="58">
        <f>IF($B385&lt;&gt;"",MATCH($B385,MTName,0),$E385+MATCH($D385,INDEX(MTDesc,$E385+1):MTEnd,0))</f>
        <v>157.0</v>
      </c>
      <c r="G385" s="3" t="str">
        <f>INDEX(MTDesc,$F385)</f>
        <v>Final price increase, Coal , Residential</v>
      </c>
    </row>
    <row r="386">
      <c r="A386" s="3" t="inlineStr">
        <is>
          <t>fpr.f|coa|ind</t>
        </is>
      </c>
      <c r="B386" s="3" t="inlineStr">
        <is>
          <t>FprFinalCoaInd</t>
        </is>
      </c>
      <c r="C386" s="3" t="n"/>
      <c r="D386" s="3" t="n"/>
      <c r="E386" s="58">
        <f>IF($C386="",0,MATCH($C386,MTDesc,0))</f>
        <v>0.0</v>
      </c>
      <c r="F386" s="58">
        <f>IF($B386&lt;&gt;"",MATCH($B386,MTName,0),$E386+MATCH($D386,INDEX(MTDesc,$E386+1):MTEnd,0))</f>
        <v>158.0</v>
      </c>
      <c r="G386" s="3" t="str">
        <f>INDEX(MTDesc,$F386)</f>
        <v>Final price increase, Coal , Industry</v>
      </c>
    </row>
    <row r="387">
      <c r="A387" s="3" t="inlineStr">
        <is>
          <t>fpr.f|nga|pow</t>
        </is>
      </c>
      <c r="B387" s="3" t="inlineStr">
        <is>
          <t>FprFinalNgaPow</t>
        </is>
      </c>
      <c r="C387" s="3" t="n"/>
      <c r="D387" s="3" t="n"/>
      <c r="E387" s="58">
        <f>IF($C387="",0,MATCH($C387,MTDesc,0))</f>
        <v>0.0</v>
      </c>
      <c r="F387" s="58">
        <f>IF($B387&lt;&gt;"",MATCH($B387,MTName,0),$E387+MATCH($D387,INDEX(MTDesc,$E387+1):MTEnd,0))</f>
        <v>159.0</v>
      </c>
      <c r="G387" s="3" t="str">
        <f>INDEX(MTDesc,$F387)</f>
        <v>Final price increase, Natural gas , Power</v>
      </c>
    </row>
    <row r="388">
      <c r="A388" s="3" t="inlineStr">
        <is>
          <t>fpr.f|nga|res</t>
        </is>
      </c>
      <c r="B388" s="3" t="inlineStr">
        <is>
          <t>FprFinalNgaRes</t>
        </is>
      </c>
      <c r="C388" s="3" t="n"/>
      <c r="D388" s="3" t="n"/>
      <c r="E388" s="58">
        <f>IF($C388="",0,MATCH($C388,MTDesc,0))</f>
        <v>0.0</v>
      </c>
      <c r="F388" s="58">
        <f>IF($B388&lt;&gt;"",MATCH($B388,MTName,0),$E388+MATCH($D388,INDEX(MTDesc,$E388+1):MTEnd,0))</f>
        <v>160.0</v>
      </c>
      <c r="G388" s="3" t="str">
        <f>INDEX(MTDesc,$F388)</f>
        <v>Final price increase, Natural gas , Residential</v>
      </c>
    </row>
    <row r="389">
      <c r="A389" s="3" t="inlineStr">
        <is>
          <t>fpr.f|nga|ind</t>
        </is>
      </c>
      <c r="B389" s="3" t="inlineStr">
        <is>
          <t>FprFinalNgaInd</t>
        </is>
      </c>
      <c r="C389" s="3" t="n"/>
      <c r="D389" s="3" t="n"/>
      <c r="E389" s="58">
        <f>IF($C389="",0,MATCH($C389,MTDesc,0))</f>
        <v>0.0</v>
      </c>
      <c r="F389" s="58">
        <f>IF($B389&lt;&gt;"",MATCH($B389,MTName,0),$E389+MATCH($D389,INDEX(MTDesc,$E389+1):MTEnd,0))</f>
        <v>161.0</v>
      </c>
      <c r="G389" s="3" t="str">
        <f>INDEX(MTDesc,$F389)</f>
        <v>Final price increase, Natural gas , Industry</v>
      </c>
    </row>
    <row r="390">
      <c r="A390" s="3" t="inlineStr">
        <is>
          <t>fpr.f|ecy|res</t>
        </is>
      </c>
      <c r="B390" s="3" t="inlineStr">
        <is>
          <t>FprFinalEcyRes</t>
        </is>
      </c>
      <c r="C390" s="3" t="n"/>
      <c r="D390" s="3" t="n"/>
      <c r="E390" s="58">
        <f>IF($C390="",0,MATCH($C390,MTDesc,0))</f>
        <v>0.0</v>
      </c>
      <c r="F390" s="58">
        <f>IF($B390&lt;&gt;"",MATCH($B390,MTName,0),$E390+MATCH($D390,INDEX(MTDesc,$E390+1):MTEnd,0))</f>
        <v>162.0</v>
      </c>
      <c r="G390" s="3" t="str">
        <f>INDEX(MTDesc,$F390)</f>
        <v>Final price increase, Electricity , Residential</v>
      </c>
    </row>
    <row r="391">
      <c r="A391" s="3" t="inlineStr">
        <is>
          <t>fpr.f|ecy|ind</t>
        </is>
      </c>
      <c r="B391" s="3" t="inlineStr">
        <is>
          <t>FprFinalEcyInd</t>
        </is>
      </c>
      <c r="C391" s="3" t="n"/>
      <c r="D391" s="3" t="n"/>
      <c r="E391" s="58">
        <f>IF($C391="",0,MATCH($C391,MTDesc,0))</f>
        <v>0.0</v>
      </c>
      <c r="F391" s="58">
        <f>IF($B391&lt;&gt;"",MATCH($B391,MTName,0),$E391+MATCH($D391,INDEX(MTDesc,$E391+1):MTEnd,0))</f>
        <v>163.0</v>
      </c>
      <c r="G391" s="3" t="str">
        <f>INDEX(MTDesc,$F391)</f>
        <v>Final price increase, Electricity , Industry</v>
      </c>
    </row>
    <row r="392">
      <c r="A392" s="3" t="inlineStr">
        <is>
          <t>fpr.f|gso|all</t>
        </is>
      </c>
      <c r="B392" s="3" t="inlineStr">
        <is>
          <t>FprFinalGsoAll</t>
        </is>
      </c>
      <c r="C392" s="3" t="n"/>
      <c r="D392" s="3" t="n"/>
      <c r="E392" s="58">
        <f>IF($C392="",0,MATCH($C392,MTDesc,0))</f>
        <v>0.0</v>
      </c>
      <c r="F392" s="58">
        <f>IF($B392&lt;&gt;"",MATCH($B392,MTName,0),$E392+MATCH($D392,INDEX(MTDesc,$E392+1):MTEnd,0))</f>
        <v>164.0</v>
      </c>
      <c r="G392" s="3" t="str">
        <f>INDEX(MTDesc,$F392)</f>
        <v>Final price increase, Gasoline , All</v>
      </c>
    </row>
    <row r="393">
      <c r="A393" s="3" t="inlineStr">
        <is>
          <t>fpr.f|die|all</t>
        </is>
      </c>
      <c r="B393" s="3" t="inlineStr">
        <is>
          <t>FprFinalDieAll</t>
        </is>
      </c>
      <c r="C393" s="3" t="n"/>
      <c r="D393" s="3" t="n"/>
      <c r="E393" s="58">
        <f>IF($C393="",0,MATCH($C393,MTDesc,0))</f>
        <v>0.0</v>
      </c>
      <c r="F393" s="58">
        <f>IF($B393&lt;&gt;"",MATCH($B393,MTName,0),$E393+MATCH($D393,INDEX(MTDesc,$E393+1):MTEnd,0))</f>
        <v>165.0</v>
      </c>
      <c r="G393" s="3" t="str">
        <f>INDEX(MTDesc,$F393)</f>
        <v>Final price increase, Diesel  , All</v>
      </c>
    </row>
    <row r="394">
      <c r="A394" s="3" t="inlineStr">
        <is>
          <t>fpr.f|lpg|all</t>
        </is>
      </c>
      <c r="B394" s="3" t="inlineStr">
        <is>
          <t>FprFinalLpgAll</t>
        </is>
      </c>
      <c r="C394" s="3" t="n"/>
      <c r="D394" s="3" t="n"/>
      <c r="E394" s="58">
        <f>IF($C394="",0,MATCH($C394,MTDesc,0))</f>
        <v>0.0</v>
      </c>
      <c r="F394" s="58">
        <f>IF($B394&lt;&gt;"",MATCH($B394,MTName,0),$E394+MATCH($D394,INDEX(MTDesc,$E394+1):MTEnd,0))</f>
        <v>166.0</v>
      </c>
      <c r="G394" s="3" t="str">
        <f>INDEX(MTDesc,$F394)</f>
        <v>Final price increase, LPG , All</v>
      </c>
    </row>
    <row r="395">
      <c r="A395" s="3" t="inlineStr">
        <is>
          <t>fpr.f|ker|all</t>
        </is>
      </c>
      <c r="B395" s="3" t="inlineStr">
        <is>
          <t>FprFinalKerAll</t>
        </is>
      </c>
      <c r="C395" s="3" t="n"/>
      <c r="D395" s="3" t="n"/>
      <c r="E395" s="58">
        <f>IF($C395="",0,MATCH($C395,MTDesc,0))</f>
        <v>0.0</v>
      </c>
      <c r="F395" s="58">
        <f>IF($B395&lt;&gt;"",MATCH($B395,MTName,0),$E395+MATCH($D395,INDEX(MTDesc,$E395+1):MTEnd,0))</f>
        <v>167.0</v>
      </c>
      <c r="G395" s="3" t="str">
        <f>INDEX(MTDesc,$F395)</f>
        <v>Final price increase, Kerosene , All</v>
      </c>
    </row>
    <row r="396">
      <c r="A396" s="3" t="inlineStr">
        <is>
          <t>fpr.f|oop|all</t>
        </is>
      </c>
      <c r="B396" s="3" t="inlineStr">
        <is>
          <t>FprFinalOopAll</t>
        </is>
      </c>
      <c r="C396" s="3" t="n"/>
      <c r="D396" s="3" t="n"/>
      <c r="E396" s="58">
        <f>IF($C396="",0,MATCH($C396,MTDesc,0))</f>
        <v>0.0</v>
      </c>
      <c r="F396" s="58">
        <f>IF($B396&lt;&gt;"",MATCH($B396,MTName,0),$E396+MATCH($D396,INDEX(MTDesc,$E396+1):MTEnd,0))</f>
        <v>168.0</v>
      </c>
      <c r="G396" s="3" t="str">
        <f>INDEX(MTDesc,$F396)</f>
        <v>Final price increase, Other oil products , All</v>
      </c>
    </row>
    <row r="397">
      <c r="A397" s="3" t="inlineStr">
        <is>
          <t>fpr.f|bio|all</t>
        </is>
      </c>
      <c r="B397" s="3" t="inlineStr">
        <is>
          <t>FprFinalBioAll</t>
        </is>
      </c>
      <c r="C397" s="3" t="n"/>
      <c r="D397" s="3" t="n"/>
      <c r="E397" s="58">
        <f>IF($C397="",0,MATCH($C397,MTDesc,0))</f>
        <v>0.0</v>
      </c>
      <c r="F397" s="58">
        <f>IF($B397&lt;&gt;"",MATCH($B397,MTName,0),$E397+MATCH($D397,INDEX(MTDesc,$E397+1):MTEnd,0))</f>
        <v>169.0</v>
      </c>
      <c r="G397" s="3" t="str">
        <f>INDEX(MTDesc,$F397)</f>
        <v>Final price increase, Biomass , All</v>
      </c>
    </row>
    <row r="398">
      <c r="A398" s="3" t="inlineStr">
        <is>
          <t>AddEfficientTaxes||</t>
        </is>
      </c>
      <c r="B398" s="3" t="inlineStr">
        <is>
          <t>AddEfficientTaxes</t>
        </is>
      </c>
      <c r="C398" s="3" t="n"/>
      <c r="D398" s="3" t="n"/>
      <c r="E398" s="58">
        <f>IF($C398="",0,MATCH($C398,MTDesc,0))</f>
        <v>0.0</v>
      </c>
      <c r="F398" s="58">
        <f>IF($B398&lt;&gt;"",MATCH($B398,MTName,0),$E398+MATCH($D398,INDEX(MTDesc,$E398+1):MTEnd,0))</f>
        <v>217.0</v>
      </c>
      <c r="G398" s="3" t="str">
        <f>INDEX(MTDesc,$F398)</f>
        <v>Add Pigouvian tax on top?</v>
      </c>
    </row>
    <row r="399">
      <c r="A399" s="3" t="inlineStr">
        <is>
          <t>ClimateEffTax||</t>
        </is>
      </c>
      <c r="B399" s="3" t="inlineStr">
        <is>
          <t>ClimateEffTax</t>
        </is>
      </c>
      <c r="C399" s="3" t="n"/>
      <c r="D399" s="3" t="n"/>
      <c r="E399" s="58">
        <f>IF($C399="",0,MATCH($C399,MTDesc,0))</f>
        <v>0.0</v>
      </c>
      <c r="F399" s="58">
        <f>IF($B399&lt;&gt;"",MATCH($B399,MTName,0),$E399+MATCH($D399,INDEX(MTDesc,$E399+1):MTEnd,0))</f>
        <v>216.0</v>
      </c>
      <c r="G399" s="3" t="str">
        <f>INDEX(MTDesc,$F399)</f>
        <v>Include climate externality in Pigouvian tax?</v>
      </c>
    </row>
    <row r="400">
      <c r="A400" s="3" t="inlineStr">
        <is>
          <t>AddEfficientTaxesPhaseInYears||</t>
        </is>
      </c>
      <c r="B400" s="3" t="inlineStr">
        <is>
          <t>AddEfficientTaxesPhaseInYears</t>
        </is>
      </c>
      <c r="C400" s="3" t="n"/>
      <c r="D400" s="3" t="n"/>
      <c r="E400" s="58">
        <f>IF($C400="",0,MATCH($C400,MTDesc,0))</f>
        <v>0.0</v>
      </c>
      <c r="F400" s="58">
        <f>IF($B400&lt;&gt;"",MATCH($B400,MTName,0),$E400+MATCH($D400,INDEX(MTDesc,$E400+1):MTEnd,0))</f>
        <v>212.0</v>
      </c>
      <c r="G400" s="3" t="str">
        <f>INDEX(MTDesc,$F400)</f>
        <v>Years to phase in Pigouvian tax?</v>
      </c>
    </row>
    <row r="401">
      <c r="A401" s="3" t="inlineStr">
        <is>
          <t>ExternalityAddVAT||</t>
        </is>
      </c>
      <c r="B401" s="3" t="inlineStr">
        <is>
          <t>ExternalityAddVAT</t>
        </is>
      </c>
      <c r="C401" s="3" t="n"/>
      <c r="D401" s="3" t="n"/>
      <c r="E401" s="58">
        <f>IF($C401="",0,MATCH($C401,MTDesc,0))</f>
        <v>0.0</v>
      </c>
      <c r="F401" s="58">
        <f>IF($B401&lt;&gt;"",MATCH($B401,MTName,0),$E401+MATCH($D401,INDEX(MTDesc,$E401+1):MTEnd,0))</f>
        <v>218.0</v>
      </c>
      <c r="G401" s="3" t="str">
        <f>INDEX(MTDesc,$F401)</f>
        <v>Externalities are part of VAT base for optimal taxes?</v>
      </c>
    </row>
    <row r="402">
      <c r="A402" s="3" t="inlineStr">
        <is>
          <t>NewETS||</t>
        </is>
      </c>
      <c r="B402" s="3" t="inlineStr">
        <is>
          <t>NewETS</t>
        </is>
      </c>
      <c r="C402" s="3" t="n"/>
      <c r="D402" s="3" t="n"/>
      <c r="E402" s="58">
        <f>IF($C402="",0,MATCH($C402,MTDesc,0))</f>
        <v>0.0</v>
      </c>
      <c r="F402" s="58">
        <f>IF($B402&lt;&gt;"",MATCH($B402,MTName,0),$E402+MATCH($D402,INDEX(MTDesc,$E402+1):MTEnd,0))</f>
        <v>84.0</v>
      </c>
      <c r="G402" s="3" t="str">
        <f>INDEX(MTDesc,$F402)</f>
        <v>Apply new ETS?</v>
      </c>
    </row>
    <row r="403">
      <c r="A403" s="3" t="inlineStr">
        <is>
          <t>ETSChangeRelStart||</t>
        </is>
      </c>
      <c r="B403" s="3" t="inlineStr">
        <is>
          <t>ETSChangeRelStart</t>
        </is>
      </c>
      <c r="C403" s="3" t="n"/>
      <c r="D403" s="3" t="n"/>
      <c r="E403" s="58">
        <f>IF($C403="",0,MATCH($C403,MTDesc,0))</f>
        <v>0.0</v>
      </c>
      <c r="F403" s="58">
        <f>IF($B403&lt;&gt;"",MATCH($B403,MTName,0),$E403+MATCH($D403,INDEX(MTDesc,$E403+1):MTEnd,0))</f>
        <v>85.0</v>
      </c>
      <c r="G403" s="3" t="str">
        <f>INDEX(MTDesc,$F403)</f>
        <v>Change Relative to Baseline in Start Year</v>
      </c>
    </row>
    <row r="404">
      <c r="A404" s="3" t="inlineStr">
        <is>
          <t>ETSChangeRelTarget||</t>
        </is>
      </c>
      <c r="B404" s="3" t="inlineStr">
        <is>
          <t>ETSChangeRelTarget</t>
        </is>
      </c>
      <c r="C404" s="3" t="n"/>
      <c r="D404" s="3" t="n"/>
      <c r="E404" s="58">
        <f>IF($C404="",0,MATCH($C404,MTDesc,0))</f>
        <v>0.0</v>
      </c>
      <c r="F404" s="58">
        <f>IF($B404&lt;&gt;"",MATCH($B404,MTName,0),$E404+MATCH($D404,INDEX(MTDesc,$E404+1):MTEnd,0))</f>
        <v>86.0</v>
      </c>
      <c r="G404" s="3" t="str">
        <f>INDEX(MTDesc,$F404)</f>
        <v>Change Relative to Baseline in Target Year</v>
      </c>
    </row>
    <row r="405">
      <c r="A405" s="3" t="inlineStr">
        <is>
          <t>ETSCapCont||</t>
        </is>
      </c>
      <c r="B405" s="3" t="inlineStr">
        <is>
          <t>ETSCapCont</t>
        </is>
      </c>
      <c r="C405" s="3" t="n"/>
      <c r="D405" s="3" t="n"/>
      <c r="E405" s="58">
        <f>IF($C405="",0,MATCH($C405,MTDesc,0))</f>
        <v>0.0</v>
      </c>
      <c r="F405" s="58">
        <f>IF($B405&lt;&gt;"",MATCH($B405,MTName,0),$E405+MATCH($D405,INDEX(MTDesc,$E405+1):MTEnd,0))</f>
        <v>87.0</v>
      </c>
      <c r="G405" s="3" t="str">
        <f>INDEX(MTDesc,$F405)</f>
        <v>Cap continuation after target year?</v>
      </c>
    </row>
    <row r="406">
      <c r="A406" s="3" t="inlineStr">
        <is>
          <t>ETSIntro||</t>
        </is>
      </c>
      <c r="B406" s="3" t="inlineStr">
        <is>
          <t>ETSIntro</t>
        </is>
      </c>
      <c r="C406" s="3" t="n"/>
      <c r="D406" s="3" t="n"/>
      <c r="E406" s="58">
        <f>IF($C406="",0,MATCH($C406,MTDesc,0))</f>
        <v>0.0</v>
      </c>
      <c r="F406" s="58">
        <f>IF($B406&lt;&gt;"",MATCH($B406,MTName,0),$E406+MATCH($D406,INDEX(MTDesc,$E406+1):MTEnd,0))</f>
        <v>88.0</v>
      </c>
      <c r="G406" s="3" t="str">
        <f>INDEX(MTDesc,$F406)</f>
        <v>ETS Start Year</v>
      </c>
    </row>
    <row r="407">
      <c r="A407" s="3" t="inlineStr">
        <is>
          <t>ETSOutro||</t>
        </is>
      </c>
      <c r="B407" s="3" t="inlineStr">
        <is>
          <t>ETSOutro</t>
        </is>
      </c>
      <c r="C407" s="3" t="n"/>
      <c r="D407" s="3" t="n"/>
      <c r="E407" s="58">
        <f>IF($C407="",0,MATCH($C407,MTDesc,0))</f>
        <v>0.0</v>
      </c>
      <c r="F407" s="58">
        <f>IF($B407&lt;&gt;"",MATCH($B407,MTName,0),$E407+MATCH($D407,INDEX(MTDesc,$E407+1):MTEnd,0))</f>
        <v>89.0</v>
      </c>
      <c r="G407" s="3" t="str">
        <f>INDEX(MTDesc,$F407)</f>
        <v>ETS Target Year</v>
      </c>
    </row>
    <row r="408">
      <c r="A408" s="3" t="inlineStr">
        <is>
          <t>ETSAuctStart||</t>
        </is>
      </c>
      <c r="B408" s="3" t="inlineStr">
        <is>
          <t>ETSAuctStart</t>
        </is>
      </c>
      <c r="C408" s="3" t="n"/>
      <c r="D408" s="3" t="n"/>
      <c r="E408" s="58">
        <f>IF($C408="",0,MATCH($C408,MTDesc,0))</f>
        <v>0.0</v>
      </c>
      <c r="F408" s="58">
        <f>IF($B408&lt;&gt;"",MATCH($B408,MTName,0),$E408+MATCH($D408,INDEX(MTDesc,$E408+1):MTEnd,0))</f>
        <v>90.0</v>
      </c>
      <c r="G408" s="3" t="str">
        <f>INDEX(MTDesc,$F408)</f>
        <v>Proportion Auctioned in Starting Year</v>
      </c>
    </row>
    <row r="409">
      <c r="A409" s="3" t="inlineStr">
        <is>
          <t>ETSAuctTarget||</t>
        </is>
      </c>
      <c r="B409" s="3" t="inlineStr">
        <is>
          <t>ETSAuctTarget</t>
        </is>
      </c>
      <c r="C409" s="3" t="n"/>
      <c r="D409" s="3" t="n"/>
      <c r="E409" s="58">
        <f>IF($C409="",0,MATCH($C409,MTDesc,0))</f>
        <v>0.0</v>
      </c>
      <c r="F409" s="58">
        <f>IF($B409&lt;&gt;"",MATCH($B409,MTName,0),$E409+MATCH($D409,INDEX(MTDesc,$E409+1):MTEnd,0))</f>
        <v>91.0</v>
      </c>
      <c r="G409" s="3" t="str">
        <f>INDEX(MTDesc,$F409)</f>
        <v>Proportion Auctioned in Target Year</v>
      </c>
    </row>
    <row r="410">
      <c r="A410" s="3" t="inlineStr">
        <is>
          <t>ETSPriceOverride||</t>
        </is>
      </c>
      <c r="B410" s="3" t="inlineStr">
        <is>
          <t>ETSPriceOverride</t>
        </is>
      </c>
      <c r="C410" s="3" t="n"/>
      <c r="D410" s="3" t="n"/>
      <c r="E410" s="58">
        <f>IF($C410="",0,MATCH($C410,MTDesc,0))</f>
        <v>0.0</v>
      </c>
      <c r="F410" s="58">
        <f>IF($B410&lt;&gt;"",MATCH($B410,MTName,0),$E410+MATCH($D410,INDEX(MTDesc,$E410+1):MTEnd,0))</f>
        <v>93.0</v>
      </c>
      <c r="G410" s="3" t="str">
        <f>INDEX(MTDesc,$F410)</f>
        <v>Override ETS price</v>
      </c>
    </row>
    <row r="411">
      <c r="A411" s="3" t="inlineStr">
        <is>
          <t>ETSVolatility||</t>
        </is>
      </c>
      <c r="B411" s="3" t="inlineStr">
        <is>
          <t>ETSVolatility</t>
        </is>
      </c>
      <c r="C411" s="3" t="n"/>
      <c r="D411" s="3" t="n"/>
      <c r="E411" s="58">
        <f>IF($C411="",0,MATCH($C411,MTDesc,0))</f>
        <v>0.0</v>
      </c>
      <c r="F411" s="58">
        <f>IF($B411&lt;&gt;"",MATCH($B411,MTName,0),$E411+MATCH($D411,INDEX(MTDesc,$E411+1):MTEnd,0))</f>
        <v>95.0</v>
      </c>
      <c r="G411" s="3" t="str">
        <f>INDEX(MTDesc,$F411)</f>
        <v>ETS Volatility</v>
      </c>
    </row>
    <row r="412">
      <c r="A412" s="3" t="inlineStr">
        <is>
          <t>ETSVolImpact||</t>
        </is>
      </c>
      <c r="B412" s="3" t="inlineStr">
        <is>
          <t>ETSVolImpact</t>
        </is>
      </c>
      <c r="C412" s="3" t="n"/>
      <c r="D412" s="3" t="n"/>
      <c r="E412" s="58">
        <f>IF($C412="",0,MATCH($C412,MTDesc,0))</f>
        <v>0.0</v>
      </c>
      <c r="F412" s="58">
        <f>IF($B412&lt;&gt;"",MATCH($B412,MTName,0),$E412+MATCH($D412,INDEX(MTDesc,$E412+1):MTEnd,0))</f>
        <v>96.0</v>
      </c>
      <c r="G412" s="3" t="str">
        <f>INDEX(MTDesc,$F412)</f>
        <v>Impact of Volatility on Abatement Costs</v>
      </c>
    </row>
    <row r="413">
      <c r="A413" s="3" t="inlineStr">
        <is>
          <t>ETSCTRisk||</t>
        </is>
      </c>
      <c r="B413" s="3" t="inlineStr">
        <is>
          <t>ETSCTRisk</t>
        </is>
      </c>
      <c r="C413" s="3" t="n"/>
      <c r="D413" s="3" t="n"/>
      <c r="E413" s="58">
        <f>IF($C413="",0,MATCH($C413,MTDesc,0))</f>
        <v>0.0</v>
      </c>
      <c r="F413" s="58">
        <f>IF($B413&lt;&gt;"",MATCH($B413,MTName,0),$E413+MATCH($D413,INDEX(MTDesc,$E413+1):MTEnd,0))</f>
        <v>97.0</v>
      </c>
      <c r="G413" s="3" t="str">
        <f>INDEX(MTDesc,$F413)</f>
        <v>Carbon Tax Policy Risk</v>
      </c>
    </row>
    <row r="414">
      <c r="A414" s="3" t="inlineStr">
        <is>
          <t>etscov|all|pow</t>
        </is>
      </c>
      <c r="B414" s="3" t="inlineStr">
        <is>
          <t>ETSCovPow</t>
        </is>
      </c>
      <c r="C414" s="3" t="n"/>
      <c r="D414" s="3" t="n"/>
      <c r="E414" s="58">
        <f>IF($C414="",0,MATCH($C414,MTDesc,0))</f>
        <v>0.0</v>
      </c>
      <c r="F414" s="58">
        <f>IF($B414&lt;&gt;"",MATCH($B414,MTName,0),$E414+MATCH($D414,INDEX(MTDesc,$E414+1):MTEnd,0))</f>
        <v>99.0</v>
      </c>
      <c r="G414" s="3" t="str">
        <f>INDEX(MTDesc,$F414)</f>
        <v>power sector</v>
      </c>
    </row>
    <row r="415">
      <c r="A415" s="3" t="inlineStr">
        <is>
          <t>etscov|all|rod</t>
        </is>
      </c>
      <c r="B415" s="3" t="inlineStr">
        <is>
          <t>ETSCovRod</t>
        </is>
      </c>
      <c r="C415" s="3" t="n"/>
      <c r="D415" s="3" t="n"/>
      <c r="E415" s="58">
        <f>IF($C415="",0,MATCH($C415,MTDesc,0))</f>
        <v>0.0</v>
      </c>
      <c r="F415" s="58">
        <f>IF($B415&lt;&gt;"",MATCH($B415,MTName,0),$E415+MATCH($D415,INDEX(MTDesc,$E415+1):MTEnd,0))</f>
        <v>100.0</v>
      </c>
      <c r="G415" s="3" t="str">
        <f>INDEX(MTDesc,$F415)</f>
        <v>road transportation</v>
      </c>
    </row>
    <row r="416">
      <c r="A416" s="3" t="inlineStr">
        <is>
          <t>etscov|all|ral</t>
        </is>
      </c>
      <c r="B416" s="3" t="inlineStr">
        <is>
          <t>ETSCovRal</t>
        </is>
      </c>
      <c r="C416" s="3" t="n"/>
      <c r="D416" s="3" t="n"/>
      <c r="E416" s="58">
        <f>IF($C416="",0,MATCH($C416,MTDesc,0))</f>
        <v>0.0</v>
      </c>
      <c r="F416" s="58">
        <f>IF($B416&lt;&gt;"",MATCH($B416,MTName,0),$E416+MATCH($D416,INDEX(MTDesc,$E416+1):MTEnd,0))</f>
        <v>101.0</v>
      </c>
      <c r="G416" s="3" t="str">
        <f>INDEX(MTDesc,$F416)</f>
        <v>rail transportation</v>
      </c>
    </row>
    <row r="417">
      <c r="A417" s="3" t="inlineStr">
        <is>
          <t>etscov|all|avi</t>
        </is>
      </c>
      <c r="B417" s="3" t="inlineStr">
        <is>
          <t>ETSCovAvi</t>
        </is>
      </c>
      <c r="C417" s="3" t="n"/>
      <c r="D417" s="3" t="n"/>
      <c r="E417" s="58">
        <f>IF($C417="",0,MATCH($C417,MTDesc,0))</f>
        <v>0.0</v>
      </c>
      <c r="F417" s="58">
        <f>IF($B417&lt;&gt;"",MATCH($B417,MTName,0),$E417+MATCH($D417,INDEX(MTDesc,$E417+1):MTEnd,0))</f>
        <v>102.0</v>
      </c>
      <c r="G417" s="3" t="str">
        <f>INDEX(MTDesc,$F417)</f>
        <v>domestic aviation</v>
      </c>
    </row>
    <row r="418">
      <c r="A418" s="3" t="inlineStr">
        <is>
          <t>etscov|all|nav</t>
        </is>
      </c>
      <c r="B418" s="3" t="inlineStr">
        <is>
          <t>ETSCovNav</t>
        </is>
      </c>
      <c r="C418" s="3" t="n"/>
      <c r="D418" s="3" t="n"/>
      <c r="E418" s="58">
        <f>IF($C418="",0,MATCH($C418,MTDesc,0))</f>
        <v>0.0</v>
      </c>
      <c r="F418" s="58">
        <f>IF($B418&lt;&gt;"",MATCH($B418,MTName,0),$E418+MATCH($D418,INDEX(MTDesc,$E418+1):MTEnd,0))</f>
        <v>103.0</v>
      </c>
      <c r="G418" s="3" t="str">
        <f>INDEX(MTDesc,$F418)</f>
        <v>domestic shipping</v>
      </c>
    </row>
    <row r="419">
      <c r="A419" s="3" t="inlineStr">
        <is>
          <t>etscov|all|res</t>
        </is>
      </c>
      <c r="B419" s="3" t="inlineStr">
        <is>
          <t>ETSCovRes</t>
        </is>
      </c>
      <c r="C419" s="3" t="n"/>
      <c r="D419" s="3" t="n"/>
      <c r="E419" s="58">
        <f>IF($C419="",0,MATCH($C419,MTDesc,0))</f>
        <v>0.0</v>
      </c>
      <c r="F419" s="58">
        <f>IF($B419&lt;&gt;"",MATCH($B419,MTName,0),$E419+MATCH($D419,INDEX(MTDesc,$E419+1):MTEnd,0))</f>
        <v>104.0</v>
      </c>
      <c r="G419" s="3" t="str">
        <f>INDEX(MTDesc,$F419)</f>
        <v>residential</v>
      </c>
    </row>
    <row r="420">
      <c r="A420" s="3" t="inlineStr">
        <is>
          <t>etscov|all|foo</t>
        </is>
      </c>
      <c r="B420" s="3" t="inlineStr">
        <is>
          <t>ETSCovFoo</t>
        </is>
      </c>
      <c r="C420" s="3" t="n"/>
      <c r="D420" s="3" t="n"/>
      <c r="E420" s="58">
        <f>IF($C420="",0,MATCH($C420,MTDesc,0))</f>
        <v>0.0</v>
      </c>
      <c r="F420" s="58">
        <f>IF($B420&lt;&gt;"",MATCH($B420,MTName,0),$E420+MATCH($D420,INDEX(MTDesc,$E420+1):MTEnd,0))</f>
        <v>105.0</v>
      </c>
      <c r="G420" s="3" t="str">
        <f>INDEX(MTDesc,$F420)</f>
        <v>food &amp; forestry</v>
      </c>
    </row>
    <row r="421">
      <c r="A421" s="3" t="inlineStr">
        <is>
          <t>etscov|all|srv</t>
        </is>
      </c>
      <c r="B421" s="3" t="inlineStr">
        <is>
          <t>ETSCovSrv</t>
        </is>
      </c>
      <c r="C421" s="3" t="n"/>
      <c r="D421" s="3" t="n"/>
      <c r="E421" s="58">
        <f>IF($C421="",0,MATCH($C421,MTDesc,0))</f>
        <v>0.0</v>
      </c>
      <c r="F421" s="58">
        <f>IF($B421&lt;&gt;"",MATCH($B421,MTName,0),$E421+MATCH($D421,INDEX(MTDesc,$E421+1):MTEnd,0))</f>
        <v>106.0</v>
      </c>
      <c r="G421" s="3" t="str">
        <f>INDEX(MTDesc,$F421)</f>
        <v>services (private / public)</v>
      </c>
    </row>
    <row r="422">
      <c r="A422" s="3" t="inlineStr">
        <is>
          <t>etscov|all|mch</t>
        </is>
      </c>
      <c r="B422" s="3" t="inlineStr">
        <is>
          <t>ETSCovMch</t>
        </is>
      </c>
      <c r="C422" s="3" t="n"/>
      <c r="D422" s="3" t="n"/>
      <c r="E422" s="58">
        <f>IF($C422="",0,MATCH($C422,MTDesc,0))</f>
        <v>0.0</v>
      </c>
      <c r="F422" s="58">
        <f>IF($B422&lt;&gt;"",MATCH($B422,MTName,0),$E422+MATCH($D422,INDEX(MTDesc,$E422+1):MTEnd,0))</f>
        <v>107.0</v>
      </c>
      <c r="G422" s="3" t="str">
        <f>INDEX(MTDesc,$F422)</f>
        <v>mining &amp; chemicals</v>
      </c>
    </row>
    <row r="423">
      <c r="A423" s="3" t="inlineStr">
        <is>
          <t>etscov|all|irn</t>
        </is>
      </c>
      <c r="B423" s="3" t="inlineStr">
        <is>
          <t>ETSCovIrn</t>
        </is>
      </c>
      <c r="C423" s="3" t="n"/>
      <c r="D423" s="3" t="n"/>
      <c r="E423" s="58">
        <f>IF($C423="",0,MATCH($C423,MTDesc,0))</f>
        <v>0.0</v>
      </c>
      <c r="F423" s="58">
        <f>IF($B423&lt;&gt;"",MATCH($B423,MTName,0),$E423+MATCH($D423,INDEX(MTDesc,$E423+1):MTEnd,0))</f>
        <v>108.0</v>
      </c>
      <c r="G423" s="3" t="str">
        <f>INDEX(MTDesc,$F423)</f>
        <v>iron and steel</v>
      </c>
    </row>
    <row r="424">
      <c r="A424" s="3" t="inlineStr">
        <is>
          <t>etscov|all|nfm</t>
        </is>
      </c>
      <c r="B424" s="3" t="inlineStr">
        <is>
          <t>ETSCovNfm</t>
        </is>
      </c>
      <c r="C424" s="3" t="n"/>
      <c r="D424" s="3" t="n"/>
      <c r="E424" s="58">
        <f>IF($C424="",0,MATCH($C424,MTDesc,0))</f>
        <v>0.0</v>
      </c>
      <c r="F424" s="58">
        <f>IF($B424&lt;&gt;"",MATCH($B424,MTName,0),$E424+MATCH($D424,INDEX(MTDesc,$E424+1):MTEnd,0))</f>
        <v>109.0</v>
      </c>
      <c r="G424" s="3" t="str">
        <f>INDEX(MTDesc,$F424)</f>
        <v>non-ferrous metals</v>
      </c>
    </row>
    <row r="425">
      <c r="A425" s="3" t="inlineStr">
        <is>
          <t>etscov|all|mac</t>
        </is>
      </c>
      <c r="B425" s="3" t="inlineStr">
        <is>
          <t>ETSCovMac</t>
        </is>
      </c>
      <c r="C425" s="3" t="n"/>
      <c r="D425" s="3" t="n"/>
      <c r="E425" s="58">
        <f>IF($C425="",0,MATCH($C425,MTDesc,0))</f>
        <v>0.0</v>
      </c>
      <c r="F425" s="58">
        <f>IF($B425&lt;&gt;"",MATCH($B425,MTName,0),$E425+MATCH($D425,INDEX(MTDesc,$E425+1):MTEnd,0))</f>
        <v>110.0</v>
      </c>
      <c r="G425" s="3" t="str">
        <f>INDEX(MTDesc,$F425)</f>
        <v>machinery</v>
      </c>
    </row>
    <row r="426">
      <c r="A426" s="3" t="inlineStr">
        <is>
          <t>etscov|all|cem</t>
        </is>
      </c>
      <c r="B426" s="3" t="inlineStr">
        <is>
          <t>ETSCovCem</t>
        </is>
      </c>
      <c r="C426" s="3" t="n"/>
      <c r="D426" s="3" t="n"/>
      <c r="E426" s="58">
        <f>IF($C426="",0,MATCH($C426,MTDesc,0))</f>
        <v>0.0</v>
      </c>
      <c r="F426" s="58">
        <f>IF($B426&lt;&gt;"",MATCH($B426,MTName,0),$E426+MATCH($D426,INDEX(MTDesc,$E426+1):MTEnd,0))</f>
        <v>111.0</v>
      </c>
      <c r="G426" s="3" t="str">
        <f>INDEX(MTDesc,$F426)</f>
        <v>cement</v>
      </c>
    </row>
    <row r="427">
      <c r="A427" s="3" t="inlineStr">
        <is>
          <t>etscov|all|omn</t>
        </is>
      </c>
      <c r="B427" s="3" t="inlineStr">
        <is>
          <t>ETSCovOmn</t>
        </is>
      </c>
      <c r="C427" s="3" t="n"/>
      <c r="D427" s="3" t="n"/>
      <c r="E427" s="58">
        <f>IF($C427="",0,MATCH($C427,MTDesc,0))</f>
        <v>0.0</v>
      </c>
      <c r="F427" s="58">
        <f>IF($B427&lt;&gt;"",MATCH($B427,MTName,0),$E427+MATCH($D427,INDEX(MTDesc,$E427+1):MTEnd,0))</f>
        <v>112.0</v>
      </c>
      <c r="G427" s="3" t="str">
        <f>INDEX(MTDesc,$F427)</f>
        <v>other manucfacturing</v>
      </c>
    </row>
    <row r="428">
      <c r="A428" s="3" t="inlineStr">
        <is>
          <t>etscov|all|cst</t>
        </is>
      </c>
      <c r="B428" s="3" t="inlineStr">
        <is>
          <t>ETSCovCst</t>
        </is>
      </c>
      <c r="C428" s="3" t="n"/>
      <c r="D428" s="3" t="n"/>
      <c r="E428" s="58">
        <f>IF($C428="",0,MATCH($C428,MTDesc,0))</f>
        <v>0.0</v>
      </c>
      <c r="F428" s="58">
        <f>IF($B428&lt;&gt;"",MATCH($B428,MTName,0),$E428+MATCH($D428,INDEX(MTDesc,$E428+1):MTEnd,0))</f>
        <v>113.0</v>
      </c>
      <c r="G428" s="3" t="str">
        <f>INDEX(MTDesc,$F428)</f>
        <v>construction</v>
      </c>
    </row>
    <row r="429">
      <c r="A429" s="3" t="inlineStr">
        <is>
          <t>etscov|all|ftr</t>
        </is>
      </c>
      <c r="B429" s="3" t="inlineStr">
        <is>
          <t>ETSCovFtr</t>
        </is>
      </c>
      <c r="C429" s="3" t="n"/>
      <c r="D429" s="3" t="n"/>
      <c r="E429" s="58">
        <f>IF($C429="",0,MATCH($C429,MTDesc,0))</f>
        <v>0.0</v>
      </c>
      <c r="F429" s="58">
        <f>IF($B429&lt;&gt;"",MATCH($B429,MTName,0),$E429+MATCH($D429,INDEX(MTDesc,$E429+1):MTEnd,0))</f>
        <v>114.0</v>
      </c>
      <c r="G429" s="3" t="str">
        <f>INDEX(MTDesc,$F429)</f>
        <v>fuel transformation</v>
      </c>
    </row>
    <row r="430">
      <c r="A430" s="3" t="inlineStr">
        <is>
          <t>etscov|all|oen</t>
        </is>
      </c>
      <c r="B430" s="3" t="inlineStr">
        <is>
          <t>ETSCovOen</t>
        </is>
      </c>
      <c r="C430" s="3" t="n"/>
      <c r="D430" s="3" t="n"/>
      <c r="E430" s="58">
        <f>IF($C430="",0,MATCH($C430,MTDesc,0))</f>
        <v>0.0</v>
      </c>
      <c r="F430" s="58">
        <f>IF($B430&lt;&gt;"",MATCH($B430,MTName,0),$E430+MATCH($D430,INDEX(MTDesc,$E430+1):MTEnd,0))</f>
        <v>115.0</v>
      </c>
      <c r="G430" s="3" t="str">
        <f>INDEX(MTDesc,$F430)</f>
        <v>other energy use</v>
      </c>
    </row>
    <row r="431">
      <c r="A431" s="3" t="inlineStr">
        <is>
          <t>fb.yr0||</t>
        </is>
      </c>
      <c r="B431" s="3" t="inlineStr">
        <is>
          <t>FeebateIntro</t>
        </is>
      </c>
      <c r="C431" s="3" t="n"/>
      <c r="D431" s="3" t="n"/>
      <c r="E431" s="58">
        <f>IF($C431="",0,MATCH($C431,MTDesc,0))</f>
        <v>0.0</v>
      </c>
      <c r="F431" s="58">
        <f>IF($B431&lt;&gt;"",MATCH($B431,MTName,0),$E431+MATCH($D431,INDEX(MTDesc,$E431+1):MTEnd,0))</f>
        <v>53.0</v>
      </c>
      <c r="G431" s="3" t="str">
        <f>INDEX(MTDesc,$F431)</f>
        <v>Start date</v>
      </c>
    </row>
    <row r="432">
      <c r="A432" s="3" t="inlineStr">
        <is>
          <t>fb.yr1||</t>
        </is>
      </c>
      <c r="B432" s="3" t="inlineStr">
        <is>
          <t>FeebateOutro</t>
        </is>
      </c>
      <c r="C432" s="3" t="n"/>
      <c r="D432" s="3" t="n"/>
      <c r="E432" s="58">
        <f>IF($C432="",0,MATCH($C432,MTDesc,0))</f>
        <v>0.0</v>
      </c>
      <c r="F432" s="58">
        <f>IF($B432&lt;&gt;"",MATCH($B432,MTName,0),$E432+MATCH($D432,INDEX(MTDesc,$E432+1):MTEnd,0))</f>
        <v>54.0</v>
      </c>
      <c r="G432" s="3" t="str">
        <f>INDEX(MTDesc,$F432)</f>
        <v>Target date</v>
      </c>
    </row>
    <row r="433">
      <c r="A433" s="3" t="inlineStr">
        <is>
          <t>fb.s|all|pow</t>
        </is>
      </c>
      <c r="B433" s="3" t="inlineStr">
        <is>
          <t>Feb_Level_Start_Pow</t>
        </is>
      </c>
      <c r="C433" s="3" t="n"/>
      <c r="D433" s="3" t="n"/>
      <c r="E433" s="58">
        <f>IF($C433="",0,MATCH($C433,MTDesc,0))</f>
        <v>0.0</v>
      </c>
      <c r="F433" s="58">
        <f>IF($B433&lt;&gt;"",MATCH($B433,MTName,0),$E433+MATCH($D433,INDEX(MTDesc,$E433+1):MTEnd,0))</f>
        <v>56.0</v>
      </c>
      <c r="G433" s="3" t="str">
        <f>INDEX(MTDesc,$F433)</f>
        <v>Power sector</v>
      </c>
    </row>
    <row r="434">
      <c r="A434" s="3" t="inlineStr">
        <is>
          <t>fb.s|all|tra</t>
        </is>
      </c>
      <c r="B434" s="3" t="inlineStr">
        <is>
          <t>Feb_Level_Start_Trans</t>
        </is>
      </c>
      <c r="C434" s="3" t="n"/>
      <c r="D434" s="3" t="n"/>
      <c r="E434" s="58">
        <f>IF($C434="",0,MATCH($C434,MTDesc,0))</f>
        <v>0.0</v>
      </c>
      <c r="F434" s="58">
        <f>IF($B434&lt;&gt;"",MATCH($B434,MTName,0),$E434+MATCH($D434,INDEX(MTDesc,$E434+1):MTEnd,0))</f>
        <v>57.0</v>
      </c>
      <c r="G434" s="3" t="str">
        <f>INDEX(MTDesc,$F434)</f>
        <v>Transport</v>
      </c>
    </row>
    <row r="435">
      <c r="A435" s="3" t="inlineStr">
        <is>
          <t>fb.s|all|res</t>
        </is>
      </c>
      <c r="B435" s="3" t="inlineStr">
        <is>
          <t>Feb_Level_Start_Res</t>
        </is>
      </c>
      <c r="C435" s="3" t="n"/>
      <c r="D435" s="3" t="n"/>
      <c r="E435" s="58">
        <f>IF($C435="",0,MATCH($C435,MTDesc,0))</f>
        <v>0.0</v>
      </c>
      <c r="F435" s="58">
        <f>IF($B435&lt;&gt;"",MATCH($B435,MTName,0),$E435+MATCH($D435,INDEX(MTDesc,$E435+1):MTEnd,0))</f>
        <v>58.0</v>
      </c>
      <c r="G435" s="3" t="str">
        <f>INDEX(MTDesc,$F435)</f>
        <v>Residential</v>
      </c>
    </row>
    <row r="436">
      <c r="A436" s="3" t="inlineStr">
        <is>
          <t>fb.s|all|ind</t>
        </is>
      </c>
      <c r="B436" s="3" t="inlineStr">
        <is>
          <t>Feb_Level_Start_Ind</t>
        </is>
      </c>
      <c r="C436" s="3" t="n"/>
      <c r="D436" s="3" t="n"/>
      <c r="E436" s="58">
        <f>IF($C436="",0,MATCH($C436,MTDesc,0))</f>
        <v>0.0</v>
      </c>
      <c r="F436" s="58">
        <f>IF($B436&lt;&gt;"",MATCH($B436,MTName,0),$E436+MATCH($D436,INDEX(MTDesc,$E436+1):MTEnd,0))</f>
        <v>59.0</v>
      </c>
      <c r="G436" s="3" t="str">
        <f>INDEX(MTDesc,$F436)</f>
        <v>Industry</v>
      </c>
    </row>
    <row r="437">
      <c r="A437" s="3" t="inlineStr">
        <is>
          <t>fb.t|all|pow</t>
        </is>
      </c>
      <c r="B437" s="3" t="inlineStr">
        <is>
          <t>Feb_Level_Target_Pow</t>
        </is>
      </c>
      <c r="C437" s="3" t="n"/>
      <c r="D437" s="3" t="n"/>
      <c r="E437" s="58">
        <f>IF($C437="",0,MATCH($C437,MTDesc,0))</f>
        <v>0.0</v>
      </c>
      <c r="F437" s="58">
        <f>IF($B437&lt;&gt;"",MATCH($B437,MTName,0),$E437+MATCH($D437,INDEX(MTDesc,$E437+1):MTEnd,0))</f>
        <v>61.0</v>
      </c>
      <c r="G437" s="3" t="str">
        <f>INDEX(MTDesc,$F437)</f>
        <v>Power sector</v>
      </c>
    </row>
    <row r="438">
      <c r="A438" s="3" t="inlineStr">
        <is>
          <t>fb.t|all|tra</t>
        </is>
      </c>
      <c r="B438" s="3" t="inlineStr">
        <is>
          <t>Feb_Level_Target_Trans</t>
        </is>
      </c>
      <c r="C438" s="3" t="n"/>
      <c r="D438" s="3" t="n"/>
      <c r="E438" s="58">
        <f>IF($C438="",0,MATCH($C438,MTDesc,0))</f>
        <v>0.0</v>
      </c>
      <c r="F438" s="58">
        <f>IF($B438&lt;&gt;"",MATCH($B438,MTName,0),$E438+MATCH($D438,INDEX(MTDesc,$E438+1):MTEnd,0))</f>
        <v>62.0</v>
      </c>
      <c r="G438" s="3" t="str">
        <f>INDEX(MTDesc,$F438)</f>
        <v>Transport</v>
      </c>
    </row>
    <row r="439">
      <c r="A439" s="3" t="inlineStr">
        <is>
          <t>fb.t|all|res</t>
        </is>
      </c>
      <c r="B439" s="3" t="inlineStr">
        <is>
          <t>Feb_Level_Target_Res</t>
        </is>
      </c>
      <c r="C439" s="3" t="n"/>
      <c r="D439" s="3" t="n"/>
      <c r="E439" s="58">
        <f>IF($C439="",0,MATCH($C439,MTDesc,0))</f>
        <v>0.0</v>
      </c>
      <c r="F439" s="58">
        <f>IF($B439&lt;&gt;"",MATCH($B439,MTName,0),$E439+MATCH($D439,INDEX(MTDesc,$E439+1):MTEnd,0))</f>
        <v>63.0</v>
      </c>
      <c r="G439" s="3" t="str">
        <f>INDEX(MTDesc,$F439)</f>
        <v>Residential</v>
      </c>
    </row>
    <row r="440">
      <c r="A440" s="3" t="inlineStr">
        <is>
          <t>fb.t|all|ind</t>
        </is>
      </c>
      <c r="B440" s="3" t="inlineStr">
        <is>
          <t>Feb_Level_Target_Ind</t>
        </is>
      </c>
      <c r="C440" s="3" t="n"/>
      <c r="D440" s="3" t="n"/>
      <c r="E440" s="58">
        <f>IF($C440="",0,MATCH($C440,MTDesc,0))</f>
        <v>0.0</v>
      </c>
      <c r="F440" s="58">
        <f>IF($B440&lt;&gt;"",MATCH($B440,MTName,0),$E440+MATCH($D440,INDEX(MTDesc,$E440+1):MTEnd,0))</f>
        <v>64.0</v>
      </c>
      <c r="G440" s="3" t="str">
        <f>INDEX(MTDesc,$F440)</f>
        <v>Industry</v>
      </c>
    </row>
    <row r="441">
      <c r="A441" s="3" t="inlineStr">
        <is>
          <t>fbcov|all|pow</t>
        </is>
      </c>
      <c r="B441" s="3" t="inlineStr">
        <is>
          <t>FbCovPow</t>
        </is>
      </c>
      <c r="C441" s="3" t="n"/>
      <c r="D441" s="3" t="n"/>
      <c r="E441" s="58">
        <f>IF($C441="",0,MATCH($C441,MTDesc,0))</f>
        <v>0.0</v>
      </c>
      <c r="F441" s="58">
        <f>IF($B441&lt;&gt;"",MATCH($B441,MTName,0),$E441+MATCH($D441,INDEX(MTDesc,$E441+1):MTEnd,0))</f>
        <v>66.0</v>
      </c>
      <c r="G441" s="3" t="str">
        <f>INDEX(MTDesc,$F441)</f>
        <v>Apply tax to power sector?</v>
      </c>
    </row>
    <row r="442">
      <c r="A442" s="3" t="inlineStr">
        <is>
          <t>fbcov|all|rod</t>
        </is>
      </c>
      <c r="B442" s="3" t="inlineStr">
        <is>
          <t>FbCovRod</t>
        </is>
      </c>
      <c r="C442" s="3" t="n"/>
      <c r="D442" s="3" t="n"/>
      <c r="E442" s="58">
        <f>IF($C442="",0,MATCH($C442,MTDesc,0))</f>
        <v>0.0</v>
      </c>
      <c r="F442" s="58">
        <f>IF($B442&lt;&gt;"",MATCH($B442,MTName,0),$E442+MATCH($D442,INDEX(MTDesc,$E442+1):MTEnd,0))</f>
        <v>67.0</v>
      </c>
      <c r="G442" s="3" t="str">
        <f>INDEX(MTDesc,$F442)</f>
        <v>Apply tax to road transportation?</v>
      </c>
    </row>
    <row r="443">
      <c r="A443" s="3" t="inlineStr">
        <is>
          <t>fbcov|all|ral</t>
        </is>
      </c>
      <c r="B443" s="3" t="inlineStr">
        <is>
          <t>FbCovRal</t>
        </is>
      </c>
      <c r="C443" s="3" t="n"/>
      <c r="D443" s="3" t="n"/>
      <c r="E443" s="58">
        <f>IF($C443="",0,MATCH($C443,MTDesc,0))</f>
        <v>0.0</v>
      </c>
      <c r="F443" s="58">
        <f>IF($B443&lt;&gt;"",MATCH($B443,MTName,0),$E443+MATCH($D443,INDEX(MTDesc,$E443+1):MTEnd,0))</f>
        <v>68.0</v>
      </c>
      <c r="G443" s="3" t="str">
        <f>INDEX(MTDesc,$F443)</f>
        <v>Apply tax to rail transportation?</v>
      </c>
    </row>
    <row r="444">
      <c r="A444" s="3" t="inlineStr">
        <is>
          <t>fbcov|all|avi</t>
        </is>
      </c>
      <c r="B444" s="3" t="inlineStr">
        <is>
          <t>FbCovAvi</t>
        </is>
      </c>
      <c r="C444" s="3" t="n"/>
      <c r="D444" s="3" t="n"/>
      <c r="E444" s="58">
        <f>IF($C444="",0,MATCH($C444,MTDesc,0))</f>
        <v>0.0</v>
      </c>
      <c r="F444" s="58">
        <f>IF($B444&lt;&gt;"",MATCH($B444,MTName,0),$E444+MATCH($D444,INDEX(MTDesc,$E444+1):MTEnd,0))</f>
        <v>69.0</v>
      </c>
      <c r="G444" s="3" t="str">
        <f>INDEX(MTDesc,$F444)</f>
        <v>Apply tax to domestic aviation?</v>
      </c>
    </row>
    <row r="445">
      <c r="A445" s="3" t="inlineStr">
        <is>
          <t>fbcov|all|nav</t>
        </is>
      </c>
      <c r="B445" s="3" t="inlineStr">
        <is>
          <t>FbCovNav</t>
        </is>
      </c>
      <c r="C445" s="3" t="n"/>
      <c r="D445" s="3" t="n"/>
      <c r="E445" s="58">
        <f>IF($C445="",0,MATCH($C445,MTDesc,0))</f>
        <v>0.0</v>
      </c>
      <c r="F445" s="58">
        <f>IF($B445&lt;&gt;"",MATCH($B445,MTName,0),$E445+MATCH($D445,INDEX(MTDesc,$E445+1):MTEnd,0))</f>
        <v>70.0</v>
      </c>
      <c r="G445" s="3" t="str">
        <f>INDEX(MTDesc,$F445)</f>
        <v>Apply tax to domestic shipping?</v>
      </c>
    </row>
    <row r="446">
      <c r="A446" s="3" t="inlineStr">
        <is>
          <t>fbcov|all|res</t>
        </is>
      </c>
      <c r="B446" s="3" t="inlineStr">
        <is>
          <t>FbCovRes</t>
        </is>
      </c>
      <c r="C446" s="3" t="n"/>
      <c r="D446" s="3" t="n"/>
      <c r="E446" s="58">
        <f>IF($C446="",0,MATCH($C446,MTDesc,0))</f>
        <v>0.0</v>
      </c>
      <c r="F446" s="58">
        <f>IF($B446&lt;&gt;"",MATCH($B446,MTName,0),$E446+MATCH($D446,INDEX(MTDesc,$E446+1):MTEnd,0))</f>
        <v>71.0</v>
      </c>
      <c r="G446" s="3" t="str">
        <f>INDEX(MTDesc,$F446)</f>
        <v>Apply tax to residential sector?</v>
      </c>
    </row>
    <row r="447">
      <c r="A447" s="3" t="inlineStr">
        <is>
          <t>fbcov|all|foo</t>
        </is>
      </c>
      <c r="B447" s="3" t="inlineStr">
        <is>
          <t>FbCovFoo</t>
        </is>
      </c>
      <c r="C447" s="3" t="n"/>
      <c r="D447" s="3" t="n"/>
      <c r="E447" s="58">
        <f>IF($C447="",0,MATCH($C447,MTDesc,0))</f>
        <v>0.0</v>
      </c>
      <c r="F447" s="58">
        <f>IF($B447&lt;&gt;"",MATCH($B447,MTName,0),$E447+MATCH($D447,INDEX(MTDesc,$E447+1):MTEnd,0))</f>
        <v>72.0</v>
      </c>
      <c r="G447" s="3" t="str">
        <f>INDEX(MTDesc,$F447)</f>
        <v>Apply tax to food &amp; forestry?</v>
      </c>
    </row>
    <row r="448">
      <c r="A448" s="3" t="inlineStr">
        <is>
          <t>fbcov|all|srv</t>
        </is>
      </c>
      <c r="B448" s="3" t="inlineStr">
        <is>
          <t>FbCovSrv</t>
        </is>
      </c>
      <c r="C448" s="3" t="n"/>
      <c r="D448" s="3" t="n"/>
      <c r="E448" s="58">
        <f>IF($C448="",0,MATCH($C448,MTDesc,0))</f>
        <v>0.0</v>
      </c>
      <c r="F448" s="58">
        <f>IF($B448&lt;&gt;"",MATCH($B448,MTName,0),$E448+MATCH($D448,INDEX(MTDesc,$E448+1):MTEnd,0))</f>
        <v>73.0</v>
      </c>
      <c r="G448" s="3" t="str">
        <f>INDEX(MTDesc,$F448)</f>
        <v>Apply tax to services (private / public)?</v>
      </c>
    </row>
    <row r="449">
      <c r="A449" s="3" t="inlineStr">
        <is>
          <t>fbcov|all|mch</t>
        </is>
      </c>
      <c r="B449" s="3" t="inlineStr">
        <is>
          <t>FbCovMch</t>
        </is>
      </c>
      <c r="C449" s="3" t="n"/>
      <c r="D449" s="3" t="n"/>
      <c r="E449" s="58">
        <f>IF($C449="",0,MATCH($C449,MTDesc,0))</f>
        <v>0.0</v>
      </c>
      <c r="F449" s="58">
        <f>IF($B449&lt;&gt;"",MATCH($B449,MTName,0),$E449+MATCH($D449,INDEX(MTDesc,$E449+1):MTEnd,0))</f>
        <v>74.0</v>
      </c>
      <c r="G449" s="3" t="str">
        <f>INDEX(MTDesc,$F449)</f>
        <v>Apply tax to mining &amp; chemicals?</v>
      </c>
    </row>
    <row r="450">
      <c r="A450" s="3" t="inlineStr">
        <is>
          <t>fbcov|all|irn</t>
        </is>
      </c>
      <c r="B450" s="3" t="inlineStr">
        <is>
          <t>FbCovIrn</t>
        </is>
      </c>
      <c r="C450" s="3" t="n"/>
      <c r="D450" s="3" t="n"/>
      <c r="E450" s="58">
        <f>IF($C450="",0,MATCH($C450,MTDesc,0))</f>
        <v>0.0</v>
      </c>
      <c r="F450" s="58">
        <f>IF($B450&lt;&gt;"",MATCH($B450,MTName,0),$E450+MATCH($D450,INDEX(MTDesc,$E450+1):MTEnd,0))</f>
        <v>75.0</v>
      </c>
      <c r="G450" s="3" t="str">
        <f>INDEX(MTDesc,$F450)</f>
        <v>Apply tax to iron and steel?</v>
      </c>
    </row>
    <row r="451">
      <c r="A451" s="3" t="inlineStr">
        <is>
          <t>fbcov|all|nfm</t>
        </is>
      </c>
      <c r="B451" s="3" t="inlineStr">
        <is>
          <t>FbCovNfm</t>
        </is>
      </c>
      <c r="C451" s="3" t="n"/>
      <c r="D451" s="3" t="n"/>
      <c r="E451" s="58">
        <f>IF($C451="",0,MATCH($C451,MTDesc,0))</f>
        <v>0.0</v>
      </c>
      <c r="F451" s="58">
        <f>IF($B451&lt;&gt;"",MATCH($B451,MTName,0),$E451+MATCH($D451,INDEX(MTDesc,$E451+1):MTEnd,0))</f>
        <v>76.0</v>
      </c>
      <c r="G451" s="3" t="str">
        <f>INDEX(MTDesc,$F451)</f>
        <v>Apply tax to non-ferrous metals?</v>
      </c>
    </row>
    <row r="452">
      <c r="A452" s="3" t="inlineStr">
        <is>
          <t>fbcov|all|mac</t>
        </is>
      </c>
      <c r="B452" s="3" t="inlineStr">
        <is>
          <t>FbCovMac</t>
        </is>
      </c>
      <c r="C452" s="3" t="n"/>
      <c r="D452" s="3" t="n"/>
      <c r="E452" s="58">
        <f>IF($C452="",0,MATCH($C452,MTDesc,0))</f>
        <v>0.0</v>
      </c>
      <c r="F452" s="58">
        <f>IF($B452&lt;&gt;"",MATCH($B452,MTName,0),$E452+MATCH($D452,INDEX(MTDesc,$E452+1):MTEnd,0))</f>
        <v>77.0</v>
      </c>
      <c r="G452" s="3" t="str">
        <f>INDEX(MTDesc,$F452)</f>
        <v>Apply tax to machinery?</v>
      </c>
    </row>
    <row r="453">
      <c r="A453" s="3" t="inlineStr">
        <is>
          <t>fbcov|all|cem</t>
        </is>
      </c>
      <c r="B453" s="3" t="inlineStr">
        <is>
          <t>FbCovCem</t>
        </is>
      </c>
      <c r="C453" s="3" t="n"/>
      <c r="D453" s="3" t="n"/>
      <c r="E453" s="58">
        <f>IF($C453="",0,MATCH($C453,MTDesc,0))</f>
        <v>0.0</v>
      </c>
      <c r="F453" s="58">
        <f>IF($B453&lt;&gt;"",MATCH($B453,MTName,0),$E453+MATCH($D453,INDEX(MTDesc,$E453+1):MTEnd,0))</f>
        <v>78.0</v>
      </c>
      <c r="G453" s="3" t="str">
        <f>INDEX(MTDesc,$F453)</f>
        <v>Apply tax to cement?</v>
      </c>
    </row>
    <row r="454">
      <c r="A454" s="3" t="inlineStr">
        <is>
          <t>fbcov|all|omn</t>
        </is>
      </c>
      <c r="B454" s="3" t="inlineStr">
        <is>
          <t>FbCovOmn</t>
        </is>
      </c>
      <c r="C454" s="3" t="n"/>
      <c r="D454" s="3" t="n"/>
      <c r="E454" s="58">
        <f>IF($C454="",0,MATCH($C454,MTDesc,0))</f>
        <v>0.0</v>
      </c>
      <c r="F454" s="58">
        <f>IF($B454&lt;&gt;"",MATCH($B454,MTName,0),$E454+MATCH($D454,INDEX(MTDesc,$E454+1):MTEnd,0))</f>
        <v>79.0</v>
      </c>
      <c r="G454" s="3" t="str">
        <f>INDEX(MTDesc,$F454)</f>
        <v>Apply tax to other manucfacturing?</v>
      </c>
    </row>
    <row r="455">
      <c r="A455" s="3" t="inlineStr">
        <is>
          <t>fbcov|all|cst</t>
        </is>
      </c>
      <c r="B455" s="3" t="inlineStr">
        <is>
          <t>FbCovCst</t>
        </is>
      </c>
      <c r="C455" s="3" t="n"/>
      <c r="D455" s="3" t="n"/>
      <c r="E455" s="58">
        <f>IF($C455="",0,MATCH($C455,MTDesc,0))</f>
        <v>0.0</v>
      </c>
      <c r="F455" s="58">
        <f>IF($B455&lt;&gt;"",MATCH($B455,MTName,0),$E455+MATCH($D455,INDEX(MTDesc,$E455+1):MTEnd,0))</f>
        <v>80.0</v>
      </c>
      <c r="G455" s="3" t="str">
        <f>INDEX(MTDesc,$F455)</f>
        <v>Apply tax to construction?</v>
      </c>
    </row>
    <row r="456">
      <c r="A456" s="3" t="inlineStr">
        <is>
          <t>fbcov|all|ftr</t>
        </is>
      </c>
      <c r="B456" s="3" t="inlineStr">
        <is>
          <t>FbCovFtr</t>
        </is>
      </c>
      <c r="C456" s="3" t="n"/>
      <c r="D456" s="3" t="n"/>
      <c r="E456" s="58">
        <f>IF($C456="",0,MATCH($C456,MTDesc,0))</f>
        <v>0.0</v>
      </c>
      <c r="F456" s="58">
        <f>IF($B456&lt;&gt;"",MATCH($B456,MTName,0),$E456+MATCH($D456,INDEX(MTDesc,$E456+1):MTEnd,0))</f>
        <v>81.0</v>
      </c>
      <c r="G456" s="3" t="str">
        <f>INDEX(MTDesc,$F456)</f>
        <v>Apply tax to fuel transformation?</v>
      </c>
    </row>
    <row r="457">
      <c r="A457" s="3" t="inlineStr">
        <is>
          <t>fbcov|all|oen</t>
        </is>
      </c>
      <c r="B457" s="3" t="inlineStr">
        <is>
          <t>FbCovOen</t>
        </is>
      </c>
      <c r="C457" s="3" t="n"/>
      <c r="D457" s="3" t="n"/>
      <c r="E457" s="58">
        <f>IF($C457="",0,MATCH($C457,MTDesc,0))</f>
        <v>0.0</v>
      </c>
      <c r="F457" s="58">
        <f>IF($B457&lt;&gt;"",MATCH($B457,MTName,0),$E457+MATCH($D457,INDEX(MTDesc,$E457+1):MTEnd,0))</f>
        <v>82.0</v>
      </c>
      <c r="G457" s="3" t="str">
        <f>INDEX(MTDesc,$F457)</f>
        <v>Apply tax to other energy use?</v>
      </c>
    </row>
    <row r="458">
      <c r="A458" s="3" t="inlineStr">
        <is>
          <t>ScenarioSelected||</t>
        </is>
      </c>
      <c r="B458" s="3" t="inlineStr">
        <is>
          <t>ScenarioSelected</t>
        </is>
      </c>
      <c r="C458" s="3" t="n"/>
      <c r="D458" s="3" t="n"/>
      <c r="E458" s="58">
        <f>IF($C458="",0,MATCH($C458,MTDesc,0))</f>
        <v>0.0</v>
      </c>
      <c r="F458" s="58">
        <f>IF($B458&lt;&gt;"",MATCH($B458,MTName,0),$E458+MATCH($D458,INDEX(MTDesc,$E458+1):MTEnd,0))</f>
        <v>13.0</v>
      </c>
      <c r="G458" s="3" t="str">
        <f>INDEX(MTDesc,$F458)</f>
        <v>Chosen policy</v>
      </c>
    </row>
    <row r="459">
      <c r="A459" s="3" t="inlineStr">
        <is>
          <t>SPPEffAdjEnergyEfficiencyRegulations||</t>
        </is>
      </c>
      <c r="B459" s="3" t="inlineStr">
        <is>
          <t>SPPEffAdjEnergyEfficiencyRegulations</t>
        </is>
      </c>
      <c r="C459" s="3" t="n"/>
      <c r="D459" s="3" t="n"/>
      <c r="E459" s="58">
        <f>IF($C459="",0,MATCH($C459,MTDesc,0))</f>
        <v>0.0</v>
      </c>
      <c r="F459" s="58">
        <f>IF($B459&lt;&gt;"",MATCH($B459,MTName,0),$E459+MATCH($D459,INDEX(MTDesc,$E459+1):MTEnd,0))</f>
        <v>247.0</v>
      </c>
      <c r="G459" s="3" t="str">
        <f>INDEX(MTDesc,$F459)</f>
        <v>Energy efficiency regulations</v>
      </c>
    </row>
    <row r="460">
      <c r="A460" s="3" t="inlineStr">
        <is>
          <t>SPPEffAdjVehicleFuelEconomy||</t>
        </is>
      </c>
      <c r="B460" s="3" t="inlineStr">
        <is>
          <t>SPPEffAdjVehicleFuelEconomy</t>
        </is>
      </c>
      <c r="C460" s="3" t="n"/>
      <c r="D460" s="3" t="n"/>
      <c r="E460" s="58">
        <f>IF($C460="",0,MATCH($C460,MTDesc,0))</f>
        <v>0.0</v>
      </c>
      <c r="F460" s="58">
        <f>IF($B460&lt;&gt;"",MATCH($B460,MTName,0),$E460+MATCH($D460,INDEX(MTDesc,$E460+1):MTEnd,0))</f>
        <v>248.0</v>
      </c>
      <c r="G460" s="3" t="str">
        <f>INDEX(MTDesc,$F460)</f>
        <v>Vehicle fuel economy</v>
      </c>
    </row>
    <row r="461">
      <c r="A461" s="3" t="inlineStr">
        <is>
          <t>SPPEffAdjRes||</t>
        </is>
      </c>
      <c r="B461" s="3" t="inlineStr">
        <is>
          <t>SPPEffAdjRes</t>
        </is>
      </c>
      <c r="C461" s="3" t="n"/>
      <c r="D461" s="3" t="n"/>
      <c r="E461" s="58">
        <f>IF($C461="",0,MATCH($C461,MTDesc,0))</f>
        <v>0.0</v>
      </c>
      <c r="F461" s="58">
        <f>IF($B461&lt;&gt;"",MATCH($B461,MTName,0),$E461+MATCH($D461,INDEX(MTDesc,$E461+1):MTEnd,0))</f>
        <v>249.0</v>
      </c>
      <c r="G461" s="3" t="str">
        <f>INDEX(MTDesc,$F461)</f>
        <v>Residential efficiency regulations</v>
      </c>
    </row>
    <row r="462">
      <c r="A462" s="3" t="inlineStr">
        <is>
          <t>SPPEffAdjInd||</t>
        </is>
      </c>
      <c r="B462" s="3" t="inlineStr">
        <is>
          <t>SPPEffAdjInd</t>
        </is>
      </c>
      <c r="C462" s="3" t="n"/>
      <c r="D462" s="3" t="n"/>
      <c r="E462" s="58">
        <f>IF($C462="",0,MATCH($C462,MTDesc,0))</f>
        <v>0.0</v>
      </c>
      <c r="F462" s="58">
        <f>IF($B462&lt;&gt;"",MATCH($B462,MTName,0),$E462+MATCH($D462,INDEX(MTDesc,$E462+1):MTEnd,0))</f>
        <v>250.0</v>
      </c>
      <c r="G462" s="3" t="str">
        <f>INDEX(MTDesc,$F462)</f>
        <v>Industrial efficiency regulations</v>
      </c>
    </row>
    <row r="463">
      <c r="A463" s="3" t="inlineStr">
        <is>
          <t>SPPEffAdjFeebates||</t>
        </is>
      </c>
      <c r="B463" s="3" t="inlineStr">
        <is>
          <t>SPPEffAdjFeebates</t>
        </is>
      </c>
      <c r="C463" s="3" t="n"/>
      <c r="D463" s="3" t="n"/>
      <c r="E463" s="58">
        <f>IF($C463="",0,MATCH($C463,MTDesc,0))</f>
        <v>0.0</v>
      </c>
      <c r="F463" s="58">
        <f>IF($B463&lt;&gt;"",MATCH($B463,MTName,0),$E463+MATCH($D463,INDEX(MTDesc,$E463+1):MTEnd,0))</f>
        <v>251.0</v>
      </c>
      <c r="G463" s="3" t="str">
        <f>INDEX(MTDesc,$F463)</f>
        <v>Feebates</v>
      </c>
    </row>
    <row r="464">
      <c r="A464" s="3" t="inlineStr">
        <is>
          <t>ExistingCTApply||</t>
        </is>
      </c>
      <c r="B464" s="3" t="inlineStr">
        <is>
          <t>ExistingCTApply</t>
        </is>
      </c>
      <c r="C464" s="3" t="n"/>
      <c r="D464" s="3" t="n"/>
      <c r="E464" s="58">
        <f>IF($C464="",0,MATCH($C464,MTDesc,0))</f>
        <v>0.0</v>
      </c>
      <c r="F464" s="58">
        <f>IF($B464&lt;&gt;"",MATCH($B464,MTName,0),$E464+MATCH($D464,INDEX(MTDesc,$E464+1):MTEnd,0))</f>
        <v>213.0</v>
      </c>
      <c r="G464" s="3" t="str">
        <f>INDEX(MTDesc,$F464)</f>
        <v>Apply existing carbon tax (if exists)?</v>
      </c>
    </row>
    <row r="465">
      <c r="A465" s="3" t="inlineStr">
        <is>
          <t>ExistingCTGrowth||</t>
        </is>
      </c>
      <c r="B465" s="3" t="inlineStr">
        <is>
          <t>ExistingCTGrowth</t>
        </is>
      </c>
      <c r="C465" s="3" t="n"/>
      <c r="D465" s="3" t="n"/>
      <c r="E465" s="58">
        <f>IF($C465="",0,MATCH($C465,MTDesc,0))</f>
        <v>0.0</v>
      </c>
      <c r="F465" s="58">
        <f>IF($B465&lt;&gt;"",MATCH($B465,MTName,0),$E465+MATCH($D465,INDEX(MTDesc,$E465+1):MTEnd,0))</f>
        <v>214.0</v>
      </c>
      <c r="G465" s="3" t="str">
        <f>INDEX(MTDesc,$F465)</f>
        <v>Assumed existing carbon tax growth per annum (real terms)</v>
      </c>
    </row>
    <row r="466">
      <c r="A466" s="3" t="inlineStr">
        <is>
          <t>ExistingETSApply||</t>
        </is>
      </c>
      <c r="B466" s="3" t="inlineStr">
        <is>
          <t>ExistingETSApply</t>
        </is>
      </c>
      <c r="C466" s="3" t="n"/>
      <c r="D466" s="3" t="n"/>
      <c r="E466" s="58">
        <f>IF($C466="",0,MATCH($C466,MTDesc,0))</f>
        <v>0.0</v>
      </c>
      <c r="F466" s="58">
        <f>IF($B466&lt;&gt;"",MATCH($B466,MTName,0),$E466+MATCH($D466,INDEX(MTDesc,$E466+1):MTEnd,0))</f>
        <v>208.0</v>
      </c>
      <c r="G466" s="3" t="str">
        <f>INDEX(MTDesc,$F466)</f>
        <v>Apply existing ETS (if exists)?</v>
      </c>
    </row>
    <row r="467">
      <c r="A467" s="3" t="inlineStr">
        <is>
          <t>ExistingETSGrowth||</t>
        </is>
      </c>
      <c r="B467" s="3" t="inlineStr">
        <is>
          <t>ExistingETSGrowth</t>
        </is>
      </c>
      <c r="C467" s="3" t="n"/>
      <c r="D467" s="3" t="n"/>
      <c r="E467" s="58">
        <f>IF($C467="",0,MATCH($C467,MTDesc,0))</f>
        <v>0.0</v>
      </c>
      <c r="F467" s="58">
        <f>IF($B467&lt;&gt;"",MATCH($B467,MTName,0),$E467+MATCH($D467,INDEX(MTDesc,$E467+1):MTEnd,0))</f>
        <v>209.0</v>
      </c>
      <c r="G467" s="3" t="str">
        <f>INDEX(MTDesc,$F467)</f>
        <v>Existing ETS permit price growth per annum (real terms)</v>
      </c>
    </row>
    <row r="468">
      <c r="A468" s="3" t="inlineStr">
        <is>
          <t>CTaxComplimentaryToETS||</t>
        </is>
      </c>
      <c r="B468" s="3" t="inlineStr">
        <is>
          <t>CTaxComplimentaryToETS</t>
        </is>
      </c>
      <c r="C468" s="3" t="n"/>
      <c r="D468" s="3" t="n"/>
      <c r="E468" s="58">
        <f>IF($C468="",0,MATCH($C468,MTDesc,0))</f>
        <v>0.0</v>
      </c>
      <c r="F468" s="58">
        <f>IF($B468&lt;&gt;"",MATCH($B468,MTName,0),$E468+MATCH($D468,INDEX(MTDesc,$E468+1):MTEnd,0))</f>
        <v>210.0</v>
      </c>
      <c r="G468" s="3" t="str">
        <f>INDEX(MTDesc,$F468)</f>
        <v>New carbon tax complementary to existing ETS coverage</v>
      </c>
    </row>
    <row r="469">
      <c r="A469" s="3" t="inlineStr">
        <is>
          <t>ProdSubPh||</t>
        </is>
      </c>
      <c r="B469" s="3" t="inlineStr">
        <is>
          <t>ProdSubPh</t>
        </is>
      </c>
      <c r="C469" s="3" t="n"/>
      <c r="D469" s="3" t="n"/>
      <c r="E469" s="58">
        <f>IF($C469="",0,MATCH($C469,MTDesc,0))</f>
        <v>0.0</v>
      </c>
      <c r="F469" s="58">
        <f>IF($B469&lt;&gt;"",MATCH($B469,MTName,0),$E469+MATCH($D469,INDEX(MTDesc,$E469+1):MTEnd,0))</f>
        <v>123.0</v>
      </c>
      <c r="G469" s="3" t="str">
        <f>INDEX(MTDesc,$F469)</f>
        <v>Apply producer subsidies phaseout in the policy scenario?</v>
      </c>
    </row>
    <row r="470">
      <c r="A470" s="3" t="inlineStr">
        <is>
          <t>YearProdSubPha||</t>
        </is>
      </c>
      <c r="B470" s="3" t="inlineStr">
        <is>
          <t>YearProdSubPha</t>
        </is>
      </c>
      <c r="C470" s="3" t="n"/>
      <c r="D470" s="3" t="n"/>
      <c r="E470" s="58">
        <f>IF($C470="",0,MATCH($C470,MTDesc,0))</f>
        <v>0.0</v>
      </c>
      <c r="F470" s="58">
        <f>IF($B470&lt;&gt;"",MATCH($B470,MTName,0),$E470+MATCH($D470,INDEX(MTDesc,$E470+1):MTEnd,0))</f>
        <v>124.0</v>
      </c>
      <c r="G470" s="3" t="str">
        <f>INDEX(MTDesc,$F470)</f>
        <v>Year to start producer subsidies phaseout (if applicable)</v>
      </c>
    </row>
    <row r="471">
      <c r="A471" s="3" t="inlineStr">
        <is>
          <t>FFSProdPhaseoutPeriod||</t>
        </is>
      </c>
      <c r="B471" s="3" t="inlineStr">
        <is>
          <t>FFSProdPhaseoutPeriod</t>
        </is>
      </c>
      <c r="C471" s="3" t="n"/>
      <c r="D471" s="3" t="n"/>
      <c r="E471" s="58">
        <f>IF($C471="",0,MATCH($C471,MTDesc,0))</f>
        <v>0.0</v>
      </c>
      <c r="F471" s="58">
        <f>IF($B471&lt;&gt;"",MATCH($B471,MTName,0),$E471+MATCH($D471,INDEX(MTDesc,$E471+1):MTEnd,0))</f>
        <v>125.0</v>
      </c>
      <c r="G471" s="3" t="str">
        <f>INDEX(MTDesc,$F471)</f>
        <v>Period to reach full producer subsidies phaseout (if applicable)</v>
      </c>
    </row>
    <row r="472">
      <c r="A472" s="3" t="inlineStr">
        <is>
          <t>ShareofProdSubPha||</t>
        </is>
      </c>
      <c r="B472" s="3" t="inlineStr">
        <is>
          <t>ShareofProdSubPha</t>
        </is>
      </c>
      <c r="C472" s="3" t="n"/>
      <c r="D472" s="3" t="n"/>
      <c r="E472" s="58">
        <f>IF($C472="",0,MATCH($C472,MTDesc,0))</f>
        <v>0.0</v>
      </c>
      <c r="F472" s="58">
        <f>IF($B472&lt;&gt;"",MATCH($B472,MTName,0),$E472+MATCH($D472,INDEX(MTDesc,$E472+1):MTEnd,0))</f>
        <v>126.0</v>
      </c>
      <c r="G472" s="3" t="str">
        <f>INDEX(MTDesc,$F472)</f>
        <v>Share of producer subsidies to phase-out</v>
      </c>
    </row>
    <row r="473">
      <c r="A473" s="3" t="inlineStr">
        <is>
          <t>ProdSubPhaBaseline||</t>
        </is>
      </c>
      <c r="B473" s="3" t="inlineStr">
        <is>
          <t>ProdSubPhaBaseline</t>
        </is>
      </c>
      <c r="C473" s="3" t="n"/>
      <c r="D473" s="3" t="n"/>
      <c r="E473" s="58">
        <f>IF($C473="",0,MATCH($C473,MTDesc,0))</f>
        <v>0.0</v>
      </c>
      <c r="F473" s="58">
        <f>IF($B473&lt;&gt;"",MATCH($B473,MTName,0),$E473+MATCH($D473,INDEX(MTDesc,$E473+1):MTEnd,0))</f>
        <v>127.0</v>
      </c>
      <c r="G473" s="3" t="str">
        <f>INDEX(MTDesc,$F473)</f>
        <v>Apply producer subsidies phaseout in the baseline?</v>
      </c>
    </row>
    <row r="474">
      <c r="A474" s="3" t="inlineStr">
        <is>
          <t>FFSProdPhaseoutPeriodBA||</t>
        </is>
      </c>
      <c r="B474" s="3" t="inlineStr">
        <is>
          <t>FFSProdPhaseoutPeriodBA</t>
        </is>
      </c>
      <c r="C474" s="3" t="n"/>
      <c r="D474" s="3" t="n"/>
      <c r="E474" s="58">
        <f>IF($C474="",0,MATCH($C474,MTDesc,0))</f>
        <v>0.0</v>
      </c>
      <c r="F474" s="58">
        <f>IF($B474&lt;&gt;"",MATCH($B474,MTName,0),$E474+MATCH($D474,INDEX(MTDesc,$E474+1):MTEnd,0))</f>
        <v>128.0</v>
      </c>
      <c r="G474" s="3" t="str">
        <f>INDEX(MTDesc,$F474)</f>
        <v>Period to reach full producer subsidies phaseout (baseline)</v>
      </c>
    </row>
    <row r="475">
      <c r="A475" s="3" t="inlineStr">
        <is>
          <t>ShareOfProdSubPhaBA||</t>
        </is>
      </c>
      <c r="B475" s="3" t="inlineStr">
        <is>
          <t>ShareOfProdSubPhaBA</t>
        </is>
      </c>
      <c r="C475" s="3" t="n"/>
      <c r="D475" s="3" t="n"/>
      <c r="E475" s="58">
        <f>IF($C475="",0,MATCH($C475,MTDesc,0))</f>
        <v>0.0</v>
      </c>
      <c r="F475" s="58">
        <f>IF($B475&lt;&gt;"",MATCH($B475,MTName,0),$E475+MATCH($D475,INDEX(MTDesc,$E475+1):MTEnd,0))</f>
        <v>129.0</v>
      </c>
      <c r="G475" s="3" t="str">
        <f>INDEX(MTDesc,$F475)</f>
        <v>Share of producer subsidies to phase-out in the baseline</v>
      </c>
    </row>
    <row r="476">
      <c r="A476" s="3" t="inlineStr">
        <is>
          <t>ConsSubPha||</t>
        </is>
      </c>
      <c r="B476" s="3" t="inlineStr">
        <is>
          <t>ConsSubPha</t>
        </is>
      </c>
      <c r="C476" s="3" t="n"/>
      <c r="D476" s="3" t="n"/>
      <c r="E476" s="58">
        <f>IF($C476="",0,MATCH($C476,MTDesc,0))</f>
        <v>0.0</v>
      </c>
      <c r="F476" s="58">
        <f>IF($B476&lt;&gt;"",MATCH($B476,MTName,0),$E476+MATCH($D476,INDEX(MTDesc,$E476+1):MTEnd,0))</f>
        <v>131.0</v>
      </c>
      <c r="G476" s="3" t="str">
        <f>INDEX(MTDesc,$F476)</f>
        <v>Apply consumer subsidies phaseout?</v>
      </c>
    </row>
    <row r="477">
      <c r="A477" s="3" t="inlineStr">
        <is>
          <t>YearConsSubPha||</t>
        </is>
      </c>
      <c r="B477" s="3" t="inlineStr">
        <is>
          <t>YearConsSubPha</t>
        </is>
      </c>
      <c r="C477" s="3" t="n"/>
      <c r="D477" s="3" t="n"/>
      <c r="E477" s="58">
        <f>IF($C477="",0,MATCH($C477,MTDesc,0))</f>
        <v>0.0</v>
      </c>
      <c r="F477" s="58">
        <f>IF($B477&lt;&gt;"",MATCH($B477,MTName,0),$E477+MATCH($D477,INDEX(MTDesc,$E477+1):MTEnd,0))</f>
        <v>132.0</v>
      </c>
      <c r="G477" s="3" t="str">
        <f>INDEX(MTDesc,$F477)</f>
        <v>Year to start consumer subsidies phaseout (if applicable)</v>
      </c>
    </row>
    <row r="478">
      <c r="A478" s="3" t="inlineStr">
        <is>
          <t>FFPhaseOut||</t>
        </is>
      </c>
      <c r="B478" s="3" t="inlineStr">
        <is>
          <t>FFPhaseOut</t>
        </is>
      </c>
      <c r="C478" s="3" t="n"/>
      <c r="D478" s="3" t="n"/>
      <c r="E478" s="58">
        <f>IF($C478="",0,MATCH($C478,MTDesc,0))</f>
        <v>0.0</v>
      </c>
      <c r="F478" s="58">
        <f>IF($B478&lt;&gt;"",MATCH($B478,MTName,0),$E478+MATCH($D478,INDEX(MTDesc,$E478+1):MTEnd,0))</f>
        <v>133.0</v>
      </c>
      <c r="G478" s="3" t="str">
        <f>INDEX(MTDesc,$F478)</f>
        <v>Period to reach full consumer subsidies phaseout (if applicable)</v>
      </c>
    </row>
    <row r="479">
      <c r="A479" s="3" t="inlineStr">
        <is>
          <t>ShareOfConsSubPha||</t>
        </is>
      </c>
      <c r="B479" s="3" t="inlineStr">
        <is>
          <t>ShareOfConsSubPha</t>
        </is>
      </c>
      <c r="C479" s="3" t="n"/>
      <c r="D479" s="3" t="n"/>
      <c r="E479" s="58">
        <f>IF($C479="",0,MATCH($C479,MTDesc,0))</f>
        <v>0.0</v>
      </c>
      <c r="F479" s="58">
        <f>IF($B479&lt;&gt;"",MATCH($B479,MTName,0),$E479+MATCH($D479,INDEX(MTDesc,$E479+1):MTEnd,0))</f>
        <v>134.0</v>
      </c>
      <c r="G479" s="3" t="str">
        <f>INDEX(MTDesc,$F479)</f>
        <v>Share of consumer subsidies to phase-out</v>
      </c>
    </row>
    <row r="480">
      <c r="A480" s="3" t="inlineStr">
        <is>
          <t>ConsSubPhaBaseline||</t>
        </is>
      </c>
      <c r="B480" s="3" t="inlineStr">
        <is>
          <t>ConsSubPhaBaseline</t>
        </is>
      </c>
      <c r="C480" s="3" t="n"/>
      <c r="D480" s="3" t="n"/>
      <c r="E480" s="58">
        <f>IF($C480="",0,MATCH($C480,MTDesc,0))</f>
        <v>0.0</v>
      </c>
      <c r="F480" s="58">
        <f>IF($B480&lt;&gt;"",MATCH($B480,MTName,0),$E480+MATCH($D480,INDEX(MTDesc,$E480+1):MTEnd,0))</f>
        <v>135.0</v>
      </c>
      <c r="G480" s="3" t="str">
        <f>INDEX(MTDesc,$F480)</f>
        <v>Apply consumer subsidies phaseout in the baseline?</v>
      </c>
    </row>
    <row r="481">
      <c r="A481" s="3" t="inlineStr">
        <is>
          <t>FFSConsPhaseoutPeriodBA||</t>
        </is>
      </c>
      <c r="B481" s="3" t="inlineStr">
        <is>
          <t>FFSConsPhaseoutPeriodBA</t>
        </is>
      </c>
      <c r="C481" s="3" t="n"/>
      <c r="D481" s="3" t="n"/>
      <c r="E481" s="58">
        <f>IF($C481="",0,MATCH($C481,MTDesc,0))</f>
        <v>0.0</v>
      </c>
      <c r="F481" s="58">
        <f>IF($B481&lt;&gt;"",MATCH($B481,MTName,0),$E481+MATCH($D481,INDEX(MTDesc,$E481+1):MTEnd,0))</f>
        <v>136.0</v>
      </c>
      <c r="G481" s="3" t="str">
        <f>INDEX(MTDesc,$F481)</f>
        <v>Period to reach full consumer subsidies phaseout (baseline)</v>
      </c>
    </row>
    <row r="482">
      <c r="A482" s="3" t="inlineStr">
        <is>
          <t>ShareofConsSubPhaBA||</t>
        </is>
      </c>
      <c r="B482" s="3" t="inlineStr">
        <is>
          <t>ShareofConsSubPhaBA</t>
        </is>
      </c>
      <c r="C482" s="3" t="n"/>
      <c r="D482" s="3" t="n"/>
      <c r="E482" s="58">
        <f>IF($C482="",0,MATCH($C482,MTDesc,0))</f>
        <v>0.0</v>
      </c>
      <c r="F482" s="58">
        <f>IF($B482&lt;&gt;"",MATCH($B482,MTName,0),$E482+MATCH($D482,INDEX(MTDesc,$E482+1):MTEnd,0))</f>
        <v>137.0</v>
      </c>
      <c r="G482" s="3" t="str">
        <f>INDEX(MTDesc,$F482)</f>
        <v>Share of consumer subsidies to phase-out in the baseline</v>
      </c>
    </row>
    <row r="483">
      <c r="A483" s="3" t="inlineStr">
        <is>
          <t>PrcContPha||</t>
        </is>
      </c>
      <c r="B483" s="3" t="inlineStr">
        <is>
          <t>PrcContPha</t>
        </is>
      </c>
      <c r="C483" s="3" t="n"/>
      <c r="D483" s="3" t="n"/>
      <c r="E483" s="58">
        <f>IF($C483="",0,MATCH($C483,MTDesc,0))</f>
        <v>0.0</v>
      </c>
      <c r="F483" s="58">
        <f>IF($B483&lt;&gt;"",MATCH($B483,MTName,0),$E483+MATCH($D483,INDEX(MTDesc,$E483+1):MTEnd,0))</f>
        <v>191.0</v>
      </c>
      <c r="G483" s="3" t="str">
        <f>INDEX(MTDesc,$F483)</f>
        <v>Apply price controls phaseout?</v>
      </c>
    </row>
    <row r="484">
      <c r="A484" s="3" t="inlineStr">
        <is>
          <t>YearPrcContPha||</t>
        </is>
      </c>
      <c r="B484" s="3" t="inlineStr">
        <is>
          <t>YearPrcContPha</t>
        </is>
      </c>
      <c r="C484" s="3" t="n"/>
      <c r="D484" s="3" t="n"/>
      <c r="E484" s="58">
        <f>IF($C484="",0,MATCH($C484,MTDesc,0))</f>
        <v>0.0</v>
      </c>
      <c r="F484" s="58">
        <f>IF($B484&lt;&gt;"",MATCH($B484,MTName,0),$E484+MATCH($D484,INDEX(MTDesc,$E484+1):MTEnd,0))</f>
        <v>192.0</v>
      </c>
      <c r="G484" s="3" t="str">
        <f>INDEX(MTDesc,$F484)</f>
        <v>Year to start price controls phaseout (if applicable)</v>
      </c>
    </row>
    <row r="485">
      <c r="A485" s="3" t="inlineStr">
        <is>
          <t>PrcControlPhaseout||</t>
        </is>
      </c>
      <c r="B485" s="3" t="inlineStr">
        <is>
          <t>PrcControlPhaseout</t>
        </is>
      </c>
      <c r="C485" s="3" t="n"/>
      <c r="D485" s="3" t="n"/>
      <c r="E485" s="58">
        <f>IF($C485="",0,MATCH($C485,MTDesc,0))</f>
        <v>0.0</v>
      </c>
      <c r="F485" s="58">
        <f>IF($B485&lt;&gt;"",MATCH($B485,MTName,0),$E485+MATCH($D485,INDEX(MTDesc,$E485+1):MTEnd,0))</f>
        <v>193.0</v>
      </c>
      <c r="G485" s="3" t="str">
        <f>INDEX(MTDesc,$F485)</f>
        <v>Period to reach full price controls phaseout (if applicable)</v>
      </c>
    </row>
    <row r="486">
      <c r="A486" s="3" t="inlineStr">
        <is>
          <t>PrcContPhaBaseline||</t>
        </is>
      </c>
      <c r="B486" s="3" t="inlineStr">
        <is>
          <t>PrcContPhaBaseline</t>
        </is>
      </c>
      <c r="C486" s="3" t="n"/>
      <c r="D486" s="3" t="n"/>
      <c r="E486" s="58">
        <f>IF($C486="",0,MATCH($C486,MTDesc,0))</f>
        <v>0.0</v>
      </c>
      <c r="F486" s="58">
        <f>IF($B486&lt;&gt;"",MATCH($B486,MTName,0),$E486+MATCH($D486,INDEX(MTDesc,$E486+1):MTEnd,0))</f>
        <v>195.0</v>
      </c>
      <c r="G486" s="3" t="str">
        <f>INDEX(MTDesc,$F486)</f>
        <v>Apply price controls phaseout in the baseline scenario?</v>
      </c>
    </row>
    <row r="487">
      <c r="A487" s="3" t="inlineStr">
        <is>
          <t>csi|coa|pow</t>
        </is>
      </c>
      <c r="B487" s="3" t="inlineStr">
        <is>
          <t>ConsSubPhaseScope_coa_pow</t>
        </is>
      </c>
      <c r="C487" s="3" t="n"/>
      <c r="D487" s="3" t="n"/>
      <c r="E487" s="58">
        <f>IF($C487="",0,MATCH($C487,MTDesc,0))</f>
        <v>0.0</v>
      </c>
      <c r="F487" s="58">
        <f>IF($B487&lt;&gt;"",MATCH($B487,MTName,0),$E487+MATCH($D487,INDEX(MTDesc,$E487+1):MTEnd,0))</f>
        <v>482.0</v>
      </c>
      <c r="G487" s="3" t="str">
        <f>INDEX(MTDesc,$F487)</f>
        <v>Consumer subsidy phase-out applies to Coal, Power (1 = yes; v0.5.6, was Constants csi)</v>
      </c>
    </row>
    <row r="488">
      <c r="A488" s="3" t="inlineStr">
        <is>
          <t>csi|coa|res</t>
        </is>
      </c>
      <c r="B488" s="3" t="inlineStr">
        <is>
          <t>ConsSubPhaseScope_coa_res</t>
        </is>
      </c>
      <c r="C488" s="3" t="n"/>
      <c r="D488" s="3" t="n"/>
      <c r="E488" s="58">
        <f>IF($C488="",0,MATCH($C488,MTDesc,0))</f>
        <v>0.0</v>
      </c>
      <c r="F488" s="58">
        <f>IF($B488&lt;&gt;"",MATCH($B488,MTName,0),$E488+MATCH($D488,INDEX(MTDesc,$E488+1):MTEnd,0))</f>
        <v>483.0</v>
      </c>
      <c r="G488" s="3" t="str">
        <f>INDEX(MTDesc,$F488)</f>
        <v>Consumer subsidy phase-out applies to Coal, Residential (1 = yes; v0.5.6, was Constants csi)</v>
      </c>
    </row>
    <row r="489">
      <c r="A489" s="3" t="inlineStr">
        <is>
          <t>csi|coa|ind</t>
        </is>
      </c>
      <c r="B489" s="3" t="inlineStr">
        <is>
          <t>ConsSubPhaseScope_coa_ind</t>
        </is>
      </c>
      <c r="C489" s="3" t="n"/>
      <c r="D489" s="3" t="n"/>
      <c r="E489" s="58">
        <f>IF($C489="",0,MATCH($C489,MTDesc,0))</f>
        <v>0.0</v>
      </c>
      <c r="F489" s="58">
        <f>IF($B489&lt;&gt;"",MATCH($B489,MTName,0),$E489+MATCH($D489,INDEX(MTDesc,$E489+1):MTEnd,0))</f>
        <v>484.0</v>
      </c>
      <c r="G489" s="3" t="str">
        <f>INDEX(MTDesc,$F489)</f>
        <v>Consumer subsidy phase-out applies to Coal, Industry (1 = yes; v0.5.6, was Constants csi)</v>
      </c>
    </row>
    <row r="490">
      <c r="A490" s="3" t="inlineStr">
        <is>
          <t>csi|nga|pow</t>
        </is>
      </c>
      <c r="B490" s="3" t="inlineStr">
        <is>
          <t>ConsSubPhaseScope_nga_pow</t>
        </is>
      </c>
      <c r="C490" s="3" t="n"/>
      <c r="D490" s="3" t="n"/>
      <c r="E490" s="58">
        <f>IF($C490="",0,MATCH($C490,MTDesc,0))</f>
        <v>0.0</v>
      </c>
      <c r="F490" s="58">
        <f>IF($B490&lt;&gt;"",MATCH($B490,MTName,0),$E490+MATCH($D490,INDEX(MTDesc,$E490+1):MTEnd,0))</f>
        <v>485.0</v>
      </c>
      <c r="G490" s="3" t="str">
        <f>INDEX(MTDesc,$F490)</f>
        <v>Consumer subsidy phase-out applies to Natural gas, Power (1 = yes; v0.5.6, was Constants csi)</v>
      </c>
    </row>
    <row r="491">
      <c r="A491" s="3" t="inlineStr">
        <is>
          <t>csi|nga|res</t>
        </is>
      </c>
      <c r="B491" s="3" t="inlineStr">
        <is>
          <t>ConsSubPhaseScope_nga_res</t>
        </is>
      </c>
      <c r="C491" s="3" t="n"/>
      <c r="D491" s="3" t="n"/>
      <c r="E491" s="58">
        <f>IF($C491="",0,MATCH($C491,MTDesc,0))</f>
        <v>0.0</v>
      </c>
      <c r="F491" s="58">
        <f>IF($B491&lt;&gt;"",MATCH($B491,MTName,0),$E491+MATCH($D491,INDEX(MTDesc,$E491+1):MTEnd,0))</f>
        <v>486.0</v>
      </c>
      <c r="G491" s="3" t="str">
        <f>INDEX(MTDesc,$F491)</f>
        <v>Consumer subsidy phase-out applies to Natural gas, Residential (1 = yes; v0.5.6, was Constants csi)</v>
      </c>
    </row>
    <row r="492">
      <c r="A492" s="3" t="inlineStr">
        <is>
          <t>csi|nga|ind</t>
        </is>
      </c>
      <c r="B492" s="3" t="inlineStr">
        <is>
          <t>ConsSubPhaseScope_nga_ind</t>
        </is>
      </c>
      <c r="C492" s="3" t="n"/>
      <c r="D492" s="3" t="n"/>
      <c r="E492" s="58">
        <f>IF($C492="",0,MATCH($C492,MTDesc,0))</f>
        <v>0.0</v>
      </c>
      <c r="F492" s="58">
        <f>IF($B492&lt;&gt;"",MATCH($B492,MTName,0),$E492+MATCH($D492,INDEX(MTDesc,$E492+1):MTEnd,0))</f>
        <v>487.0</v>
      </c>
      <c r="G492" s="3" t="str">
        <f>INDEX(MTDesc,$F492)</f>
        <v>Consumer subsidy phase-out applies to Natural gas, Industry (1 = yes; v0.5.6, was Constants csi)</v>
      </c>
    </row>
    <row r="493">
      <c r="A493" s="3" t="inlineStr">
        <is>
          <t>csi|gso|all</t>
        </is>
      </c>
      <c r="B493" s="3" t="inlineStr">
        <is>
          <t>ConsSubPhaseScope_gso_all</t>
        </is>
      </c>
      <c r="C493" s="3" t="n"/>
      <c r="D493" s="3" t="n"/>
      <c r="E493" s="58">
        <f>IF($C493="",0,MATCH($C493,MTDesc,0))</f>
        <v>0.0</v>
      </c>
      <c r="F493" s="58">
        <f>IF($B493&lt;&gt;"",MATCH($B493,MTName,0),$E493+MATCH($D493,INDEX(MTDesc,$E493+1):MTEnd,0))</f>
        <v>488.0</v>
      </c>
      <c r="G493" s="3" t="str">
        <f>INDEX(MTDesc,$F493)</f>
        <v>Consumer subsidy phase-out applies to Gasoline, All (1 = yes; v0.5.6, was Constants csi)</v>
      </c>
    </row>
    <row r="494">
      <c r="A494" s="3" t="inlineStr">
        <is>
          <t>csi|die|all</t>
        </is>
      </c>
      <c r="B494" s="3" t="inlineStr">
        <is>
          <t>ConsSubPhaseScope_die_all</t>
        </is>
      </c>
      <c r="C494" s="3" t="n"/>
      <c r="D494" s="3" t="n"/>
      <c r="E494" s="58">
        <f>IF($C494="",0,MATCH($C494,MTDesc,0))</f>
        <v>0.0</v>
      </c>
      <c r="F494" s="58">
        <f>IF($B494&lt;&gt;"",MATCH($B494,MTName,0),$E494+MATCH($D494,INDEX(MTDesc,$E494+1):MTEnd,0))</f>
        <v>489.0</v>
      </c>
      <c r="G494" s="3" t="str">
        <f>INDEX(MTDesc,$F494)</f>
        <v>Consumer subsidy phase-out applies to Diesel, All (1 = yes; v0.5.6, was Constants csi)</v>
      </c>
    </row>
    <row r="495">
      <c r="A495" s="3" t="inlineStr">
        <is>
          <t>csi|lpg|all</t>
        </is>
      </c>
      <c r="B495" s="3" t="inlineStr">
        <is>
          <t>ConsSubPhaseScope_lpg_all</t>
        </is>
      </c>
      <c r="C495" s="3" t="n"/>
      <c r="D495" s="3" t="n"/>
      <c r="E495" s="58">
        <f>IF($C495="",0,MATCH($C495,MTDesc,0))</f>
        <v>0.0</v>
      </c>
      <c r="F495" s="58">
        <f>IF($B495&lt;&gt;"",MATCH($B495,MTName,0),$E495+MATCH($D495,INDEX(MTDesc,$E495+1):MTEnd,0))</f>
        <v>490.0</v>
      </c>
      <c r="G495" s="3" t="str">
        <f>INDEX(MTDesc,$F495)</f>
        <v>Consumer subsidy phase-out applies to LPG, All (1 = yes; v0.5.6, was Constants csi)</v>
      </c>
    </row>
    <row r="496">
      <c r="A496" s="3" t="inlineStr">
        <is>
          <t>csi|ker|all</t>
        </is>
      </c>
      <c r="B496" s="3" t="inlineStr">
        <is>
          <t>ConsSubPhaseScope_ker_all</t>
        </is>
      </c>
      <c r="C496" s="3" t="n"/>
      <c r="D496" s="3" t="n"/>
      <c r="E496" s="58">
        <f>IF($C496="",0,MATCH($C496,MTDesc,0))</f>
        <v>0.0</v>
      </c>
      <c r="F496" s="58">
        <f>IF($B496&lt;&gt;"",MATCH($B496,MTName,0),$E496+MATCH($D496,INDEX(MTDesc,$E496+1):MTEnd,0))</f>
        <v>491.0</v>
      </c>
      <c r="G496" s="3" t="str">
        <f>INDEX(MTDesc,$F496)</f>
        <v>Consumer subsidy phase-out applies to Kerosene, All (1 = yes; v0.5.6, was Constants csi)</v>
      </c>
    </row>
    <row r="497">
      <c r="A497" s="3" t="inlineStr">
        <is>
          <t>csi|oop|all</t>
        </is>
      </c>
      <c r="B497" s="3" t="inlineStr">
        <is>
          <t>ConsSubPhaseScope_oop_all</t>
        </is>
      </c>
      <c r="C497" s="3" t="n"/>
      <c r="D497" s="3" t="n"/>
      <c r="E497" s="58">
        <f>IF($C497="",0,MATCH($C497,MTDesc,0))</f>
        <v>0.0</v>
      </c>
      <c r="F497" s="58">
        <f>IF($B497&lt;&gt;"",MATCH($B497,MTName,0),$E497+MATCH($D497,INDEX(MTDesc,$E497+1):MTEnd,0))</f>
        <v>492.0</v>
      </c>
      <c r="G497" s="3" t="str">
        <f>INDEX(MTDesc,$F497)</f>
        <v>Consumer subsidy phase-out applies to Other oil products, All (1 = yes; v0.5.6, was Constants csi)</v>
      </c>
    </row>
    <row r="498">
      <c r="A498" s="3" t="inlineStr">
        <is>
          <t>csi|bio|all</t>
        </is>
      </c>
      <c r="B498" s="3" t="inlineStr">
        <is>
          <t>ConsSubPhaseScope_bio_all</t>
        </is>
      </c>
      <c r="C498" s="3" t="n"/>
      <c r="D498" s="3" t="n"/>
      <c r="E498" s="58">
        <f>IF($C498="",0,MATCH($C498,MTDesc,0))</f>
        <v>0.0</v>
      </c>
      <c r="F498" s="58">
        <f>IF($B498&lt;&gt;"",MATCH($B498,MTName,0),$E498+MATCH($D498,INDEX(MTDesc,$E498+1):MTEnd,0))</f>
        <v>493.0</v>
      </c>
      <c r="G498" s="3" t="str">
        <f>INDEX(MTDesc,$F498)</f>
        <v>Consumer subsidy phase-out applies to Biomass, All (1 = yes; v0.5.6, was Constants csi)</v>
      </c>
    </row>
    <row r="499">
      <c r="A499" s="3" t="inlineStr">
        <is>
          <t>pci|coa|pow</t>
        </is>
      </c>
      <c r="B499" s="3" t="inlineStr">
        <is>
          <t>PriceCtrlPhaseScope_coa_pow</t>
        </is>
      </c>
      <c r="C499" s="3" t="n"/>
      <c r="D499" s="3" t="n"/>
      <c r="E499" s="58">
        <f>IF($C499="",0,MATCH($C499,MTDesc,0))</f>
        <v>0.0</v>
      </c>
      <c r="F499" s="58">
        <f>IF($B499&lt;&gt;"",MATCH($B499,MTName,0),$E499+MATCH($D499,INDEX(MTDesc,$E499+1):MTEnd,0))</f>
        <v>494.0</v>
      </c>
      <c r="G499" s="3" t="str">
        <f>INDEX(MTDesc,$F499)</f>
        <v>Price-control phase-out applies to Coal, Power (1 = yes; v0.5.6, was Constants pci)</v>
      </c>
    </row>
    <row r="500">
      <c r="A500" s="3" t="inlineStr">
        <is>
          <t>pci|coa|res</t>
        </is>
      </c>
      <c r="B500" s="3" t="inlineStr">
        <is>
          <t>PriceCtrlPhaseScope_coa_res</t>
        </is>
      </c>
      <c r="C500" s="3" t="n"/>
      <c r="D500" s="3" t="n"/>
      <c r="E500" s="58">
        <f>IF($C500="",0,MATCH($C500,MTDesc,0))</f>
        <v>0.0</v>
      </c>
      <c r="F500" s="58">
        <f>IF($B500&lt;&gt;"",MATCH($B500,MTName,0),$E500+MATCH($D500,INDEX(MTDesc,$E500+1):MTEnd,0))</f>
        <v>495.0</v>
      </c>
      <c r="G500" s="3" t="str">
        <f>INDEX(MTDesc,$F500)</f>
        <v>Price-control phase-out applies to Coal, Residential (1 = yes; v0.5.6, was Constants pci)</v>
      </c>
    </row>
    <row r="501">
      <c r="A501" s="3" t="inlineStr">
        <is>
          <t>pci|coa|ind</t>
        </is>
      </c>
      <c r="B501" s="3" t="inlineStr">
        <is>
          <t>PriceCtrlPhaseScope_coa_ind</t>
        </is>
      </c>
      <c r="C501" s="3" t="n"/>
      <c r="D501" s="3" t="n"/>
      <c r="E501" s="58">
        <f>IF($C501="",0,MATCH($C501,MTDesc,0))</f>
        <v>0.0</v>
      </c>
      <c r="F501" s="58">
        <f>IF($B501&lt;&gt;"",MATCH($B501,MTName,0),$E501+MATCH($D501,INDEX(MTDesc,$E501+1):MTEnd,0))</f>
        <v>496.0</v>
      </c>
      <c r="G501" s="3" t="str">
        <f>INDEX(MTDesc,$F501)</f>
        <v>Price-control phase-out applies to Coal, Industry (1 = yes; v0.5.6, was Constants pci)</v>
      </c>
    </row>
    <row r="502">
      <c r="A502" s="3" t="inlineStr">
        <is>
          <t>pci|nga|pow</t>
        </is>
      </c>
      <c r="B502" s="3" t="inlineStr">
        <is>
          <t>PriceCtrlPhaseScope_nga_pow</t>
        </is>
      </c>
      <c r="C502" s="3" t="n"/>
      <c r="D502" s="3" t="n"/>
      <c r="E502" s="58">
        <f>IF($C502="",0,MATCH($C502,MTDesc,0))</f>
        <v>0.0</v>
      </c>
      <c r="F502" s="58">
        <f>IF($B502&lt;&gt;"",MATCH($B502,MTName,0),$E502+MATCH($D502,INDEX(MTDesc,$E502+1):MTEnd,0))</f>
        <v>497.0</v>
      </c>
      <c r="G502" s="3" t="str">
        <f>INDEX(MTDesc,$F502)</f>
        <v>Price-control phase-out applies to Natural gas, Power (1 = yes; v0.5.6, was Constants pci)</v>
      </c>
    </row>
    <row r="503">
      <c r="A503" s="3" t="inlineStr">
        <is>
          <t>pci|nga|res</t>
        </is>
      </c>
      <c r="B503" s="3" t="inlineStr">
        <is>
          <t>PriceCtrlPhaseScope_nga_res</t>
        </is>
      </c>
      <c r="C503" s="3" t="n"/>
      <c r="D503" s="3" t="n"/>
      <c r="E503" s="58">
        <f>IF($C503="",0,MATCH($C503,MTDesc,0))</f>
        <v>0.0</v>
      </c>
      <c r="F503" s="58">
        <f>IF($B503&lt;&gt;"",MATCH($B503,MTName,0),$E503+MATCH($D503,INDEX(MTDesc,$E503+1):MTEnd,0))</f>
        <v>498.0</v>
      </c>
      <c r="G503" s="3" t="str">
        <f>INDEX(MTDesc,$F503)</f>
        <v>Price-control phase-out applies to Natural gas, Residential (1 = yes; v0.5.6, was Constants pci)</v>
      </c>
    </row>
    <row r="504">
      <c r="A504" s="3" t="inlineStr">
        <is>
          <t>pci|nga|ind</t>
        </is>
      </c>
      <c r="B504" s="3" t="inlineStr">
        <is>
          <t>PriceCtrlPhaseScope_nga_ind</t>
        </is>
      </c>
      <c r="C504" s="3" t="n"/>
      <c r="D504" s="3" t="n"/>
      <c r="E504" s="58">
        <f>IF($C504="",0,MATCH($C504,MTDesc,0))</f>
        <v>0.0</v>
      </c>
      <c r="F504" s="58">
        <f>IF($B504&lt;&gt;"",MATCH($B504,MTName,0),$E504+MATCH($D504,INDEX(MTDesc,$E504+1):MTEnd,0))</f>
        <v>499.0</v>
      </c>
      <c r="G504" s="3" t="str">
        <f>INDEX(MTDesc,$F504)</f>
        <v>Price-control phase-out applies to Natural gas, Industry (1 = yes; v0.5.6, was Constants pci)</v>
      </c>
    </row>
    <row r="505">
      <c r="A505" s="3" t="inlineStr">
        <is>
          <t>pci|gso|all</t>
        </is>
      </c>
      <c r="B505" s="3" t="inlineStr">
        <is>
          <t>PriceCtrlPhaseScope_gso_all</t>
        </is>
      </c>
      <c r="C505" s="3" t="n"/>
      <c r="D505" s="3" t="n"/>
      <c r="E505" s="58">
        <f>IF($C505="",0,MATCH($C505,MTDesc,0))</f>
        <v>0.0</v>
      </c>
      <c r="F505" s="58">
        <f>IF($B505&lt;&gt;"",MATCH($B505,MTName,0),$E505+MATCH($D505,INDEX(MTDesc,$E505+1):MTEnd,0))</f>
        <v>500.0</v>
      </c>
      <c r="G505" s="3" t="str">
        <f>INDEX(MTDesc,$F505)</f>
        <v>Price-control phase-out applies to Gasoline, All (1 = yes; v0.5.6, was Constants pci)</v>
      </c>
    </row>
    <row r="506">
      <c r="A506" s="3" t="inlineStr">
        <is>
          <t>pci|die|all</t>
        </is>
      </c>
      <c r="B506" s="3" t="inlineStr">
        <is>
          <t>PriceCtrlPhaseScope_die_all</t>
        </is>
      </c>
      <c r="C506" s="3" t="n"/>
      <c r="D506" s="3" t="n"/>
      <c r="E506" s="58">
        <f>IF($C506="",0,MATCH($C506,MTDesc,0))</f>
        <v>0.0</v>
      </c>
      <c r="F506" s="58">
        <f>IF($B506&lt;&gt;"",MATCH($B506,MTName,0),$E506+MATCH($D506,INDEX(MTDesc,$E506+1):MTEnd,0))</f>
        <v>501.0</v>
      </c>
      <c r="G506" s="3" t="str">
        <f>INDEX(MTDesc,$F506)</f>
        <v>Price-control phase-out applies to Diesel, All (1 = yes; v0.5.6, was Constants pci)</v>
      </c>
    </row>
    <row r="507">
      <c r="A507" s="3" t="inlineStr">
        <is>
          <t>pci|lpg|all</t>
        </is>
      </c>
      <c r="B507" s="3" t="inlineStr">
        <is>
          <t>PriceCtrlPhaseScope_lpg_all</t>
        </is>
      </c>
      <c r="C507" s="3" t="n"/>
      <c r="D507" s="3" t="n"/>
      <c r="E507" s="58">
        <f>IF($C507="",0,MATCH($C507,MTDesc,0))</f>
        <v>0.0</v>
      </c>
      <c r="F507" s="58">
        <f>IF($B507&lt;&gt;"",MATCH($B507,MTName,0),$E507+MATCH($D507,INDEX(MTDesc,$E507+1):MTEnd,0))</f>
        <v>502.0</v>
      </c>
      <c r="G507" s="3" t="str">
        <f>INDEX(MTDesc,$F507)</f>
        <v>Price-control phase-out applies to LPG, All (1 = yes; v0.5.6, was Constants pci)</v>
      </c>
    </row>
    <row r="508">
      <c r="A508" s="3" t="inlineStr">
        <is>
          <t>pci|ker|all</t>
        </is>
      </c>
      <c r="B508" s="3" t="inlineStr">
        <is>
          <t>PriceCtrlPhaseScope_ker_all</t>
        </is>
      </c>
      <c r="C508" s="3" t="n"/>
      <c r="D508" s="3" t="n"/>
      <c r="E508" s="58">
        <f>IF($C508="",0,MATCH($C508,MTDesc,0))</f>
        <v>0.0</v>
      </c>
      <c r="F508" s="58">
        <f>IF($B508&lt;&gt;"",MATCH($B508,MTName,0),$E508+MATCH($D508,INDEX(MTDesc,$E508+1):MTEnd,0))</f>
        <v>503.0</v>
      </c>
      <c r="G508" s="3" t="str">
        <f>INDEX(MTDesc,$F508)</f>
        <v>Price-control phase-out applies to Kerosene, All (1 = yes; v0.5.6, was Constants pci)</v>
      </c>
    </row>
    <row r="509">
      <c r="A509" s="3" t="inlineStr">
        <is>
          <t>pci|oop|all</t>
        </is>
      </c>
      <c r="B509" s="3" t="inlineStr">
        <is>
          <t>PriceCtrlPhaseScope_oop_all</t>
        </is>
      </c>
      <c r="C509" s="3" t="n"/>
      <c r="D509" s="3" t="n"/>
      <c r="E509" s="58">
        <f>IF($C509="",0,MATCH($C509,MTDesc,0))</f>
        <v>0.0</v>
      </c>
      <c r="F509" s="58">
        <f>IF($B509&lt;&gt;"",MATCH($B509,MTName,0),$E509+MATCH($D509,INDEX(MTDesc,$E509+1):MTEnd,0))</f>
        <v>504.0</v>
      </c>
      <c r="G509" s="3" t="str">
        <f>INDEX(MTDesc,$F509)</f>
        <v>Price-control phase-out applies to Other oil products, All (1 = yes; v0.5.6, was Constants pci)</v>
      </c>
    </row>
    <row r="510">
      <c r="A510" s="3" t="inlineStr">
        <is>
          <t>pci|bio|all</t>
        </is>
      </c>
      <c r="B510" s="3" t="inlineStr">
        <is>
          <t>PriceCtrlPhaseScope_bio_all</t>
        </is>
      </c>
      <c r="C510" s="3" t="n"/>
      <c r="D510" s="3" t="n"/>
      <c r="E510" s="58">
        <f>IF($C510="",0,MATCH($C510,MTDesc,0))</f>
        <v>0.0</v>
      </c>
      <c r="F510" s="58">
        <f>IF($B510&lt;&gt;"",MATCH($B510,MTName,0),$E510+MATCH($D510,INDEX(MTDesc,$E510+1):MTEnd,0))</f>
        <v>505.0</v>
      </c>
      <c r="G510" s="3" t="str">
        <f>INDEX(MTDesc,$F510)</f>
        <v>Price-control phase-out applies to Biomass, All (1 = yes; v0.5.6, was Constants pci)</v>
      </c>
    </row>
    <row r="511">
      <c r="A511" s="3" t="inlineStr">
        <is>
          <t>psi|coa|all</t>
        </is>
      </c>
      <c r="B511" s="3" t="inlineStr">
        <is>
          <t>ProdSubPhaseScope_coa</t>
        </is>
      </c>
      <c r="C511" s="3" t="n"/>
      <c r="D511" s="3" t="n"/>
      <c r="E511" s="58">
        <f>IF($C511="",0,MATCH($C511,MTDesc,0))</f>
        <v>0.0</v>
      </c>
      <c r="F511" s="58">
        <f>IF($B511&lt;&gt;"",MATCH($B511,MTName,0),$E511+MATCH($D511,INDEX(MTDesc,$E511+1):MTEnd,0))</f>
        <v>506.0</v>
      </c>
      <c r="G511" s="3" t="str">
        <f>INDEX(MTDesc,$F511)</f>
        <v>Producer subsidy phase-out applies to coal (1 = yes; v0.5.6, was Constants psi)</v>
      </c>
    </row>
    <row r="512">
      <c r="A512" s="3" t="inlineStr">
        <is>
          <t>psi|nga|all</t>
        </is>
      </c>
      <c r="B512" s="3" t="inlineStr">
        <is>
          <t>ProdSubPhaseScope_nga</t>
        </is>
      </c>
      <c r="C512" s="3" t="n"/>
      <c r="D512" s="3" t="n"/>
      <c r="E512" s="58">
        <f>IF($C512="",0,MATCH($C512,MTDesc,0))</f>
        <v>0.0</v>
      </c>
      <c r="F512" s="58">
        <f>IF($B512&lt;&gt;"",MATCH($B512,MTName,0),$E512+MATCH($D512,INDEX(MTDesc,$E512+1):MTEnd,0))</f>
        <v>507.0</v>
      </c>
      <c r="G512" s="3" t="str">
        <f>INDEX(MTDesc,$F512)</f>
        <v>Producer subsidy phase-out applies to natural gas (1 = yes; v0.5.6, was Constants psi)</v>
      </c>
    </row>
    <row r="513">
      <c r="A513" s="3" t="inlineStr">
        <is>
          <t>psi|oil|all</t>
        </is>
      </c>
      <c r="B513" s="3" t="inlineStr">
        <is>
          <t>ProdSubPhaseScope_oil</t>
        </is>
      </c>
      <c r="C513" s="3" t="n"/>
      <c r="D513" s="3" t="n"/>
      <c r="E513" s="58">
        <f>IF($C513="",0,MATCH($C513,MTDesc,0))</f>
        <v>0.0</v>
      </c>
      <c r="F513" s="58">
        <f>IF($B513&lt;&gt;"",MATCH($B513,MTName,0),$E513+MATCH($D513,INDEX(MTDesc,$E513+1):MTEnd,0))</f>
        <v>508.0</v>
      </c>
      <c r="G513" s="3" t="str">
        <f>INDEX(MTDesc,$F513)</f>
        <v>Producer subsidy phase-out applies to oil (1 = yes; v0.5.6, was Constants psi)</v>
      </c>
    </row>
    <row r="514">
      <c r="A514" s="3" t="inlineStr">
        <is>
          <t>psi|bio|all</t>
        </is>
      </c>
      <c r="B514" s="3" t="inlineStr">
        <is>
          <t>ProdSubPhaseScope_bio</t>
        </is>
      </c>
      <c r="C514" s="3" t="n"/>
      <c r="D514" s="3" t="n"/>
      <c r="E514" s="58">
        <f>IF($C514="",0,MATCH($C514,MTDesc,0))</f>
        <v>0.0</v>
      </c>
      <c r="F514" s="58">
        <f>IF($B514&lt;&gt;"",MATCH($B514,MTName,0),$E514+MATCH($D514,INDEX(MTDesc,$E514+1):MTEnd,0))</f>
        <v>509.0</v>
      </c>
      <c r="G514" s="3" t="str">
        <f>INDEX(MTDesc,$F514)</f>
        <v>Producer subsidy phase-out applies to biomass (1 = yes; v0.5.6, was Constants psi)</v>
      </c>
    </row>
    <row r="515">
      <c r="A515" s="3" t="inlineStr">
        <is>
          <t>psi|ecy|all</t>
        </is>
      </c>
      <c r="B515" s="3" t="inlineStr">
        <is>
          <t>ProdSubPhaseScope_ecy</t>
        </is>
      </c>
      <c r="C515" s="3" t="n"/>
      <c r="D515" s="3" t="n"/>
      <c r="E515" s="58">
        <f>IF($C515="",0,MATCH($C515,MTDesc,0))</f>
        <v>0.0</v>
      </c>
      <c r="F515" s="58">
        <f>IF($B515&lt;&gt;"",MATCH($B515,MTName,0),$E515+MATCH($D515,INDEX(MTDesc,$E515+1):MTEnd,0))</f>
        <v>510.0</v>
      </c>
      <c r="G515" s="3" t="str">
        <f>INDEX(MTDesc,$F515)</f>
        <v>Producer subsidy phase-out applies to electricity (1 = yes; v0.5.6, was Constants psi)</v>
      </c>
    </row>
    <row r="516">
      <c r="A516" s="3" t="inlineStr">
        <is>
          <t>AdditionalEfficiencyRoadVehicle||</t>
        </is>
      </c>
      <c r="B516" s="3" t="inlineStr">
        <is>
          <t>AdditionalEfficiencyRoadVehicle</t>
        </is>
      </c>
      <c r="C516" s="3" t="n"/>
      <c r="D516" s="3" t="n"/>
      <c r="E516" s="58">
        <f>IF($C516="",0,MATCH($C516,MTDesc,0))</f>
        <v>0.0</v>
      </c>
      <c r="F516" s="58">
        <f>IF($B516&lt;&gt;"",MATCH($B516,MTName,0),$E516+MATCH($D516,INDEX(MTDesc,$E516+1):MTEnd,0))</f>
        <v>243.0</v>
      </c>
      <c r="G516" s="3" t="str">
        <f>INDEX(MTDesc,$F516)</f>
        <v>Road vehicles</v>
      </c>
    </row>
    <row r="517">
      <c r="A517" s="3" t="inlineStr">
        <is>
          <t>AdditionalEfficiencyResidential||</t>
        </is>
      </c>
      <c r="B517" s="3" t="inlineStr">
        <is>
          <t>AdditionalEfficiencyResidential</t>
        </is>
      </c>
      <c r="C517" s="3" t="n"/>
      <c r="D517" s="3" t="n"/>
      <c r="E517" s="58">
        <f>IF($C517="",0,MATCH($C517,MTDesc,0))</f>
        <v>0.0</v>
      </c>
      <c r="F517" s="58">
        <f>IF($B517&lt;&gt;"",MATCH($B517,MTName,0),$E517+MATCH($D517,INDEX(MTDesc,$E517+1):MTEnd,0))</f>
        <v>244.0</v>
      </c>
      <c r="G517" s="3" t="str">
        <f>INDEX(MTDesc,$F517)</f>
        <v>Residential</v>
      </c>
    </row>
    <row r="518">
      <c r="A518" s="3" t="inlineStr">
        <is>
          <t>AdditionalEfficiencyIndustrial||</t>
        </is>
      </c>
      <c r="B518" s="3" t="inlineStr">
        <is>
          <t>AdditionalEfficiencyIndustrial</t>
        </is>
      </c>
      <c r="C518" s="3" t="n"/>
      <c r="D518" s="3" t="n"/>
      <c r="E518" s="58">
        <f>IF($C518="",0,MATCH($C518,MTDesc,0))</f>
        <v>0.0</v>
      </c>
      <c r="F518" s="58">
        <f>IF($B518&lt;&gt;"",MATCH($B518,MTName,0),$E518+MATCH($D518,INDEX(MTDesc,$E518+1):MTEnd,0))</f>
        <v>245.0</v>
      </c>
      <c r="G518" s="3" t="str">
        <f>INDEX(MTDesc,$F518)</f>
        <v>Industrial</v>
      </c>
    </row>
    <row r="519">
      <c r="A519" s="3" t="inlineStr">
        <is>
          <t>AlwaysExemptResLPGKer||</t>
        </is>
      </c>
      <c r="B519" s="3" t="inlineStr">
        <is>
          <t>AlwaysExemptResLPGKer</t>
        </is>
      </c>
      <c r="C519" s="3" t="n"/>
      <c r="D519" s="3" t="n"/>
      <c r="E519" s="58">
        <f>IF($C519="",0,MATCH($C519,MTDesc,0))</f>
        <v>0.0</v>
      </c>
      <c r="F519" s="58">
        <f>IF($B519&lt;&gt;"",MATCH($B519,MTName,0),$E519+MATCH($D519,INDEX(MTDesc,$E519+1):MTEnd,0))</f>
        <v>268.0</v>
      </c>
      <c r="G519" s="3" t="str">
        <f>INDEX(MTDesc,$F519)</f>
        <v>Residential LPG/kerosene always exempted</v>
      </c>
    </row>
    <row r="520">
      <c r="A520" s="3" t="inlineStr">
        <is>
          <t>CTforMethane||</t>
        </is>
      </c>
      <c r="B520" s="3" t="inlineStr">
        <is>
          <t>CTforMethane</t>
        </is>
      </c>
      <c r="C520" s="3" t="n"/>
      <c r="D520" s="3" t="n"/>
      <c r="E520" s="58">
        <f>IF($C520="",0,MATCH($C520,MTDesc,0))</f>
        <v>0.0</v>
      </c>
      <c r="F520" s="58">
        <f>IF($B520&lt;&gt;"",MATCH($B520,MTName,0),$E520+MATCH($D520,INDEX(MTDesc,$E520+1):MTEnd,0))</f>
        <v>185.0</v>
      </c>
      <c r="G520" s="3" t="str">
        <f>INDEX(MTDesc,$F520)</f>
        <v>Apply carbon tax to methane</v>
      </c>
    </row>
    <row r="521">
      <c r="A521" s="3" t="inlineStr">
        <is>
          <t>MPIntro||</t>
        </is>
      </c>
      <c r="B521" s="3" t="inlineStr">
        <is>
          <t>MPIntro</t>
        </is>
      </c>
      <c r="C521" s="3" t="n"/>
      <c r="D521" s="3" t="n"/>
      <c r="E521" s="58">
        <f>IF($C521="",0,MATCH($C521,MTDesc,0))</f>
        <v>0.0</v>
      </c>
      <c r="F521" s="58">
        <f>IF($B521&lt;&gt;"",MATCH($B521,MTName,0),$E521+MATCH($D521,INDEX(MTDesc,$E521+1):MTEnd,0))</f>
        <v>186.0</v>
      </c>
      <c r="G521" s="3" t="str">
        <f>INDEX(MTDesc,$F521)</f>
        <v>Year of methane fee introduction</v>
      </c>
    </row>
    <row r="522">
      <c r="A522" s="3" t="inlineStr">
        <is>
          <t>MPLevelStart||</t>
        </is>
      </c>
      <c r="B522" s="3" t="inlineStr">
        <is>
          <t>MPLevelStart</t>
        </is>
      </c>
      <c r="C522" s="3" t="n"/>
      <c r="D522" s="3" t="n"/>
      <c r="E522" s="58">
        <f>IF($C522="",0,MATCH($C522,MTDesc,0))</f>
        <v>0.0</v>
      </c>
      <c r="F522" s="58">
        <f>IF($B522&lt;&gt;"",MATCH($B522,MTName,0),$E522+MATCH($D522,INDEX(MTDesc,$E522+1):MTEnd,0))</f>
        <v>187.0</v>
      </c>
      <c r="G522" s="3" t="str">
        <f>INDEX(MTDesc,$F522)</f>
        <v>Starting methane fee (real USD per ton CO2eq)</v>
      </c>
    </row>
    <row r="523">
      <c r="A523" s="3" t="inlineStr">
        <is>
          <t>MPLevelTarget||</t>
        </is>
      </c>
      <c r="B523" s="3" t="inlineStr">
        <is>
          <t>MPLevelTarget</t>
        </is>
      </c>
      <c r="C523" s="3" t="n"/>
      <c r="D523" s="3" t="n"/>
      <c r="E523" s="58">
        <f>IF($C523="",0,MATCH($C523,MTDesc,0))</f>
        <v>0.0</v>
      </c>
      <c r="F523" s="58">
        <f>IF($B523&lt;&gt;"",MATCH($B523,MTName,0),$E523+MATCH($D523,INDEX(MTDesc,$E523+1):MTEnd,0))</f>
        <v>188.0</v>
      </c>
      <c r="G523" s="3" t="str">
        <f>INDEX(MTDesc,$F523)</f>
        <v>Target level of methane fee</v>
      </c>
    </row>
    <row r="524">
      <c r="A524" s="3" t="inlineStr">
        <is>
          <t>MPOutro||</t>
        </is>
      </c>
      <c r="B524" s="3" t="inlineStr">
        <is>
          <t>MPOutro</t>
        </is>
      </c>
      <c r="C524" s="3" t="n"/>
      <c r="D524" s="3" t="n"/>
      <c r="E524" s="58">
        <f>IF($C524="",0,MATCH($C524,MTDesc,0))</f>
        <v>0.0</v>
      </c>
      <c r="F524" s="58">
        <f>IF($B524&lt;&gt;"",MATCH($B524,MTName,0),$E524+MATCH($D524,INDEX(MTDesc,$E524+1):MTEnd,0))</f>
        <v>189.0</v>
      </c>
      <c r="G524" s="3" t="str">
        <f>INDEX(MTDesc,$F524)</f>
        <v>Year to reach target methane fee level</v>
      </c>
    </row>
    <row r="525">
      <c r="A525" s="3" t="inlineStr">
        <is>
          <t>AdditionMitigationPoliciesNonEnergy||</t>
        </is>
      </c>
      <c r="B525" s="3" t="inlineStr">
        <is>
          <t>AdditionMitigationPoliciesNonEnergy</t>
        </is>
      </c>
      <c r="C525" s="3" t="n"/>
      <c r="D525" s="3" t="n"/>
      <c r="E525" s="58">
        <f>IF($C525="",0,MATCH($C525,MTDesc,0))</f>
        <v>0.0</v>
      </c>
      <c r="F525" s="58">
        <f>IF($B525&lt;&gt;"",MATCH($B525,MTName,0),$E525+MATCH($D525,INDEX(MTDesc,$E525+1):MTEnd,0))</f>
        <v>207.0</v>
      </c>
      <c r="G525" s="3" t="str">
        <f>INDEX(MTDesc,$F525)</f>
        <v>Additional mitigation policies in non-energy sectors?</v>
      </c>
    </row>
    <row r="526">
      <c r="A526" s="3" t="inlineStr">
        <is>
          <t>IndustrialProcessEmissionsScaleEner||</t>
        </is>
      </c>
      <c r="B526" s="3" t="inlineStr">
        <is>
          <t>IndustrialProcessEmissionsScaleEner</t>
        </is>
      </c>
      <c r="C526" s="3" t="n"/>
      <c r="D526" s="3" t="n"/>
      <c r="E526" s="58">
        <f>IF($C526="",0,MATCH($C526,MTDesc,0))</f>
        <v>0.0</v>
      </c>
      <c r="F526" s="58">
        <f>IF($B526&lt;&gt;"",MATCH($B526,MTName,0),$E526+MATCH($D526,INDEX(MTDesc,$E526+1):MTEnd,0))</f>
        <v>239.0</v>
      </c>
      <c r="G526" s="3" t="str">
        <f>INDEX(MTDesc,$F526)</f>
        <v>Industrial process emissions scale with industrial CO2 energy emissions?</v>
      </c>
    </row>
    <row r="527">
      <c r="A527" s="3" t="inlineStr">
        <is>
          <t>LULUCFAnnualEmissionsDecline||</t>
        </is>
      </c>
      <c r="B527" s="3" t="inlineStr">
        <is>
          <t>LULUCFAnnualEmissionsDecline</t>
        </is>
      </c>
      <c r="C527" s="3" t="n"/>
      <c r="D527" s="3" t="n"/>
      <c r="E527" s="58">
        <f>IF($C527="",0,MATCH($C527,MTDesc,0))</f>
        <v>0.0</v>
      </c>
      <c r="F527" s="58">
        <f>IF($B527&lt;&gt;"",MATCH($B527,MTName,0),$E527+MATCH($D527,INDEX(MTDesc,$E527+1):MTEnd,0))</f>
        <v>240.0</v>
      </c>
      <c r="G527" s="3" t="str">
        <f>INDEX(MTDesc,$F527)</f>
        <v>LULUCF emissions decline at % pa (in absolute value of start year)?</v>
      </c>
    </row>
    <row r="528">
      <c r="A528" s="3" t="inlineStr">
        <is>
          <t>PowerSubsidyExemptInclude||</t>
        </is>
      </c>
      <c r="B528" s="3" t="inlineStr">
        <is>
          <t>PowerSubsidyExemptInclude</t>
        </is>
      </c>
      <c r="C528" s="3" t="n"/>
      <c r="D528" s="3" t="n"/>
      <c r="E528" s="58">
        <f>IF($C528="",0,MATCH($C528,MTDesc,0))</f>
        <v>0.0</v>
      </c>
      <c r="F528" s="58">
        <f>IF($B528&lt;&gt;"",MATCH($B528,MTName,0),$E528+MATCH($D528,INDEX(MTDesc,$E528+1):MTEnd,0))</f>
        <v>138.0</v>
      </c>
      <c r="G528" s="3" t="str">
        <f>INDEX(MTDesc,$F528)</f>
        <v>Include power subsidies in any phase out?</v>
      </c>
    </row>
    <row r="529">
      <c r="A529" s="3" t="inlineStr">
        <is>
          <t>SupplyCostDeltaSubsidy||</t>
        </is>
      </c>
      <c r="B529" s="3" t="inlineStr">
        <is>
          <t>SupplyCostDeltaSubsidy</t>
        </is>
      </c>
      <c r="C529" s="3" t="n"/>
      <c r="D529" s="3" t="n"/>
      <c r="E529" s="58">
        <f>IF($C529="",0,MATCH($C529,MTDesc,0))</f>
        <v>0.0</v>
      </c>
      <c r="F529" s="58">
        <f>IF($B529&lt;&gt;"",MATCH($B529,MTName,0),$E529+MATCH($D529,INDEX(MTDesc,$E529+1):MTEnd,0))</f>
        <v>351.0</v>
      </c>
      <c r="G529" s="3" t="str">
        <f>INDEX(MTDesc,$F529)</f>
        <v>Treat over/underestimate of supply costs as subsidy/tax</v>
      </c>
    </row>
    <row r="530">
      <c r="A530" s="3" t="inlineStr">
        <is>
          <t>AdditionalEfficiencyPower||</t>
        </is>
      </c>
      <c r="B530" s="3" t="inlineStr">
        <is>
          <t>AdditionalEfficiencyPower</t>
        </is>
      </c>
      <c r="C530" s="3" t="n"/>
      <c r="D530" s="3" t="n"/>
      <c r="E530" s="58">
        <f>IF($C530="",0,MATCH($C530,MTDesc,0))</f>
        <v>0.0</v>
      </c>
      <c r="F530" s="58">
        <f>IF($B530&lt;&gt;"",MATCH($B530,MTName,0),$E530+MATCH($D530,INDEX(MTDesc,$E530+1):MTEnd,0))</f>
        <v>242.0</v>
      </c>
      <c r="G530" s="3" t="str">
        <f>INDEX(MTDesc,$F530)</f>
        <v>Power</v>
      </c>
    </row>
    <row r="531">
      <c r="A531" s="3" t="inlineStr">
        <is>
          <t>IncElAdj||</t>
        </is>
      </c>
      <c r="B531" s="3" t="inlineStr">
        <is>
          <t>IncElAdj</t>
        </is>
      </c>
      <c r="C531" s="3" t="n"/>
      <c r="D531" s="3" t="n"/>
      <c r="E531" s="58">
        <f>IF($C531="",0,MATCH($C531,MTDesc,0))</f>
        <v>0.0</v>
      </c>
      <c r="F531" s="58">
        <f>IF($B531&lt;&gt;"",MATCH($B531,MTName,0),$E531+MATCH($D531,INDEX(MTDesc,$E531+1):MTEnd,0))</f>
        <v>262.0</v>
      </c>
      <c r="G531" s="3" t="str">
        <f>INDEX(MTDesc,$F531)</f>
        <v>Adjust income elasticities for GDP levels?</v>
      </c>
    </row>
    <row r="532">
      <c r="A532" s="3" t="inlineStr">
        <is>
          <t>EngineerModelProportionOfCovidFactor||</t>
        </is>
      </c>
      <c r="B532" s="3" t="inlineStr">
        <is>
          <t>EngineerModelProportionOfCovidFactor</t>
        </is>
      </c>
      <c r="C532" s="3" t="n"/>
      <c r="D532" s="3" t="n"/>
      <c r="E532" s="58">
        <f>IF($C532="",0,MATCH($C532,MTDesc,0))</f>
        <v>0.0</v>
      </c>
      <c r="F532" s="58">
        <f>IF($B532&lt;&gt;"",MATCH($B532,MTName,0),$E532+MATCH($D532,INDEX(MTDesc,$E532+1):MTEnd,0))</f>
        <v>372.0</v>
      </c>
      <c r="G532" s="3" t="str">
        <f>INDEX(MTDesc,$F532)</f>
        <v>Proportion of GHG adjustment passed on to engineer model power demand</v>
      </c>
    </row>
    <row r="533">
      <c r="A533" s="3" t="inlineStr">
        <is>
          <t>PowerRebates||</t>
        </is>
      </c>
      <c r="B533" s="3" t="inlineStr">
        <is>
          <t>PowerRebates</t>
        </is>
      </c>
      <c r="C533" s="3" t="n"/>
      <c r="D533" s="3" t="n"/>
      <c r="E533" s="58">
        <f>IF($C533="",0,MATCH($C533,MTDesc,0))</f>
        <v>0.0</v>
      </c>
      <c r="F533" s="58">
        <f>IF($B533&lt;&gt;"",MATCH($B533,MTName,0),$E533+MATCH($D533,INDEX(MTDesc,$E533+1):MTEnd,0))</f>
        <v>340.0</v>
      </c>
      <c r="G533" s="3" t="str">
        <f>INDEX(MTDesc,$F533)</f>
        <v>Power Rebate</v>
      </c>
    </row>
    <row r="534">
      <c r="A534" s="3" t="inlineStr">
        <is>
          <t>PowerSectorPriceChangePassOn||</t>
        </is>
      </c>
      <c r="B534" s="3" t="inlineStr">
        <is>
          <t>PowerSectorPriceChangePassOn</t>
        </is>
      </c>
      <c r="C534" s="3" t="n"/>
      <c r="D534" s="3" t="n"/>
      <c r="E534" s="58">
        <f>IF($C534="",0,MATCH($C534,MTDesc,0))</f>
        <v>0.0</v>
      </c>
      <c r="F534" s="58">
        <f>IF($B534&lt;&gt;"",MATCH($B534,MTName,0),$E534+MATCH($D534,INDEX(MTDesc,$E534+1):MTEnd,0))</f>
        <v>341.0</v>
      </c>
      <c r="G534" s="3" t="str">
        <f>INDEX(MTDesc,$F534)</f>
        <v>Power price: portion of cost change passed-on:</v>
      </c>
    </row>
    <row r="535">
      <c r="A535" s="3" t="inlineStr">
        <is>
          <t>AdditionalExcise||</t>
        </is>
      </c>
      <c r="B535" s="3" t="inlineStr">
        <is>
          <t>AdditionalExcise</t>
        </is>
      </c>
      <c r="C535" s="3" t="n"/>
      <c r="D535" s="3" t="n"/>
      <c r="E535" s="58">
        <f>IF($C535="",0,MATCH($C535,MTDesc,0))</f>
        <v>0.0</v>
      </c>
      <c r="F535" s="58">
        <f>IF($B535&lt;&gt;"",MATCH($B535,MTName,0),$E535+MATCH($D535,INDEX(MTDesc,$E535+1):MTEnd,0))</f>
        <v>215.0</v>
      </c>
      <c r="G535" s="3" t="str">
        <f>INDEX(MTDesc,$F535)</f>
        <v>Add additional excise tax (see 'Manual inputs' tab)?</v>
      </c>
    </row>
    <row r="536">
      <c r="A536" s="3" t="inlineStr">
        <is>
          <t>kDispatch||</t>
        </is>
      </c>
      <c r="B536" s="3" t="inlineStr">
        <is>
          <t>kDispatch</t>
        </is>
      </c>
      <c r="C536" s="3" t="n"/>
      <c r="D536" s="3" t="n"/>
      <c r="E536" s="58">
        <f>IF($C536="",0,MATCH($C536,MTDesc,0))</f>
        <v>0.0</v>
      </c>
      <c r="F536" s="58">
        <f>IF($B536&lt;&gt;"",MATCH($B536,MTName,0),$E536+MATCH($D536,INDEX(MTDesc,$E536+1):MTEnd,0))</f>
        <v>344.0</v>
      </c>
      <c r="G536" s="3" t="str">
        <f>INDEX(MTDesc,$F536)</f>
        <v>k Parameter dispatch</v>
      </c>
    </row>
    <row r="537">
      <c r="A537" s="3" t="inlineStr">
        <is>
          <t>kInvestment||</t>
        </is>
      </c>
      <c r="B537" s="3" t="inlineStr">
        <is>
          <t>kInvestment</t>
        </is>
      </c>
      <c r="C537" s="3" t="n"/>
      <c r="D537" s="3" t="n"/>
      <c r="E537" s="58">
        <f>IF($C537="",0,MATCH($C537,MTDesc,0))</f>
        <v>0.0</v>
      </c>
      <c r="F537" s="58">
        <f>IF($B537&lt;&gt;"",MATCH($B537,MTName,0),$E537+MATCH($D537,INDEX(MTDesc,$E537+1):MTEnd,0))</f>
        <v>345.0</v>
      </c>
      <c r="G537" s="3" t="str">
        <f>INDEX(MTDesc,$F537)</f>
        <v>k Parameter investment</v>
      </c>
    </row>
    <row r="538">
      <c r="A538" s="3" t="inlineStr">
        <is>
          <t>MinPostSubsidyPowerPrice||</t>
        </is>
      </c>
      <c r="B538" s="3" t="inlineStr">
        <is>
          <t>MinPostSubsidyPowerPrice</t>
        </is>
      </c>
      <c r="C538" s="3" t="n"/>
      <c r="D538" s="3" t="n"/>
      <c r="E538" s="58">
        <f>IF($C538="",0,MATCH($C538,MTDesc,0))</f>
        <v>0.0</v>
      </c>
      <c r="F538" s="58">
        <f>IF($B538&lt;&gt;"",MATCH($B538,MTName,0),$E538+MATCH($D538,INDEX(MTDesc,$E538+1):MTEnd,0))</f>
        <v>349.0</v>
      </c>
      <c r="G538" s="3" t="str">
        <f>INDEX(MTDesc,$F538)</f>
        <v>Minimum (post subsidy) generation cost $/kwh real</v>
      </c>
    </row>
    <row r="539">
      <c r="A539" s="3" t="inlineStr">
        <is>
          <t>MaximumCoalCF||</t>
        </is>
      </c>
      <c r="B539" s="3" t="inlineStr">
        <is>
          <t>MaximumCoalCF</t>
        </is>
      </c>
      <c r="C539" s="3" t="n"/>
      <c r="D539" s="3" t="n"/>
      <c r="E539" s="58">
        <f>IF($C539="",0,MATCH($C539,MTDesc,0))</f>
        <v>0.0</v>
      </c>
      <c r="F539" s="58">
        <f>IF($B539&lt;&gt;"",MATCH($B539,MTName,0),$E539+MATCH($D539,INDEX(MTDesc,$E539+1):MTEnd,0))</f>
        <v>370.0</v>
      </c>
      <c r="G539" s="3" t="str">
        <f>INDEX(MTDesc,$F539)</f>
        <v>Maximum Coal Capacity Factor</v>
      </c>
    </row>
    <row r="540">
      <c r="A540" s="3" t="inlineStr">
        <is>
          <t>MaximumGasCF||</t>
        </is>
      </c>
      <c r="B540" s="3" t="inlineStr">
        <is>
          <t>MaximumGasCF</t>
        </is>
      </c>
      <c r="C540" s="3" t="n"/>
      <c r="D540" s="3" t="n"/>
      <c r="E540" s="58">
        <f>IF($C540="",0,MATCH($C540,MTDesc,0))</f>
        <v>0.0</v>
      </c>
      <c r="F540" s="58">
        <f>IF($B540&lt;&gt;"",MATCH($B540,MTName,0),$E540+MATCH($D540,INDEX(MTDesc,$E540+1):MTEnd,0))</f>
        <v>371.0</v>
      </c>
      <c r="G540" s="3" t="str">
        <f>INDEX(MTDesc,$F540)</f>
        <v>Maximum Gas Capacity Factor</v>
      </c>
    </row>
    <row r="541">
      <c r="A541" s="3" t="inlineStr">
        <is>
          <t>UseSpotFuelPricesInEngineerModel||</t>
        </is>
      </c>
      <c r="B541" s="3" t="inlineStr">
        <is>
          <t>UseSpotFuelPricesInEngineerModel</t>
        </is>
      </c>
      <c r="C541" s="3" t="n"/>
      <c r="D541" s="3" t="n"/>
      <c r="E541" s="58">
        <f>IF($C541="",0,MATCH($C541,MTDesc,0))</f>
        <v>0.0</v>
      </c>
      <c r="F541" s="58">
        <f>IF($B541&lt;&gt;"",MATCH($B541,MTName,0),$E541+MATCH($D541,INDEX(MTDesc,$E541+1):MTEnd,0))</f>
        <v>366.0</v>
      </c>
      <c r="G541" s="3" t="str">
        <f>INDEX(MTDesc,$F541)</f>
        <v>Use Spot Fuel Prices in Engineer Power Model</v>
      </c>
    </row>
    <row r="542">
      <c r="A542" s="3" t="inlineStr">
        <is>
          <t>MinimumThermalEfficiency||</t>
        </is>
      </c>
      <c r="B542" s="3" t="inlineStr">
        <is>
          <t>MinimumThermalEfficiency</t>
        </is>
      </c>
      <c r="C542" s="3" t="n"/>
      <c r="D542" s="3" t="n"/>
      <c r="E542" s="58">
        <f>IF($C542="",0,MATCH($C542,MTDesc,0))</f>
        <v>0.0</v>
      </c>
      <c r="F542" s="58">
        <f>IF($B542&lt;&gt;"",MATCH($B542,MTName,0),$E542+MATCH($D542,INDEX(MTDesc,$E542+1):MTEnd,0))</f>
        <v>378.0</v>
      </c>
      <c r="G542" s="3" t="str">
        <f>INDEX(MTDesc,$F542)</f>
        <v>Minimum Thermal Efficiency</v>
      </c>
    </row>
    <row r="543">
      <c r="A543" s="3" t="inlineStr">
        <is>
          <t>CFOverrideIfBelowWndSol||</t>
        </is>
      </c>
      <c r="B543" s="3" t="inlineStr">
        <is>
          <t>CFOverrideIfBelowWndSol</t>
        </is>
      </c>
      <c r="C543" s="3" t="n"/>
      <c r="D543" s="3" t="n"/>
      <c r="E543" s="58">
        <f>IF($C543="",0,MATCH($C543,MTDesc,0))</f>
        <v>0.0</v>
      </c>
      <c r="F543" s="58">
        <f>IF($B543&lt;&gt;"",MATCH($B543,MTName,0),$E543+MATCH($D543,INDEX(MTDesc,$E543+1):MTEnd,0))</f>
        <v>373.0</v>
      </c>
      <c r="G543" s="3" t="str">
        <f>INDEX(MTDesc,$F543)</f>
        <v>Override Capacity Factor if below (Wind and Solar)</v>
      </c>
    </row>
    <row r="544">
      <c r="A544" s="3" t="inlineStr">
        <is>
          <t>CFOverrideIfBelowFosOth||</t>
        </is>
      </c>
      <c r="B544" s="3" t="inlineStr">
        <is>
          <t>CFOverrideIfBelowFosOth</t>
        </is>
      </c>
      <c r="C544" s="3" t="n"/>
      <c r="D544" s="3" t="n"/>
      <c r="E544" s="58">
        <f>IF($C544="",0,MATCH($C544,MTDesc,0))</f>
        <v>0.0</v>
      </c>
      <c r="F544" s="58">
        <f>IF($B544&lt;&gt;"",MATCH($B544,MTName,0),$E544+MATCH($D544,INDEX(MTDesc,$E544+1):MTEnd,0))</f>
        <v>374.0</v>
      </c>
      <c r="G544" s="3" t="str">
        <f>INDEX(MTDesc,$F544)</f>
        <v>Override Capacity Factor if below (Others)</v>
      </c>
    </row>
    <row r="545">
      <c r="A545" s="3" t="inlineStr">
        <is>
          <t>CFOverrideIfAbove||</t>
        </is>
      </c>
      <c r="B545" s="3" t="inlineStr">
        <is>
          <t>CFOverrideIfAbove</t>
        </is>
      </c>
      <c r="C545" s="3" t="n"/>
      <c r="D545" s="3" t="n"/>
      <c r="E545" s="58">
        <f>IF($C545="",0,MATCH($C545,MTDesc,0))</f>
        <v>0.0</v>
      </c>
      <c r="F545" s="58">
        <f>IF($B545&lt;&gt;"",MATCH($B545,MTName,0),$E545+MATCH($D545,INDEX(MTDesc,$E545+1):MTEnd,0))</f>
        <v>375.0</v>
      </c>
      <c r="G545" s="3" t="str">
        <f>INDEX(MTDesc,$F545)</f>
        <v>Override Capacity Factor if below (All)</v>
      </c>
    </row>
    <row r="546">
      <c r="A546" s="3" t="inlineStr">
        <is>
          <t>WACCSource||</t>
        </is>
      </c>
      <c r="B546" s="3" t="inlineStr">
        <is>
          <t>WACCSource</t>
        </is>
      </c>
      <c r="C546" s="3" t="n"/>
      <c r="D546" s="3" t="n"/>
      <c r="E546" s="58">
        <f>IF($C546="",0,MATCH($C546,MTDesc,0))</f>
        <v>0.0</v>
      </c>
      <c r="F546" s="58">
        <f>IF($B546&lt;&gt;"",MATCH($B546,MTName,0),$E546+MATCH($D546,INDEX(MTDesc,$E546+1):MTEnd,0))</f>
        <v>363.0</v>
      </c>
      <c r="G546" s="3" t="str">
        <f>INDEX(MTDesc,$F546)</f>
        <v>Cost of capital: User-defined, Inc-dep,  or Tech-dep?</v>
      </c>
    </row>
    <row r="547">
      <c r="A547" s="3" t="inlineStr">
        <is>
          <t>WACCUserGlobal||</t>
        </is>
      </c>
      <c r="B547" s="3" t="inlineStr">
        <is>
          <t>WACCUserGlobal</t>
        </is>
      </c>
      <c r="C547" s="3" t="n"/>
      <c r="D547" s="3" t="n"/>
      <c r="E547" s="58">
        <f>IF($C547="",0,MATCH($C547,MTDesc,0))</f>
        <v>0.0</v>
      </c>
      <c r="F547" s="58">
        <f>IF($B547&lt;&gt;"",MATCH($B547,MTName,0),$E547+MATCH($D547,INDEX(MTDesc,$E547+1):MTEnd,0))</f>
        <v>364.0</v>
      </c>
      <c r="G547" s="3" t="str">
        <f>INDEX(MTDesc,$F547)</f>
        <v>If Global, what Value?</v>
      </c>
    </row>
    <row r="548">
      <c r="A548" s="3" t="inlineStr">
        <is>
          <t>MinimumWACC||</t>
        </is>
      </c>
      <c r="B548" s="3" t="inlineStr">
        <is>
          <t>MinimumWACC</t>
        </is>
      </c>
      <c r="C548" s="3" t="n"/>
      <c r="D548" s="3" t="n"/>
      <c r="E548" s="58">
        <f>IF($C548="",0,MATCH($C548,MTDesc,0))</f>
        <v>0.0</v>
      </c>
      <c r="F548" s="58">
        <f>IF($B548&lt;&gt;"",MATCH($B548,MTName,0),$E548+MATCH($D548,INDEX(MTDesc,$E548+1):MTEnd,0))</f>
        <v>346.0</v>
      </c>
      <c r="G548" s="3" t="str">
        <f>INDEX(MTDesc,$F548)</f>
        <v>Minimum WACC</v>
      </c>
    </row>
    <row r="549">
      <c r="A549" s="3" t="inlineStr">
        <is>
          <t>RenewableCostDeclineRate||</t>
        </is>
      </c>
      <c r="B549" s="3" t="inlineStr">
        <is>
          <t>RenewableCostDeclineRate</t>
        </is>
      </c>
      <c r="C549" s="3" t="n"/>
      <c r="D549" s="3" t="n"/>
      <c r="E549" s="58">
        <f>IF($C549="",0,MATCH($C549,MTDesc,0))</f>
        <v>0.0</v>
      </c>
      <c r="F549" s="58">
        <f>IF($B549&lt;&gt;"",MATCH($B549,MTName,0),$E549+MATCH($D549,INDEX(MTDesc,$E549+1):MTEnd,0))</f>
        <v>365.0</v>
      </c>
      <c r="G549" s="3" t="str">
        <f>INDEX(MTDesc,$F549)</f>
        <v>Renewable Cost Declines</v>
      </c>
    </row>
    <row r="550">
      <c r="A550" s="3" t="inlineStr">
        <is>
          <t>HydroDoesntRetire||</t>
        </is>
      </c>
      <c r="B550" s="3" t="inlineStr">
        <is>
          <t>HydroDoesntRetire</t>
        </is>
      </c>
      <c r="C550" s="3" t="n"/>
      <c r="D550" s="3" t="n"/>
      <c r="E550" s="58">
        <f>IF($C550="",0,MATCH($C550,MTDesc,0))</f>
        <v>0.0</v>
      </c>
      <c r="F550" s="58">
        <f>IF($B550&lt;&gt;"",MATCH($B550,MTName,0),$E550+MATCH($D550,INDEX(MTDesc,$E550+1):MTEnd,0))</f>
        <v>348.0</v>
      </c>
      <c r="G550" s="3" t="str">
        <f>INDEX(MTDesc,$F550)</f>
        <v>Hydro retirement rate set to zero</v>
      </c>
    </row>
    <row r="551">
      <c r="A551" s="3" t="inlineStr">
        <is>
          <t>MaxCostBasedEarlyRetirement||</t>
        </is>
      </c>
      <c r="B551" s="3" t="inlineStr">
        <is>
          <t>MaxCostBasedEarlyRetirement</t>
        </is>
      </c>
      <c r="C551" s="3" t="n"/>
      <c r="D551" s="3" t="n"/>
      <c r="E551" s="58">
        <f>IF($C551="",0,MATCH($C551,MTDesc,0))</f>
        <v>0.0</v>
      </c>
      <c r="F551" s="58">
        <f>IF($B551&lt;&gt;"",MATCH($B551,MTName,0),$E551+MATCH($D551,INDEX(MTDesc,$E551+1):MTEnd,0))</f>
        <v>376.0</v>
      </c>
      <c r="G551" s="3" t="str">
        <f>INDEX(MTDesc,$F551)</f>
        <v>Proportion of coal capacity that can be retired</v>
      </c>
    </row>
    <row r="552">
      <c r="A552" s="3" t="inlineStr">
        <is>
          <t>EarlyRetirementInBaseline||</t>
        </is>
      </c>
      <c r="B552" s="3" t="inlineStr">
        <is>
          <t>EarlyRetirementInBaseline</t>
        </is>
      </c>
      <c r="C552" s="3" t="n"/>
      <c r="D552" s="3" t="n"/>
      <c r="E552" s="58">
        <f>IF($C552="",0,MATCH($C552,MTDesc,0))</f>
        <v>0.0</v>
      </c>
      <c r="F552" s="58">
        <f>IF($B552&lt;&gt;"",MATCH($B552,MTName,0),$E552+MATCH($D552,INDEX(MTDesc,$E552+1):MTEnd,0))</f>
        <v>377.0</v>
      </c>
      <c r="G552" s="3" t="str">
        <f>INDEX(MTDesc,$F552)</f>
        <v>Allow cost-based coal phaseout in baseline?</v>
      </c>
    </row>
    <row r="553">
      <c r="A553" s="3" t="inlineStr">
        <is>
          <t>MaxNonVREAsPCOfTotalGen||</t>
        </is>
      </c>
      <c r="B553" s="3" t="inlineStr">
        <is>
          <t>MaxNonVREAsPCOfTotalGen</t>
        </is>
      </c>
      <c r="C553" s="3" t="n"/>
      <c r="D553" s="3" t="n"/>
      <c r="E553" s="58">
        <f>IF($C553="",0,MATCH($C553,MTDesc,0))</f>
        <v>0.0</v>
      </c>
      <c r="F553" s="58">
        <f>IF($B553&lt;&gt;"",MATCH($B553,MTName,0),$E553+MATCH($D553,INDEX(MTDesc,$E553+1):MTEnd,0))</f>
        <v>357.0</v>
      </c>
      <c r="G553" s="3" t="str">
        <f>INDEX(MTDesc,$F553)</f>
        <v>Max new investment in coal/gas/hyd as a percentage of total generation</v>
      </c>
    </row>
    <row r="554">
      <c r="A554" s="3" t="inlineStr">
        <is>
          <t>MaxNonNucOreBioAsPCOfTotalGen||</t>
        </is>
      </c>
      <c r="B554" s="3" t="inlineStr">
        <is>
          <t>MaxNonNucOreBioAsPCOfTotalGen</t>
        </is>
      </c>
      <c r="C554" s="3" t="n"/>
      <c r="D554" s="3" t="n"/>
      <c r="E554" s="58">
        <f>IF($C554="",0,MATCH($C554,MTDesc,0))</f>
        <v>0.0</v>
      </c>
      <c r="F554" s="58">
        <f>IF($B554&lt;&gt;"",MATCH($B554,MTName,0),$E554+MATCH($D554,INDEX(MTDesc,$E554+1):MTEnd,0))</f>
        <v>358.0</v>
      </c>
      <c r="G554" s="3" t="str">
        <f>INDEX(MTDesc,$F554)</f>
        <v>Max new investment oil/nucl/ore/bio as a percentage of total generation</v>
      </c>
    </row>
    <row r="555">
      <c r="A555" s="3" t="inlineStr">
        <is>
          <t>MaxWindSolarScaleup||</t>
        </is>
      </c>
      <c r="B555" s="3" t="inlineStr">
        <is>
          <t>MaxWindSolarScaleup</t>
        </is>
      </c>
      <c r="C555" s="3" t="n"/>
      <c r="D555" s="3" t="n"/>
      <c r="E555" s="58">
        <f>IF($C555="",0,MATCH($C555,MTDesc,0))</f>
        <v>0.0</v>
      </c>
      <c r="F555" s="58">
        <f>IF($B555&lt;&gt;"",MATCH($B555,MTName,0),$E555+MATCH($D555,INDEX(MTDesc,$E555+1):MTEnd,0))</f>
        <v>359.0</v>
      </c>
      <c r="G555" s="3" t="str">
        <f>INDEX(MTDesc,$F555)</f>
        <v>User-Defined Setting for VRE Max-Scale up (if used)</v>
      </c>
    </row>
    <row r="556">
      <c r="A556" s="3" t="inlineStr">
        <is>
          <t>MaxScaleUpRateCategory||</t>
        </is>
      </c>
      <c r="B556" s="3" t="inlineStr">
        <is>
          <t>MaxScaleUpRateCategory</t>
        </is>
      </c>
      <c r="C556" s="3" t="n"/>
      <c r="D556" s="3" t="n"/>
      <c r="E556" s="58">
        <f>IF($C556="",0,MATCH($C556,MTDesc,0))</f>
        <v>0.0</v>
      </c>
      <c r="F556" s="58">
        <f>IF($B556&lt;&gt;"",MATCH($B556,MTName,0),$E556+MATCH($D556,INDEX(MTDesc,$E556+1):MTEnd,0))</f>
        <v>360.0</v>
      </c>
      <c r="G556" s="3" t="str">
        <f>INDEX(MTDesc,$F556)</f>
        <v>Max renewable scaleup rate setting</v>
      </c>
    </row>
    <row r="557">
      <c r="A557" s="3" t="inlineStr">
        <is>
          <t>AllocateSTStorageToVRE||</t>
        </is>
      </c>
      <c r="B557" s="3" t="inlineStr">
        <is>
          <t>AllocateSTStorageToVRE</t>
        </is>
      </c>
      <c r="C557" s="3" t="n"/>
      <c r="D557" s="3" t="n"/>
      <c r="E557" s="58">
        <f>IF($C557="",0,MATCH($C557,MTDesc,0))</f>
        <v>0.0</v>
      </c>
      <c r="F557" s="58">
        <f>IF($B557&lt;&gt;"",MATCH($B557,MTName,0),$E557+MATCH($D557,INDEX(MTDesc,$E557+1):MTEnd,0))</f>
        <v>386.0</v>
      </c>
      <c r="G557" s="3" t="str">
        <f>INDEX(MTDesc,$F557)</f>
        <v>Percent allocation of ST storage costs to VRE</v>
      </c>
    </row>
    <row r="558">
      <c r="A558" s="3" t="inlineStr">
        <is>
          <t>TotalHoursStorageFor100pcVRE||</t>
        </is>
      </c>
      <c r="B558" s="3" t="inlineStr">
        <is>
          <t>TotalHoursStorageFor100pcVRE</t>
        </is>
      </c>
      <c r="C558" s="3" t="n"/>
      <c r="D558" s="3" t="n"/>
      <c r="E558" s="58">
        <f>IF($C558="",0,MATCH($C558,MTDesc,0))</f>
        <v>0.0</v>
      </c>
      <c r="F558" s="58">
        <f>IF($B558&lt;&gt;"",MATCH($B558,MTName,0),$E558+MATCH($D558,INDEX(MTDesc,$E558+1):MTEnd,0))</f>
        <v>387.0</v>
      </c>
      <c r="G558" s="3" t="str">
        <f>INDEX(MTDesc,$F558)</f>
        <v>Total hours short term strorage for 100% VRE</v>
      </c>
    </row>
    <row r="559">
      <c r="A559" s="3" t="inlineStr">
        <is>
          <t>StorageToInterfaceRatioSTStorage||</t>
        </is>
      </c>
      <c r="B559" s="3" t="inlineStr">
        <is>
          <t>StorageToInterfaceRatioSTStorage</t>
        </is>
      </c>
      <c r="C559" s="3" t="n"/>
      <c r="D559" s="3" t="n"/>
      <c r="E559" s="58">
        <f>IF($C559="",0,MATCH($C559,MTDesc,0))</f>
        <v>0.0</v>
      </c>
      <c r="F559" s="58">
        <f>IF($B559&lt;&gt;"",MATCH($B559,MTName,0),$E559+MATCH($D559,INDEX(MTDesc,$E559+1):MTEnd,0))</f>
        <v>388.0</v>
      </c>
      <c r="G559" s="3" t="str">
        <f>INDEX(MTDesc,$F559)</f>
        <v>kwh storage to kw interface ratio (hours)</v>
      </c>
    </row>
    <row r="560">
      <c r="A560" s="3" t="inlineStr">
        <is>
          <t>AllocateLTStorageToVRE||</t>
        </is>
      </c>
      <c r="B560" s="3" t="inlineStr">
        <is>
          <t>AllocateLTStorageToVRE</t>
        </is>
      </c>
      <c r="C560" s="3" t="n"/>
      <c r="D560" s="3" t="n"/>
      <c r="E560" s="58">
        <f>IF($C560="",0,MATCH($C560,MTDesc,0))</f>
        <v>0.0</v>
      </c>
      <c r="F560" s="58">
        <f>IF($B560&lt;&gt;"",MATCH($B560,MTName,0),$E560+MATCH($D560,INDEX(MTDesc,$E560+1):MTEnd,0))</f>
        <v>390.0</v>
      </c>
      <c r="G560" s="3" t="str">
        <f>INDEX(MTDesc,$F560)</f>
        <v>Percent allocation of LT storage costs to VRE</v>
      </c>
    </row>
    <row r="561">
      <c r="A561" s="3" t="inlineStr">
        <is>
          <t>StartingPointWhenLTStorageIsNeeded||</t>
        </is>
      </c>
      <c r="B561" s="3" t="inlineStr">
        <is>
          <t>StartingPointWhenLTStorageIsNeeded</t>
        </is>
      </c>
      <c r="C561" s="3" t="n"/>
      <c r="D561" s="3" t="n"/>
      <c r="E561" s="58">
        <f>IF($C561="",0,MATCH($C561,MTDesc,0))</f>
        <v>0.0</v>
      </c>
      <c r="F561" s="58">
        <f>IF($B561&lt;&gt;"",MATCH($B561,MTName,0),$E561+MATCH($D561,INDEX(MTDesc,$E561+1):MTEnd,0))</f>
        <v>391.0</v>
      </c>
      <c r="G561" s="3" t="str">
        <f>INDEX(MTDesc,$F561)</f>
        <v>Starting point of long term storage requirement (%VRE)</v>
      </c>
    </row>
    <row r="562">
      <c r="A562" s="3" t="inlineStr">
        <is>
          <t>LongTermStorageFor100pcVRE||</t>
        </is>
      </c>
      <c r="B562" s="3" t="inlineStr">
        <is>
          <t>LongTermStorageFor100pcVRE</t>
        </is>
      </c>
      <c r="C562" s="3" t="n"/>
      <c r="D562" s="3" t="n"/>
      <c r="E562" s="58">
        <f>IF($C562="",0,MATCH($C562,MTDesc,0))</f>
        <v>0.0</v>
      </c>
      <c r="F562" s="58">
        <f>IF($B562&lt;&gt;"",MATCH($B562,MTName,0),$E562+MATCH($D562,INDEX(MTDesc,$E562+1):MTEnd,0))</f>
        <v>392.0</v>
      </c>
      <c r="G562" s="3" t="str">
        <f>INDEX(MTDesc,$F562)</f>
        <v>GW electrolyzer per Gwy/y for 100% VRE (%)</v>
      </c>
    </row>
    <row r="563">
      <c r="A563" s="3" t="inlineStr">
        <is>
          <t>StorageHoursForLTStorage||</t>
        </is>
      </c>
      <c r="B563" s="3" t="inlineStr">
        <is>
          <t>StorageHoursForLTStorage</t>
        </is>
      </c>
      <c r="C563" s="3" t="n"/>
      <c r="D563" s="3" t="n"/>
      <c r="E563" s="58">
        <f>IF($C563="",0,MATCH($C563,MTDesc,0))</f>
        <v>0.0</v>
      </c>
      <c r="F563" s="58">
        <f>IF($B563&lt;&gt;"",MATCH($B563,MTName,0),$E563+MATCH($D563,INDEX(MTDesc,$E563+1):MTEnd,0))</f>
        <v>393.0</v>
      </c>
      <c r="G563" s="3" t="str">
        <f>INDEX(MTDesc,$F563)</f>
        <v>Storage hours for LT storage</v>
      </c>
    </row>
    <row r="564">
      <c r="A564" s="3" t="inlineStr">
        <is>
          <t>PPAProportionCoalGas||</t>
        </is>
      </c>
      <c r="B564" s="3" t="inlineStr">
        <is>
          <t>PPAProportionCoalGas</t>
        </is>
      </c>
      <c r="C564" s="3" t="n"/>
      <c r="D564" s="3" t="n"/>
      <c r="E564" s="58">
        <f>IF($C564="",0,MATCH($C564,MTDesc,0))</f>
        <v>0.0</v>
      </c>
      <c r="F564" s="58">
        <f>IF($B564&lt;&gt;"",MATCH($B564,MTName,0),$E564+MATCH($D564,INDEX(MTDesc,$E564+1):MTEnd,0))</f>
        <v>380.0</v>
      </c>
      <c r="G564" s="3" t="str">
        <f>INDEX(MTDesc,$F564)</f>
        <v>Proportion of PPAs in Coal and Gas Generation</v>
      </c>
    </row>
    <row r="565">
      <c r="A565" s="3" t="inlineStr">
        <is>
          <t>PhaseOutCoalAndGasPPAsBaseline||</t>
        </is>
      </c>
      <c r="B565" s="3" t="inlineStr">
        <is>
          <t>PhaseOutCoalAndGasPPAsBaseline</t>
        </is>
      </c>
      <c r="C565" s="3" t="n"/>
      <c r="D565" s="3" t="n"/>
      <c r="E565" s="58">
        <f>IF($C565="",0,MATCH($C565,MTDesc,0))</f>
        <v>0.0</v>
      </c>
      <c r="F565" s="58">
        <f>IF($B565&lt;&gt;"",MATCH($B565,MTName,0),$E565+MATCH($D565,INDEX(MTDesc,$E565+1):MTEnd,0))</f>
        <v>381.0</v>
      </c>
      <c r="G565" s="3" t="str">
        <f>INDEX(MTDesc,$F565)</f>
        <v>Phase out any coal and gas PPAs? (Baseline)</v>
      </c>
    </row>
    <row r="566">
      <c r="A566" s="3" t="inlineStr">
        <is>
          <t>PhaseOutCoalAndGasPPAsPolicy||</t>
        </is>
      </c>
      <c r="B566" s="3" t="inlineStr">
        <is>
          <t>PhaseOutCoalAndGasPPAsPolicy</t>
        </is>
      </c>
      <c r="C566" s="3" t="n"/>
      <c r="D566" s="3" t="n"/>
      <c r="E566" s="58">
        <f>IF($C566="",0,MATCH($C566,MTDesc,0))</f>
        <v>0.0</v>
      </c>
      <c r="F566" s="58">
        <f>IF($B566&lt;&gt;"",MATCH($B566,MTName,0),$E566+MATCH($D566,INDEX(MTDesc,$E566+1):MTEnd,0))</f>
        <v>382.0</v>
      </c>
      <c r="G566" s="3" t="str">
        <f>INDEX(MTDesc,$F566)</f>
        <v>Phase out any coal and gas PPAs? (Policy)</v>
      </c>
    </row>
    <row r="567">
      <c r="A567" s="3" t="inlineStr">
        <is>
          <t>YearPPACoalGas||</t>
        </is>
      </c>
      <c r="B567" s="3" t="inlineStr">
        <is>
          <t>YearPPACoalGas</t>
        </is>
      </c>
      <c r="C567" s="3" t="n"/>
      <c r="D567" s="3" t="n"/>
      <c r="E567" s="58">
        <f>IF($C567="",0,MATCH($C567,MTDesc,0))</f>
        <v>0.0</v>
      </c>
      <c r="F567" s="58">
        <f>IF($B567&lt;&gt;"",MATCH($B567,MTName,0),$E567+MATCH($D567,INDEX(MTDesc,$E567+1):MTEnd,0))</f>
        <v>383.0</v>
      </c>
      <c r="G567" s="3" t="str">
        <f>INDEX(MTDesc,$F567)</f>
        <v>Phase begins when?</v>
      </c>
    </row>
    <row r="568">
      <c r="A568" s="3" t="inlineStr">
        <is>
          <t>YearsToPhaseOutPPAs||</t>
        </is>
      </c>
      <c r="B568" s="3" t="inlineStr">
        <is>
          <t>YearsToPhaseOutPPAs</t>
        </is>
      </c>
      <c r="C568" s="3" t="n"/>
      <c r="D568" s="3" t="n"/>
      <c r="E568" s="58">
        <f>IF($C568="",0,MATCH($C568,MTDesc,0))</f>
        <v>0.0</v>
      </c>
      <c r="F568" s="58">
        <f>IF($B568&lt;&gt;"",MATCH($B568,MTName,0),$E568+MATCH($D568,INDEX(MTDesc,$E568+1):MTEnd,0))</f>
        <v>384.0</v>
      </c>
      <c r="G568" s="3" t="str">
        <f>INDEX(MTDesc,$F568)</f>
        <v>Phase out coal and gas PPAs over n years?</v>
      </c>
    </row>
    <row r="569">
      <c r="A569" s="3" t="inlineStr">
        <is>
          <t>RenewableSubsidyBL||</t>
        </is>
      </c>
      <c r="B569" s="3" t="inlineStr">
        <is>
          <t>RenewableSubsidyBL</t>
        </is>
      </c>
      <c r="C569" s="3" t="n"/>
      <c r="D569" s="3" t="n"/>
      <c r="E569" s="58">
        <f>IF($C569="",0,MATCH($C569,MTDesc,0))</f>
        <v>0.0</v>
      </c>
      <c r="F569" s="58">
        <f>IF($B569&lt;&gt;"",MATCH($B569,MTName,0),$E569+MATCH($D569,INDEX(MTDesc,$E569+1):MTEnd,0))</f>
        <v>352.0</v>
      </c>
      <c r="G569" s="3" t="str">
        <f>INDEX(MTDesc,$F569)</f>
        <v>Baseline renewable energy subsidy, $/kwh nom</v>
      </c>
    </row>
    <row r="570">
      <c r="A570" s="3" t="inlineStr">
        <is>
          <t>RenSubsidyAddUSDkwh||</t>
        </is>
      </c>
      <c r="B570" s="3" t="inlineStr">
        <is>
          <t>RenSubsidyAddUSDkwh</t>
        </is>
      </c>
      <c r="C570" s="3" t="n"/>
      <c r="D570" s="3" t="n"/>
      <c r="E570" s="58">
        <f>IF($C570="",0,MATCH($C570,MTDesc,0))</f>
        <v>0.0</v>
      </c>
      <c r="F570" s="58">
        <f>IF($B570&lt;&gt;"",MATCH($B570,MTName,0),$E570+MATCH($D570,INDEX(MTDesc,$E570+1):MTEnd,0))</f>
        <v>353.0</v>
      </c>
      <c r="G570" s="3" t="str">
        <f>INDEX(MTDesc,$F570)</f>
        <v>New renewable energy subsidy, $/kwh nom</v>
      </c>
    </row>
    <row r="571">
      <c r="A571" s="3" t="inlineStr">
        <is>
          <t>RenSubsidyAddPhaseoutYrs||</t>
        </is>
      </c>
      <c r="B571" s="3" t="inlineStr">
        <is>
          <t>RenSubsidyAddPhaseoutYrs</t>
        </is>
      </c>
      <c r="C571" s="3" t="n"/>
      <c r="D571" s="3" t="n"/>
      <c r="E571" s="58">
        <f>IF($C571="",0,MATCH($C571,MTDesc,0))</f>
        <v>0.0</v>
      </c>
      <c r="F571" s="58">
        <f>IF($B571&lt;&gt;"",MATCH($B571,MTName,0),$E571+MATCH($D571,INDEX(MTDesc,$E571+1):MTEnd,0))</f>
        <v>354.0</v>
      </c>
      <c r="G571" s="3" t="str">
        <f>INDEX(MTDesc,$F571)</f>
        <v>New renewable energy subsidy, phaseout</v>
      </c>
    </row>
    <row r="572">
      <c r="A572" s="3" t="inlineStr">
        <is>
          <t>RenSubsidyAddStartYear||</t>
        </is>
      </c>
      <c r="B572" s="3" t="inlineStr">
        <is>
          <t>RenSubsidyAddStartYear</t>
        </is>
      </c>
      <c r="C572" s="3" t="n"/>
      <c r="D572" s="3" t="n"/>
      <c r="E572" s="58">
        <f>IF($C572="",0,MATCH($C572,MTDesc,0))</f>
        <v>0.0</v>
      </c>
      <c r="F572" s="58">
        <f>IF($B572&lt;&gt;"",MATCH($B572,MTName,0),$E572+MATCH($D572,INDEX(MTDesc,$E572+1):MTEnd,0))</f>
        <v>480.0</v>
      </c>
      <c r="G572" s="3" t="str">
        <f>INDEX(MTDesc,$F572)</f>
        <v>New renewable energy subsidy: year it starts (v0.5.4; legacy reads the consumer subsidy phase-out year YearConsSubPha, bug L107)</v>
      </c>
    </row>
    <row r="573">
      <c r="A573" s="3" t="inlineStr">
        <is>
          <t>RenewableSubsidyHydro||</t>
        </is>
      </c>
      <c r="B573" s="3" t="inlineStr">
        <is>
          <t>RenewableSubsidyHydro</t>
        </is>
      </c>
      <c r="C573" s="3" t="n"/>
      <c r="D573" s="3" t="n"/>
      <c r="E573" s="58">
        <f>IF($C573="",0,MATCH($C573,MTDesc,0))</f>
        <v>0.0</v>
      </c>
      <c r="F573" s="58">
        <f>IF($B573&lt;&gt;"",MATCH($B573,MTName,0),$E573+MATCH($D573,INDEX(MTDesc,$E573+1):MTEnd,0))</f>
        <v>355.0</v>
      </c>
      <c r="G573" s="3" t="str">
        <f>INDEX(MTDesc,$F573)</f>
        <v>Apply additional RE subsidy to hydroelectric power?</v>
      </c>
    </row>
    <row r="574">
      <c r="A574" s="3" t="inlineStr">
        <is>
          <t>AdditionalCoalIntangibleCost||</t>
        </is>
      </c>
      <c r="B574" s="3" t="inlineStr">
        <is>
          <t>AdditionalCoalIntangibleCost</t>
        </is>
      </c>
      <c r="C574" s="3" t="n"/>
      <c r="D574" s="3" t="n"/>
      <c r="E574" s="58">
        <f>IF($C574="",0,MATCH($C574,MTDesc,0))</f>
        <v>0.0</v>
      </c>
      <c r="F574" s="58">
        <f>IF($B574&lt;&gt;"",MATCH($B574,MTName,0),$E574+MATCH($D574,INDEX(MTDesc,$E574+1):MTEnd,0))</f>
        <v>367.0</v>
      </c>
      <c r="G574" s="3" t="str">
        <f>INDEX(MTDesc,$F574)</f>
        <v>Use Additional Coal Intangible Cost</v>
      </c>
    </row>
    <row r="575">
      <c r="A575" s="3" t="inlineStr">
        <is>
          <t>ManualCoalIntangibleCostST||</t>
        </is>
      </c>
      <c r="B575" s="3" t="inlineStr">
        <is>
          <t>ManualCoalIntangibleCostST</t>
        </is>
      </c>
      <c r="C575" s="3" t="n"/>
      <c r="D575" s="3" t="n"/>
      <c r="E575" s="58">
        <f>IF($C575="",0,MATCH($C575,MTDesc,0))</f>
        <v>0.0</v>
      </c>
      <c r="F575" s="58">
        <f>IF($B575&lt;&gt;"",MATCH($B575,MTName,0),$E575+MATCH($D575,INDEX(MTDesc,$E575+1):MTEnd,0))</f>
        <v>368.0</v>
      </c>
      <c r="G575" s="3" t="str">
        <f>INDEX(MTDesc,$F575)</f>
        <v>Manual Coal Intangible Cost (short term)</v>
      </c>
    </row>
    <row r="576">
      <c r="A576" s="3" t="inlineStr">
        <is>
          <t>ManualCoalIntangibleCostLT||</t>
        </is>
      </c>
      <c r="B576" s="3" t="inlineStr">
        <is>
          <t>ManualCoalIntangibleCostLT</t>
        </is>
      </c>
      <c r="C576" s="3" t="n"/>
      <c r="D576" s="3" t="n"/>
      <c r="E576" s="58">
        <f>IF($C576="",0,MATCH($C576,MTDesc,0))</f>
        <v>0.0</v>
      </c>
      <c r="F576" s="58">
        <f>IF($B576&lt;&gt;"",MATCH($B576,MTName,0),$E576+MATCH($D576,INDEX(MTDesc,$E576+1):MTEnd,0))</f>
        <v>369.0</v>
      </c>
      <c r="G576" s="3" t="str">
        <f>INDEX(MTDesc,$F576)</f>
        <v>Manual Coal Intangible Cost (long term)</v>
      </c>
    </row>
    <row r="577">
      <c r="A577" s="3" t="inlineStr">
        <is>
          <t>NewInvCoa||</t>
        </is>
      </c>
      <c r="B577" s="3" t="inlineStr">
        <is>
          <t>NewInvCoa</t>
        </is>
      </c>
      <c r="C577" s="3" t="n"/>
      <c r="D577" s="3" t="n"/>
      <c r="E577" s="58">
        <f>IF($C577="",0,MATCH($C577,MTDesc,0))</f>
        <v>0.0</v>
      </c>
      <c r="F577" s="58">
        <f>IF($B577&lt;&gt;"",MATCH($B577,MTName,0),$E577+MATCH($D577,INDEX(MTDesc,$E577+1):MTEnd,0))</f>
        <v>395.0</v>
      </c>
      <c r="G577" s="3" t="str">
        <f>INDEX(MTDesc,$F577)</f>
        <v>Coal - New Investment Override</v>
      </c>
    </row>
    <row r="578">
      <c r="A578" s="3" t="inlineStr">
        <is>
          <t>NewInvNga||</t>
        </is>
      </c>
      <c r="B578" s="3" t="inlineStr">
        <is>
          <t>NewInvNga</t>
        </is>
      </c>
      <c r="C578" s="3" t="n"/>
      <c r="D578" s="3" t="n"/>
      <c r="E578" s="58">
        <f>IF($C578="",0,MATCH($C578,MTDesc,0))</f>
        <v>0.0</v>
      </c>
      <c r="F578" s="58">
        <f>IF($B578&lt;&gt;"",MATCH($B578,MTName,0),$E578+MATCH($D578,INDEX(MTDesc,$E578+1):MTEnd,0))</f>
        <v>396.0</v>
      </c>
      <c r="G578" s="3" t="str">
        <f>INDEX(MTDesc,$F578)</f>
        <v>Natural gas - New Investment Override</v>
      </c>
    </row>
    <row r="579">
      <c r="A579" s="3" t="inlineStr">
        <is>
          <t>NewInvOil||</t>
        </is>
      </c>
      <c r="B579" s="3" t="inlineStr">
        <is>
          <t>NewInvOil</t>
        </is>
      </c>
      <c r="C579" s="3" t="n"/>
      <c r="D579" s="3" t="n"/>
      <c r="E579" s="58">
        <f>IF($C579="",0,MATCH($C579,MTDesc,0))</f>
        <v>0.0</v>
      </c>
      <c r="F579" s="58">
        <f>IF($B579&lt;&gt;"",MATCH($B579,MTName,0),$E579+MATCH($D579,INDEX(MTDesc,$E579+1):MTEnd,0))</f>
        <v>397.0</v>
      </c>
      <c r="G579" s="3" t="str">
        <f>INDEX(MTDesc,$F579)</f>
        <v>Oil - New Investment Override</v>
      </c>
    </row>
    <row r="580">
      <c r="A580" s="3" t="inlineStr">
        <is>
          <t>NewInvNuc||</t>
        </is>
      </c>
      <c r="B580" s="3" t="inlineStr">
        <is>
          <t>NewInvNuc</t>
        </is>
      </c>
      <c r="C580" s="3" t="n"/>
      <c r="D580" s="3" t="n"/>
      <c r="E580" s="58">
        <f>IF($C580="",0,MATCH($C580,MTDesc,0))</f>
        <v>0.0</v>
      </c>
      <c r="F580" s="58">
        <f>IF($B580&lt;&gt;"",MATCH($B580,MTName,0),$E580+MATCH($D580,INDEX(MTDesc,$E580+1):MTEnd,0))</f>
        <v>398.0</v>
      </c>
      <c r="G580" s="3" t="str">
        <f>INDEX(MTDesc,$F580)</f>
        <v>Nuclear - New Investment Override</v>
      </c>
    </row>
    <row r="581">
      <c r="A581" s="3" t="inlineStr">
        <is>
          <t>NewInvWnd||</t>
        </is>
      </c>
      <c r="B581" s="3" t="inlineStr">
        <is>
          <t>NewInvWnd</t>
        </is>
      </c>
      <c r="C581" s="3" t="n"/>
      <c r="D581" s="3" t="n"/>
      <c r="E581" s="58">
        <f>IF($C581="",0,MATCH($C581,MTDesc,0))</f>
        <v>0.0</v>
      </c>
      <c r="F581" s="58">
        <f>IF($B581&lt;&gt;"",MATCH($B581,MTName,0),$E581+MATCH($D581,INDEX(MTDesc,$E581+1):MTEnd,0))</f>
        <v>399.0</v>
      </c>
      <c r="G581" s="3" t="str">
        <f>INDEX(MTDesc,$F581)</f>
        <v>Wind - New Investment Override</v>
      </c>
    </row>
    <row r="582">
      <c r="A582" s="3" t="inlineStr">
        <is>
          <t>NewInvSol||</t>
        </is>
      </c>
      <c r="B582" s="3" t="inlineStr">
        <is>
          <t>NewInvSol</t>
        </is>
      </c>
      <c r="C582" s="3" t="n"/>
      <c r="D582" s="3" t="n"/>
      <c r="E582" s="58">
        <f>IF($C582="",0,MATCH($C582,MTDesc,0))</f>
        <v>0.0</v>
      </c>
      <c r="F582" s="58">
        <f>IF($B582&lt;&gt;"",MATCH($B582,MTName,0),$E582+MATCH($D582,INDEX(MTDesc,$E582+1):MTEnd,0))</f>
        <v>400.0</v>
      </c>
      <c r="G582" s="3" t="str">
        <f>INDEX(MTDesc,$F582)</f>
        <v>Solar - New Investment Override</v>
      </c>
    </row>
    <row r="583">
      <c r="A583" s="3" t="inlineStr">
        <is>
          <t>NewInvHyd||</t>
        </is>
      </c>
      <c r="B583" s="3" t="inlineStr">
        <is>
          <t>NewInvHyd</t>
        </is>
      </c>
      <c r="C583" s="3" t="n"/>
      <c r="D583" s="3" t="n"/>
      <c r="E583" s="58">
        <f>IF($C583="",0,MATCH($C583,MTDesc,0))</f>
        <v>0.0</v>
      </c>
      <c r="F583" s="58">
        <f>IF($B583&lt;&gt;"",MATCH($B583,MTName,0),$E583+MATCH($D583,INDEX(MTDesc,$E583+1):MTEnd,0))</f>
        <v>401.0</v>
      </c>
      <c r="G583" s="3" t="str">
        <f>INDEX(MTDesc,$F583)</f>
        <v>Hydro - New Investment Override</v>
      </c>
    </row>
    <row r="584">
      <c r="A584" s="3" t="inlineStr">
        <is>
          <t>NewInvOre||</t>
        </is>
      </c>
      <c r="B584" s="3" t="inlineStr">
        <is>
          <t>NewInvOre</t>
        </is>
      </c>
      <c r="C584" s="3" t="n"/>
      <c r="D584" s="3" t="n"/>
      <c r="E584" s="58">
        <f>IF($C584="",0,MATCH($C584,MTDesc,0))</f>
        <v>0.0</v>
      </c>
      <c r="F584" s="58">
        <f>IF($B584&lt;&gt;"",MATCH($B584,MTName,0),$E584+MATCH($D584,INDEX(MTDesc,$E584+1):MTEnd,0))</f>
        <v>402.0</v>
      </c>
      <c r="G584" s="3" t="str">
        <f>INDEX(MTDesc,$F584)</f>
        <v>Other renewables - New Investment Override</v>
      </c>
    </row>
    <row r="585">
      <c r="A585" s="3" t="inlineStr">
        <is>
          <t>NewInvBio||</t>
        </is>
      </c>
      <c r="B585" s="3" t="inlineStr">
        <is>
          <t>NewInvBio</t>
        </is>
      </c>
      <c r="C585" s="3" t="n"/>
      <c r="D585" s="3" t="n"/>
      <c r="E585" s="58">
        <f>IF($C585="",0,MATCH($C585,MTDesc,0))</f>
        <v>0.0</v>
      </c>
      <c r="F585" s="58">
        <f>IF($B585&lt;&gt;"",MATCH($B585,MTName,0),$E585+MATCH($D585,INDEX(MTDesc,$E585+1):MTEnd,0))</f>
        <v>403.0</v>
      </c>
      <c r="G585" s="3" t="str">
        <f>INDEX(MTDesc,$F585)</f>
        <v>Biomass - New Investment Override</v>
      </c>
    </row>
    <row r="586">
      <c r="A586" s="3" t="inlineStr">
        <is>
          <t>NewInvCoaYear||</t>
        </is>
      </c>
      <c r="B586" s="3" t="inlineStr">
        <is>
          <t>NewInvCoaYear</t>
        </is>
      </c>
      <c r="C586" s="3" t="n"/>
      <c r="D586" s="3" t="n"/>
      <c r="E586" s="58">
        <f>IF($C586="",0,MATCH($C586,MTDesc,0))</f>
        <v>0.0</v>
      </c>
      <c r="F586" s="58">
        <f>IF($B586&lt;&gt;"",MATCH($B586,MTName,0),$E586+MATCH($D586,INDEX(MTDesc,$E586+1):MTEnd,0))</f>
        <v>405.0</v>
      </c>
      <c r="G586" s="3" t="str">
        <f>INDEX(MTDesc,$F586)</f>
        <v>Coal</v>
      </c>
    </row>
    <row r="587">
      <c r="A587" s="3" t="inlineStr">
        <is>
          <t>NewInvNgaYear||</t>
        </is>
      </c>
      <c r="B587" s="3" t="inlineStr">
        <is>
          <t>NewInvNgaYear</t>
        </is>
      </c>
      <c r="C587" s="3" t="n"/>
      <c r="D587" s="3" t="n"/>
      <c r="E587" s="58">
        <f>IF($C587="",0,MATCH($C587,MTDesc,0))</f>
        <v>0.0</v>
      </c>
      <c r="F587" s="58">
        <f>IF($B587&lt;&gt;"",MATCH($B587,MTName,0),$E587+MATCH($D587,INDEX(MTDesc,$E587+1):MTEnd,0))</f>
        <v>406.0</v>
      </c>
      <c r="G587" s="3" t="str">
        <f>INDEX(MTDesc,$F587)</f>
        <v>Natural gas</v>
      </c>
    </row>
    <row r="588">
      <c r="A588" s="3" t="inlineStr">
        <is>
          <t>NewInvOilYear||</t>
        </is>
      </c>
      <c r="B588" s="3" t="inlineStr">
        <is>
          <t>NewInvOilYear</t>
        </is>
      </c>
      <c r="C588" s="3" t="n"/>
      <c r="D588" s="3" t="n"/>
      <c r="E588" s="58">
        <f>IF($C588="",0,MATCH($C588,MTDesc,0))</f>
        <v>0.0</v>
      </c>
      <c r="F588" s="58">
        <f>IF($B588&lt;&gt;"",MATCH($B588,MTName,0),$E588+MATCH($D588,INDEX(MTDesc,$E588+1):MTEnd,0))</f>
        <v>407.0</v>
      </c>
      <c r="G588" s="3" t="str">
        <f>INDEX(MTDesc,$F588)</f>
        <v>Oil</v>
      </c>
    </row>
    <row r="589">
      <c r="A589" s="3" t="inlineStr">
        <is>
          <t>NewInvNucYear||</t>
        </is>
      </c>
      <c r="B589" s="3" t="inlineStr">
        <is>
          <t>NewInvNucYear</t>
        </is>
      </c>
      <c r="C589" s="3" t="n"/>
      <c r="D589" s="3" t="n"/>
      <c r="E589" s="58">
        <f>IF($C589="",0,MATCH($C589,MTDesc,0))</f>
        <v>0.0</v>
      </c>
      <c r="F589" s="58">
        <f>IF($B589&lt;&gt;"",MATCH($B589,MTName,0),$E589+MATCH($D589,INDEX(MTDesc,$E589+1):MTEnd,0))</f>
        <v>408.0</v>
      </c>
      <c r="G589" s="3" t="str">
        <f>INDEX(MTDesc,$F589)</f>
        <v>Nuclear</v>
      </c>
    </row>
    <row r="590">
      <c r="A590" s="3" t="inlineStr">
        <is>
          <t>NewInvWndYear||</t>
        </is>
      </c>
      <c r="B590" s="3" t="inlineStr">
        <is>
          <t>NewInvWndYear</t>
        </is>
      </c>
      <c r="C590" s="3" t="n"/>
      <c r="D590" s="3" t="n"/>
      <c r="E590" s="58">
        <f>IF($C590="",0,MATCH($C590,MTDesc,0))</f>
        <v>0.0</v>
      </c>
      <c r="F590" s="58">
        <f>IF($B590&lt;&gt;"",MATCH($B590,MTName,0),$E590+MATCH($D590,INDEX(MTDesc,$E590+1):MTEnd,0))</f>
        <v>409.0</v>
      </c>
      <c r="G590" s="3" t="str">
        <f>INDEX(MTDesc,$F590)</f>
        <v>Wind</v>
      </c>
    </row>
    <row r="591">
      <c r="A591" s="3" t="inlineStr">
        <is>
          <t>NewInvSolYear||</t>
        </is>
      </c>
      <c r="B591" s="3" t="inlineStr">
        <is>
          <t>NewInvSolYear</t>
        </is>
      </c>
      <c r="C591" s="3" t="n"/>
      <c r="D591" s="3" t="n"/>
      <c r="E591" s="58">
        <f>IF($C591="",0,MATCH($C591,MTDesc,0))</f>
        <v>0.0</v>
      </c>
      <c r="F591" s="58">
        <f>IF($B591&lt;&gt;"",MATCH($B591,MTName,0),$E591+MATCH($D591,INDEX(MTDesc,$E591+1):MTEnd,0))</f>
        <v>410.0</v>
      </c>
      <c r="G591" s="3" t="str">
        <f>INDEX(MTDesc,$F591)</f>
        <v>Solar</v>
      </c>
    </row>
    <row r="592">
      <c r="A592" s="3" t="inlineStr">
        <is>
          <t>NewInvHydYear||</t>
        </is>
      </c>
      <c r="B592" s="3" t="inlineStr">
        <is>
          <t>NewInvHydYear</t>
        </is>
      </c>
      <c r="C592" s="3" t="n"/>
      <c r="D592" s="3" t="n"/>
      <c r="E592" s="58">
        <f>IF($C592="",0,MATCH($C592,MTDesc,0))</f>
        <v>0.0</v>
      </c>
      <c r="F592" s="58">
        <f>IF($B592&lt;&gt;"",MATCH($B592,MTName,0),$E592+MATCH($D592,INDEX(MTDesc,$E592+1):MTEnd,0))</f>
        <v>411.0</v>
      </c>
      <c r="G592" s="3" t="str">
        <f>INDEX(MTDesc,$F592)</f>
        <v>Hydro</v>
      </c>
    </row>
    <row r="593">
      <c r="A593" s="3" t="inlineStr">
        <is>
          <t>NewInvOreYear||</t>
        </is>
      </c>
      <c r="B593" s="3" t="inlineStr">
        <is>
          <t>NewInvOreYear</t>
        </is>
      </c>
      <c r="C593" s="3" t="n"/>
      <c r="D593" s="3" t="n"/>
      <c r="E593" s="58">
        <f>IF($C593="",0,MATCH($C593,MTDesc,0))</f>
        <v>0.0</v>
      </c>
      <c r="F593" s="58">
        <f>IF($B593&lt;&gt;"",MATCH($B593,MTName,0),$E593+MATCH($D593,INDEX(MTDesc,$E593+1):MTEnd,0))</f>
        <v>412.0</v>
      </c>
      <c r="G593" s="3" t="str">
        <f>INDEX(MTDesc,$F593)</f>
        <v>Other renewables</v>
      </c>
    </row>
    <row r="594">
      <c r="A594" s="3" t="inlineStr">
        <is>
          <t>NewInvBioYear||</t>
        </is>
      </c>
      <c r="B594" s="3" t="inlineStr">
        <is>
          <t>NewInvBioYear</t>
        </is>
      </c>
      <c r="C594" s="3" t="n"/>
      <c r="D594" s="3" t="n"/>
      <c r="E594" s="58">
        <f>IF($C594="",0,MATCH($C594,MTDesc,0))</f>
        <v>0.0</v>
      </c>
      <c r="F594" s="58">
        <f>IF($B594&lt;&gt;"",MATCH($B594,MTName,0),$E594+MATCH($D594,INDEX(MTDesc,$E594+1):MTEnd,0))</f>
        <v>413.0</v>
      </c>
      <c r="G594" s="3" t="str">
        <f>INDEX(MTDesc,$F594)</f>
        <v>Biomass</v>
      </c>
    </row>
    <row r="595">
      <c r="A595" s="3" t="inlineStr">
        <is>
          <t>IntEnerPricForeSource||</t>
        </is>
      </c>
      <c r="B595" s="3" t="inlineStr">
        <is>
          <t>IntEnerPricForeSource</t>
        </is>
      </c>
      <c r="C595" s="3" t="n"/>
      <c r="D595" s="3" t="n"/>
      <c r="E595" s="58">
        <f>IF($C595="",0,MATCH($C595,MTDesc,0))</f>
        <v>0.0</v>
      </c>
      <c r="F595" s="58">
        <f>IF($B595&lt;&gt;"",MATCH($B595,MTName,0),$E595+MATCH($D595,INDEX(MTDesc,$E595+1):MTEnd,0))</f>
        <v>220.0</v>
      </c>
      <c r="G595" s="3" t="str">
        <f>INDEX(MTDesc,$F595)</f>
        <v>International energy price forecasts</v>
      </c>
    </row>
    <row r="596">
      <c r="A596" s="3" t="inlineStr">
        <is>
          <t>IntEnerPricForecastAdjustment||</t>
        </is>
      </c>
      <c r="B596" s="3" t="inlineStr">
        <is>
          <t>IntEnerPricForecastAdjustment</t>
        </is>
      </c>
      <c r="C596" s="3" t="n"/>
      <c r="D596" s="3" t="n"/>
      <c r="E596" s="58">
        <f>IF($C596="",0,MATCH($C596,MTDesc,0))</f>
        <v>0.0</v>
      </c>
      <c r="F596" s="58">
        <f>IF($B596&lt;&gt;"",MATCH($B596,MTName,0),$E596+MATCH($D596,INDEX(MTDesc,$E596+1):MTEnd,0))</f>
        <v>258.0</v>
      </c>
      <c r="G596" s="3" t="str">
        <f>INDEX(MTDesc,$F596)</f>
        <v>International energy prices adjustment</v>
      </c>
    </row>
    <row r="597">
      <c r="A597" s="3" t="inlineStr">
        <is>
          <t>EXPLabortax|all|all</t>
        </is>
      </c>
      <c r="B597" s="3" t="inlineStr">
        <is>
          <t>EXPLabortax</t>
        </is>
      </c>
      <c r="C597" s="3" t="n"/>
      <c r="D597" s="3" t="n"/>
      <c r="E597" s="58">
        <f>IF($C597="",0,MATCH($C597,MTDesc,0))</f>
        <v>0.0</v>
      </c>
      <c r="F597" s="58">
        <f>IF($B597&lt;&gt;"",MATCH($B597,MTName,0),$E597+MATCH($D597,INDEX(MTDesc,$E597+1):MTEnd,0))</f>
        <v>197.0</v>
      </c>
      <c r="G597" s="3" t="str">
        <f>INDEX(MTDesc,$F597)</f>
        <v>Labor tax reductions</v>
      </c>
    </row>
    <row r="598">
      <c r="A598" s="3" t="inlineStr">
        <is>
          <t>EXPCIT|all|all</t>
        </is>
      </c>
      <c r="B598" s="3" t="inlineStr">
        <is>
          <t>EXPCIT</t>
        </is>
      </c>
      <c r="C598" s="3" t="n"/>
      <c r="D598" s="3" t="n"/>
      <c r="E598" s="58">
        <f>IF($C598="",0,MATCH($C598,MTDesc,0))</f>
        <v>0.0</v>
      </c>
      <c r="F598" s="58">
        <f>IF($B598&lt;&gt;"",MATCH($B598,MTName,0),$E598+MATCH($D598,INDEX(MTDesc,$E598+1):MTEnd,0))</f>
        <v>198.0</v>
      </c>
      <c r="G598" s="3" t="str">
        <f>INDEX(MTDesc,$F598)</f>
        <v>Corporate taxes</v>
      </c>
    </row>
    <row r="599">
      <c r="A599" s="3" t="inlineStr">
        <is>
          <t>EXPCapex|all|all</t>
        </is>
      </c>
      <c r="B599" s="3" t="inlineStr">
        <is>
          <t>EXPCapex</t>
        </is>
      </c>
      <c r="C599" s="3" t="n"/>
      <c r="D599" s="3" t="n"/>
      <c r="E599" s="58">
        <f>IF($C599="",0,MATCH($C599,MTDesc,0))</f>
        <v>0.0</v>
      </c>
      <c r="F599" s="58">
        <f>IF($B599&lt;&gt;"",MATCH($B599,MTName,0),$E599+MATCH($D599,INDEX(MTDesc,$E599+1):MTEnd,0))</f>
        <v>199.0</v>
      </c>
      <c r="G599" s="3" t="str">
        <f>INDEX(MTDesc,$F599)</f>
        <v>Public investment</v>
      </c>
    </row>
    <row r="600">
      <c r="A600" s="3" t="inlineStr">
        <is>
          <t>EXPGoodsandserv|all|all</t>
        </is>
      </c>
      <c r="B600" s="3" t="inlineStr">
        <is>
          <t>EXPGoodsandserv</t>
        </is>
      </c>
      <c r="C600" s="3" t="n"/>
      <c r="D600" s="3" t="n"/>
      <c r="E600" s="58">
        <f>IF($C600="",0,MATCH($C600,MTDesc,0))</f>
        <v>0.0</v>
      </c>
      <c r="F600" s="58">
        <f>IF($B600&lt;&gt;"",MATCH($B600,MTName,0),$E600+MATCH($D600,INDEX(MTDesc,$E600+1):MTEnd,0))</f>
        <v>200.0</v>
      </c>
      <c r="G600" s="3" t="str">
        <f>INDEX(MTDesc,$F600)</f>
        <v>Current spending</v>
      </c>
    </row>
    <row r="601">
      <c r="A601" s="3" t="inlineStr">
        <is>
          <t>EXPTransfers|all|all</t>
        </is>
      </c>
      <c r="B601" s="3" t="inlineStr">
        <is>
          <t>EXPTransfers</t>
        </is>
      </c>
      <c r="C601" s="3" t="n"/>
      <c r="D601" s="3" t="n"/>
      <c r="E601" s="58">
        <f>IF($C601="",0,MATCH($C601,MTDesc,0))</f>
        <v>0.0</v>
      </c>
      <c r="F601" s="58">
        <f>IF($B601&lt;&gt;"",MATCH($B601,MTName,0),$E601+MATCH($D601,INDEX(MTDesc,$E601+1):MTEnd,0))</f>
        <v>201.0</v>
      </c>
      <c r="G601" s="3" t="str">
        <f>INDEX(MTDesc,$F601)</f>
        <v>Targeted transfers</v>
      </c>
    </row>
    <row r="602">
      <c r="A602" s="3" t="inlineStr">
        <is>
          <t>MultipliersSource|all|all</t>
        </is>
      </c>
      <c r="B602" s="3" t="inlineStr">
        <is>
          <t>MultipliersSource</t>
        </is>
      </c>
      <c r="C602" s="3" t="n"/>
      <c r="D602" s="3" t="n"/>
      <c r="E602" s="58">
        <f>IF($C602="",0,MATCH($C602,MTDesc,0))</f>
        <v>0.0</v>
      </c>
      <c r="F602" s="58">
        <f>IF($B602&lt;&gt;"",MATCH($B602,MTName,0),$E602+MATCH($D602,INDEX(MTDesc,$E602+1):MTEnd,0))</f>
        <v>226.0</v>
      </c>
      <c r="G602" s="3" t="str">
        <f>INDEX(MTDesc,$F602)</f>
        <v>Fiscal multipliers</v>
      </c>
    </row>
    <row r="603">
      <c r="A603" s="3" t="inlineStr">
        <is>
          <t>GDPStartYear|all|all</t>
        </is>
      </c>
      <c r="B603" s="3" t="inlineStr">
        <is>
          <t>GDPStartYear</t>
        </is>
      </c>
      <c r="C603" s="3" t="n"/>
      <c r="D603" s="3" t="n"/>
      <c r="E603" s="58">
        <f>IF($C603="",0,MATCH($C603,MTDesc,0))</f>
        <v>0.0</v>
      </c>
      <c r="F603" s="58">
        <f>IF($B603&lt;&gt;"",MATCH($B603,MTName,0),$E603+MATCH($D603,INDEX(MTDesc,$E603+1):MTEnd,0))</f>
        <v>236.0</v>
      </c>
      <c r="G603" s="3" t="str">
        <f>INDEX(MTDesc,$F603)</f>
        <v>Start year for GDP calculations</v>
      </c>
    </row>
    <row r="604">
      <c r="A604" s="3" t="inlineStr">
        <is>
          <t>FmAdj|all|all</t>
        </is>
      </c>
      <c r="B604" s="3" t="inlineStr">
        <is>
          <t>FmAdj</t>
        </is>
      </c>
      <c r="C604" s="3" t="n"/>
      <c r="D604" s="3" t="n"/>
      <c r="E604" s="58">
        <f>IF($C604="",0,MATCH($C604,MTDesc,0))</f>
        <v>0.0</v>
      </c>
      <c r="F604" s="58">
        <f>IF($B604&lt;&gt;"",MATCH($B604,MTName,0),$E604+MATCH($D604,INDEX(MTDesc,$E604+1):MTEnd,0))</f>
        <v>263.0</v>
      </c>
      <c r="G604" s="3" t="str">
        <f>INDEX(MTDesc,$F604)</f>
        <v>Fiscal multipliers adjustment</v>
      </c>
    </row>
    <row r="605">
      <c r="A605" s="3" t="inlineStr">
        <is>
          <t>GDPEndogenous|all|all</t>
        </is>
      </c>
      <c r="B605" s="3" t="inlineStr">
        <is>
          <t>GDPEndogenous</t>
        </is>
      </c>
      <c r="C605" s="3" t="n"/>
      <c r="D605" s="3" t="n"/>
      <c r="E605" s="58">
        <f>IF($C605="",0,MATCH($C605,MTDesc,0))</f>
        <v>0.0</v>
      </c>
      <c r="F605" s="58">
        <f>IF($B605&lt;&gt;"",MATCH($B605,MTName,0),$E605+MATCH($D605,INDEX(MTDesc,$E605+1):MTEnd,0))</f>
        <v>267.0</v>
      </c>
      <c r="G605" s="3" t="str">
        <f>INDEX(MTDesc,$F605)</f>
        <v>Include endogenous GDP effects?</v>
      </c>
    </row>
    <row r="606">
      <c r="A606" s="3" t="inlineStr">
        <is>
          <t>TrModel|all|all</t>
        </is>
      </c>
      <c r="B606" s="3" t="inlineStr">
        <is>
          <t>TrModel</t>
        </is>
      </c>
      <c r="C606" s="3" t="n"/>
      <c r="D606" s="3" t="n"/>
      <c r="E606" s="58">
        <f>IF($C606="",0,MATCH($C606,MTDesc,0))</f>
        <v>0.0</v>
      </c>
      <c r="F606" s="58">
        <f>IF($B606&lt;&gt;"",MATCH($B606,MTName,0),$E606+MATCH($D606,INDEX(MTDesc,$E606+1):MTEnd,0))</f>
        <v>338.0</v>
      </c>
      <c r="G606" s="3" t="str">
        <f>INDEX(MTDesc,$F606)</f>
        <v>Engineering or elasticity model</v>
      </c>
    </row>
    <row r="607">
      <c r="A607" s="3" t="inlineStr">
        <is>
          <t>TrFbYearPas|all|all</t>
        </is>
      </c>
      <c r="B607" s="3" t="inlineStr">
        <is>
          <t>TrFbYearPas</t>
        </is>
      </c>
      <c r="C607" s="3" t="n"/>
      <c r="D607" s="3" t="n"/>
      <c r="E607" s="58">
        <f>IF($C607="",0,MATCH($C607,MTDesc,0))</f>
        <v>0.0</v>
      </c>
      <c r="F607" s="58">
        <f>IF($B607&lt;&gt;"",MATCH($B607,MTName,0),$E607+MATCH($D607,INDEX(MTDesc,$E607+1):MTEnd,0))</f>
        <v>416.0</v>
      </c>
      <c r="G607" s="3" t="str">
        <f>INDEX(MTDesc,$F607)</f>
        <v>Vehicle feebate: year of introduction, passenger</v>
      </c>
    </row>
    <row r="608">
      <c r="A608" s="3" t="inlineStr">
        <is>
          <t>TrFbYearFre|all|all</t>
        </is>
      </c>
      <c r="B608" s="3" t="inlineStr">
        <is>
          <t>TrFbYearFre</t>
        </is>
      </c>
      <c r="C608" s="3" t="n"/>
      <c r="D608" s="3" t="n"/>
      <c r="E608" s="58">
        <f>IF($C608="",0,MATCH($C608,MTDesc,0))</f>
        <v>0.0</v>
      </c>
      <c r="F608" s="58">
        <f>IF($B608&lt;&gt;"",MATCH($B608,MTName,0),$E608+MATCH($D608,INDEX(MTDesc,$E608+1):MTEnd,0))</f>
        <v>417.0</v>
      </c>
      <c r="G608" s="3" t="str">
        <f>INDEX(MTDesc,$F608)</f>
        <v>Vehicle feebate: year of introduction, freight</v>
      </c>
    </row>
    <row r="609">
      <c r="A609" s="3" t="inlineStr">
        <is>
          <t>TrFbYearCyc|all|all</t>
        </is>
      </c>
      <c r="B609" s="3" t="inlineStr">
        <is>
          <t>TrFbYearCyc</t>
        </is>
      </c>
      <c r="C609" s="3" t="n"/>
      <c r="D609" s="3" t="n"/>
      <c r="E609" s="58">
        <f>IF($C609="",0,MATCH($C609,MTDesc,0))</f>
        <v>0.0</v>
      </c>
      <c r="F609" s="58">
        <f>IF($B609&lt;&gt;"",MATCH($B609,MTName,0),$E609+MATCH($D609,INDEX(MTDesc,$E609+1):MTEnd,0))</f>
        <v>418.0</v>
      </c>
      <c r="G609" s="3" t="str">
        <f>INDEX(MTDesc,$F609)</f>
        <v>Vehicle feebate: year of introduction, 2-3 wheeler</v>
      </c>
    </row>
    <row r="610">
      <c r="A610" s="3" t="inlineStr">
        <is>
          <t>TrFbRatePas|all|all</t>
        </is>
      </c>
      <c r="B610" s="3" t="inlineStr">
        <is>
          <t>TrFbRatePas</t>
        </is>
      </c>
      <c r="C610" s="3" t="n"/>
      <c r="D610" s="3" t="n"/>
      <c r="E610" s="58">
        <f>IF($C610="",0,MATCH($C610,MTDesc,0))</f>
        <v>0.0</v>
      </c>
      <c r="F610" s="58">
        <f>IF($B610&lt;&gt;"",MATCH($B610,MTName,0),$E610+MATCH($D610,INDEX(MTDesc,$E610+1):MTEnd,0))</f>
        <v>419.0</v>
      </c>
      <c r="G610" s="3" t="str">
        <f>INDEX(MTDesc,$F610)</f>
        <v>Vehicle feebate: rate, passenger</v>
      </c>
    </row>
    <row r="611">
      <c r="A611" s="3" t="inlineStr">
        <is>
          <t>TrFbRateFre|all|all</t>
        </is>
      </c>
      <c r="B611" s="3" t="inlineStr">
        <is>
          <t>TrFbRateFre</t>
        </is>
      </c>
      <c r="C611" s="3" t="n"/>
      <c r="D611" s="3" t="n"/>
      <c r="E611" s="58">
        <f>IF($C611="",0,MATCH($C611,MTDesc,0))</f>
        <v>0.0</v>
      </c>
      <c r="F611" s="58">
        <f>IF($B611&lt;&gt;"",MATCH($B611,MTName,0),$E611+MATCH($D611,INDEX(MTDesc,$E611+1):MTEnd,0))</f>
        <v>420.0</v>
      </c>
      <c r="G611" s="3" t="str">
        <f>INDEX(MTDesc,$F611)</f>
        <v>Vehicle feebate: rate, freight</v>
      </c>
    </row>
    <row r="612">
      <c r="A612" s="3" t="inlineStr">
        <is>
          <t>TrFbRateCyc|all|all</t>
        </is>
      </c>
      <c r="B612" s="3" t="inlineStr">
        <is>
          <t>TrFbRateCyc</t>
        </is>
      </c>
      <c r="C612" s="3" t="n"/>
      <c r="D612" s="3" t="n"/>
      <c r="E612" s="58">
        <f>IF($C612="",0,MATCH($C612,MTDesc,0))</f>
        <v>0.0</v>
      </c>
      <c r="F612" s="58">
        <f>IF($B612&lt;&gt;"",MATCH($B612,MTName,0),$E612+MATCH($D612,INDEX(MTDesc,$E612+1):MTEnd,0))</f>
        <v>421.0</v>
      </c>
      <c r="G612" s="3" t="str">
        <f>INDEX(MTDesc,$F612)</f>
        <v>Vehicle feebate: rate, 2-3 wheeler</v>
      </c>
    </row>
    <row r="613">
      <c r="A613" s="3" t="inlineStr">
        <is>
          <t>TrFbPivotTypePas|all|all</t>
        </is>
      </c>
      <c r="B613" s="3" t="inlineStr">
        <is>
          <t>TrFbPivotTypePas</t>
        </is>
      </c>
      <c r="C613" s="3" t="n"/>
      <c r="D613" s="3" t="n"/>
      <c r="E613" s="58">
        <f>IF($C613="",0,MATCH($C613,MTDesc,0))</f>
        <v>0.0</v>
      </c>
      <c r="F613" s="58">
        <f>IF($B613&lt;&gt;"",MATCH($B613,MTName,0),$E613+MATCH($D613,INDEX(MTDesc,$E613+1):MTEnd,0))</f>
        <v>422.0</v>
      </c>
      <c r="G613" s="3" t="str">
        <f>INDEX(MTDesc,$F613)</f>
        <v>Vehicle feebate: pivot type (Average / Manual), passenger</v>
      </c>
    </row>
    <row r="614">
      <c r="A614" s="3" t="inlineStr">
        <is>
          <t>TrFbPivotTypeFre|all|all</t>
        </is>
      </c>
      <c r="B614" s="3" t="inlineStr">
        <is>
          <t>TrFbPivotTypeFre</t>
        </is>
      </c>
      <c r="C614" s="3" t="n"/>
      <c r="D614" s="3" t="n"/>
      <c r="E614" s="58">
        <f>IF($C614="",0,MATCH($C614,MTDesc,0))</f>
        <v>0.0</v>
      </c>
      <c r="F614" s="58">
        <f>IF($B614&lt;&gt;"",MATCH($B614,MTName,0),$E614+MATCH($D614,INDEX(MTDesc,$E614+1):MTEnd,0))</f>
        <v>423.0</v>
      </c>
      <c r="G614" s="3" t="str">
        <f>INDEX(MTDesc,$F614)</f>
        <v>Vehicle feebate: pivot type (Average / Manual), freight</v>
      </c>
    </row>
    <row r="615">
      <c r="A615" s="3" t="inlineStr">
        <is>
          <t>TrFbPivotTypeCyc|all|all</t>
        </is>
      </c>
      <c r="B615" s="3" t="inlineStr">
        <is>
          <t>TrFbPivotTypeCyc</t>
        </is>
      </c>
      <c r="C615" s="3" t="n"/>
      <c r="D615" s="3" t="n"/>
      <c r="E615" s="58">
        <f>IF($C615="",0,MATCH($C615,MTDesc,0))</f>
        <v>0.0</v>
      </c>
      <c r="F615" s="58">
        <f>IF($B615&lt;&gt;"",MATCH($B615,MTName,0),$E615+MATCH($D615,INDEX(MTDesc,$E615+1):MTEnd,0))</f>
        <v>424.0</v>
      </c>
      <c r="G615" s="3" t="str">
        <f>INDEX(MTDesc,$F615)</f>
        <v>Vehicle feebate: pivot type (Average / Manual), 2-3 wheeler</v>
      </c>
    </row>
    <row r="616">
      <c r="A616" s="3" t="inlineStr">
        <is>
          <t>TrFbPivotPas|all|all</t>
        </is>
      </c>
      <c r="B616" s="3" t="inlineStr">
        <is>
          <t>TrFbPivotPas</t>
        </is>
      </c>
      <c r="C616" s="3" t="n"/>
      <c r="D616" s="3" t="n"/>
      <c r="E616" s="58">
        <f>IF($C616="",0,MATCH($C616,MTDesc,0))</f>
        <v>0.0</v>
      </c>
      <c r="F616" s="58">
        <f>IF($B616&lt;&gt;"",MATCH($B616,MTName,0),$E616+MATCH($D616,INDEX(MTDesc,$E616+1):MTEnd,0))</f>
        <v>425.0</v>
      </c>
      <c r="G616" s="3" t="str">
        <f>INDEX(MTDesc,$F616)</f>
        <v>Vehicle feebate: manual pivot point, passenger</v>
      </c>
    </row>
    <row r="617">
      <c r="A617" s="3" t="inlineStr">
        <is>
          <t>TrFbPivotFre|all|all</t>
        </is>
      </c>
      <c r="B617" s="3" t="inlineStr">
        <is>
          <t>TrFbPivotFre</t>
        </is>
      </c>
      <c r="C617" s="3" t="n"/>
      <c r="D617" s="3" t="n"/>
      <c r="E617" s="58">
        <f>IF($C617="",0,MATCH($C617,MTDesc,0))</f>
        <v>0.0</v>
      </c>
      <c r="F617" s="58">
        <f>IF($B617&lt;&gt;"",MATCH($B617,MTName,0),$E617+MATCH($D617,INDEX(MTDesc,$E617+1):MTEnd,0))</f>
        <v>426.0</v>
      </c>
      <c r="G617" s="3" t="str">
        <f>INDEX(MTDesc,$F617)</f>
        <v>Vehicle feebate: manual pivot point, freight</v>
      </c>
    </row>
    <row r="618">
      <c r="A618" s="3" t="inlineStr">
        <is>
          <t>TrFbPivotCyc|all|all</t>
        </is>
      </c>
      <c r="B618" s="3" t="inlineStr">
        <is>
          <t>TrFbPivotCyc</t>
        </is>
      </c>
      <c r="C618" s="3" t="n"/>
      <c r="D618" s="3" t="n"/>
      <c r="E618" s="58">
        <f>IF($C618="",0,MATCH($C618,MTDesc,0))</f>
        <v>0.0</v>
      </c>
      <c r="F618" s="58">
        <f>IF($B618&lt;&gt;"",MATCH($B618,MTName,0),$E618+MATCH($D618,INDEX(MTDesc,$E618+1):MTEnd,0))</f>
        <v>427.0</v>
      </c>
      <c r="G618" s="3" t="str">
        <f>INDEX(MTDesc,$F618)</f>
        <v>Vehicle feebate: manual pivot point, 2-3 wheeler</v>
      </c>
    </row>
    <row r="619">
      <c r="A619" s="3" t="inlineStr">
        <is>
          <t>TrFbPivotChgPas|all|all</t>
        </is>
      </c>
      <c r="B619" s="3" t="inlineStr">
        <is>
          <t>TrFbPivotChgPas</t>
        </is>
      </c>
      <c r="C619" s="3" t="n"/>
      <c r="D619" s="3" t="n"/>
      <c r="E619" s="58">
        <f>IF($C619="",0,MATCH($C619,MTDesc,0))</f>
        <v>0.0</v>
      </c>
      <c r="F619" s="58">
        <f>IF($B619&lt;&gt;"",MATCH($B619,MTName,0),$E619+MATCH($D619,INDEX(MTDesc,$E619+1):MTEnd,0))</f>
        <v>428.0</v>
      </c>
      <c r="G619" s="3" t="str">
        <f>INDEX(MTDesc,$F619)</f>
        <v>Vehicle feebate: annual decline of the manual pivot, passenger</v>
      </c>
    </row>
    <row r="620">
      <c r="A620" s="3" t="inlineStr">
        <is>
          <t>TrFbPivotChgFre|all|all</t>
        </is>
      </c>
      <c r="B620" s="3" t="inlineStr">
        <is>
          <t>TrFbPivotChgFre</t>
        </is>
      </c>
      <c r="C620" s="3" t="n"/>
      <c r="D620" s="3" t="n"/>
      <c r="E620" s="58">
        <f>IF($C620="",0,MATCH($C620,MTDesc,0))</f>
        <v>0.0</v>
      </c>
      <c r="F620" s="58">
        <f>IF($B620&lt;&gt;"",MATCH($B620,MTName,0),$E620+MATCH($D620,INDEX(MTDesc,$E620+1):MTEnd,0))</f>
        <v>429.0</v>
      </c>
      <c r="G620" s="3" t="str">
        <f>INDEX(MTDesc,$F620)</f>
        <v>Vehicle feebate: annual decline of the manual pivot, freight</v>
      </c>
    </row>
    <row r="621">
      <c r="A621" s="3" t="inlineStr">
        <is>
          <t>TrFbPivotChgCyc|all|all</t>
        </is>
      </c>
      <c r="B621" s="3" t="inlineStr">
        <is>
          <t>TrFbPivotChgCyc</t>
        </is>
      </c>
      <c r="C621" s="3" t="n"/>
      <c r="D621" s="3" t="n"/>
      <c r="E621" s="58">
        <f>IF($C621="",0,MATCH($C621,MTDesc,0))</f>
        <v>0.0</v>
      </c>
      <c r="F621" s="58">
        <f>IF($B621&lt;&gt;"",MATCH($B621,MTName,0),$E621+MATCH($D621,INDEX(MTDesc,$E621+1):MTEnd,0))</f>
        <v>430.0</v>
      </c>
      <c r="G621" s="3" t="str">
        <f>INDEX(MTDesc,$F621)</f>
        <v>Vehicle feebate: annual decline of the manual pivot, 2-3 wheeler</v>
      </c>
    </row>
    <row r="622">
      <c r="A622" s="3" t="inlineStr">
        <is>
          <t>TrDtYearPas|all|all</t>
        </is>
      </c>
      <c r="B622" s="3" t="inlineStr">
        <is>
          <t>TrDtYearPas</t>
        </is>
      </c>
      <c r="C622" s="3" t="n"/>
      <c r="D622" s="3" t="n"/>
      <c r="E622" s="58">
        <f>IF($C622="",0,MATCH($C622,MTDesc,0))</f>
        <v>0.0</v>
      </c>
      <c r="F622" s="58">
        <f>IF($B622&lt;&gt;"",MATCH($B622,MTName,0),$E622+MATCH($D622,INDEX(MTDesc,$E622+1):MTEnd,0))</f>
        <v>431.0</v>
      </c>
      <c r="G622" s="3" t="str">
        <f>INDEX(MTDesc,$F622)</f>
        <v>Distance tax: year of introduction, passenger</v>
      </c>
    </row>
    <row r="623">
      <c r="A623" s="3" t="inlineStr">
        <is>
          <t>TrDtYearFre|all|all</t>
        </is>
      </c>
      <c r="B623" s="3" t="inlineStr">
        <is>
          <t>TrDtYearFre</t>
        </is>
      </c>
      <c r="C623" s="3" t="n"/>
      <c r="D623" s="3" t="n"/>
      <c r="E623" s="58">
        <f>IF($C623="",0,MATCH($C623,MTDesc,0))</f>
        <v>0.0</v>
      </c>
      <c r="F623" s="58">
        <f>IF($B623&lt;&gt;"",MATCH($B623,MTName,0),$E623+MATCH($D623,INDEX(MTDesc,$E623+1):MTEnd,0))</f>
        <v>432.0</v>
      </c>
      <c r="G623" s="3" t="str">
        <f>INDEX(MTDesc,$F623)</f>
        <v>Distance tax: year of introduction, freight</v>
      </c>
    </row>
    <row r="624">
      <c r="A624" s="3" t="inlineStr">
        <is>
          <t>TrDtYearCyc|all|all</t>
        </is>
      </c>
      <c r="B624" s="3" t="inlineStr">
        <is>
          <t>TrDtYearCyc</t>
        </is>
      </c>
      <c r="C624" s="3" t="n"/>
      <c r="D624" s="3" t="n"/>
      <c r="E624" s="58">
        <f>IF($C624="",0,MATCH($C624,MTDesc,0))</f>
        <v>0.0</v>
      </c>
      <c r="F624" s="58">
        <f>IF($B624&lt;&gt;"",MATCH($B624,MTName,0),$E624+MATCH($D624,INDEX(MTDesc,$E624+1):MTEnd,0))</f>
        <v>433.0</v>
      </c>
      <c r="G624" s="3" t="str">
        <f>INDEX(MTDesc,$F624)</f>
        <v>Distance tax: year of introduction, 2-3 wheeler</v>
      </c>
    </row>
    <row r="625">
      <c r="A625" s="3" t="inlineStr">
        <is>
          <t>TrDtStartPas|all|all</t>
        </is>
      </c>
      <c r="B625" s="3" t="inlineStr">
        <is>
          <t>TrDtStartPas</t>
        </is>
      </c>
      <c r="C625" s="3" t="n"/>
      <c r="D625" s="3" t="n"/>
      <c r="E625" s="58">
        <f>IF($C625="",0,MATCH($C625,MTDesc,0))</f>
        <v>0.0</v>
      </c>
      <c r="F625" s="58">
        <f>IF($B625&lt;&gt;"",MATCH($B625,MTName,0),$E625+MATCH($D625,INDEX(MTDesc,$E625+1):MTEnd,0))</f>
        <v>434.0</v>
      </c>
      <c r="G625" s="3" t="str">
        <f>INDEX(MTDesc,$F625)</f>
        <v>Distance tax: amount in the first year, passenger</v>
      </c>
    </row>
    <row r="626">
      <c r="A626" s="3" t="inlineStr">
        <is>
          <t>TrDtStartFre|all|all</t>
        </is>
      </c>
      <c r="B626" s="3" t="inlineStr">
        <is>
          <t>TrDtStartFre</t>
        </is>
      </c>
      <c r="C626" s="3" t="n"/>
      <c r="D626" s="3" t="n"/>
      <c r="E626" s="58">
        <f>IF($C626="",0,MATCH($C626,MTDesc,0))</f>
        <v>0.0</v>
      </c>
      <c r="F626" s="58">
        <f>IF($B626&lt;&gt;"",MATCH($B626,MTName,0),$E626+MATCH($D626,INDEX(MTDesc,$E626+1):MTEnd,0))</f>
        <v>435.0</v>
      </c>
      <c r="G626" s="3" t="str">
        <f>INDEX(MTDesc,$F626)</f>
        <v>Distance tax: amount in the first year, freight</v>
      </c>
    </row>
    <row r="627">
      <c r="A627" s="3" t="inlineStr">
        <is>
          <t>TrDtStartCyc|all|all</t>
        </is>
      </c>
      <c r="B627" s="3" t="inlineStr">
        <is>
          <t>TrDtStartCyc</t>
        </is>
      </c>
      <c r="C627" s="3" t="n"/>
      <c r="D627" s="3" t="n"/>
      <c r="E627" s="58">
        <f>IF($C627="",0,MATCH($C627,MTDesc,0))</f>
        <v>0.0</v>
      </c>
      <c r="F627" s="58">
        <f>IF($B627&lt;&gt;"",MATCH($B627,MTName,0),$E627+MATCH($D627,INDEX(MTDesc,$E627+1):MTEnd,0))</f>
        <v>436.0</v>
      </c>
      <c r="G627" s="3" t="str">
        <f>INDEX(MTDesc,$F627)</f>
        <v>Distance tax: amount in the first year, 2-3 wheeler</v>
      </c>
    </row>
    <row r="628">
      <c r="A628" s="3" t="inlineStr">
        <is>
          <t>TrDtTargetYearPas|all|all</t>
        </is>
      </c>
      <c r="B628" s="3" t="inlineStr">
        <is>
          <t>TrDtTargetYearPas</t>
        </is>
      </c>
      <c r="C628" s="3" t="n"/>
      <c r="D628" s="3" t="n"/>
      <c r="E628" s="58">
        <f>IF($C628="",0,MATCH($C628,MTDesc,0))</f>
        <v>0.0</v>
      </c>
      <c r="F628" s="58">
        <f>IF($B628&lt;&gt;"",MATCH($B628,MTName,0),$E628+MATCH($D628,INDEX(MTDesc,$E628+1):MTEnd,0))</f>
        <v>437.0</v>
      </c>
      <c r="G628" s="3" t="str">
        <f>INDEX(MTDesc,$F628)</f>
        <v>Distance tax: target year, passenger</v>
      </c>
    </row>
    <row r="629">
      <c r="A629" s="3" t="inlineStr">
        <is>
          <t>TrDtTargetYearFre|all|all</t>
        </is>
      </c>
      <c r="B629" s="3" t="inlineStr">
        <is>
          <t>TrDtTargetYearFre</t>
        </is>
      </c>
      <c r="C629" s="3" t="n"/>
      <c r="D629" s="3" t="n"/>
      <c r="E629" s="58">
        <f>IF($C629="",0,MATCH($C629,MTDesc,0))</f>
        <v>0.0</v>
      </c>
      <c r="F629" s="58">
        <f>IF($B629&lt;&gt;"",MATCH($B629,MTName,0),$E629+MATCH($D629,INDEX(MTDesc,$E629+1):MTEnd,0))</f>
        <v>438.0</v>
      </c>
      <c r="G629" s="3" t="str">
        <f>INDEX(MTDesc,$F629)</f>
        <v>Distance tax: target year, freight</v>
      </c>
    </row>
    <row r="630">
      <c r="A630" s="3" t="inlineStr">
        <is>
          <t>TrDtTargetYearCyc|all|all</t>
        </is>
      </c>
      <c r="B630" s="3" t="inlineStr">
        <is>
          <t>TrDtTargetYearCyc</t>
        </is>
      </c>
      <c r="C630" s="3" t="n"/>
      <c r="D630" s="3" t="n"/>
      <c r="E630" s="58">
        <f>IF($C630="",0,MATCH($C630,MTDesc,0))</f>
        <v>0.0</v>
      </c>
      <c r="F630" s="58">
        <f>IF($B630&lt;&gt;"",MATCH($B630,MTName,0),$E630+MATCH($D630,INDEX(MTDesc,$E630+1):MTEnd,0))</f>
        <v>439.0</v>
      </c>
      <c r="G630" s="3" t="str">
        <f>INDEX(MTDesc,$F630)</f>
        <v>Distance tax: target year, 2-3 wheeler</v>
      </c>
    </row>
    <row r="631">
      <c r="A631" s="3" t="inlineStr">
        <is>
          <t>TrDtTargetPas|all|all</t>
        </is>
      </c>
      <c r="B631" s="3" t="inlineStr">
        <is>
          <t>TrDtTargetPas</t>
        </is>
      </c>
      <c r="C631" s="3" t="n"/>
      <c r="D631" s="3" t="n"/>
      <c r="E631" s="58">
        <f>IF($C631="",0,MATCH($C631,MTDesc,0))</f>
        <v>0.0</v>
      </c>
      <c r="F631" s="58">
        <f>IF($B631&lt;&gt;"",MATCH($B631,MTName,0),$E631+MATCH($D631,INDEX(MTDesc,$E631+1):MTEnd,0))</f>
        <v>440.0</v>
      </c>
      <c r="G631" s="3" t="str">
        <f>INDEX(MTDesc,$F631)</f>
        <v>Distance tax: amount in the target year, passenger</v>
      </c>
    </row>
    <row r="632">
      <c r="A632" s="3" t="inlineStr">
        <is>
          <t>TrDtTargetFre|all|all</t>
        </is>
      </c>
      <c r="B632" s="3" t="inlineStr">
        <is>
          <t>TrDtTargetFre</t>
        </is>
      </c>
      <c r="C632" s="3" t="n"/>
      <c r="D632" s="3" t="n"/>
      <c r="E632" s="58">
        <f>IF($C632="",0,MATCH($C632,MTDesc,0))</f>
        <v>0.0</v>
      </c>
      <c r="F632" s="58">
        <f>IF($B632&lt;&gt;"",MATCH($B632,MTName,0),$E632+MATCH($D632,INDEX(MTDesc,$E632+1):MTEnd,0))</f>
        <v>441.0</v>
      </c>
      <c r="G632" s="3" t="str">
        <f>INDEX(MTDesc,$F632)</f>
        <v>Distance tax: amount in the target year, freight</v>
      </c>
    </row>
    <row r="633">
      <c r="A633" s="3" t="inlineStr">
        <is>
          <t>TrDtTargetCyc|all|all</t>
        </is>
      </c>
      <c r="B633" s="3" t="inlineStr">
        <is>
          <t>TrDtTargetCyc</t>
        </is>
      </c>
      <c r="C633" s="3" t="n"/>
      <c r="D633" s="3" t="n"/>
      <c r="E633" s="58">
        <f>IF($C633="",0,MATCH($C633,MTDesc,0))</f>
        <v>0.0</v>
      </c>
      <c r="F633" s="58">
        <f>IF($B633&lt;&gt;"",MATCH($B633,MTName,0),$E633+MATCH($D633,INDEX(MTDesc,$E633+1):MTEnd,0))</f>
        <v>442.0</v>
      </c>
      <c r="G633" s="3" t="str">
        <f>INDEX(MTDesc,$F633)</f>
        <v>Distance tax: amount in the target year, 2-3 wheeler</v>
      </c>
    </row>
    <row r="634">
      <c r="A634" s="3" t="inlineStr">
        <is>
          <t>TrSubYearPas|all|all</t>
        </is>
      </c>
      <c r="B634" s="3" t="inlineStr">
        <is>
          <t>TrSubYearPas</t>
        </is>
      </c>
      <c r="C634" s="3" t="n"/>
      <c r="D634" s="3" t="n"/>
      <c r="E634" s="58">
        <f>IF($C634="",0,MATCH($C634,MTDesc,0))</f>
        <v>0.0</v>
      </c>
      <c r="F634" s="58">
        <f>IF($B634&lt;&gt;"",MATCH($B634,MTName,0),$E634+MATCH($D634,INDEX(MTDesc,$E634+1):MTEnd,0))</f>
        <v>443.0</v>
      </c>
      <c r="G634" s="3" t="str">
        <f>INDEX(MTDesc,$F634)</f>
        <v>EV purchase subsidy: year of introduction, passenger</v>
      </c>
    </row>
    <row r="635">
      <c r="A635" s="3" t="inlineStr">
        <is>
          <t>TrSubYearFre|all|all</t>
        </is>
      </c>
      <c r="B635" s="3" t="inlineStr">
        <is>
          <t>TrSubYearFre</t>
        </is>
      </c>
      <c r="C635" s="3" t="n"/>
      <c r="D635" s="3" t="n"/>
      <c r="E635" s="58">
        <f>IF($C635="",0,MATCH($C635,MTDesc,0))</f>
        <v>0.0</v>
      </c>
      <c r="F635" s="58">
        <f>IF($B635&lt;&gt;"",MATCH($B635,MTName,0),$E635+MATCH($D635,INDEX(MTDesc,$E635+1):MTEnd,0))</f>
        <v>444.0</v>
      </c>
      <c r="G635" s="3" t="str">
        <f>INDEX(MTDesc,$F635)</f>
        <v>EV purchase subsidy: year of introduction, freight</v>
      </c>
    </row>
    <row r="636">
      <c r="A636" s="3" t="inlineStr">
        <is>
          <t>TrSubYearCyc|all|all</t>
        </is>
      </c>
      <c r="B636" s="3" t="inlineStr">
        <is>
          <t>TrSubYearCyc</t>
        </is>
      </c>
      <c r="C636" s="3" t="n"/>
      <c r="D636" s="3" t="n"/>
      <c r="E636" s="58">
        <f>IF($C636="",0,MATCH($C636,MTDesc,0))</f>
        <v>0.0</v>
      </c>
      <c r="F636" s="58">
        <f>IF($B636&lt;&gt;"",MATCH($B636,MTName,0),$E636+MATCH($D636,INDEX(MTDesc,$E636+1):MTEnd,0))</f>
        <v>445.0</v>
      </c>
      <c r="G636" s="3" t="str">
        <f>INDEX(MTDesc,$F636)</f>
        <v>EV purchase subsidy: year of introduction, 2-3 wheeler</v>
      </c>
    </row>
    <row r="637">
      <c r="A637" s="3" t="inlineStr">
        <is>
          <t>TrSubAmountPas|all|all</t>
        </is>
      </c>
      <c r="B637" s="3" t="inlineStr">
        <is>
          <t>TrSubAmountPas</t>
        </is>
      </c>
      <c r="C637" s="3" t="n"/>
      <c r="D637" s="3" t="n"/>
      <c r="E637" s="58">
        <f>IF($C637="",0,MATCH($C637,MTDesc,0))</f>
        <v>0.0</v>
      </c>
      <c r="F637" s="58">
        <f>IF($B637&lt;&gt;"",MATCH($B637,MTName,0),$E637+MATCH($D637,INDEX(MTDesc,$E637+1):MTEnd,0))</f>
        <v>446.0</v>
      </c>
      <c r="G637" s="3" t="str">
        <f>INDEX(MTDesc,$F637)</f>
        <v>EV purchase subsidy: amount, passenger</v>
      </c>
    </row>
    <row r="638">
      <c r="A638" s="3" t="inlineStr">
        <is>
          <t>TrSubAmountFre|all|all</t>
        </is>
      </c>
      <c r="B638" s="3" t="inlineStr">
        <is>
          <t>TrSubAmountFre</t>
        </is>
      </c>
      <c r="C638" s="3" t="n"/>
      <c r="D638" s="3" t="n"/>
      <c r="E638" s="58">
        <f>IF($C638="",0,MATCH($C638,MTDesc,0))</f>
        <v>0.0</v>
      </c>
      <c r="F638" s="58">
        <f>IF($B638&lt;&gt;"",MATCH($B638,MTName,0),$E638+MATCH($D638,INDEX(MTDesc,$E638+1):MTEnd,0))</f>
        <v>447.0</v>
      </c>
      <c r="G638" s="3" t="str">
        <f>INDEX(MTDesc,$F638)</f>
        <v>EV purchase subsidy: amount, freight</v>
      </c>
    </row>
    <row r="639">
      <c r="A639" s="3" t="inlineStr">
        <is>
          <t>TrSubAmountCyc|all|all</t>
        </is>
      </c>
      <c r="B639" s="3" t="inlineStr">
        <is>
          <t>TrSubAmountCyc</t>
        </is>
      </c>
      <c r="C639" s="3" t="n"/>
      <c r="D639" s="3" t="n"/>
      <c r="E639" s="58">
        <f>IF($C639="",0,MATCH($C639,MTDesc,0))</f>
        <v>0.0</v>
      </c>
      <c r="F639" s="58">
        <f>IF($B639&lt;&gt;"",MATCH($B639,MTName,0),$E639+MATCH($D639,INDEX(MTDesc,$E639+1):MTEnd,0))</f>
        <v>448.0</v>
      </c>
      <c r="G639" s="3" t="str">
        <f>INDEX(MTDesc,$F639)</f>
        <v>EV purchase subsidy: amount, 2-3 wheeler</v>
      </c>
    </row>
    <row r="640">
      <c r="A640" s="3" t="inlineStr">
        <is>
          <t>TrSubChgPas|all|all</t>
        </is>
      </c>
      <c r="B640" s="3" t="inlineStr">
        <is>
          <t>TrSubChgPas</t>
        </is>
      </c>
      <c r="C640" s="3" t="n"/>
      <c r="D640" s="3" t="n"/>
      <c r="E640" s="58">
        <f>IF($C640="",0,MATCH($C640,MTDesc,0))</f>
        <v>0.0</v>
      </c>
      <c r="F640" s="58">
        <f>IF($B640&lt;&gt;"",MATCH($B640,MTName,0),$E640+MATCH($D640,INDEX(MTDesc,$E640+1):MTEnd,0))</f>
        <v>449.0</v>
      </c>
      <c r="G640" s="3" t="str">
        <f>INDEX(MTDesc,$F640)</f>
        <v>EV purchase subsidy: annual change, passenger</v>
      </c>
    </row>
    <row r="641">
      <c r="A641" s="3" t="inlineStr">
        <is>
          <t>TrSubChgFre|all|all</t>
        </is>
      </c>
      <c r="B641" s="3" t="inlineStr">
        <is>
          <t>TrSubChgFre</t>
        </is>
      </c>
      <c r="C641" s="3" t="n"/>
      <c r="D641" s="3" t="n"/>
      <c r="E641" s="58">
        <f>IF($C641="",0,MATCH($C641,MTDesc,0))</f>
        <v>0.0</v>
      </c>
      <c r="F641" s="58">
        <f>IF($B641&lt;&gt;"",MATCH($B641,MTName,0),$E641+MATCH($D641,INDEX(MTDesc,$E641+1):MTEnd,0))</f>
        <v>450.0</v>
      </c>
      <c r="G641" s="3" t="str">
        <f>INDEX(MTDesc,$F641)</f>
        <v>EV purchase subsidy: annual change, freight</v>
      </c>
    </row>
    <row r="642">
      <c r="A642" s="3" t="inlineStr">
        <is>
          <t>TrSubChgCyc|all|all</t>
        </is>
      </c>
      <c r="B642" s="3" t="inlineStr">
        <is>
          <t>TrSubChgCyc</t>
        </is>
      </c>
      <c r="C642" s="3" t="n"/>
      <c r="D642" s="3" t="n"/>
      <c r="E642" s="58">
        <f>IF($C642="",0,MATCH($C642,MTDesc,0))</f>
        <v>0.0</v>
      </c>
      <c r="F642" s="58">
        <f>IF($B642&lt;&gt;"",MATCH($B642,MTName,0),$E642+MATCH($D642,INDEX(MTDesc,$E642+1):MTEnd,0))</f>
        <v>451.0</v>
      </c>
      <c r="G642" s="3" t="str">
        <f>INDEX(MTDesc,$F642)</f>
        <v>EV purchase subsidy: annual change, 2-3 wheeler</v>
      </c>
    </row>
    <row r="643">
      <c r="A643" s="3" t="inlineStr">
        <is>
          <t>TrAdvIceBasePas|all|all</t>
        </is>
      </c>
      <c r="B643" s="3" t="inlineStr">
        <is>
          <t>TrAdvIceBasePas</t>
        </is>
      </c>
      <c r="C643" s="3" t="n"/>
      <c r="D643" s="3" t="n"/>
      <c r="E643" s="58">
        <f>IF($C643="",0,MATCH($C643,MTDesc,0))</f>
        <v>0.0</v>
      </c>
      <c r="F643" s="58">
        <f>IF($B643&lt;&gt;"",MATCH($B643,MTName,0),$E643+MATCH($D643,INDEX(MTDesc,$E643+1):MTEnd,0))</f>
        <v>452.0</v>
      </c>
      <c r="G643" s="3" t="str">
        <f>INDEX(MTDesc,$F643)</f>
        <v>Ad-valorem purchase tax on ICEVs, baseline, passenger</v>
      </c>
    </row>
    <row r="644">
      <c r="A644" s="3" t="inlineStr">
        <is>
          <t>TrAdvIceBaseFre|all|all</t>
        </is>
      </c>
      <c r="B644" s="3" t="inlineStr">
        <is>
          <t>TrAdvIceBaseFre</t>
        </is>
      </c>
      <c r="C644" s="3" t="n"/>
      <c r="D644" s="3" t="n"/>
      <c r="E644" s="58">
        <f>IF($C644="",0,MATCH($C644,MTDesc,0))</f>
        <v>0.0</v>
      </c>
      <c r="F644" s="58">
        <f>IF($B644&lt;&gt;"",MATCH($B644,MTName,0),$E644+MATCH($D644,INDEX(MTDesc,$E644+1):MTEnd,0))</f>
        <v>453.0</v>
      </c>
      <c r="G644" s="3" t="str">
        <f>INDEX(MTDesc,$F644)</f>
        <v>Ad-valorem purchase tax on ICEVs, baseline, freight</v>
      </c>
    </row>
    <row r="645">
      <c r="A645" s="3" t="inlineStr">
        <is>
          <t>TrAdvIceBaseCyc|all|all</t>
        </is>
      </c>
      <c r="B645" s="3" t="inlineStr">
        <is>
          <t>TrAdvIceBaseCyc</t>
        </is>
      </c>
      <c r="C645" s="3" t="n"/>
      <c r="D645" s="3" t="n"/>
      <c r="E645" s="58">
        <f>IF($C645="",0,MATCH($C645,MTDesc,0))</f>
        <v>0.0</v>
      </c>
      <c r="F645" s="58">
        <f>IF($B645&lt;&gt;"",MATCH($B645,MTName,0),$E645+MATCH($D645,INDEX(MTDesc,$E645+1):MTEnd,0))</f>
        <v>454.0</v>
      </c>
      <c r="G645" s="3" t="str">
        <f>INDEX(MTDesc,$F645)</f>
        <v>Ad-valorem purchase tax on ICEVs, baseline, 2-3 wheeler</v>
      </c>
    </row>
    <row r="646">
      <c r="A646" s="3" t="inlineStr">
        <is>
          <t>TrAdvBevBasePas|all|all</t>
        </is>
      </c>
      <c r="B646" s="3" t="inlineStr">
        <is>
          <t>TrAdvBevBasePas</t>
        </is>
      </c>
      <c r="C646" s="3" t="n"/>
      <c r="D646" s="3" t="n"/>
      <c r="E646" s="58">
        <f>IF($C646="",0,MATCH($C646,MTDesc,0))</f>
        <v>0.0</v>
      </c>
      <c r="F646" s="58">
        <f>IF($B646&lt;&gt;"",MATCH($B646,MTName,0),$E646+MATCH($D646,INDEX(MTDesc,$E646+1):MTEnd,0))</f>
        <v>455.0</v>
      </c>
      <c r="G646" s="3" t="str">
        <f>INDEX(MTDesc,$F646)</f>
        <v>Ad-valorem purchase tax on BEVs, baseline, passenger</v>
      </c>
    </row>
    <row r="647">
      <c r="A647" s="3" t="inlineStr">
        <is>
          <t>TrAdvBevBaseFre|all|all</t>
        </is>
      </c>
      <c r="B647" s="3" t="inlineStr">
        <is>
          <t>TrAdvBevBaseFre</t>
        </is>
      </c>
      <c r="C647" s="3" t="n"/>
      <c r="D647" s="3" t="n"/>
      <c r="E647" s="58">
        <f>IF($C647="",0,MATCH($C647,MTDesc,0))</f>
        <v>0.0</v>
      </c>
      <c r="F647" s="58">
        <f>IF($B647&lt;&gt;"",MATCH($B647,MTName,0),$E647+MATCH($D647,INDEX(MTDesc,$E647+1):MTEnd,0))</f>
        <v>456.0</v>
      </c>
      <c r="G647" s="3" t="str">
        <f>INDEX(MTDesc,$F647)</f>
        <v>Ad-valorem purchase tax on BEVs, baseline, freight</v>
      </c>
    </row>
    <row r="648">
      <c r="A648" s="3" t="inlineStr">
        <is>
          <t>TrAdvBevBaseCyc|all|all</t>
        </is>
      </c>
      <c r="B648" s="3" t="inlineStr">
        <is>
          <t>TrAdvBevBaseCyc</t>
        </is>
      </c>
      <c r="C648" s="3" t="n"/>
      <c r="D648" s="3" t="n"/>
      <c r="E648" s="58">
        <f>IF($C648="",0,MATCH($C648,MTDesc,0))</f>
        <v>0.0</v>
      </c>
      <c r="F648" s="58">
        <f>IF($B648&lt;&gt;"",MATCH($B648,MTName,0),$E648+MATCH($D648,INDEX(MTDesc,$E648+1):MTEnd,0))</f>
        <v>457.0</v>
      </c>
      <c r="G648" s="3" t="str">
        <f>INDEX(MTDesc,$F648)</f>
        <v>Ad-valorem purchase tax on BEVs, baseline, 2-3 wheeler</v>
      </c>
    </row>
    <row r="649">
      <c r="A649" s="3" t="inlineStr">
        <is>
          <t>TrAdvIcePolPas|all|all</t>
        </is>
      </c>
      <c r="B649" s="3" t="inlineStr">
        <is>
          <t>TrAdvIcePolPas</t>
        </is>
      </c>
      <c r="C649" s="3" t="n"/>
      <c r="D649" s="3" t="n"/>
      <c r="E649" s="58">
        <f>IF($C649="",0,MATCH($C649,MTDesc,0))</f>
        <v>0.0</v>
      </c>
      <c r="F649" s="58">
        <f>IF($B649&lt;&gt;"",MATCH($B649,MTName,0),$E649+MATCH($D649,INDEX(MTDesc,$E649+1):MTEnd,0))</f>
        <v>458.0</v>
      </c>
      <c r="G649" s="3" t="str">
        <f>INDEX(MTDesc,$F649)</f>
        <v>Ad-valorem purchase tax on ICEVs, policy, passenger</v>
      </c>
    </row>
    <row r="650">
      <c r="A650" s="3" t="inlineStr">
        <is>
          <t>TrAdvIcePolFre|all|all</t>
        </is>
      </c>
      <c r="B650" s="3" t="inlineStr">
        <is>
          <t>TrAdvIcePolFre</t>
        </is>
      </c>
      <c r="C650" s="3" t="n"/>
      <c r="D650" s="3" t="n"/>
      <c r="E650" s="58">
        <f>IF($C650="",0,MATCH($C650,MTDesc,0))</f>
        <v>0.0</v>
      </c>
      <c r="F650" s="58">
        <f>IF($B650&lt;&gt;"",MATCH($B650,MTName,0),$E650+MATCH($D650,INDEX(MTDesc,$E650+1):MTEnd,0))</f>
        <v>459.0</v>
      </c>
      <c r="G650" s="3" t="str">
        <f>INDEX(MTDesc,$F650)</f>
        <v>Ad-valorem purchase tax on ICEVs, policy, freight</v>
      </c>
    </row>
    <row r="651">
      <c r="A651" s="3" t="inlineStr">
        <is>
          <t>TrAdvIcePolCyc|all|all</t>
        </is>
      </c>
      <c r="B651" s="3" t="inlineStr">
        <is>
          <t>TrAdvIcePolCyc</t>
        </is>
      </c>
      <c r="C651" s="3" t="n"/>
      <c r="D651" s="3" t="n"/>
      <c r="E651" s="58">
        <f>IF($C651="",0,MATCH($C651,MTDesc,0))</f>
        <v>0.0</v>
      </c>
      <c r="F651" s="58">
        <f>IF($B651&lt;&gt;"",MATCH($B651,MTName,0),$E651+MATCH($D651,INDEX(MTDesc,$E651+1):MTEnd,0))</f>
        <v>460.0</v>
      </c>
      <c r="G651" s="3" t="str">
        <f>INDEX(MTDesc,$F651)</f>
        <v>Ad-valorem purchase tax on ICEVs, policy, 2-3 wheeler</v>
      </c>
    </row>
    <row r="652">
      <c r="A652" s="3" t="inlineStr">
        <is>
          <t>TrAdvBevPolPas|all|all</t>
        </is>
      </c>
      <c r="B652" s="3" t="inlineStr">
        <is>
          <t>TrAdvBevPolPas</t>
        </is>
      </c>
      <c r="C652" s="3" t="n"/>
      <c r="D652" s="3" t="n"/>
      <c r="E652" s="58">
        <f>IF($C652="",0,MATCH($C652,MTDesc,0))</f>
        <v>0.0</v>
      </c>
      <c r="F652" s="58">
        <f>IF($B652&lt;&gt;"",MATCH($B652,MTName,0),$E652+MATCH($D652,INDEX(MTDesc,$E652+1):MTEnd,0))</f>
        <v>461.0</v>
      </c>
      <c r="G652" s="3" t="str">
        <f>INDEX(MTDesc,$F652)</f>
        <v>Ad-valorem purchase tax on BEVs, policy, passenger</v>
      </c>
    </row>
    <row r="653">
      <c r="A653" s="3" t="inlineStr">
        <is>
          <t>TrAdvBevPolFre|all|all</t>
        </is>
      </c>
      <c r="B653" s="3" t="inlineStr">
        <is>
          <t>TrAdvBevPolFre</t>
        </is>
      </c>
      <c r="C653" s="3" t="n"/>
      <c r="D653" s="3" t="n"/>
      <c r="E653" s="58">
        <f>IF($C653="",0,MATCH($C653,MTDesc,0))</f>
        <v>0.0</v>
      </c>
      <c r="F653" s="58">
        <f>IF($B653&lt;&gt;"",MATCH($B653,MTName,0),$E653+MATCH($D653,INDEX(MTDesc,$E653+1):MTEnd,0))</f>
        <v>462.0</v>
      </c>
      <c r="G653" s="3" t="str">
        <f>INDEX(MTDesc,$F653)</f>
        <v>Ad-valorem purchase tax on BEVs, policy, freight</v>
      </c>
    </row>
    <row r="654">
      <c r="A654" s="3" t="inlineStr">
        <is>
          <t>TrAdvBevPolCyc|all|all</t>
        </is>
      </c>
      <c r="B654" s="3" t="inlineStr">
        <is>
          <t>TrAdvBevPolCyc</t>
        </is>
      </c>
      <c r="C654" s="3" t="n"/>
      <c r="D654" s="3" t="n"/>
      <c r="E654" s="58">
        <f>IF($C654="",0,MATCH($C654,MTDesc,0))</f>
        <v>0.0</v>
      </c>
      <c r="F654" s="58">
        <f>IF($B654&lt;&gt;"",MATCH($B654,MTName,0),$E654+MATCH($D654,INDEX(MTDesc,$E654+1):MTEnd,0))</f>
        <v>463.0</v>
      </c>
      <c r="G654" s="3" t="str">
        <f>INDEX(MTDesc,$F654)</f>
        <v>Ad-valorem purchase tax on BEVs, policy, 2-3 wheeler</v>
      </c>
    </row>
    <row r="655">
      <c r="A655" s="3" t="inlineStr">
        <is>
          <t>TrAdvYearPas|all|all</t>
        </is>
      </c>
      <c r="B655" s="3" t="inlineStr">
        <is>
          <t>TrAdvYearPas</t>
        </is>
      </c>
      <c r="C655" s="3" t="n"/>
      <c r="D655" s="3" t="n"/>
      <c r="E655" s="58">
        <f>IF($C655="",0,MATCH($C655,MTDesc,0))</f>
        <v>0.0</v>
      </c>
      <c r="F655" s="58">
        <f>IF($B655&lt;&gt;"",MATCH($B655,MTName,0),$E655+MATCH($D655,INDEX(MTDesc,$E655+1):MTEnd,0))</f>
        <v>464.0</v>
      </c>
      <c r="G655" s="3" t="str">
        <f>INDEX(MTDesc,$F655)</f>
        <v>Ad-valorem purchase tax: year of the policy rate, passenger</v>
      </c>
    </row>
    <row r="656">
      <c r="A656" s="3" t="inlineStr">
        <is>
          <t>TrAdvYearFre|all|all</t>
        </is>
      </c>
      <c r="B656" s="3" t="inlineStr">
        <is>
          <t>TrAdvYearFre</t>
        </is>
      </c>
      <c r="C656" s="3" t="n"/>
      <c r="D656" s="3" t="n"/>
      <c r="E656" s="58">
        <f>IF($C656="",0,MATCH($C656,MTDesc,0))</f>
        <v>0.0</v>
      </c>
      <c r="F656" s="58">
        <f>IF($B656&lt;&gt;"",MATCH($B656,MTName,0),$E656+MATCH($D656,INDEX(MTDesc,$E656+1):MTEnd,0))</f>
        <v>465.0</v>
      </c>
      <c r="G656" s="3" t="str">
        <f>INDEX(MTDesc,$F656)</f>
        <v>Ad-valorem purchase tax: year of the policy rate, freight</v>
      </c>
    </row>
    <row r="657">
      <c r="A657" s="3" t="inlineStr">
        <is>
          <t>TrAdvYearCyc|all|all</t>
        </is>
      </c>
      <c r="B657" s="3" t="inlineStr">
        <is>
          <t>TrAdvYearCyc</t>
        </is>
      </c>
      <c r="C657" s="3" t="n"/>
      <c r="D657" s="3" t="n"/>
      <c r="E657" s="58">
        <f>IF($C657="",0,MATCH($C657,MTDesc,0))</f>
        <v>0.0</v>
      </c>
      <c r="F657" s="58">
        <f>IF($B657&lt;&gt;"",MATCH($B657,MTName,0),$E657+MATCH($D657,INDEX(MTDesc,$E657+1):MTEnd,0))</f>
        <v>466.0</v>
      </c>
      <c r="G657" s="3" t="str">
        <f>INDEX(MTDesc,$F657)</f>
        <v>Ad-valorem purchase tax: year of the policy rate, 2-3 wheeler</v>
      </c>
    </row>
    <row r="658">
      <c r="A658" s="3" t="inlineStr">
        <is>
          <t>TrCustYearPas|all|all</t>
        </is>
      </c>
      <c r="B658" s="3" t="inlineStr">
        <is>
          <t>TrCustYearPas</t>
        </is>
      </c>
      <c r="C658" s="3" t="n"/>
      <c r="D658" s="3" t="n"/>
      <c r="E658" s="58">
        <f>IF($C658="",0,MATCH($C658,MTDesc,0))</f>
        <v>0.0</v>
      </c>
      <c r="F658" s="58">
        <f>IF($B658&lt;&gt;"",MATCH($B658,MTName,0),$E658+MATCH($D658,INDEX(MTDesc,$E658+1):MTEnd,0))</f>
        <v>467.0</v>
      </c>
      <c r="G658" s="3" t="str">
        <f>INDEX(MTDesc,$F658)</f>
        <v>Customs duty on BEVs: year of the policy rate, passenger</v>
      </c>
    </row>
    <row r="659">
      <c r="A659" s="3" t="inlineStr">
        <is>
          <t>TrCustYearFre|all|all</t>
        </is>
      </c>
      <c r="B659" s="3" t="inlineStr">
        <is>
          <t>TrCustYearFre</t>
        </is>
      </c>
      <c r="C659" s="3" t="n"/>
      <c r="D659" s="3" t="n"/>
      <c r="E659" s="58">
        <f>IF($C659="",0,MATCH($C659,MTDesc,0))</f>
        <v>0.0</v>
      </c>
      <c r="F659" s="58">
        <f>IF($B659&lt;&gt;"",MATCH($B659,MTName,0),$E659+MATCH($D659,INDEX(MTDesc,$E659+1):MTEnd,0))</f>
        <v>468.0</v>
      </c>
      <c r="G659" s="3" t="str">
        <f>INDEX(MTDesc,$F659)</f>
        <v>Customs duty on BEVs: year of the policy rate, freight</v>
      </c>
    </row>
    <row r="660">
      <c r="A660" s="3" t="inlineStr">
        <is>
          <t>TrCustYearCyc|all|all</t>
        </is>
      </c>
      <c r="B660" s="3" t="inlineStr">
        <is>
          <t>TrCustYearCyc</t>
        </is>
      </c>
      <c r="C660" s="3" t="n"/>
      <c r="D660" s="3" t="n"/>
      <c r="E660" s="58">
        <f>IF($C660="",0,MATCH($C660,MTDesc,0))</f>
        <v>0.0</v>
      </c>
      <c r="F660" s="58">
        <f>IF($B660&lt;&gt;"",MATCH($B660,MTName,0),$E660+MATCH($D660,INDEX(MTDesc,$E660+1):MTEnd,0))</f>
        <v>469.0</v>
      </c>
      <c r="G660" s="3" t="str">
        <f>INDEX(MTDesc,$F660)</f>
        <v>Customs duty on BEVs: year of the policy rate, 2-3 wheeler</v>
      </c>
    </row>
    <row r="661">
      <c r="A661" s="3" t="inlineStr">
        <is>
          <t>TrVatYearPas|all|all</t>
        </is>
      </c>
      <c r="B661" s="3" t="inlineStr">
        <is>
          <t>TrVatYearPas</t>
        </is>
      </c>
      <c r="C661" s="3" t="n"/>
      <c r="D661" s="3" t="n"/>
      <c r="E661" s="58">
        <f>IF($C661="",0,MATCH($C661,MTDesc,0))</f>
        <v>0.0</v>
      </c>
      <c r="F661" s="58">
        <f>IF($B661&lt;&gt;"",MATCH($B661,MTName,0),$E661+MATCH($D661,INDEX(MTDesc,$E661+1):MTEnd,0))</f>
        <v>470.0</v>
      </c>
      <c r="G661" s="3" t="str">
        <f>INDEX(MTDesc,$F661)</f>
        <v>VAT on BEVs: year of the policy rate, passenger</v>
      </c>
    </row>
    <row r="662">
      <c r="A662" s="3" t="inlineStr">
        <is>
          <t>TrVatYearCyc|all|all</t>
        </is>
      </c>
      <c r="B662" s="3" t="inlineStr">
        <is>
          <t>TrVatYearCyc</t>
        </is>
      </c>
      <c r="C662" s="3" t="n"/>
      <c r="D662" s="3" t="n"/>
      <c r="E662" s="58">
        <f>IF($C662="",0,MATCH($C662,MTDesc,0))</f>
        <v>0.0</v>
      </c>
      <c r="F662" s="58">
        <f>IF($B662&lt;&gt;"",MATCH($B662,MTName,0),$E662+MATCH($D662,INDEX(MTDesc,$E662+1):MTEnd,0))</f>
        <v>471.0</v>
      </c>
      <c r="G662" s="3" t="str">
        <f>INDEX(MTDesc,$F662)</f>
        <v>VAT on BEVs: year of the policy rate, 2-3 wheeler</v>
      </c>
    </row>
    <row r="663">
      <c r="A663" s="3" t="inlineStr">
        <is>
          <t>TrVatPolFactor|all|all</t>
        </is>
      </c>
      <c r="B663" s="3" t="inlineStr">
        <is>
          <t>TrVatPolFactor</t>
        </is>
      </c>
      <c r="C663" s="3" t="n"/>
      <c r="D663" s="3" t="n"/>
      <c r="E663" s="58">
        <f>IF($C663="",0,MATCH($C663,MTDesc,0))</f>
        <v>0.0</v>
      </c>
      <c r="F663" s="58">
        <f>IF($B663&lt;&gt;"",MATCH($B663,MTName,0),$E663+MATCH($D663,INDEX(MTDesc,$E663+1):MTEnd,0))</f>
        <v>472.0</v>
      </c>
      <c r="G663" s="3" t="str">
        <f>INDEX(MTDesc,$F663)</f>
        <v>VAT on BEVs, policy: factor on the baseline VAT rate</v>
      </c>
    </row>
    <row r="664">
      <c r="A664" s="3" t="inlineStr">
        <is>
          <t>TrCustPolFactor|all|all</t>
        </is>
      </c>
      <c r="B664" s="3" t="inlineStr">
        <is>
          <t>TrCustPolFactor</t>
        </is>
      </c>
      <c r="C664" s="3" t="n"/>
      <c r="D664" s="3" t="n"/>
      <c r="E664" s="58">
        <f>IF($C664="",0,MATCH($C664,MTDesc,0))</f>
        <v>0.0</v>
      </c>
      <c r="F664" s="58">
        <f>IF($B664&lt;&gt;"",MATCH($B664,MTName,0),$E664+MATCH($D664,INDEX(MTDesc,$E664+1):MTEnd,0))</f>
        <v>473.0</v>
      </c>
      <c r="G664" s="3" t="str">
        <f>INDEX(MTDesc,$F664)</f>
        <v>Customs duty on BEVs, policy: factor on the baseline duty</v>
      </c>
    </row>
    <row r="665">
      <c r="A665" s="3" t="inlineStr">
        <is>
          <t>TrCsStartYear|all|all</t>
        </is>
      </c>
      <c r="B665" s="3" t="inlineStr">
        <is>
          <t>TrCsStartYear</t>
        </is>
      </c>
      <c r="C665" s="3" t="n"/>
      <c r="D665" s="3" t="n"/>
      <c r="E665" s="58">
        <f>IF($C665="",0,MATCH($C665,MTDesc,0))</f>
        <v>0.0</v>
      </c>
      <c r="F665" s="58">
        <f>IF($B665&lt;&gt;"",MATCH($B665,MTName,0),$E665+MATCH($D665,INDEX(MTDesc,$E665+1):MTEnd,0))</f>
        <v>474.0</v>
      </c>
      <c r="G665" s="3" t="str">
        <f>INDEX(MTDesc,$F665)</f>
        <v>Charging-station subsidy: start year</v>
      </c>
    </row>
    <row r="666">
      <c r="A666" s="3" t="inlineStr">
        <is>
          <t>TrCsStartLevel|all|all</t>
        </is>
      </c>
      <c r="B666" s="3" t="inlineStr">
        <is>
          <t>TrCsStartLevel</t>
        </is>
      </c>
      <c r="C666" s="3" t="n"/>
      <c r="D666" s="3" t="n"/>
      <c r="E666" s="58">
        <f>IF($C666="",0,MATCH($C666,MTDesc,0))</f>
        <v>0.0</v>
      </c>
      <c r="F666" s="58">
        <f>IF($B666&lt;&gt;"",MATCH($B666,MTName,0),$E666+MATCH($D666,INDEX(MTDesc,$E666+1):MTEnd,0))</f>
        <v>475.0</v>
      </c>
      <c r="G666" s="3" t="str">
        <f>INDEX(MTDesc,$F666)</f>
        <v>Charging-station subsidy: share of the cost in the start year</v>
      </c>
    </row>
    <row r="667">
      <c r="A667" s="3" t="inlineStr">
        <is>
          <t>TrCsTargetYear|all|all</t>
        </is>
      </c>
      <c r="B667" s="3" t="inlineStr">
        <is>
          <t>TrCsTargetYear</t>
        </is>
      </c>
      <c r="C667" s="3" t="n"/>
      <c r="D667" s="3" t="n"/>
      <c r="E667" s="58">
        <f>IF($C667="",0,MATCH($C667,MTDesc,0))</f>
        <v>0.0</v>
      </c>
      <c r="F667" s="58">
        <f>IF($B667&lt;&gt;"",MATCH($B667,MTName,0),$E667+MATCH($D667,INDEX(MTDesc,$E667+1):MTEnd,0))</f>
        <v>476.0</v>
      </c>
      <c r="G667" s="3" t="str">
        <f>INDEX(MTDesc,$F667)</f>
        <v>Charging-station subsidy: target year</v>
      </c>
    </row>
    <row r="668">
      <c r="A668" s="3" t="inlineStr">
        <is>
          <t>TrCsTargetLevel|all|all</t>
        </is>
      </c>
      <c r="B668" s="3" t="inlineStr">
        <is>
          <t>TrCsTargetLevel</t>
        </is>
      </c>
      <c r="C668" s="3" t="n"/>
      <c r="D668" s="3" t="n"/>
      <c r="E668" s="58">
        <f>IF($C668="",0,MATCH($C668,MTDesc,0))</f>
        <v>0.0</v>
      </c>
      <c r="F668" s="58">
        <f>IF($B668&lt;&gt;"",MATCH($B668,MTName,0),$E668+MATCH($D668,INDEX(MTDesc,$E668+1):MTEnd,0))</f>
        <v>477.0</v>
      </c>
      <c r="G668" s="3" t="str">
        <f>INDEX(MTDesc,$F668)</f>
        <v>Charging-station subsidy: share of the cost in the target year</v>
      </c>
    </row>
    <row r="669">
      <c r="A669" s="3" t="inlineStr">
        <is>
          <t>YearDistn||</t>
        </is>
      </c>
      <c r="B669" s="3" t="inlineStr">
        <is>
          <t>YearDistn</t>
        </is>
      </c>
      <c r="C669" s="3" t="n"/>
      <c r="D669" s="3" t="n"/>
      <c r="E669" s="58">
        <f>IF($C669="",0,MATCH($C669,MTDesc,0))</f>
        <v>0.0</v>
      </c>
      <c r="F669" s="58">
        <f>IF($B669&lt;&gt;"",MATCH($B669,MTName,0),$E669+MATCH($D669,INDEX(MTDesc,$E669+1):MTEnd,0))</f>
        <v>304.0</v>
      </c>
      <c r="G669" s="3" t="str">
        <f>INDEX(MTDesc,$F669)</f>
        <v>Analysis year for distributional module</v>
      </c>
    </row>
    <row r="670">
      <c r="A670" s="3" t="inlineStr">
        <is>
          <t>QuantilesStatistic||</t>
        </is>
      </c>
      <c r="B670" s="3" t="inlineStr">
        <is>
          <t>QuantilesStatistic</t>
        </is>
      </c>
      <c r="C670" s="3" t="n"/>
      <c r="D670" s="3" t="n"/>
      <c r="E670" s="58">
        <f>IF($C670="",0,MATCH($C670,MTDesc,0))</f>
        <v>0.0</v>
      </c>
      <c r="F670" s="58">
        <f>IF($B670&lt;&gt;"",MATCH($B670,MTName,0),$E670+MATCH($D670,INDEX(MTDesc,$E670+1):MTEnd,0))</f>
        <v>319.0</v>
      </c>
      <c r="G670" s="3" t="str">
        <f>INDEX(MTDesc,$F670)</f>
        <v>Impacts for average, median, p25, or p75?</v>
      </c>
    </row>
    <row r="671">
      <c r="A671" s="3" t="inlineStr">
        <is>
          <t>PEDs||</t>
        </is>
      </c>
      <c r="B671" s="3" t="inlineStr">
        <is>
          <t>PEDs</t>
        </is>
      </c>
      <c r="C671" s="3" t="n"/>
      <c r="D671" s="3" t="n"/>
      <c r="E671" s="58">
        <f>IF($C671="",0,MATCH($C671,MTDesc,0))</f>
        <v>0.0</v>
      </c>
      <c r="F671" s="58">
        <f>IF($B671&lt;&gt;"",MATCH($B671,MTName,0),$E671+MATCH($D671,INDEX(MTDesc,$E671+1):MTEnd,0))</f>
        <v>315.0</v>
      </c>
      <c r="G671" s="3" t="str">
        <f>INDEX(MTDesc,$F671)</f>
        <v>Include decile-specific price elasticities?</v>
      </c>
    </row>
    <row r="672">
      <c r="A672" s="3" t="inlineStr">
        <is>
          <t>ScaleGTAP||</t>
        </is>
      </c>
      <c r="B672" s="3" t="inlineStr">
        <is>
          <t>ScaleGTAP</t>
        </is>
      </c>
      <c r="C672" s="3" t="n"/>
      <c r="D672" s="3" t="n"/>
      <c r="E672" s="58">
        <f>IF($C672="",0,MATCH($C672,MTDesc,0))</f>
        <v>0.0</v>
      </c>
      <c r="F672" s="58">
        <f>IF($B672&lt;&gt;"",MATCH($B672,MTName,0),$E672+MATCH($D672,INDEX(MTDesc,$E672+1):MTEnd,0))</f>
        <v>316.0</v>
      </c>
      <c r="G672" s="3" t="str">
        <f>INDEX(MTDesc,$F672)</f>
        <v>Adjust GTAP-implied CP revenues to CPAT?</v>
      </c>
    </row>
    <row r="673">
      <c r="A673" s="3" t="inlineStr">
        <is>
          <t>InferredDist||</t>
        </is>
      </c>
      <c r="B673" s="3" t="inlineStr">
        <is>
          <t>InferredDist</t>
        </is>
      </c>
      <c r="C673" s="3" t="n"/>
      <c r="D673" s="3" t="n"/>
      <c r="E673" s="58">
        <f>IF($C673="",0,MATCH($C673,MTDesc,0))</f>
        <v>0.0</v>
      </c>
      <c r="F673" s="58">
        <f>IF($B673&lt;&gt;"",MATCH($B673,MTName,0),$E673+MATCH($D673,INDEX(MTDesc,$E673+1):MTEnd,0))</f>
        <v>314.0</v>
      </c>
      <c r="G673" s="3" t="str">
        <f>INDEX(MTDesc,$F673)</f>
        <v>Adjust for behavioral &amp; structural change?</v>
      </c>
    </row>
    <row r="674">
      <c r="A674" s="3" t="inlineStr">
        <is>
          <t>DWLs||</t>
        </is>
      </c>
      <c r="B674" s="3" t="inlineStr">
        <is>
          <t>DWLs</t>
        </is>
      </c>
      <c r="C674" s="3" t="n"/>
      <c r="D674" s="3" t="n"/>
      <c r="E674" s="58">
        <f>IF($C674="",0,MATCH($C674,MTDesc,0))</f>
        <v>0.0</v>
      </c>
      <c r="F674" s="58">
        <f>IF($B674&lt;&gt;"",MATCH($B674,MTName,0),$E674+MATCH($D674,INDEX(MTDesc,$E674+1):MTEnd,0))</f>
        <v>317.0</v>
      </c>
      <c r="G674" s="3" t="str">
        <f>INDEX(MTDesc,$F674)</f>
        <v>Adjust for deadweight losses?</v>
      </c>
    </row>
    <row r="675">
      <c r="A675" s="3" t="inlineStr">
        <is>
          <t>ExemptMostCook||</t>
        </is>
      </c>
      <c r="B675" s="3" t="inlineStr">
        <is>
          <t>ExemptMostCook</t>
        </is>
      </c>
      <c r="C675" s="3" t="n"/>
      <c r="D675" s="3" t="n"/>
      <c r="E675" s="58">
        <f>IF($C675="",0,MATCH($C675,MTDesc,0))</f>
        <v>0.0</v>
      </c>
      <c r="F675" s="58">
        <f>IF($B675&lt;&gt;"",MATCH($B675,MTName,0),$E675+MATCH($D675,INDEX(MTDesc,$E675+1):MTEnd,0))</f>
        <v>312.0</v>
      </c>
      <c r="G675" s="3" t="str">
        <f>INDEX(MTDesc,$F675)</f>
        <v>Exempt most-used cooking fossil fuel?</v>
      </c>
    </row>
    <row r="676">
      <c r="A676" s="3" t="inlineStr">
        <is>
          <t>ExemptCookDeciles||</t>
        </is>
      </c>
      <c r="B676" s="3" t="inlineStr">
        <is>
          <t>ExemptCookDeciles</t>
        </is>
      </c>
      <c r="C676" s="3" t="n"/>
      <c r="D676" s="3" t="n"/>
      <c r="E676" s="58">
        <f>IF($C676="",0,MATCH($C676,MTDesc,0))</f>
        <v>0.0</v>
      </c>
      <c r="F676" s="58">
        <f>IF($B676&lt;&gt;"",MATCH($B676,MTName,0),$E676+MATCH($D676,INDEX(MTDesc,$E676+1):MTEnd,0))</f>
        <v>313.0</v>
      </c>
      <c r="G676" s="3" t="str">
        <f>INDEX(MTDesc,$F676)</f>
        <v>Exempt cooking fossil fuel for bottom XX deciles:</v>
      </c>
    </row>
    <row r="677">
      <c r="A677" s="3" t="inlineStr">
        <is>
          <t>EXPLabortax||</t>
        </is>
      </c>
      <c r="B677" s="3" t="inlineStr">
        <is>
          <t>EXPLabortax</t>
        </is>
      </c>
      <c r="C677" s="3" t="n"/>
      <c r="D677" s="3" t="n"/>
      <c r="E677" s="58">
        <f>IF($C677="",0,MATCH($C677,MTDesc,0))</f>
        <v>0.0</v>
      </c>
      <c r="F677" s="58">
        <f>IF($B677&lt;&gt;"",MATCH($B677,MTName,0),$E677+MATCH($D677,INDEX(MTDesc,$E677+1):MTEnd,0))</f>
        <v>197.0</v>
      </c>
      <c r="G677" s="3" t="str">
        <f>INDEX(MTDesc,$F677)</f>
        <v>Labor tax reductions</v>
      </c>
    </row>
    <row r="678">
      <c r="A678" s="3" t="inlineStr">
        <is>
          <t>EXPCapex||</t>
        </is>
      </c>
      <c r="B678" s="3" t="inlineStr">
        <is>
          <t>EXPCapex</t>
        </is>
      </c>
      <c r="C678" s="3" t="n"/>
      <c r="D678" s="3" t="n"/>
      <c r="E678" s="58">
        <f>IF($C678="",0,MATCH($C678,MTDesc,0))</f>
        <v>0.0</v>
      </c>
      <c r="F678" s="58">
        <f>IF($B678&lt;&gt;"",MATCH($B678,MTName,0),$E678+MATCH($D678,INDEX(MTDesc,$E678+1):MTEnd,0))</f>
        <v>199.0</v>
      </c>
      <c r="G678" s="3" t="str">
        <f>INDEX(MTDesc,$F678)</f>
        <v>Public investment</v>
      </c>
    </row>
    <row r="679">
      <c r="A679" s="3" t="inlineStr">
        <is>
          <t>EXPGoodsandserv||</t>
        </is>
      </c>
      <c r="B679" s="3" t="inlineStr">
        <is>
          <t>EXPGoodsandserv</t>
        </is>
      </c>
      <c r="C679" s="3" t="n"/>
      <c r="D679" s="3" t="n"/>
      <c r="E679" s="58">
        <f>IF($C679="",0,MATCH($C679,MTDesc,0))</f>
        <v>0.0</v>
      </c>
      <c r="F679" s="58">
        <f>IF($B679&lt;&gt;"",MATCH($B679,MTName,0),$E679+MATCH($D679,INDEX(MTDesc,$E679+1):MTEnd,0))</f>
        <v>200.0</v>
      </c>
      <c r="G679" s="3" t="str">
        <f>INDEX(MTDesc,$F679)</f>
        <v>Current spending</v>
      </c>
    </row>
    <row r="680">
      <c r="A680" s="3" t="inlineStr">
        <is>
          <t>EXPTransfers||</t>
        </is>
      </c>
      <c r="B680" s="3" t="inlineStr">
        <is>
          <t>EXPTransfers</t>
        </is>
      </c>
      <c r="C680" s="3" t="n"/>
      <c r="D680" s="3" t="n"/>
      <c r="E680" s="58">
        <f>IF($C680="",0,MATCH($C680,MTDesc,0))</f>
        <v>0.0</v>
      </c>
      <c r="F680" s="58">
        <f>IF($B680&lt;&gt;"",MATCH($B680,MTName,0),$E680+MATCH($D680,INDEX(MTDesc,$E680+1):MTEnd,0))</f>
        <v>201.0</v>
      </c>
      <c r="G680" s="3" t="str">
        <f>INDEX(MTDesc,$F680)</f>
        <v>Targeted transfers</v>
      </c>
    </row>
    <row r="681">
      <c r="A681" s="3" t="inlineStr">
        <is>
          <t>PITReductionType||</t>
        </is>
      </c>
      <c r="B681" s="3" t="inlineStr">
        <is>
          <t>PITReductionType</t>
        </is>
      </c>
      <c r="C681" s="3" t="n"/>
      <c r="D681" s="3" t="n"/>
      <c r="E681" s="58">
        <f>IF($C681="",0,MATCH($C681,MTDesc,0))</f>
        <v>0.0</v>
      </c>
      <c r="F681" s="58">
        <f>IF($B681&lt;&gt;"",MATCH($B681,MTName,0),$E681+MATCH($D681,INDEX(MTDesc,$E681+1):MTEnd,0))</f>
        <v>309.0</v>
      </c>
      <c r="G681" s="3" t="str">
        <f>INDEX(MTDesc,$F681)</f>
        <v>Personal Income Tax (PIT) reduction type</v>
      </c>
    </row>
    <row r="682">
      <c r="A682" s="3" t="inlineStr">
        <is>
          <t>DistExcCfDec||</t>
        </is>
      </c>
      <c r="B682" s="3" t="inlineStr">
        <is>
          <t>DistExcCfDec</t>
        </is>
      </c>
      <c r="C682" s="3" t="n"/>
      <c r="D682" s="3" t="n"/>
      <c r="E682" s="58">
        <f>IF($C682="",0,MATCH($C682,MTDesc,0))</f>
        <v>0.0</v>
      </c>
      <c r="F682" s="58">
        <f>IF($B682&lt;&gt;"",MATCH($B682,MTName,0),$E682+MATCH($D682,INDEX(MTDesc,$E682+1):MTEnd,0))</f>
        <v>310.0</v>
      </c>
      <c r="G682" s="3" t="str">
        <f>INDEX(MTDesc,$F682)</f>
        <v>"Targeted Exemption" for bottom XX deciles</v>
      </c>
    </row>
    <row r="683">
      <c r="A683" s="3" t="inlineStr">
        <is>
          <t>MissingDataReplacement||</t>
        </is>
      </c>
      <c r="B683" s="3" t="inlineStr">
        <is>
          <t>MissingDataReplacement</t>
        </is>
      </c>
      <c r="C683" s="3" t="n"/>
      <c r="D683" s="3" t="n"/>
      <c r="E683" s="58">
        <f>IF($C683="",0,MATCH($C683,MTDesc,0))</f>
        <v>0.0</v>
      </c>
      <c r="F683" s="58">
        <f>IF($B683&lt;&gt;"",MATCH($B683,MTName,0),$E683+MATCH($D683,INDEX(MTDesc,$E683+1):MTEnd,0))</f>
        <v>311.0</v>
      </c>
      <c r="G683" s="3" t="str">
        <f>INDEX(MTDesc,$F683)</f>
        <v>Replace missing labor tax data, grouping by country</v>
      </c>
    </row>
    <row r="684">
      <c r="A684" s="3" t="inlineStr">
        <is>
          <t>TransferType||</t>
        </is>
      </c>
      <c r="B684" s="3" t="inlineStr">
        <is>
          <t>TransferType</t>
        </is>
      </c>
      <c r="C684" s="3" t="n"/>
      <c r="D684" s="3" t="n"/>
      <c r="E684" s="58">
        <f>IF($C684="",0,MATCH($C684,MTDesc,0))</f>
        <v>0.0</v>
      </c>
      <c r="F684" s="58">
        <f>IF($B684&lt;&gt;"",MATCH($B684,MTName,0),$E684+MATCH($D684,INDEX(MTDesc,$E684+1):MTEnd,0))</f>
        <v>305.0</v>
      </c>
      <c r="G684" s="3" t="str">
        <f>INDEX(MTDesc,$F684)</f>
        <v>Targeted transfer type</v>
      </c>
    </row>
    <row r="685">
      <c r="A685" s="3" t="inlineStr">
        <is>
          <t>TargetBelow||</t>
        </is>
      </c>
      <c r="B685" s="3" t="inlineStr">
        <is>
          <t>TargetBelow</t>
        </is>
      </c>
      <c r="C685" s="3" t="n"/>
      <c r="D685" s="3" t="n"/>
      <c r="E685" s="58">
        <f>IF($C685="",0,MATCH($C685,MTDesc,0))</f>
        <v>0.0</v>
      </c>
      <c r="F685" s="58">
        <f>IF($B685&lt;&gt;"",MATCH($B685,MTName,0),$E685+MATCH($D685,INDEX(MTDesc,$E685+1):MTEnd,0))</f>
        <v>306.0</v>
      </c>
      <c r="G685" s="3" t="str">
        <f>INDEX(MTDesc,$F685)</f>
        <v>Target households below poverty line (2011 PPP$/day)</v>
      </c>
    </row>
    <row r="686">
      <c r="A686" s="3" t="inlineStr">
        <is>
          <t>TargettedPercentile||</t>
        </is>
      </c>
      <c r="B686" s="3" t="inlineStr">
        <is>
          <t>TargettedPercentile</t>
        </is>
      </c>
      <c r="C686" s="3" t="n"/>
      <c r="D686" s="3" t="n"/>
      <c r="E686" s="58">
        <f>IF($C686="",0,MATCH($C686,MTDesc,0))</f>
        <v>0.0</v>
      </c>
      <c r="F686" s="58">
        <f>IF($B686&lt;&gt;"",MATCH($B686,MTName,0),$E686+MATCH($D686,INDEX(MTDesc,$E686+1):MTEnd,0))</f>
        <v>203.0</v>
      </c>
      <c r="G686" s="3" t="str">
        <f>INDEX(MTDesc,$F686)</f>
        <v>targeted percentile</v>
      </c>
    </row>
    <row r="687">
      <c r="A687" s="3" t="inlineStr">
        <is>
          <t>CoverageRate||</t>
        </is>
      </c>
      <c r="B687" s="3" t="inlineStr">
        <is>
          <t>CoverageRate</t>
        </is>
      </c>
      <c r="C687" s="3" t="n"/>
      <c r="D687" s="3" t="n"/>
      <c r="E687" s="58">
        <f>IF($C687="",0,MATCH($C687,MTDesc,0))</f>
        <v>0.0</v>
      </c>
      <c r="F687" s="58">
        <f>IF($B687&lt;&gt;"",MATCH($B687,MTName,0),$E687+MATCH($D687,INDEX(MTDesc,$E687+1):MTEnd,0))</f>
        <v>204.0</v>
      </c>
      <c r="G687" s="3" t="str">
        <f>INDEX(MTDesc,$F687)</f>
        <v>coverage rate</v>
      </c>
    </row>
    <row r="688">
      <c r="A688" s="3" t="inlineStr">
        <is>
          <t>LeakageRate||</t>
        </is>
      </c>
      <c r="B688" s="3" t="inlineStr">
        <is>
          <t>LeakageRate</t>
        </is>
      </c>
      <c r="C688" s="3" t="n"/>
      <c r="D688" s="3" t="n"/>
      <c r="E688" s="58">
        <f>IF($C688="",0,MATCH($C688,MTDesc,0))</f>
        <v>0.0</v>
      </c>
      <c r="F688" s="58">
        <f>IF($B688&lt;&gt;"",MATCH($B688,MTName,0),$E688+MATCH($D688,INDEX(MTDesc,$E688+1):MTEnd,0))</f>
        <v>205.0</v>
      </c>
      <c r="G688" s="3" t="str">
        <f>INDEX(MTDesc,$F688)</f>
        <v>leakage rate</v>
      </c>
    </row>
    <row r="689">
      <c r="A689" s="3" t="inlineStr">
        <is>
          <t>PublicInfrastructureInvType||</t>
        </is>
      </c>
      <c r="B689" s="3" t="inlineStr">
        <is>
          <t>PublicInfrastructureInvType</t>
        </is>
      </c>
      <c r="C689" s="3" t="n"/>
      <c r="D689" s="3" t="n"/>
      <c r="E689" s="58">
        <f>IF($C689="",0,MATCH($C689,MTDesc,0))</f>
        <v>0.0</v>
      </c>
      <c r="F689" s="58">
        <f>IF($B689&lt;&gt;"",MATCH($B689,MTName,0),$E689+MATCH($D689,INDEX(MTDesc,$E689+1):MTEnd,0))</f>
        <v>307.0</v>
      </c>
      <c r="G689" s="3" t="str">
        <f>INDEX(MTDesc,$F689)</f>
        <v>Public/infrastructure investment type</v>
      </c>
    </row>
    <row r="690">
      <c r="A690" s="3" t="inlineStr">
        <is>
          <t>CurrentSpendingType||</t>
        </is>
      </c>
      <c r="B690" s="3" t="inlineStr">
        <is>
          <t>CurrentSpendingType</t>
        </is>
      </c>
      <c r="C690" s="3" t="n"/>
      <c r="D690" s="3" t="n"/>
      <c r="E690" s="58">
        <f>IF($C690="",0,MATCH($C690,MTDesc,0))</f>
        <v>0.0</v>
      </c>
      <c r="F690" s="58">
        <f>IF($B690&lt;&gt;"",MATCH($B690,MTName,0),$E690+MATCH($D690,INDEX(MTDesc,$E690+1):MTEnd,0))</f>
        <v>308.0</v>
      </c>
      <c r="G690" s="3" t="str">
        <f>INDEX(MTDesc,$F690)</f>
        <v>Current spending type</v>
      </c>
    </row>
    <row r="691">
      <c r="A691" s="3" t="inlineStr">
        <is>
          <t>PassthroughDist||</t>
        </is>
      </c>
      <c r="B691" s="3" t="inlineStr">
        <is>
          <t>PassthroughDist</t>
        </is>
      </c>
      <c r="C691" s="3" t="n"/>
      <c r="D691" s="3" t="n"/>
      <c r="E691" s="58">
        <f>IF($C691="",0,MATCH($C691,MTDesc,0))</f>
        <v>0.0</v>
      </c>
      <c r="F691" s="58">
        <f>IF($B691&lt;&gt;"",MATCH($B691,MTName,0),$E691+MATCH($D691,INDEX(MTDesc,$E691+1):MTEnd,0))</f>
        <v>318.0</v>
      </c>
      <c r="G691" s="3" t="str">
        <f>INDEX(MTDesc,$F691)</f>
        <v>Imperfect pass-through?</v>
      </c>
    </row>
    <row r="692">
      <c r="A692" s="3" t="inlineStr">
        <is>
          <t>QuantilesLCU||</t>
        </is>
      </c>
      <c r="B692" s="3" t="inlineStr">
        <is>
          <t>QuantilesLCU</t>
        </is>
      </c>
      <c r="C692" s="3" t="n"/>
      <c r="D692" s="3" t="n"/>
      <c r="E692" s="58">
        <f>IF($C692="",0,MATCH($C692,MTDesc,0))</f>
        <v>0.0</v>
      </c>
      <c r="F692" s="58">
        <f>IF($B692&lt;&gt;"",MATCH($B692,MTName,0),$E692+MATCH($D692,INDEX(MTDesc,$E692+1):MTEnd,0))</f>
        <v>320.0</v>
      </c>
      <c r="G692" s="3" t="str">
        <f>INDEX(MTDesc,$F692)</f>
        <v>Quantiles in LCU?</v>
      </c>
    </row>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c r="A744" s="6" t="inlineStr">
        <is>
          <t>Coverage sectors (MTInputs sector switches): ETS benchmark group, feebate sector and ETS semi-elasticity group (columns of the data tab ETS+LTS, rows 81-256)</t>
        </is>
      </c>
    </row>
    <row r="745">
      <c r="A745" s="6" t="inlineStr">
        <is>
          <t>Code</t>
        </is>
      </c>
      <c r="B745" s="6" t="inlineStr">
        <is>
          <t>Coverage position</t>
        </is>
      </c>
      <c r="C745" s="6" t="inlineStr">
        <is>
          <t>ETS benchmark group</t>
        </is>
      </c>
      <c r="D745" s="6" t="inlineStr">
        <is>
          <t>ETS group position</t>
        </is>
      </c>
      <c r="E745" s="6" t="inlineStr">
        <is>
          <t>Feebate sector</t>
        </is>
      </c>
      <c r="F745" s="6" t="inlineStr">
        <is>
          <t>Feebate position</t>
        </is>
      </c>
      <c r="G745" s="6" t="inlineStr">
        <is>
          <t>Semi-elasticity group</t>
        </is>
      </c>
      <c r="H745" s="6" t="inlineStr">
        <is>
          <t>ETS+LTS column</t>
        </is>
      </c>
    </row>
    <row r="746">
      <c r="A746" s="3" t="inlineStr">
        <is>
          <t>pow</t>
        </is>
      </c>
      <c r="B746" s="58" t="n">
        <v>1</v>
      </c>
      <c r="C746" s="3" t="inlineStr">
        <is>
          <t>pow</t>
        </is>
      </c>
      <c r="D746" s="58">
        <f>MATCH($C746,$A$765:$A$768,0)</f>
        <v>1.0</v>
      </c>
      <c r="E746" s="3" t="inlineStr">
        <is>
          <t>pow</t>
        </is>
      </c>
      <c r="F746" s="58">
        <f>MATCH($E746,$A$317:$A$320,0)</f>
        <v>1.0</v>
      </c>
      <c r="G746" s="3" t="inlineStr">
        <is>
          <t>pow</t>
        </is>
      </c>
      <c r="H746" s="58" t="n">
        <v>1</v>
      </c>
    </row>
    <row r="747">
      <c r="A747" s="3" t="inlineStr">
        <is>
          <t>rod</t>
        </is>
      </c>
      <c r="B747" s="58" t="n">
        <v>2</v>
      </c>
      <c r="C747" s="3" t="inlineStr">
        <is>
          <t>tra</t>
        </is>
      </c>
      <c r="D747" s="58">
        <f>MATCH($C747,$A$765:$A$768,0)</f>
        <v>2.0</v>
      </c>
      <c r="E747" s="3" t="inlineStr">
        <is>
          <t>tra</t>
        </is>
      </c>
      <c r="F747" s="58">
        <f>MATCH($E747,$A$317:$A$320,0)</f>
        <v>2.0</v>
      </c>
      <c r="G747" s="3" t="inlineStr">
        <is>
          <t>tra</t>
        </is>
      </c>
      <c r="H747" s="58" t="n">
        <v>2</v>
      </c>
    </row>
    <row r="748">
      <c r="A748" s="3" t="inlineStr">
        <is>
          <t>ral</t>
        </is>
      </c>
      <c r="B748" s="58" t="n">
        <v>3</v>
      </c>
      <c r="C748" s="3" t="inlineStr">
        <is>
          <t>tra</t>
        </is>
      </c>
      <c r="D748" s="58">
        <f>MATCH($C748,$A$765:$A$768,0)</f>
        <v>2.0</v>
      </c>
      <c r="E748" s="3" t="inlineStr">
        <is>
          <t>tra</t>
        </is>
      </c>
      <c r="F748" s="58">
        <f>MATCH($E748,$A$317:$A$320,0)</f>
        <v>2.0</v>
      </c>
      <c r="G748" s="3" t="inlineStr">
        <is>
          <t>tra</t>
        </is>
      </c>
      <c r="H748" s="58" t="n">
        <v>2</v>
      </c>
    </row>
    <row r="749">
      <c r="A749" s="3" t="inlineStr">
        <is>
          <t>avi</t>
        </is>
      </c>
      <c r="B749" s="58" t="n">
        <v>4</v>
      </c>
      <c r="C749" s="3" t="inlineStr">
        <is>
          <t>tra</t>
        </is>
      </c>
      <c r="D749" s="58">
        <f>MATCH($C749,$A$765:$A$768,0)</f>
        <v>2.0</v>
      </c>
      <c r="E749" s="3" t="inlineStr">
        <is>
          <t>tra</t>
        </is>
      </c>
      <c r="F749" s="58">
        <f>MATCH($E749,$A$317:$A$320,0)</f>
        <v>2.0</v>
      </c>
      <c r="G749" s="3" t="inlineStr">
        <is>
          <t>tra</t>
        </is>
      </c>
      <c r="H749" s="58" t="n">
        <v>2</v>
      </c>
    </row>
    <row r="750">
      <c r="A750" s="3" t="inlineStr">
        <is>
          <t>nav</t>
        </is>
      </c>
      <c r="B750" s="58" t="n">
        <v>5</v>
      </c>
      <c r="C750" s="3" t="inlineStr">
        <is>
          <t>tra</t>
        </is>
      </c>
      <c r="D750" s="58">
        <f>MATCH($C750,$A$765:$A$768,0)</f>
        <v>2.0</v>
      </c>
      <c r="E750" s="3" t="inlineStr">
        <is>
          <t>tra</t>
        </is>
      </c>
      <c r="F750" s="58">
        <f>MATCH($E750,$A$317:$A$320,0)</f>
        <v>2.0</v>
      </c>
      <c r="G750" s="3" t="inlineStr">
        <is>
          <t>tra</t>
        </is>
      </c>
      <c r="H750" s="58" t="n">
        <v>2</v>
      </c>
    </row>
    <row r="751">
      <c r="A751" s="3" t="inlineStr">
        <is>
          <t>res</t>
        </is>
      </c>
      <c r="B751" s="58" t="n">
        <v>6</v>
      </c>
      <c r="C751" s="3" t="inlineStr">
        <is>
          <t>res</t>
        </is>
      </c>
      <c r="D751" s="58">
        <f>MATCH($C751,$A$765:$A$768,0)</f>
        <v>3.0</v>
      </c>
      <c r="E751" s="3" t="inlineStr">
        <is>
          <t>res</t>
        </is>
      </c>
      <c r="F751" s="58">
        <f>MATCH($E751,$A$317:$A$320,0)</f>
        <v>3.0</v>
      </c>
      <c r="G751" s="3" t="inlineStr">
        <is>
          <t>res</t>
        </is>
      </c>
      <c r="H751" s="58" t="n">
        <v>3</v>
      </c>
    </row>
    <row r="752">
      <c r="A752" s="3" t="inlineStr">
        <is>
          <t>foo</t>
        </is>
      </c>
      <c r="B752" s="58" t="n">
        <v>7</v>
      </c>
      <c r="C752" s="3" t="inlineStr">
        <is>
          <t>res</t>
        </is>
      </c>
      <c r="D752" s="58">
        <f>MATCH($C752,$A$765:$A$768,0)</f>
        <v>3.0</v>
      </c>
      <c r="E752" s="3" t="inlineStr">
        <is>
          <t>res</t>
        </is>
      </c>
      <c r="F752" s="58">
        <f>MATCH($E752,$A$317:$A$320,0)</f>
        <v>3.0</v>
      </c>
      <c r="G752" s="3" t="inlineStr">
        <is>
          <t>ind</t>
        </is>
      </c>
      <c r="H752" s="58" t="n">
        <v>4</v>
      </c>
    </row>
    <row r="753">
      <c r="A753" s="3" t="inlineStr">
        <is>
          <t>srv</t>
        </is>
      </c>
      <c r="B753" s="58" t="n">
        <v>8</v>
      </c>
      <c r="C753" s="3" t="inlineStr">
        <is>
          <t>res</t>
        </is>
      </c>
      <c r="D753" s="58">
        <f>MATCH($C753,$A$765:$A$768,0)</f>
        <v>3.0</v>
      </c>
      <c r="E753" s="3" t="inlineStr">
        <is>
          <t>res</t>
        </is>
      </c>
      <c r="F753" s="58">
        <f>MATCH($E753,$A$317:$A$320,0)</f>
        <v>3.0</v>
      </c>
      <c r="G753" s="3" t="inlineStr">
        <is>
          <t>ind</t>
        </is>
      </c>
      <c r="H753" s="58" t="n">
        <v>4</v>
      </c>
    </row>
    <row r="754">
      <c r="A754" s="3" t="inlineStr">
        <is>
          <t>mch</t>
        </is>
      </c>
      <c r="B754" s="58" t="n">
        <v>9</v>
      </c>
      <c r="C754" s="3" t="inlineStr">
        <is>
          <t>ind</t>
        </is>
      </c>
      <c r="D754" s="58">
        <f>MATCH($C754,$A$765:$A$768,0)</f>
        <v>4.0</v>
      </c>
      <c r="E754" s="3" t="inlineStr">
        <is>
          <t>ind</t>
        </is>
      </c>
      <c r="F754" s="58">
        <f>MATCH($E754,$A$317:$A$320,0)</f>
        <v>4.0</v>
      </c>
      <c r="G754" s="3" t="inlineStr">
        <is>
          <t>ind</t>
        </is>
      </c>
      <c r="H754" s="58" t="n">
        <v>4</v>
      </c>
    </row>
    <row r="755">
      <c r="A755" s="3" t="inlineStr">
        <is>
          <t>irn</t>
        </is>
      </c>
      <c r="B755" s="58" t="n">
        <v>10</v>
      </c>
      <c r="C755" s="3" t="inlineStr">
        <is>
          <t>ind</t>
        </is>
      </c>
      <c r="D755" s="58">
        <f>MATCH($C755,$A$765:$A$768,0)</f>
        <v>4.0</v>
      </c>
      <c r="E755" s="3" t="inlineStr">
        <is>
          <t>ind</t>
        </is>
      </c>
      <c r="F755" s="58">
        <f>MATCH($E755,$A$317:$A$320,0)</f>
        <v>4.0</v>
      </c>
      <c r="G755" s="3" t="inlineStr">
        <is>
          <t>ind</t>
        </is>
      </c>
      <c r="H755" s="58" t="n">
        <v>4</v>
      </c>
    </row>
    <row r="756">
      <c r="A756" s="3" t="inlineStr">
        <is>
          <t>nfm</t>
        </is>
      </c>
      <c r="B756" s="58" t="n">
        <v>11</v>
      </c>
      <c r="C756" s="3" t="inlineStr">
        <is>
          <t>ind</t>
        </is>
      </c>
      <c r="D756" s="58">
        <f>MATCH($C756,$A$765:$A$768,0)</f>
        <v>4.0</v>
      </c>
      <c r="E756" s="3" t="inlineStr">
        <is>
          <t>ind</t>
        </is>
      </c>
      <c r="F756" s="58">
        <f>MATCH($E756,$A$317:$A$320,0)</f>
        <v>4.0</v>
      </c>
      <c r="G756" s="3" t="inlineStr">
        <is>
          <t>ind</t>
        </is>
      </c>
      <c r="H756" s="58" t="n">
        <v>4</v>
      </c>
    </row>
    <row r="757">
      <c r="A757" s="3" t="inlineStr">
        <is>
          <t>mac</t>
        </is>
      </c>
      <c r="B757" s="58" t="n">
        <v>12</v>
      </c>
      <c r="C757" s="3" t="inlineStr">
        <is>
          <t>ind</t>
        </is>
      </c>
      <c r="D757" s="58">
        <f>MATCH($C757,$A$765:$A$768,0)</f>
        <v>4.0</v>
      </c>
      <c r="E757" s="3" t="inlineStr">
        <is>
          <t>ind</t>
        </is>
      </c>
      <c r="F757" s="58">
        <f>MATCH($E757,$A$317:$A$320,0)</f>
        <v>4.0</v>
      </c>
      <c r="G757" s="3" t="inlineStr">
        <is>
          <t>ind</t>
        </is>
      </c>
      <c r="H757" s="58" t="n">
        <v>4</v>
      </c>
    </row>
    <row r="758">
      <c r="A758" s="3" t="inlineStr">
        <is>
          <t>cem</t>
        </is>
      </c>
      <c r="B758" s="58" t="n">
        <v>13</v>
      </c>
      <c r="C758" s="3" t="inlineStr">
        <is>
          <t>ind</t>
        </is>
      </c>
      <c r="D758" s="58">
        <f>MATCH($C758,$A$765:$A$768,0)</f>
        <v>4.0</v>
      </c>
      <c r="E758" s="3" t="inlineStr">
        <is>
          <t>ind</t>
        </is>
      </c>
      <c r="F758" s="58">
        <f>MATCH($E758,$A$317:$A$320,0)</f>
        <v>4.0</v>
      </c>
      <c r="G758" s="3" t="inlineStr">
        <is>
          <t>ind</t>
        </is>
      </c>
      <c r="H758" s="58" t="n">
        <v>4</v>
      </c>
    </row>
    <row r="759">
      <c r="A759" s="3" t="inlineStr">
        <is>
          <t>omn</t>
        </is>
      </c>
      <c r="B759" s="58" t="n">
        <v>14</v>
      </c>
      <c r="C759" s="3" t="inlineStr">
        <is>
          <t>ind</t>
        </is>
      </c>
      <c r="D759" s="58">
        <f>MATCH($C759,$A$765:$A$768,0)</f>
        <v>4.0</v>
      </c>
      <c r="E759" s="3" t="inlineStr">
        <is>
          <t>ind</t>
        </is>
      </c>
      <c r="F759" s="58">
        <f>MATCH($E759,$A$317:$A$320,0)</f>
        <v>4.0</v>
      </c>
      <c r="G759" s="3" t="inlineStr">
        <is>
          <t>ind</t>
        </is>
      </c>
      <c r="H759" s="58" t="n">
        <v>4</v>
      </c>
    </row>
    <row r="760">
      <c r="A760" s="3" t="inlineStr">
        <is>
          <t>cst</t>
        </is>
      </c>
      <c r="B760" s="58" t="n">
        <v>15</v>
      </c>
      <c r="C760" s="3" t="inlineStr">
        <is>
          <t>ind</t>
        </is>
      </c>
      <c r="D760" s="58">
        <f>MATCH($C760,$A$765:$A$768,0)</f>
        <v>4.0</v>
      </c>
      <c r="E760" s="3" t="inlineStr">
        <is>
          <t>ind</t>
        </is>
      </c>
      <c r="F760" s="58">
        <f>MATCH($E760,$A$317:$A$320,0)</f>
        <v>4.0</v>
      </c>
      <c r="G760" s="3" t="inlineStr">
        <is>
          <t>ind</t>
        </is>
      </c>
      <c r="H760" s="58" t="n">
        <v>4</v>
      </c>
    </row>
    <row r="761">
      <c r="A761" s="3" t="inlineStr">
        <is>
          <t>ftr</t>
        </is>
      </c>
      <c r="B761" s="58" t="n">
        <v>16</v>
      </c>
      <c r="C761" s="3" t="inlineStr">
        <is>
          <t>ind</t>
        </is>
      </c>
      <c r="D761" s="58">
        <f>MATCH($C761,$A$765:$A$768,0)</f>
        <v>4.0</v>
      </c>
      <c r="E761" s="3" t="inlineStr">
        <is>
          <t>ind</t>
        </is>
      </c>
      <c r="F761" s="58">
        <f>MATCH($E761,$A$317:$A$320,0)</f>
        <v>4.0</v>
      </c>
      <c r="G761" s="3" t="inlineStr">
        <is>
          <t>ind</t>
        </is>
      </c>
      <c r="H761" s="58" t="n">
        <v>4</v>
      </c>
    </row>
    <row r="762">
      <c r="A762" s="3" t="inlineStr">
        <is>
          <t>oen</t>
        </is>
      </c>
      <c r="B762" s="58" t="n">
        <v>17</v>
      </c>
      <c r="C762" s="3" t="inlineStr">
        <is>
          <t>ind</t>
        </is>
      </c>
      <c r="D762" s="58">
        <f>MATCH($C762,$A$765:$A$768,0)</f>
        <v>4.0</v>
      </c>
      <c r="E762" s="3" t="inlineStr">
        <is>
          <t>ind</t>
        </is>
      </c>
      <c r="F762" s="58">
        <f>MATCH($E762,$A$317:$A$320,0)</f>
        <v>4.0</v>
      </c>
      <c r="G762" s="3" t="inlineStr">
        <is>
          <t>ind</t>
        </is>
      </c>
      <c r="H762" s="58" t="n">
        <v>4</v>
      </c>
    </row>
    <row r="763"/>
    <row r="764">
      <c r="A764" s="6" t="inlineStr">
        <is>
          <t>ETS benchmark groups (order of the etsb rows of section 1)</t>
        </is>
      </c>
    </row>
    <row r="765">
      <c r="A765" s="3" t="inlineStr">
        <is>
          <t>pow</t>
        </is>
      </c>
    </row>
    <row r="766">
      <c r="A766" s="3" t="inlineStr">
        <is>
          <t>tra</t>
        </is>
      </c>
    </row>
    <row r="767">
      <c r="A767" s="3" t="inlineStr">
        <is>
          <t>res</t>
        </is>
      </c>
    </row>
    <row r="768">
      <c r="A768" s="3" t="inlineStr">
        <is>
          <t>ind</t>
        </is>
      </c>
    </row>
    <row r="769"/>
    <row r="770">
      <c r="A770" s="6" t="inlineStr">
        <is>
          <t>GHG inventory columns: code of each column of the legacy GHGs table (H:AZ, read by position as legacy key inputs 7; name GHGCol)</t>
        </is>
      </c>
    </row>
    <row r="771">
      <c r="A771" s="6" t="inlineStr">
        <is>
          <t>Code</t>
        </is>
      </c>
      <c r="B771" s="6" t="inlineStr">
        <is>
          <t>Position</t>
        </is>
      </c>
      <c r="C771" s="6" t="inlineStr">
        <is>
          <t>GHGs column</t>
        </is>
      </c>
      <c r="D771" s="6" t="inlineStr">
        <is>
          <t>Legacy header (gas)</t>
        </is>
      </c>
    </row>
    <row r="772">
      <c r="A772" s="3" t="inlineStr">
        <is>
          <t>enr.co2</t>
        </is>
      </c>
      <c r="B772" s="3" t="n">
        <v>1</v>
      </c>
      <c r="C772" s="3" t="inlineStr">
        <is>
          <t>H</t>
        </is>
      </c>
      <c r="D772" s="3" t="inlineStr">
        <is>
          <t>CO2</t>
        </is>
      </c>
    </row>
    <row r="773">
      <c r="A773" s="3" t="inlineStr">
        <is>
          <t>enr.ch4</t>
        </is>
      </c>
      <c r="B773" s="3" t="n">
        <v>2</v>
      </c>
      <c r="C773" s="3" t="inlineStr">
        <is>
          <t>I</t>
        </is>
      </c>
      <c r="D773" s="3" t="inlineStr">
        <is>
          <t>CH4</t>
        </is>
      </c>
    </row>
    <row r="774">
      <c r="A774" s="3" t="inlineStr">
        <is>
          <t>enr.n2o</t>
        </is>
      </c>
      <c r="B774" s="3" t="n">
        <v>3</v>
      </c>
      <c r="C774" s="3" t="inlineStr">
        <is>
          <t>J</t>
        </is>
      </c>
      <c r="D774" s="3" t="inlineStr">
        <is>
          <t>N2O</t>
        </is>
      </c>
    </row>
    <row r="775">
      <c r="A775" s="3" t="inlineStr">
        <is>
          <t>enr.fga</t>
        </is>
      </c>
      <c r="B775" s="3" t="n">
        <v>4</v>
      </c>
      <c r="C775" s="3" t="inlineStr">
        <is>
          <t>K</t>
        </is>
      </c>
      <c r="D775" s="3" t="inlineStr">
        <is>
          <t>F-gas</t>
        </is>
      </c>
    </row>
    <row r="776">
      <c r="A776" s="3" t="inlineStr">
        <is>
          <t>enr.tot</t>
        </is>
      </c>
      <c r="B776" s="3" t="n">
        <v>5</v>
      </c>
      <c r="C776" s="3" t="inlineStr">
        <is>
          <t>L</t>
        </is>
      </c>
      <c r="D776" s="3" t="inlineStr">
        <is>
          <t>Aggregate GHGs</t>
        </is>
      </c>
    </row>
    <row r="777">
      <c r="A777" s="3" t="inlineStr">
        <is>
          <t>ipr.co2</t>
        </is>
      </c>
      <c r="B777" s="3" t="n">
        <v>6</v>
      </c>
      <c r="C777" s="3" t="inlineStr">
        <is>
          <t>M</t>
        </is>
      </c>
      <c r="D777" s="3" t="inlineStr">
        <is>
          <t>CO2</t>
        </is>
      </c>
    </row>
    <row r="778">
      <c r="A778" s="3" t="inlineStr">
        <is>
          <t>ipr.ch4</t>
        </is>
      </c>
      <c r="B778" s="3" t="n">
        <v>7</v>
      </c>
      <c r="C778" s="3" t="inlineStr">
        <is>
          <t>N</t>
        </is>
      </c>
      <c r="D778" s="3" t="inlineStr">
        <is>
          <t>CH4</t>
        </is>
      </c>
    </row>
    <row r="779">
      <c r="A779" s="3" t="inlineStr">
        <is>
          <t>ipr.n2o</t>
        </is>
      </c>
      <c r="B779" s="3" t="n">
        <v>8</v>
      </c>
      <c r="C779" s="3" t="inlineStr">
        <is>
          <t>O</t>
        </is>
      </c>
      <c r="D779" s="3" t="inlineStr">
        <is>
          <t>N2O</t>
        </is>
      </c>
    </row>
    <row r="780">
      <c r="A780" s="3" t="inlineStr">
        <is>
          <t>ipr.fga</t>
        </is>
      </c>
      <c r="B780" s="3" t="n">
        <v>9</v>
      </c>
      <c r="C780" s="3" t="inlineStr">
        <is>
          <t>P</t>
        </is>
      </c>
      <c r="D780" s="3" t="inlineStr">
        <is>
          <t>F-gas</t>
        </is>
      </c>
    </row>
    <row r="781">
      <c r="A781" s="3" t="inlineStr">
        <is>
          <t>ipr.tot</t>
        </is>
      </c>
      <c r="B781" s="3" t="n">
        <v>10</v>
      </c>
      <c r="C781" s="3" t="inlineStr">
        <is>
          <t>Q</t>
        </is>
      </c>
      <c r="D781" s="3" t="inlineStr">
        <is>
          <t>Aggregate GHGs</t>
        </is>
      </c>
    </row>
    <row r="782">
      <c r="A782" s="3" t="inlineStr">
        <is>
          <t>agr.co2</t>
        </is>
      </c>
      <c r="B782" s="3" t="n">
        <v>11</v>
      </c>
      <c r="C782" s="3" t="inlineStr">
        <is>
          <t>R</t>
        </is>
      </c>
      <c r="D782" s="3" t="inlineStr">
        <is>
          <t>CO2</t>
        </is>
      </c>
    </row>
    <row r="783">
      <c r="A783" s="3" t="inlineStr">
        <is>
          <t>agr.ch4</t>
        </is>
      </c>
      <c r="B783" s="3" t="n">
        <v>12</v>
      </c>
      <c r="C783" s="3" t="inlineStr">
        <is>
          <t>S</t>
        </is>
      </c>
      <c r="D783" s="3" t="inlineStr">
        <is>
          <t>CH4</t>
        </is>
      </c>
    </row>
    <row r="784">
      <c r="A784" s="3" t="inlineStr">
        <is>
          <t>agr.n2o</t>
        </is>
      </c>
      <c r="B784" s="3" t="n">
        <v>13</v>
      </c>
      <c r="C784" s="3" t="inlineStr">
        <is>
          <t>T</t>
        </is>
      </c>
      <c r="D784" s="3" t="inlineStr">
        <is>
          <t>N2O</t>
        </is>
      </c>
    </row>
    <row r="785">
      <c r="A785" s="3" t="inlineStr">
        <is>
          <t>agr.fga</t>
        </is>
      </c>
      <c r="B785" s="3" t="n">
        <v>14</v>
      </c>
      <c r="C785" s="3" t="inlineStr">
        <is>
          <t>U</t>
        </is>
      </c>
      <c r="D785" s="3" t="inlineStr">
        <is>
          <t>F-gas</t>
        </is>
      </c>
    </row>
    <row r="786">
      <c r="A786" s="3" t="inlineStr">
        <is>
          <t>agr.tot</t>
        </is>
      </c>
      <c r="B786" s="3" t="n">
        <v>15</v>
      </c>
      <c r="C786" s="3" t="inlineStr">
        <is>
          <t>V</t>
        </is>
      </c>
      <c r="D786" s="3" t="inlineStr">
        <is>
          <t>Aggregate GHGs</t>
        </is>
      </c>
    </row>
    <row r="787">
      <c r="A787" s="3" t="inlineStr">
        <is>
          <t>lucf.co2</t>
        </is>
      </c>
      <c r="B787" s="3" t="n">
        <v>16</v>
      </c>
      <c r="C787" s="3" t="inlineStr">
        <is>
          <t>W</t>
        </is>
      </c>
      <c r="D787" s="3" t="inlineStr">
        <is>
          <t>CO2</t>
        </is>
      </c>
    </row>
    <row r="788">
      <c r="A788" s="3" t="inlineStr">
        <is>
          <t>lucf.ch4</t>
        </is>
      </c>
      <c r="B788" s="3" t="n">
        <v>17</v>
      </c>
      <c r="C788" s="3" t="inlineStr">
        <is>
          <t>X</t>
        </is>
      </c>
      <c r="D788" s="3" t="inlineStr">
        <is>
          <t>CH4</t>
        </is>
      </c>
    </row>
    <row r="789">
      <c r="A789" s="3" t="inlineStr">
        <is>
          <t>lucf.n2o</t>
        </is>
      </c>
      <c r="B789" s="3" t="n">
        <v>18</v>
      </c>
      <c r="C789" s="3" t="inlineStr">
        <is>
          <t>Y</t>
        </is>
      </c>
      <c r="D789" s="3" t="inlineStr">
        <is>
          <t>N2O</t>
        </is>
      </c>
    </row>
    <row r="790">
      <c r="A790" s="3" t="inlineStr">
        <is>
          <t>lucf.fga</t>
        </is>
      </c>
      <c r="B790" s="3" t="n">
        <v>19</v>
      </c>
      <c r="C790" s="3" t="inlineStr">
        <is>
          <t>Z</t>
        </is>
      </c>
      <c r="D790" s="3" t="inlineStr">
        <is>
          <t>F-gas</t>
        </is>
      </c>
    </row>
    <row r="791">
      <c r="A791" s="3" t="inlineStr">
        <is>
          <t>lucf.tot</t>
        </is>
      </c>
      <c r="B791" s="3" t="n">
        <v>20</v>
      </c>
      <c r="C791" s="3" t="inlineStr">
        <is>
          <t>AA</t>
        </is>
      </c>
      <c r="D791" s="3" t="inlineStr">
        <is>
          <t>Aggregate GHGs</t>
        </is>
      </c>
    </row>
    <row r="792">
      <c r="A792" s="3" t="inlineStr">
        <is>
          <t>wst.co2</t>
        </is>
      </c>
      <c r="B792" s="3" t="n">
        <v>21</v>
      </c>
      <c r="C792" s="3" t="inlineStr">
        <is>
          <t>AB</t>
        </is>
      </c>
      <c r="D792" s="3" t="inlineStr">
        <is>
          <t>CO2</t>
        </is>
      </c>
    </row>
    <row r="793">
      <c r="A793" s="3" t="inlineStr">
        <is>
          <t>wst.ch4</t>
        </is>
      </c>
      <c r="B793" s="3" t="n">
        <v>22</v>
      </c>
      <c r="C793" s="3" t="inlineStr">
        <is>
          <t>AC</t>
        </is>
      </c>
      <c r="D793" s="3" t="inlineStr">
        <is>
          <t>CH4</t>
        </is>
      </c>
    </row>
    <row r="794">
      <c r="A794" s="3" t="inlineStr">
        <is>
          <t>wst.n2o</t>
        </is>
      </c>
      <c r="B794" s="3" t="n">
        <v>23</v>
      </c>
      <c r="C794" s="3" t="inlineStr">
        <is>
          <t>AD</t>
        </is>
      </c>
      <c r="D794" s="3" t="inlineStr">
        <is>
          <t>N2O</t>
        </is>
      </c>
    </row>
    <row r="795">
      <c r="A795" s="3" t="inlineStr">
        <is>
          <t>wst.fga</t>
        </is>
      </c>
      <c r="B795" s="3" t="n">
        <v>24</v>
      </c>
      <c r="C795" s="3" t="inlineStr">
        <is>
          <t>AE</t>
        </is>
      </c>
      <c r="D795" s="3" t="inlineStr">
        <is>
          <t>F-gas</t>
        </is>
      </c>
    </row>
    <row r="796">
      <c r="A796" s="3" t="inlineStr">
        <is>
          <t>wst.tot</t>
        </is>
      </c>
      <c r="B796" s="3" t="n">
        <v>25</v>
      </c>
      <c r="C796" s="3" t="inlineStr">
        <is>
          <t>AF</t>
        </is>
      </c>
      <c r="D796" s="3" t="inlineStr">
        <is>
          <t>Aggregate GHGs</t>
        </is>
      </c>
    </row>
    <row r="797">
      <c r="A797" s="3" t="inlineStr">
        <is>
          <t>oth.co2</t>
        </is>
      </c>
      <c r="B797" s="3" t="n">
        <v>26</v>
      </c>
      <c r="C797" s="3" t="inlineStr">
        <is>
          <t>AG</t>
        </is>
      </c>
      <c r="D797" s="3" t="inlineStr">
        <is>
          <t>CO2</t>
        </is>
      </c>
    </row>
    <row r="798">
      <c r="A798" s="3" t="inlineStr">
        <is>
          <t>oth.ch4</t>
        </is>
      </c>
      <c r="B798" s="3" t="n">
        <v>27</v>
      </c>
      <c r="C798" s="3" t="inlineStr">
        <is>
          <t>AH</t>
        </is>
      </c>
      <c r="D798" s="3" t="inlineStr">
        <is>
          <t>CH4</t>
        </is>
      </c>
    </row>
    <row r="799">
      <c r="A799" s="3" t="inlineStr">
        <is>
          <t>oth.n2o</t>
        </is>
      </c>
      <c r="B799" s="3" t="n">
        <v>28</v>
      </c>
      <c r="C799" s="3" t="inlineStr">
        <is>
          <t>AI</t>
        </is>
      </c>
      <c r="D799" s="3" t="inlineStr">
        <is>
          <t>N2O</t>
        </is>
      </c>
    </row>
    <row r="800">
      <c r="A800" s="3" t="inlineStr">
        <is>
          <t>oth.fga</t>
        </is>
      </c>
      <c r="B800" s="3" t="n">
        <v>29</v>
      </c>
      <c r="C800" s="3" t="inlineStr">
        <is>
          <t>AJ</t>
        </is>
      </c>
      <c r="D800" s="3" t="inlineStr">
        <is>
          <t>F-gas</t>
        </is>
      </c>
    </row>
    <row r="801">
      <c r="A801" s="3" t="inlineStr">
        <is>
          <t>oth.tot</t>
        </is>
      </c>
      <c r="B801" s="3" t="n">
        <v>30</v>
      </c>
      <c r="C801" s="3" t="inlineStr">
        <is>
          <t>AK</t>
        </is>
      </c>
      <c r="D801" s="3" t="inlineStr">
        <is>
          <t>Aggregate GHGs</t>
        </is>
      </c>
    </row>
    <row r="802">
      <c r="A802" s="3" t="inlineStr">
        <is>
          <t>tinc.co2</t>
        </is>
      </c>
      <c r="B802" s="3" t="n">
        <v>31</v>
      </c>
      <c r="C802" s="3" t="inlineStr">
        <is>
          <t>AL</t>
        </is>
      </c>
      <c r="D802" s="3" t="inlineStr">
        <is>
          <t>Total CO₂</t>
        </is>
      </c>
    </row>
    <row r="803">
      <c r="A803" s="3" t="inlineStr">
        <is>
          <t>tinc.ch4</t>
        </is>
      </c>
      <c r="B803" s="3" t="n">
        <v>32</v>
      </c>
      <c r="C803" s="3" t="inlineStr">
        <is>
          <t>AM</t>
        </is>
      </c>
      <c r="D803" s="3" t="inlineStr">
        <is>
          <t>Total CH₄</t>
        </is>
      </c>
    </row>
    <row r="804">
      <c r="A804" s="3" t="inlineStr">
        <is>
          <t>tinc.n2o</t>
        </is>
      </c>
      <c r="B804" s="3" t="n">
        <v>33</v>
      </c>
      <c r="C804" s="3" t="inlineStr">
        <is>
          <t>AN</t>
        </is>
      </c>
      <c r="D804" s="3" t="inlineStr">
        <is>
          <t>Total N₂O</t>
        </is>
      </c>
    </row>
    <row r="805">
      <c r="A805" s="3" t="inlineStr">
        <is>
          <t>tinc.fga</t>
        </is>
      </c>
      <c r="B805" s="3" t="n">
        <v>34</v>
      </c>
      <c r="C805" s="3" t="inlineStr">
        <is>
          <t>AO</t>
        </is>
      </c>
      <c r="D805" s="3" t="inlineStr">
        <is>
          <t>Total F-gases</t>
        </is>
      </c>
    </row>
    <row r="806">
      <c r="A806" s="3" t="inlineStr">
        <is>
          <t>tinc.tot</t>
        </is>
      </c>
      <c r="B806" s="3" t="n">
        <v>35</v>
      </c>
      <c r="C806" s="3" t="inlineStr">
        <is>
          <t>AP</t>
        </is>
      </c>
      <c r="D806" s="3" t="inlineStr">
        <is>
          <t>Total Aggregate GHGs</t>
        </is>
      </c>
    </row>
    <row r="807">
      <c r="A807" s="3" t="inlineStr">
        <is>
          <t>texc.co2</t>
        </is>
      </c>
      <c r="B807" s="3" t="n">
        <v>36</v>
      </c>
      <c r="C807" s="3" t="inlineStr">
        <is>
          <t>AQ</t>
        </is>
      </c>
      <c r="D807" s="3" t="inlineStr">
        <is>
          <t>Total CO₂</t>
        </is>
      </c>
    </row>
    <row r="808">
      <c r="A808" s="3" t="inlineStr">
        <is>
          <t>texc.ch4</t>
        </is>
      </c>
      <c r="B808" s="3" t="n">
        <v>37</v>
      </c>
      <c r="C808" s="3" t="inlineStr">
        <is>
          <t>AR</t>
        </is>
      </c>
      <c r="D808" s="3" t="inlineStr">
        <is>
          <t>Total CH₄</t>
        </is>
      </c>
    </row>
    <row r="809">
      <c r="A809" s="3" t="inlineStr">
        <is>
          <t>texc.n2o</t>
        </is>
      </c>
      <c r="B809" s="3" t="n">
        <v>38</v>
      </c>
      <c r="C809" s="3" t="inlineStr">
        <is>
          <t>AS</t>
        </is>
      </c>
      <c r="D809" s="3" t="inlineStr">
        <is>
          <t>Total N₂O</t>
        </is>
      </c>
    </row>
    <row r="810">
      <c r="A810" s="3" t="inlineStr">
        <is>
          <t>texc.fga</t>
        </is>
      </c>
      <c r="B810" s="3" t="n">
        <v>39</v>
      </c>
      <c r="C810" s="3" t="inlineStr">
        <is>
          <t>AT</t>
        </is>
      </c>
      <c r="D810" s="3" t="inlineStr">
        <is>
          <t>Total F-gases</t>
        </is>
      </c>
    </row>
    <row r="811">
      <c r="A811" s="3" t="inlineStr">
        <is>
          <t>texc.tot</t>
        </is>
      </c>
      <c r="B811" s="3" t="n">
        <v>40</v>
      </c>
      <c r="C811" s="3" t="inlineStr">
        <is>
          <t>AU</t>
        </is>
      </c>
      <c r="D811" s="3" t="inlineStr">
        <is>
          <t>Total Aggregate GHGs</t>
        </is>
      </c>
    </row>
    <row r="812">
      <c r="A812" s="3" t="inlineStr">
        <is>
          <t>fug.co2</t>
        </is>
      </c>
      <c r="B812" s="3" t="n">
        <v>41</v>
      </c>
      <c r="C812" s="3" t="inlineStr">
        <is>
          <t>AV</t>
        </is>
      </c>
      <c r="D812" s="3" t="inlineStr">
        <is>
          <t>CO2</t>
        </is>
      </c>
    </row>
    <row r="813">
      <c r="A813" s="3" t="inlineStr">
        <is>
          <t>fug.ch4</t>
        </is>
      </c>
      <c r="B813" s="3" t="n">
        <v>42</v>
      </c>
      <c r="C813" s="3" t="inlineStr">
        <is>
          <t>AW</t>
        </is>
      </c>
      <c r="D813" s="3" t="inlineStr">
        <is>
          <t>CH4</t>
        </is>
      </c>
    </row>
    <row r="814">
      <c r="A814" s="3" t="inlineStr">
        <is>
          <t>fug.n2o</t>
        </is>
      </c>
      <c r="B814" s="3" t="n">
        <v>43</v>
      </c>
      <c r="C814" s="3" t="inlineStr">
        <is>
          <t>AX</t>
        </is>
      </c>
      <c r="D814" s="3" t="inlineStr">
        <is>
          <t>N2O</t>
        </is>
      </c>
    </row>
    <row r="815"/>
    <row r="816"/>
    <row r="817">
      <c r="A817"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18">
      <c r="A818" s="6" t="inlineStr">
        <is>
          <t>ScenarioSelected</t>
        </is>
      </c>
      <c r="B818" s="6" t="inlineStr">
        <is>
          <t>Name</t>
        </is>
      </c>
      <c r="C818" s="6" t="inlineStr">
        <is>
          <t>Explicit pricing</t>
        </is>
      </c>
      <c r="D818" s="6" t="inlineStr">
        <is>
          <t>Adjustment</t>
        </is>
      </c>
      <c r="E818" s="6" t="inlineStr">
        <is>
          <t>pow</t>
        </is>
      </c>
      <c r="F818" s="6" t="inlineStr">
        <is>
          <t>rod</t>
        </is>
      </c>
      <c r="G818" s="6" t="inlineStr">
        <is>
          <t>ral</t>
        </is>
      </c>
      <c r="H818" s="6" t="inlineStr">
        <is>
          <t>avi</t>
        </is>
      </c>
      <c r="I818" s="6" t="inlineStr">
        <is>
          <t>nav</t>
        </is>
      </c>
      <c r="J818" s="6" t="inlineStr">
        <is>
          <t>res</t>
        </is>
      </c>
      <c r="K818" s="6" t="inlineStr">
        <is>
          <t>foo</t>
        </is>
      </c>
      <c r="L818" s="6" t="inlineStr">
        <is>
          <t>srv</t>
        </is>
      </c>
      <c r="M818" s="6" t="inlineStr">
        <is>
          <t>mch</t>
        </is>
      </c>
      <c r="N818" s="6" t="inlineStr">
        <is>
          <t>irn</t>
        </is>
      </c>
      <c r="O818" s="6" t="inlineStr">
        <is>
          <t>nfm</t>
        </is>
      </c>
      <c r="P818" s="6" t="inlineStr">
        <is>
          <t>mac</t>
        </is>
      </c>
      <c r="Q818" s="6" t="inlineStr">
        <is>
          <t>cem</t>
        </is>
      </c>
      <c r="R818" s="6" t="inlineStr">
        <is>
          <t>omn</t>
        </is>
      </c>
      <c r="S818" s="6" t="inlineStr">
        <is>
          <t>cst</t>
        </is>
      </c>
      <c r="T818" s="6" t="inlineStr">
        <is>
          <t>ftr</t>
        </is>
      </c>
      <c r="U818" s="6" t="inlineStr">
        <is>
          <t>oen</t>
        </is>
      </c>
      <c r="V818" s="6" t="inlineStr">
        <is>
          <t>Power revenues rebated (row 261)</t>
        </is>
      </c>
      <c r="W818" s="6" t="inlineStr">
        <is>
          <t>Electricity excise (row 2190)</t>
        </is>
      </c>
    </row>
    <row r="819">
      <c r="A819" s="3" t="inlineStr">
        <is>
          <t>Baseline</t>
        </is>
      </c>
      <c r="B819" s="3" t="inlineStr">
        <is>
          <t>Baseline</t>
        </is>
      </c>
      <c r="C819" s="3" t="inlineStr">
        <is>
          <t>No</t>
        </is>
      </c>
      <c r="D819" s="58" t="n">
        <v>0</v>
      </c>
      <c r="E819" s="3" t="inlineStr">
        <is>
          <t>No</t>
        </is>
      </c>
      <c r="F819" s="3" t="inlineStr">
        <is>
          <t>No</t>
        </is>
      </c>
      <c r="G819" s="3" t="inlineStr">
        <is>
          <t>No</t>
        </is>
      </c>
      <c r="H819" s="3" t="inlineStr">
        <is>
          <t>No</t>
        </is>
      </c>
      <c r="I819" s="3" t="inlineStr">
        <is>
          <t>No</t>
        </is>
      </c>
      <c r="J819" s="3" t="inlineStr">
        <is>
          <t>No</t>
        </is>
      </c>
      <c r="K819" s="3" t="inlineStr">
        <is>
          <t>No</t>
        </is>
      </c>
      <c r="L819" s="3" t="inlineStr">
        <is>
          <t>No</t>
        </is>
      </c>
      <c r="M819" s="3" t="inlineStr">
        <is>
          <t>No</t>
        </is>
      </c>
      <c r="N819" s="3" t="inlineStr">
        <is>
          <t>No</t>
        </is>
      </c>
      <c r="O819" s="3" t="inlineStr">
        <is>
          <t>No</t>
        </is>
      </c>
      <c r="P819" s="3" t="inlineStr">
        <is>
          <t>No</t>
        </is>
      </c>
      <c r="Q819" s="3" t="inlineStr">
        <is>
          <t>No</t>
        </is>
      </c>
      <c r="R819" s="3" t="inlineStr">
        <is>
          <t>No</t>
        </is>
      </c>
      <c r="S819" s="3" t="inlineStr">
        <is>
          <t>No</t>
        </is>
      </c>
      <c r="T819" s="3" t="inlineStr">
        <is>
          <t>No</t>
        </is>
      </c>
      <c r="U819" s="3" t="inlineStr">
        <is>
          <t>No</t>
        </is>
      </c>
      <c r="V819" s="3" t="inlineStr">
        <is>
          <t>No</t>
        </is>
      </c>
      <c r="W819" s="3" t="inlineStr">
        <is>
          <t>No</t>
        </is>
      </c>
    </row>
    <row r="820">
      <c r="A820" s="3" t="inlineStr">
        <is>
          <t xml:space="preserve"> - Carbon tax</t>
        </is>
      </c>
      <c r="B820" s="3" t="inlineStr">
        <is>
          <t>Carbon tax</t>
        </is>
      </c>
      <c r="C820" s="3" t="inlineStr">
        <is>
          <t>Yes</t>
        </is>
      </c>
      <c r="D820" s="58" t="n">
        <v>0</v>
      </c>
      <c r="E820" s="3" t="inlineStr">
        <is>
          <t>Yes</t>
        </is>
      </c>
      <c r="F820" s="3" t="inlineStr">
        <is>
          <t>Yes</t>
        </is>
      </c>
      <c r="G820" s="3" t="inlineStr">
        <is>
          <t>Yes</t>
        </is>
      </c>
      <c r="H820" s="3" t="inlineStr">
        <is>
          <t>Yes</t>
        </is>
      </c>
      <c r="I820" s="3" t="inlineStr">
        <is>
          <t>Yes</t>
        </is>
      </c>
      <c r="J820" s="3" t="inlineStr">
        <is>
          <t>Yes</t>
        </is>
      </c>
      <c r="K820" s="3" t="inlineStr">
        <is>
          <t>Yes</t>
        </is>
      </c>
      <c r="L820" s="3" t="inlineStr">
        <is>
          <t>Yes</t>
        </is>
      </c>
      <c r="M820" s="3" t="inlineStr">
        <is>
          <t>Yes</t>
        </is>
      </c>
      <c r="N820" s="3" t="inlineStr">
        <is>
          <t>Yes</t>
        </is>
      </c>
      <c r="O820" s="3" t="inlineStr">
        <is>
          <t>Yes</t>
        </is>
      </c>
      <c r="P820" s="3" t="inlineStr">
        <is>
          <t>Yes</t>
        </is>
      </c>
      <c r="Q820" s="3" t="inlineStr">
        <is>
          <t>Yes</t>
        </is>
      </c>
      <c r="R820" s="3" t="inlineStr">
        <is>
          <t>Yes</t>
        </is>
      </c>
      <c r="S820" s="3" t="inlineStr">
        <is>
          <t>Yes</t>
        </is>
      </c>
      <c r="T820" s="3" t="inlineStr">
        <is>
          <t>Yes</t>
        </is>
      </c>
      <c r="U820" s="3" t="inlineStr">
        <is>
          <t>Yes</t>
        </is>
      </c>
      <c r="V820" s="3" t="inlineStr">
        <is>
          <t>No</t>
        </is>
      </c>
      <c r="W820" s="3" t="inlineStr">
        <is>
          <t>No</t>
        </is>
      </c>
    </row>
    <row r="821">
      <c r="A821" s="3" t="inlineStr">
        <is>
          <t xml:space="preserve"> - Feebates</t>
        </is>
      </c>
      <c r="B821" s="3" t="inlineStr">
        <is>
          <t>Feebates</t>
        </is>
      </c>
      <c r="C821" s="3" t="inlineStr">
        <is>
          <t>No</t>
        </is>
      </c>
      <c r="D821" s="58" t="n">
        <v>5</v>
      </c>
      <c r="E821" s="3" t="inlineStr">
        <is>
          <t>Yes</t>
        </is>
      </c>
      <c r="F821" s="3" t="inlineStr">
        <is>
          <t>Yes</t>
        </is>
      </c>
      <c r="G821" s="3" t="inlineStr">
        <is>
          <t>Yes</t>
        </is>
      </c>
      <c r="H821" s="3" t="inlineStr">
        <is>
          <t>Yes</t>
        </is>
      </c>
      <c r="I821" s="3" t="inlineStr">
        <is>
          <t>Yes</t>
        </is>
      </c>
      <c r="J821" s="3" t="inlineStr">
        <is>
          <t>Yes</t>
        </is>
      </c>
      <c r="K821" s="3" t="inlineStr">
        <is>
          <t>Yes</t>
        </is>
      </c>
      <c r="L821" s="3" t="inlineStr">
        <is>
          <t>Yes</t>
        </is>
      </c>
      <c r="M821" s="3" t="inlineStr">
        <is>
          <t>Yes</t>
        </is>
      </c>
      <c r="N821" s="3" t="inlineStr">
        <is>
          <t>Yes</t>
        </is>
      </c>
      <c r="O821" s="3" t="inlineStr">
        <is>
          <t>Yes</t>
        </is>
      </c>
      <c r="P821" s="3" t="inlineStr">
        <is>
          <t>Yes</t>
        </is>
      </c>
      <c r="Q821" s="3" t="inlineStr">
        <is>
          <t>Yes</t>
        </is>
      </c>
      <c r="R821" s="3" t="inlineStr">
        <is>
          <t>Yes</t>
        </is>
      </c>
      <c r="S821" s="3" t="inlineStr">
        <is>
          <t>Yes</t>
        </is>
      </c>
      <c r="T821" s="3" t="inlineStr">
        <is>
          <t>Yes</t>
        </is>
      </c>
      <c r="U821" s="3" t="inlineStr">
        <is>
          <t>Yes</t>
        </is>
      </c>
      <c r="V821" s="3" t="inlineStr">
        <is>
          <t>Yes</t>
        </is>
      </c>
      <c r="W821" s="3" t="inlineStr">
        <is>
          <t>No</t>
        </is>
      </c>
    </row>
    <row r="822">
      <c r="A822" s="3" t="inlineStr">
        <is>
          <t xml:space="preserve"> - Feebates</t>
        </is>
      </c>
      <c r="B822" s="3" t="inlineStr">
        <is>
          <t>Power Supply Feebates</t>
        </is>
      </c>
      <c r="C822" s="3" t="inlineStr">
        <is>
          <t>No</t>
        </is>
      </c>
      <c r="D822" s="58" t="n">
        <v>5</v>
      </c>
      <c r="E822" s="3" t="inlineStr">
        <is>
          <t>Yes</t>
        </is>
      </c>
      <c r="F822" s="3" t="inlineStr">
        <is>
          <t>Yes</t>
        </is>
      </c>
      <c r="G822" s="3" t="inlineStr">
        <is>
          <t>Yes</t>
        </is>
      </c>
      <c r="H822" s="3" t="inlineStr">
        <is>
          <t>Yes</t>
        </is>
      </c>
      <c r="I822" s="3" t="inlineStr">
        <is>
          <t>Yes</t>
        </is>
      </c>
      <c r="J822" s="3" t="inlineStr">
        <is>
          <t>Yes</t>
        </is>
      </c>
      <c r="K822" s="3" t="inlineStr">
        <is>
          <t>Yes</t>
        </is>
      </c>
      <c r="L822" s="3" t="inlineStr">
        <is>
          <t>Yes</t>
        </is>
      </c>
      <c r="M822" s="3" t="inlineStr">
        <is>
          <t>Yes</t>
        </is>
      </c>
      <c r="N822" s="3" t="inlineStr">
        <is>
          <t>Yes</t>
        </is>
      </c>
      <c r="O822" s="3" t="inlineStr">
        <is>
          <t>Yes</t>
        </is>
      </c>
      <c r="P822" s="3" t="inlineStr">
        <is>
          <t>Yes</t>
        </is>
      </c>
      <c r="Q822" s="3" t="inlineStr">
        <is>
          <t>Yes</t>
        </is>
      </c>
      <c r="R822" s="3" t="inlineStr">
        <is>
          <t>Yes</t>
        </is>
      </c>
      <c r="S822" s="3" t="inlineStr">
        <is>
          <t>Yes</t>
        </is>
      </c>
      <c r="T822" s="3" t="inlineStr">
        <is>
          <t>Yes</t>
        </is>
      </c>
      <c r="U822" s="3" t="inlineStr">
        <is>
          <t>Yes</t>
        </is>
      </c>
      <c r="V822" s="3" t="inlineStr">
        <is>
          <t>Yes</t>
        </is>
      </c>
      <c r="W822" s="3" t="inlineStr">
        <is>
          <t>No</t>
        </is>
      </c>
    </row>
    <row r="823">
      <c r="A823" s="3" t="inlineStr">
        <is>
          <t xml:space="preserve"> - Energy efficiency regulations</t>
        </is>
      </c>
      <c r="B823" s="3" t="inlineStr">
        <is>
          <t>Energy efficiency regulations</t>
        </is>
      </c>
      <c r="C823" s="3" t="inlineStr">
        <is>
          <t>No</t>
        </is>
      </c>
      <c r="D823" s="58" t="n">
        <v>1</v>
      </c>
      <c r="E823" s="3" t="inlineStr">
        <is>
          <t>Yes</t>
        </is>
      </c>
      <c r="F823" s="3" t="inlineStr">
        <is>
          <t>Yes</t>
        </is>
      </c>
      <c r="G823" s="3" t="inlineStr">
        <is>
          <t>Yes</t>
        </is>
      </c>
      <c r="H823" s="3" t="inlineStr">
        <is>
          <t>Yes</t>
        </is>
      </c>
      <c r="I823" s="3" t="inlineStr">
        <is>
          <t>Yes</t>
        </is>
      </c>
      <c r="J823" s="3" t="inlineStr">
        <is>
          <t>Yes</t>
        </is>
      </c>
      <c r="K823" s="3" t="inlineStr">
        <is>
          <t>Yes</t>
        </is>
      </c>
      <c r="L823" s="3" t="inlineStr">
        <is>
          <t>Yes</t>
        </is>
      </c>
      <c r="M823" s="3" t="inlineStr">
        <is>
          <t>Yes</t>
        </is>
      </c>
      <c r="N823" s="3" t="inlineStr">
        <is>
          <t>Yes</t>
        </is>
      </c>
      <c r="O823" s="3" t="inlineStr">
        <is>
          <t>Yes</t>
        </is>
      </c>
      <c r="P823" s="3" t="inlineStr">
        <is>
          <t>Yes</t>
        </is>
      </c>
      <c r="Q823" s="3" t="inlineStr">
        <is>
          <t>Yes</t>
        </is>
      </c>
      <c r="R823" s="3" t="inlineStr">
        <is>
          <t>Yes</t>
        </is>
      </c>
      <c r="S823" s="3" t="inlineStr">
        <is>
          <t>Yes</t>
        </is>
      </c>
      <c r="T823" s="3" t="inlineStr">
        <is>
          <t>Yes</t>
        </is>
      </c>
      <c r="U823" s="3" t="inlineStr">
        <is>
          <t>Yes</t>
        </is>
      </c>
      <c r="V823" s="3" t="inlineStr">
        <is>
          <t>No</t>
        </is>
      </c>
      <c r="W823" s="3" t="inlineStr">
        <is>
          <t>No</t>
        </is>
      </c>
    </row>
    <row r="824">
      <c r="A824" s="3" t="inlineStr">
        <is>
          <t xml:space="preserve"> - Total carbon price</t>
        </is>
      </c>
      <c r="B824" s="3" t="inlineStr">
        <is>
          <t>TCP</t>
        </is>
      </c>
      <c r="C824" s="3" t="inlineStr">
        <is>
          <t>Yes</t>
        </is>
      </c>
      <c r="D824" s="58" t="n">
        <v>0</v>
      </c>
      <c r="E824" s="3" t="inlineStr">
        <is>
          <t>Yes</t>
        </is>
      </c>
      <c r="F824" s="3" t="inlineStr">
        <is>
          <t>Yes</t>
        </is>
      </c>
      <c r="G824" s="3" t="inlineStr">
        <is>
          <t>Yes</t>
        </is>
      </c>
      <c r="H824" s="3" t="inlineStr">
        <is>
          <t>Yes</t>
        </is>
      </c>
      <c r="I824" s="3" t="inlineStr">
        <is>
          <t>Yes</t>
        </is>
      </c>
      <c r="J824" s="3" t="inlineStr">
        <is>
          <t>Yes</t>
        </is>
      </c>
      <c r="K824" s="3" t="inlineStr">
        <is>
          <t>Yes</t>
        </is>
      </c>
      <c r="L824" s="3" t="inlineStr">
        <is>
          <t>Yes</t>
        </is>
      </c>
      <c r="M824" s="3" t="inlineStr">
        <is>
          <t>Yes</t>
        </is>
      </c>
      <c r="N824" s="3" t="inlineStr">
        <is>
          <t>Yes</t>
        </is>
      </c>
      <c r="O824" s="3" t="inlineStr">
        <is>
          <t>Yes</t>
        </is>
      </c>
      <c r="P824" s="3" t="inlineStr">
        <is>
          <t>Yes</t>
        </is>
      </c>
      <c r="Q824" s="3" t="inlineStr">
        <is>
          <t>Yes</t>
        </is>
      </c>
      <c r="R824" s="3" t="inlineStr">
        <is>
          <t>Yes</t>
        </is>
      </c>
      <c r="S824" s="3" t="inlineStr">
        <is>
          <t>Yes</t>
        </is>
      </c>
      <c r="T824" s="3" t="inlineStr">
        <is>
          <t>Yes</t>
        </is>
      </c>
      <c r="U824" s="3" t="inlineStr">
        <is>
          <t>Yes</t>
        </is>
      </c>
      <c r="V824" s="3" t="inlineStr">
        <is>
          <t>No</t>
        </is>
      </c>
      <c r="W824" s="3" t="inlineStr">
        <is>
          <t>No</t>
        </is>
      </c>
    </row>
    <row r="825">
      <c r="A825" s="3" t="inlineStr">
        <is>
          <t xml:space="preserve"> - Coal excise</t>
        </is>
      </c>
      <c r="B825" s="3" t="inlineStr">
        <is>
          <t>Coal excise</t>
        </is>
      </c>
      <c r="C825" s="3" t="inlineStr">
        <is>
          <t>Yes</t>
        </is>
      </c>
      <c r="D825" s="58" t="n">
        <v>0</v>
      </c>
      <c r="E825" s="3" t="inlineStr">
        <is>
          <t>Yes</t>
        </is>
      </c>
      <c r="F825" s="3" t="inlineStr">
        <is>
          <t>Yes</t>
        </is>
      </c>
      <c r="G825" s="3" t="inlineStr">
        <is>
          <t>Yes</t>
        </is>
      </c>
      <c r="H825" s="3" t="inlineStr">
        <is>
          <t>Yes</t>
        </is>
      </c>
      <c r="I825" s="3" t="inlineStr">
        <is>
          <t>Yes</t>
        </is>
      </c>
      <c r="J825" s="3" t="inlineStr">
        <is>
          <t>Yes</t>
        </is>
      </c>
      <c r="K825" s="3" t="inlineStr">
        <is>
          <t>Yes</t>
        </is>
      </c>
      <c r="L825" s="3" t="inlineStr">
        <is>
          <t>Yes</t>
        </is>
      </c>
      <c r="M825" s="3" t="inlineStr">
        <is>
          <t>Yes</t>
        </is>
      </c>
      <c r="N825" s="3" t="inlineStr">
        <is>
          <t>Yes</t>
        </is>
      </c>
      <c r="O825" s="3" t="inlineStr">
        <is>
          <t>Yes</t>
        </is>
      </c>
      <c r="P825" s="3" t="inlineStr">
        <is>
          <t>Yes</t>
        </is>
      </c>
      <c r="Q825" s="3" t="inlineStr">
        <is>
          <t>Yes</t>
        </is>
      </c>
      <c r="R825" s="3" t="inlineStr">
        <is>
          <t>Yes</t>
        </is>
      </c>
      <c r="S825" s="3" t="inlineStr">
        <is>
          <t>Yes</t>
        </is>
      </c>
      <c r="T825" s="3" t="inlineStr">
        <is>
          <t>Yes</t>
        </is>
      </c>
      <c r="U825" s="3" t="inlineStr">
        <is>
          <t>Yes</t>
        </is>
      </c>
      <c r="V825" s="3" t="inlineStr">
        <is>
          <t>No</t>
        </is>
      </c>
      <c r="W825" s="3" t="inlineStr">
        <is>
          <t>No</t>
        </is>
      </c>
    </row>
    <row r="826">
      <c r="A826" s="3" t="inlineStr">
        <is>
          <t xml:space="preserve"> - Road fuel tax</t>
        </is>
      </c>
      <c r="B826" s="3" t="inlineStr">
        <is>
          <t>Road fuel tax</t>
        </is>
      </c>
      <c r="C826" s="3" t="inlineStr">
        <is>
          <t>Yes</t>
        </is>
      </c>
      <c r="D826" s="58" t="n">
        <v>0</v>
      </c>
      <c r="E826" s="3" t="inlineStr">
        <is>
          <t>No</t>
        </is>
      </c>
      <c r="F826" s="3" t="inlineStr">
        <is>
          <t>Yes</t>
        </is>
      </c>
      <c r="G826" s="3" t="inlineStr">
        <is>
          <t>No</t>
        </is>
      </c>
      <c r="H826" s="3" t="inlineStr">
        <is>
          <t>No</t>
        </is>
      </c>
      <c r="I826" s="3" t="inlineStr">
        <is>
          <t>No</t>
        </is>
      </c>
      <c r="J826" s="3" t="inlineStr">
        <is>
          <t>No</t>
        </is>
      </c>
      <c r="K826" s="3" t="inlineStr">
        <is>
          <t>No</t>
        </is>
      </c>
      <c r="L826" s="3" t="inlineStr">
        <is>
          <t>No</t>
        </is>
      </c>
      <c r="M826" s="3" t="inlineStr">
        <is>
          <t>No</t>
        </is>
      </c>
      <c r="N826" s="3" t="inlineStr">
        <is>
          <t>No</t>
        </is>
      </c>
      <c r="O826" s="3" t="inlineStr">
        <is>
          <t>No</t>
        </is>
      </c>
      <c r="P826" s="3" t="inlineStr">
        <is>
          <t>No</t>
        </is>
      </c>
      <c r="Q826" s="3" t="inlineStr">
        <is>
          <t>No</t>
        </is>
      </c>
      <c r="R826" s="3" t="inlineStr">
        <is>
          <t>No</t>
        </is>
      </c>
      <c r="S826" s="3" t="inlineStr">
        <is>
          <t>No</t>
        </is>
      </c>
      <c r="T826" s="3" t="inlineStr">
        <is>
          <t>No</t>
        </is>
      </c>
      <c r="U826" s="3" t="inlineStr">
        <is>
          <t>No</t>
        </is>
      </c>
      <c r="V826" s="3" t="inlineStr">
        <is>
          <t>No</t>
        </is>
      </c>
      <c r="W826" s="3" t="inlineStr">
        <is>
          <t>No</t>
        </is>
      </c>
    </row>
    <row r="827">
      <c r="A827" s="3" t="inlineStr">
        <is>
          <t xml:space="preserve"> - Electricity emissions tax</t>
        </is>
      </c>
      <c r="B827" s="3" t="inlineStr">
        <is>
          <t>Electricity emissions tax</t>
        </is>
      </c>
      <c r="C827" s="3" t="inlineStr">
        <is>
          <t>Yes</t>
        </is>
      </c>
      <c r="D827" s="58" t="n">
        <v>0</v>
      </c>
      <c r="E827" s="3" t="inlineStr">
        <is>
          <t>Yes</t>
        </is>
      </c>
      <c r="F827" s="3" t="inlineStr">
        <is>
          <t>No</t>
        </is>
      </c>
      <c r="G827" s="3" t="inlineStr">
        <is>
          <t>No</t>
        </is>
      </c>
      <c r="H827" s="3" t="inlineStr">
        <is>
          <t>No</t>
        </is>
      </c>
      <c r="I827" s="3" t="inlineStr">
        <is>
          <t>No</t>
        </is>
      </c>
      <c r="J827" s="3" t="inlineStr">
        <is>
          <t>No</t>
        </is>
      </c>
      <c r="K827" s="3" t="inlineStr">
        <is>
          <t>No</t>
        </is>
      </c>
      <c r="L827" s="3" t="inlineStr">
        <is>
          <t>No</t>
        </is>
      </c>
      <c r="M827" s="3" t="inlineStr">
        <is>
          <t>No</t>
        </is>
      </c>
      <c r="N827" s="3" t="inlineStr">
        <is>
          <t>No</t>
        </is>
      </c>
      <c r="O827" s="3" t="inlineStr">
        <is>
          <t>No</t>
        </is>
      </c>
      <c r="P827" s="3" t="inlineStr">
        <is>
          <t>No</t>
        </is>
      </c>
      <c r="Q827" s="3" t="inlineStr">
        <is>
          <t>No</t>
        </is>
      </c>
      <c r="R827" s="3" t="inlineStr">
        <is>
          <t>No</t>
        </is>
      </c>
      <c r="S827" s="3" t="inlineStr">
        <is>
          <t>No</t>
        </is>
      </c>
      <c r="T827" s="3" t="inlineStr">
        <is>
          <t>No</t>
        </is>
      </c>
      <c r="U827" s="3" t="inlineStr">
        <is>
          <t>No</t>
        </is>
      </c>
      <c r="V827" s="3" t="inlineStr">
        <is>
          <t>No</t>
        </is>
      </c>
      <c r="W827" s="3" t="inlineStr">
        <is>
          <t>No</t>
        </is>
      </c>
    </row>
    <row r="828">
      <c r="A828" s="3" t="inlineStr">
        <is>
          <t xml:space="preserve"> - Power feebate</t>
        </is>
      </c>
      <c r="B828" s="3" t="inlineStr">
        <is>
          <t>Power feebate</t>
        </is>
      </c>
      <c r="C828" s="3" t="inlineStr">
        <is>
          <t>No</t>
        </is>
      </c>
      <c r="D828" s="58" t="n">
        <v>5</v>
      </c>
      <c r="E828" s="3" t="inlineStr">
        <is>
          <t>Yes</t>
        </is>
      </c>
      <c r="F828" s="3" t="inlineStr">
        <is>
          <t>No</t>
        </is>
      </c>
      <c r="G828" s="3" t="inlineStr">
        <is>
          <t>No</t>
        </is>
      </c>
      <c r="H828" s="3" t="inlineStr">
        <is>
          <t>No</t>
        </is>
      </c>
      <c r="I828" s="3" t="inlineStr">
        <is>
          <t>No</t>
        </is>
      </c>
      <c r="J828" s="3" t="inlineStr">
        <is>
          <t>No</t>
        </is>
      </c>
      <c r="K828" s="3" t="inlineStr">
        <is>
          <t>No</t>
        </is>
      </c>
      <c r="L828" s="3" t="inlineStr">
        <is>
          <t>No</t>
        </is>
      </c>
      <c r="M828" s="3" t="inlineStr">
        <is>
          <t>No</t>
        </is>
      </c>
      <c r="N828" s="3" t="inlineStr">
        <is>
          <t>No</t>
        </is>
      </c>
      <c r="O828" s="3" t="inlineStr">
        <is>
          <t>No</t>
        </is>
      </c>
      <c r="P828" s="3" t="inlineStr">
        <is>
          <t>No</t>
        </is>
      </c>
      <c r="Q828" s="3" t="inlineStr">
        <is>
          <t>No</t>
        </is>
      </c>
      <c r="R828" s="3" t="inlineStr">
        <is>
          <t>No</t>
        </is>
      </c>
      <c r="S828" s="3" t="inlineStr">
        <is>
          <t>No</t>
        </is>
      </c>
      <c r="T828" s="3" t="inlineStr">
        <is>
          <t>No</t>
        </is>
      </c>
      <c r="U828" s="3" t="inlineStr">
        <is>
          <t>No</t>
        </is>
      </c>
      <c r="V828" s="3" t="inlineStr">
        <is>
          <t>Yes</t>
        </is>
      </c>
      <c r="W828" s="3" t="inlineStr">
        <is>
          <t>No</t>
        </is>
      </c>
    </row>
    <row r="829">
      <c r="A829" s="3" t="inlineStr">
        <is>
          <t xml:space="preserve"> - Electricity excise</t>
        </is>
      </c>
      <c r="B829" s="3" t="inlineStr">
        <is>
          <t>Electricity excise</t>
        </is>
      </c>
      <c r="C829" s="3" t="inlineStr">
        <is>
          <t>Yes</t>
        </is>
      </c>
      <c r="D829" s="58" t="n">
        <v>0</v>
      </c>
      <c r="E829" s="3" t="inlineStr">
        <is>
          <t>No</t>
        </is>
      </c>
      <c r="F829" s="3" t="inlineStr">
        <is>
          <t>No</t>
        </is>
      </c>
      <c r="G829" s="3" t="inlineStr">
        <is>
          <t>No</t>
        </is>
      </c>
      <c r="H829" s="3" t="inlineStr">
        <is>
          <t>No</t>
        </is>
      </c>
      <c r="I829" s="3" t="inlineStr">
        <is>
          <t>No</t>
        </is>
      </c>
      <c r="J829" s="3" t="inlineStr">
        <is>
          <t>No</t>
        </is>
      </c>
      <c r="K829" s="3" t="inlineStr">
        <is>
          <t>No</t>
        </is>
      </c>
      <c r="L829" s="3" t="inlineStr">
        <is>
          <t>No</t>
        </is>
      </c>
      <c r="M829" s="3" t="inlineStr">
        <is>
          <t>No</t>
        </is>
      </c>
      <c r="N829" s="3" t="inlineStr">
        <is>
          <t>No</t>
        </is>
      </c>
      <c r="O829" s="3" t="inlineStr">
        <is>
          <t>No</t>
        </is>
      </c>
      <c r="P829" s="3" t="inlineStr">
        <is>
          <t>No</t>
        </is>
      </c>
      <c r="Q829" s="3" t="inlineStr">
        <is>
          <t>No</t>
        </is>
      </c>
      <c r="R829" s="3" t="inlineStr">
        <is>
          <t>No</t>
        </is>
      </c>
      <c r="S829" s="3" t="inlineStr">
        <is>
          <t>No</t>
        </is>
      </c>
      <c r="T829" s="3" t="inlineStr">
        <is>
          <t>No</t>
        </is>
      </c>
      <c r="U829" s="3" t="inlineStr">
        <is>
          <t>No</t>
        </is>
      </c>
      <c r="V829" s="3" t="inlineStr">
        <is>
          <t>No</t>
        </is>
      </c>
      <c r="W829" s="3" t="inlineStr">
        <is>
          <t>Yes</t>
        </is>
      </c>
    </row>
    <row r="830">
      <c r="A830" s="3" t="inlineStr">
        <is>
          <t xml:space="preserve"> - Vehicle fuel economy</t>
        </is>
      </c>
      <c r="B830" s="3" t="inlineStr">
        <is>
          <t>Vehicle fuel economy</t>
        </is>
      </c>
      <c r="C830" s="3" t="inlineStr">
        <is>
          <t>No</t>
        </is>
      </c>
      <c r="D830" s="58" t="n">
        <v>2</v>
      </c>
      <c r="E830" s="3" t="inlineStr">
        <is>
          <t>No</t>
        </is>
      </c>
      <c r="F830" s="3" t="inlineStr">
        <is>
          <t>Yes</t>
        </is>
      </c>
      <c r="G830" s="3" t="inlineStr">
        <is>
          <t>No</t>
        </is>
      </c>
      <c r="H830" s="3" t="inlineStr">
        <is>
          <t>No</t>
        </is>
      </c>
      <c r="I830" s="3" t="inlineStr">
        <is>
          <t>No</t>
        </is>
      </c>
      <c r="J830" s="3" t="inlineStr">
        <is>
          <t>No</t>
        </is>
      </c>
      <c r="K830" s="3" t="inlineStr">
        <is>
          <t>No</t>
        </is>
      </c>
      <c r="L830" s="3" t="inlineStr">
        <is>
          <t>No</t>
        </is>
      </c>
      <c r="M830" s="3" t="inlineStr">
        <is>
          <t>No</t>
        </is>
      </c>
      <c r="N830" s="3" t="inlineStr">
        <is>
          <t>No</t>
        </is>
      </c>
      <c r="O830" s="3" t="inlineStr">
        <is>
          <t>No</t>
        </is>
      </c>
      <c r="P830" s="3" t="inlineStr">
        <is>
          <t>No</t>
        </is>
      </c>
      <c r="Q830" s="3" t="inlineStr">
        <is>
          <t>No</t>
        </is>
      </c>
      <c r="R830" s="3" t="inlineStr">
        <is>
          <t>No</t>
        </is>
      </c>
      <c r="S830" s="3" t="inlineStr">
        <is>
          <t>No</t>
        </is>
      </c>
      <c r="T830" s="3" t="inlineStr">
        <is>
          <t>No</t>
        </is>
      </c>
      <c r="U830" s="3" t="inlineStr">
        <is>
          <t>No</t>
        </is>
      </c>
      <c r="V830" s="3" t="inlineStr">
        <is>
          <t>No</t>
        </is>
      </c>
      <c r="W830" s="3" t="inlineStr">
        <is>
          <t>No</t>
        </is>
      </c>
    </row>
    <row r="831">
      <c r="A831" s="3" t="inlineStr">
        <is>
          <t xml:space="preserve"> - Residential efficiency regulations</t>
        </is>
      </c>
      <c r="B831" s="3" t="inlineStr">
        <is>
          <t>Residential efficiency regulations</t>
        </is>
      </c>
      <c r="C831" s="3" t="inlineStr">
        <is>
          <t>No</t>
        </is>
      </c>
      <c r="D831" s="58" t="n">
        <v>3</v>
      </c>
      <c r="E831" s="3" t="inlineStr">
        <is>
          <t>No</t>
        </is>
      </c>
      <c r="F831" s="3" t="inlineStr">
        <is>
          <t>No</t>
        </is>
      </c>
      <c r="G831" s="3" t="inlineStr">
        <is>
          <t>No</t>
        </is>
      </c>
      <c r="H831" s="3" t="inlineStr">
        <is>
          <t>No</t>
        </is>
      </c>
      <c r="I831" s="3" t="inlineStr">
        <is>
          <t>No</t>
        </is>
      </c>
      <c r="J831" s="3" t="inlineStr">
        <is>
          <t>Yes</t>
        </is>
      </c>
      <c r="K831" s="3" t="inlineStr">
        <is>
          <t>No</t>
        </is>
      </c>
      <c r="L831" s="3" t="inlineStr">
        <is>
          <t>No</t>
        </is>
      </c>
      <c r="M831" s="3" t="inlineStr">
        <is>
          <t>No</t>
        </is>
      </c>
      <c r="N831" s="3" t="inlineStr">
        <is>
          <t>No</t>
        </is>
      </c>
      <c r="O831" s="3" t="inlineStr">
        <is>
          <t>No</t>
        </is>
      </c>
      <c r="P831" s="3" t="inlineStr">
        <is>
          <t>No</t>
        </is>
      </c>
      <c r="Q831" s="3" t="inlineStr">
        <is>
          <t>No</t>
        </is>
      </c>
      <c r="R831" s="3" t="inlineStr">
        <is>
          <t>No</t>
        </is>
      </c>
      <c r="S831" s="3" t="inlineStr">
        <is>
          <t>No</t>
        </is>
      </c>
      <c r="T831" s="3" t="inlineStr">
        <is>
          <t>No</t>
        </is>
      </c>
      <c r="U831" s="3" t="inlineStr">
        <is>
          <t>No</t>
        </is>
      </c>
      <c r="V831" s="3" t="inlineStr">
        <is>
          <t>No</t>
        </is>
      </c>
      <c r="W831" s="3" t="inlineStr">
        <is>
          <t>No</t>
        </is>
      </c>
    </row>
    <row r="832">
      <c r="A832" s="3" t="inlineStr">
        <is>
          <t xml:space="preserve"> - Industrial efficiency regulations</t>
        </is>
      </c>
      <c r="B832" s="3" t="inlineStr">
        <is>
          <t>Industrial efficiency regulations</t>
        </is>
      </c>
      <c r="C832" s="3" t="inlineStr">
        <is>
          <t>No</t>
        </is>
      </c>
      <c r="D832" s="58" t="n">
        <v>4</v>
      </c>
      <c r="E832" s="3" t="inlineStr">
        <is>
          <t>No</t>
        </is>
      </c>
      <c r="F832" s="3" t="inlineStr">
        <is>
          <t>No</t>
        </is>
      </c>
      <c r="G832" s="3" t="inlineStr">
        <is>
          <t>No</t>
        </is>
      </c>
      <c r="H832" s="3" t="inlineStr">
        <is>
          <t>No</t>
        </is>
      </c>
      <c r="I832" s="3" t="inlineStr">
        <is>
          <t>No</t>
        </is>
      </c>
      <c r="J832" s="3" t="inlineStr">
        <is>
          <t>No</t>
        </is>
      </c>
      <c r="K832" s="3" t="inlineStr">
        <is>
          <t>Yes</t>
        </is>
      </c>
      <c r="L832" s="3" t="inlineStr">
        <is>
          <t>Yes</t>
        </is>
      </c>
      <c r="M832" s="3" t="inlineStr">
        <is>
          <t>Yes</t>
        </is>
      </c>
      <c r="N832" s="3" t="inlineStr">
        <is>
          <t>Yes</t>
        </is>
      </c>
      <c r="O832" s="3" t="inlineStr">
        <is>
          <t>Yes</t>
        </is>
      </c>
      <c r="P832" s="3" t="inlineStr">
        <is>
          <t>Yes</t>
        </is>
      </c>
      <c r="Q832" s="3" t="inlineStr">
        <is>
          <t>Yes</t>
        </is>
      </c>
      <c r="R832" s="3" t="inlineStr">
        <is>
          <t>Yes</t>
        </is>
      </c>
      <c r="S832" s="3" t="inlineStr">
        <is>
          <t>Yes</t>
        </is>
      </c>
      <c r="T832" s="3" t="inlineStr">
        <is>
          <t>Yes</t>
        </is>
      </c>
      <c r="U832" s="3" t="inlineStr">
        <is>
          <t>Yes</t>
        </is>
      </c>
      <c r="V832" s="3" t="inlineStr">
        <is>
          <t>No</t>
        </is>
      </c>
      <c r="W832" s="3" t="inlineStr">
        <is>
          <t>No</t>
        </is>
      </c>
    </row>
    <row r="833">
      <c r="A833" s="6" t="inlineStr">
        <is>
          <t>Member labels for Mitigation column H (key sector|fuel; add a row for a new pair)</t>
        </is>
      </c>
    </row>
    <row r="834">
      <c r="A834" s="19" t="inlineStr">
        <is>
          <t>Key</t>
        </is>
      </c>
      <c r="B834" s="19" t="inlineStr">
        <is>
          <t>Sector</t>
        </is>
      </c>
      <c r="C834" s="19" t="inlineStr">
        <is>
          <t>Fuel</t>
        </is>
      </c>
      <c r="D834" s="19" t="inlineStr">
        <is>
          <t>Label</t>
        </is>
      </c>
      <c r="E834" s="19" t="inlineStr">
        <is>
          <t>Sector label</t>
        </is>
      </c>
      <c r="F834" s="19" t="inlineStr">
        <is>
          <t>Fuel label</t>
        </is>
      </c>
      <c r="G834" s="19" t="inlineStr">
        <is>
          <t>Code slots</t>
        </is>
      </c>
      <c r="I834" s="19" t="inlineStr">
        <is>
          <t>Row key</t>
        </is>
      </c>
      <c r="J834" s="19" t="inlineStr">
        <is>
          <t>Row code</t>
        </is>
      </c>
    </row>
    <row r="835">
      <c r="A835" s="3" t="str">
        <f>$B835&amp;"|"&amp;$C835</f>
        <v>|</v>
      </c>
      <c r="B835" s="3" t="inlineStr"/>
      <c r="C835" s="3" t="inlineStr"/>
      <c r="D835" s="3" t="str">
        <f>IF($B835="",""," | "&amp;$E835&amp;" | "&amp;$F835)</f>
        <v/>
      </c>
      <c r="E835" s="3" t="str">
        <f>IFERROR(INDEX(SecLab,MATCH($B835,SecKey,0)),"")</f>
        <v/>
      </c>
      <c r="F835" s="3" t="str">
        <f>IFERROR(INDEX(FuelLab,MATCH($C835,FuelKeyL,0)),"")</f>
        <v/>
      </c>
      <c r="G835" s="3" t="n"/>
      <c r="I835" s="3" t="inlineStr">
        <is>
          <t>pnq|all|gso</t>
        </is>
      </c>
      <c r="J835" s="3" t="inlineStr">
        <is>
          <t>pnq.tot.gso</t>
        </is>
      </c>
    </row>
    <row r="836">
      <c r="A836" s="3" t="str">
        <f>$B836&amp;"|"&amp;$C836</f>
        <v>all|coa</v>
      </c>
      <c r="B836" s="3" t="inlineStr">
        <is>
          <t>all</t>
        </is>
      </c>
      <c r="C836" s="3" t="inlineStr">
        <is>
          <t>coa</t>
        </is>
      </c>
      <c r="D836" s="3" t="str">
        <f>IF($B836="",""," | "&amp;$E836&amp;" | "&amp;$F836)</f>
        <v> | All sectors | Coal</v>
      </c>
      <c r="E836" s="3" t="str">
        <f>IFERROR(INDEX(SecLab,MATCH($B836,SecKey,0)),"")</f>
        <v>All sectors</v>
      </c>
      <c r="F836" s="3" t="str">
        <f>IFERROR(INDEX(FuelLab,MATCH($C836,FuelKeyL,0)),"")</f>
        <v>Coal</v>
      </c>
      <c r="G836" s="3" t="inlineStr">
        <is>
          <t>.all.coa</t>
        </is>
      </c>
      <c r="I836" s="3" t="inlineStr">
        <is>
          <t>pnq|all|die</t>
        </is>
      </c>
      <c r="J836" s="3" t="inlineStr">
        <is>
          <t>pnq.tot.die</t>
        </is>
      </c>
    </row>
    <row r="837">
      <c r="A837" s="3" t="str">
        <f>$B837&amp;"|"&amp;$C837</f>
        <v>all|nga</v>
      </c>
      <c r="B837" s="3" t="inlineStr">
        <is>
          <t>all</t>
        </is>
      </c>
      <c r="C837" s="3" t="inlineStr">
        <is>
          <t>nga</t>
        </is>
      </c>
      <c r="D837" s="3" t="str">
        <f>IF($B837="",""," | "&amp;$E837&amp;" | "&amp;$F837)</f>
        <v> | All sectors | Natural gas</v>
      </c>
      <c r="E837" s="3" t="str">
        <f>IFERROR(INDEX(SecLab,MATCH($B837,SecKey,0)),"")</f>
        <v>All sectors</v>
      </c>
      <c r="F837" s="3" t="str">
        <f>IFERROR(INDEX(FuelLab,MATCH($C837,FuelKeyL,0)),"")</f>
        <v>Natural gas</v>
      </c>
      <c r="G837" s="3" t="inlineStr">
        <is>
          <t>.all.nga</t>
        </is>
      </c>
      <c r="I837" s="3" t="inlineStr">
        <is>
          <t>pnq|all|lpg</t>
        </is>
      </c>
      <c r="J837" s="3" t="inlineStr">
        <is>
          <t>pnq.tot.lpg</t>
        </is>
      </c>
    </row>
    <row r="838">
      <c r="A838" s="3" t="str">
        <f>$B838&amp;"|"&amp;$C838</f>
        <v>all|gso</v>
      </c>
      <c r="B838" s="3" t="inlineStr">
        <is>
          <t>all</t>
        </is>
      </c>
      <c r="C838" s="3" t="inlineStr">
        <is>
          <t>gso</t>
        </is>
      </c>
      <c r="D838" s="3" t="str">
        <f>IF($B838="",""," | "&amp;$E838&amp;" | "&amp;$F838)</f>
        <v> | All sectors | Gasoline</v>
      </c>
      <c r="E838" s="3" t="str">
        <f>IFERROR(INDEX(SecLab,MATCH($B838,SecKey,0)),"")</f>
        <v>All sectors</v>
      </c>
      <c r="F838" s="3" t="str">
        <f>IFERROR(INDEX(FuelLab,MATCH($C838,FuelKeyL,0)),"")</f>
        <v>Gasoline</v>
      </c>
      <c r="G838" s="3" t="inlineStr">
        <is>
          <t>.all.gso</t>
        </is>
      </c>
      <c r="I838" s="3" t="inlineStr">
        <is>
          <t>pnq|all|ker</t>
        </is>
      </c>
      <c r="J838" s="3" t="inlineStr">
        <is>
          <t>pnq.tot.ker</t>
        </is>
      </c>
    </row>
    <row r="839">
      <c r="A839" s="3" t="str">
        <f>$B839&amp;"|"&amp;$C839</f>
        <v>all|die</v>
      </c>
      <c r="B839" s="3" t="inlineStr">
        <is>
          <t>all</t>
        </is>
      </c>
      <c r="C839" s="3" t="inlineStr">
        <is>
          <t>die</t>
        </is>
      </c>
      <c r="D839" s="3" t="str">
        <f>IF($B839="",""," | "&amp;$E839&amp;" | "&amp;$F839)</f>
        <v> | All sectors | Diesel</v>
      </c>
      <c r="E839" s="3" t="str">
        <f>IFERROR(INDEX(SecLab,MATCH($B839,SecKey,0)),"")</f>
        <v>All sectors</v>
      </c>
      <c r="F839" s="3" t="str">
        <f>IFERROR(INDEX(FuelLab,MATCH($C839,FuelKeyL,0)),"")</f>
        <v>Diesel</v>
      </c>
      <c r="G839" s="3" t="inlineStr">
        <is>
          <t>.all.die</t>
        </is>
      </c>
      <c r="I839" s="3" t="inlineStr">
        <is>
          <t>pnq|all|oop</t>
        </is>
      </c>
      <c r="J839" s="3" t="inlineStr">
        <is>
          <t>pnq.tot.oop</t>
        </is>
      </c>
    </row>
    <row r="840">
      <c r="A840" s="3" t="str">
        <f>$B840&amp;"|"&amp;$C840</f>
        <v>all|lpg</v>
      </c>
      <c r="B840" s="3" t="inlineStr">
        <is>
          <t>all</t>
        </is>
      </c>
      <c r="C840" s="3" t="inlineStr">
        <is>
          <t>lpg</t>
        </is>
      </c>
      <c r="D840" s="3" t="str">
        <f>IF($B840="",""," | "&amp;$E840&amp;" | "&amp;$F840)</f>
        <v> | All sectors | LPG</v>
      </c>
      <c r="E840" s="3" t="str">
        <f>IFERROR(INDEX(SecLab,MATCH($B840,SecKey,0)),"")</f>
        <v>All sectors</v>
      </c>
      <c r="F840" s="3" t="str">
        <f>IFERROR(INDEX(FuelLab,MATCH($C840,FuelKeyL,0)),"")</f>
        <v>LPG</v>
      </c>
      <c r="G840" s="3" t="inlineStr">
        <is>
          <t>.all.lpg</t>
        </is>
      </c>
      <c r="I840" s="3" t="inlineStr">
        <is>
          <t>pnq|all|bio</t>
        </is>
      </c>
      <c r="J840" s="3" t="inlineStr">
        <is>
          <t>pnq.tot.bio</t>
        </is>
      </c>
    </row>
    <row r="841">
      <c r="A841" s="3" t="str">
        <f>$B841&amp;"|"&amp;$C841</f>
        <v>all|ker</v>
      </c>
      <c r="B841" s="3" t="inlineStr">
        <is>
          <t>all</t>
        </is>
      </c>
      <c r="C841" s="3" t="inlineStr">
        <is>
          <t>ker</t>
        </is>
      </c>
      <c r="D841" s="3" t="str">
        <f>IF($B841="",""," | "&amp;$E841&amp;" | "&amp;$F841)</f>
        <v> | All sectors | Kerosene</v>
      </c>
      <c r="E841" s="3" t="str">
        <f>IFERROR(INDEX(SecLab,MATCH($B841,SecKey,0)),"")</f>
        <v>All sectors</v>
      </c>
      <c r="F841" s="3" t="str">
        <f>IFERROR(INDEX(FuelLab,MATCH($C841,FuelKeyL,0)),"")</f>
        <v>Kerosene</v>
      </c>
      <c r="G841" s="3" t="inlineStr">
        <is>
          <t>.all.ker</t>
        </is>
      </c>
      <c r="I841" s="3" t="inlineStr">
        <is>
          <t>pav.q|all|coa</t>
        </is>
      </c>
      <c r="J841" s="3" t="inlineStr">
        <is>
          <t>pav.q.tot.coa</t>
        </is>
      </c>
    </row>
    <row r="842">
      <c r="A842" s="3" t="str">
        <f>$B842&amp;"|"&amp;$C842</f>
        <v>all|jfu</v>
      </c>
      <c r="B842" s="3" t="inlineStr">
        <is>
          <t>all</t>
        </is>
      </c>
      <c r="C842" s="3" t="inlineStr">
        <is>
          <t>jfu</t>
        </is>
      </c>
      <c r="D842" s="3" t="str">
        <f>IF($B842="",""," | "&amp;$E842&amp;" | "&amp;$F842)</f>
        <v> | All sectors | Jet fuel</v>
      </c>
      <c r="E842" s="3" t="str">
        <f>IFERROR(INDEX(SecLab,MATCH($B842,SecKey,0)),"")</f>
        <v>All sectors</v>
      </c>
      <c r="F842" s="3" t="str">
        <f>IFERROR(INDEX(FuelLab,MATCH($C842,FuelKeyL,0)),"")</f>
        <v>Jet fuel</v>
      </c>
      <c r="G842" s="3" t="inlineStr">
        <is>
          <t>.all.jfu</t>
        </is>
      </c>
      <c r="I842" s="3" t="inlineStr">
        <is>
          <t>pav.q|all|nga</t>
        </is>
      </c>
      <c r="J842" s="3" t="inlineStr">
        <is>
          <t>pav.q.tot.nga</t>
        </is>
      </c>
    </row>
    <row r="843">
      <c r="A843" s="3" t="str">
        <f>$B843&amp;"|"&amp;$C843</f>
        <v>all|oop</v>
      </c>
      <c r="B843" s="3" t="inlineStr">
        <is>
          <t>all</t>
        </is>
      </c>
      <c r="C843" s="3" t="inlineStr">
        <is>
          <t>oop</t>
        </is>
      </c>
      <c r="D843" s="3" t="str">
        <f>IF($B843="",""," | "&amp;$E843&amp;" | "&amp;$F843)</f>
        <v> | All sectors | Other oil products</v>
      </c>
      <c r="E843" s="3" t="str">
        <f>IFERROR(INDEX(SecLab,MATCH($B843,SecKey,0)),"")</f>
        <v>All sectors</v>
      </c>
      <c r="F843" s="3" t="str">
        <f>IFERROR(INDEX(FuelLab,MATCH($C843,FuelKeyL,0)),"")</f>
        <v>Other oil products</v>
      </c>
      <c r="G843" s="3" t="inlineStr">
        <is>
          <t>.all.oop</t>
        </is>
      </c>
      <c r="I843" s="3" t="inlineStr">
        <is>
          <t>pav.q|all|gso</t>
        </is>
      </c>
      <c r="J843" s="3" t="inlineStr">
        <is>
          <t>pav.q.tot.gso</t>
        </is>
      </c>
    </row>
    <row r="844">
      <c r="A844" s="3" t="str">
        <f>$B844&amp;"|"&amp;$C844</f>
        <v>all|bio</v>
      </c>
      <c r="B844" s="3" t="inlineStr">
        <is>
          <t>all</t>
        </is>
      </c>
      <c r="C844" s="3" t="inlineStr">
        <is>
          <t>bio</t>
        </is>
      </c>
      <c r="D844" s="3" t="str">
        <f>IF($B844="",""," | "&amp;$E844&amp;" | "&amp;$F844)</f>
        <v> | All sectors | Biomass</v>
      </c>
      <c r="E844" s="3" t="str">
        <f>IFERROR(INDEX(SecLab,MATCH($B844,SecKey,0)),"")</f>
        <v>All sectors</v>
      </c>
      <c r="F844" s="3" t="str">
        <f>IFERROR(INDEX(FuelLab,MATCH($C844,FuelKeyL,0)),"")</f>
        <v>Biomass</v>
      </c>
      <c r="G844" s="3" t="inlineStr">
        <is>
          <t>.all.bio</t>
        </is>
      </c>
      <c r="I844" s="3" t="inlineStr">
        <is>
          <t>pav.q|all|die</t>
        </is>
      </c>
      <c r="J844" s="3" t="inlineStr">
        <is>
          <t>pav.q.tot.die</t>
        </is>
      </c>
    </row>
    <row r="845">
      <c r="A845" s="3" t="str">
        <f>$B845&amp;"|"&amp;$C845</f>
        <v>pow|all</v>
      </c>
      <c r="B845" s="3" t="inlineStr">
        <is>
          <t>pow</t>
        </is>
      </c>
      <c r="C845" s="3" t="inlineStr">
        <is>
          <t>all</t>
        </is>
      </c>
      <c r="D845" s="3" t="str">
        <f>IF($B845="",""," | "&amp;$E845&amp;" | "&amp;$F845)</f>
        <v> | Power | All fuels</v>
      </c>
      <c r="E845" s="3" t="str">
        <f>IFERROR(INDEX(SecLab,MATCH($B845,SecKey,0)),"")</f>
        <v>Power</v>
      </c>
      <c r="F845" s="3" t="str">
        <f>IFERROR(INDEX(FuelLab,MATCH($C845,FuelKeyL,0)),"")</f>
        <v>All fuels</v>
      </c>
      <c r="G845" s="3" t="inlineStr">
        <is>
          <t>.pow.all</t>
        </is>
      </c>
      <c r="I845" s="3" t="inlineStr">
        <is>
          <t>pav.q|all|lpg</t>
        </is>
      </c>
      <c r="J845" s="3" t="inlineStr">
        <is>
          <t>pav.q.tot.lpg</t>
        </is>
      </c>
    </row>
    <row r="846">
      <c r="A846" s="3" t="str">
        <f>$B846&amp;"|"&amp;$C846</f>
        <v>rod|all</v>
      </c>
      <c r="B846" s="3" t="inlineStr">
        <is>
          <t>rod</t>
        </is>
      </c>
      <c r="C846" s="3" t="inlineStr">
        <is>
          <t>all</t>
        </is>
      </c>
      <c r="D846" s="3" t="str">
        <f>IF($B846="",""," | "&amp;$E846&amp;" | "&amp;$F846)</f>
        <v> | Road | All fuels</v>
      </c>
      <c r="E846" s="3" t="str">
        <f>IFERROR(INDEX(SecLab,MATCH($B846,SecKey,0)),"")</f>
        <v>Road</v>
      </c>
      <c r="F846" s="3" t="str">
        <f>IFERROR(INDEX(FuelLab,MATCH($C846,FuelKeyL,0)),"")</f>
        <v>All fuels</v>
      </c>
      <c r="G846" s="3" t="inlineStr">
        <is>
          <t>.rod.all</t>
        </is>
      </c>
      <c r="I846" s="3" t="inlineStr">
        <is>
          <t>pav.q|all|ker</t>
        </is>
      </c>
      <c r="J846" s="3" t="inlineStr">
        <is>
          <t>pav.q.tot.ker</t>
        </is>
      </c>
    </row>
    <row r="847">
      <c r="A847" s="3" t="str">
        <f>$B847&amp;"|"&amp;$C847</f>
        <v>ral|all</v>
      </c>
      <c r="B847" s="3" t="inlineStr">
        <is>
          <t>ral</t>
        </is>
      </c>
      <c r="C847" s="3" t="inlineStr">
        <is>
          <t>all</t>
        </is>
      </c>
      <c r="D847" s="3" t="str">
        <f>IF($B847="",""," | "&amp;$E847&amp;" | "&amp;$F847)</f>
        <v> | Rail | All fuels</v>
      </c>
      <c r="E847" s="3" t="str">
        <f>IFERROR(INDEX(SecLab,MATCH($B847,SecKey,0)),"")</f>
        <v>Rail</v>
      </c>
      <c r="F847" s="3" t="str">
        <f>IFERROR(INDEX(FuelLab,MATCH($C847,FuelKeyL,0)),"")</f>
        <v>All fuels</v>
      </c>
      <c r="G847" s="3" t="inlineStr">
        <is>
          <t>.ral.all</t>
        </is>
      </c>
      <c r="I847" s="3" t="inlineStr">
        <is>
          <t>pav.q|all|jfu</t>
        </is>
      </c>
      <c r="J847" s="3" t="inlineStr">
        <is>
          <t>pav.q.tot.jfu</t>
        </is>
      </c>
    </row>
    <row r="848">
      <c r="A848" s="3" t="str">
        <f>$B848&amp;"|"&amp;$C848</f>
        <v>avi|all</v>
      </c>
      <c r="B848" s="3" t="inlineStr">
        <is>
          <t>avi</t>
        </is>
      </c>
      <c r="C848" s="3" t="inlineStr">
        <is>
          <t>all</t>
        </is>
      </c>
      <c r="D848" s="3" t="str">
        <f>IF($B848="",""," | "&amp;$E848&amp;" | "&amp;$F848)</f>
        <v> | Domestic aviation | All fuels</v>
      </c>
      <c r="E848" s="3" t="str">
        <f>IFERROR(INDEX(SecLab,MATCH($B848,SecKey,0)),"")</f>
        <v>Domestic aviation</v>
      </c>
      <c r="F848" s="3" t="str">
        <f>IFERROR(INDEX(FuelLab,MATCH($C848,FuelKeyL,0)),"")</f>
        <v>All fuels</v>
      </c>
      <c r="G848" s="3" t="inlineStr">
        <is>
          <t>.avi.all</t>
        </is>
      </c>
      <c r="I848" s="3" t="inlineStr">
        <is>
          <t>pav.q|all|oop</t>
        </is>
      </c>
      <c r="J848" s="3" t="inlineStr">
        <is>
          <t>pav.q.tot.oop</t>
        </is>
      </c>
    </row>
    <row r="849">
      <c r="A849" s="3" t="str">
        <f>$B849&amp;"|"&amp;$C849</f>
        <v>nav|all</v>
      </c>
      <c r="B849" s="3" t="inlineStr">
        <is>
          <t>nav</t>
        </is>
      </c>
      <c r="C849" s="3" t="inlineStr">
        <is>
          <t>all</t>
        </is>
      </c>
      <c r="D849" s="3" t="str">
        <f>IF($B849="",""," | "&amp;$E849&amp;" | "&amp;$F849)</f>
        <v> | Domestic navigation | All fuels</v>
      </c>
      <c r="E849" s="3" t="str">
        <f>IFERROR(INDEX(SecLab,MATCH($B849,SecKey,0)),"")</f>
        <v>Domestic navigation</v>
      </c>
      <c r="F849" s="3" t="str">
        <f>IFERROR(INDEX(FuelLab,MATCH($C849,FuelKeyL,0)),"")</f>
        <v>All fuels</v>
      </c>
      <c r="G849" s="3" t="inlineStr">
        <is>
          <t>.nav.all</t>
        </is>
      </c>
      <c r="I849" s="3" t="inlineStr">
        <is>
          <t>pav.q|all|bio</t>
        </is>
      </c>
      <c r="J849" s="3" t="inlineStr">
        <is>
          <t>pav.q.tot.bio</t>
        </is>
      </c>
    </row>
    <row r="850">
      <c r="A850" s="3" t="str">
        <f>$B850&amp;"|"&amp;$C850</f>
        <v>res|all</v>
      </c>
      <c r="B850" s="3" t="inlineStr">
        <is>
          <t>res</t>
        </is>
      </c>
      <c r="C850" s="3" t="inlineStr">
        <is>
          <t>all</t>
        </is>
      </c>
      <c r="D850" s="3" t="str">
        <f>IF($B850="",""," | "&amp;$E850&amp;" | "&amp;$F850)</f>
        <v> | Residential | All fuels</v>
      </c>
      <c r="E850" s="3" t="str">
        <f>IFERROR(INDEX(SecLab,MATCH($B850,SecKey,0)),"")</f>
        <v>Residential</v>
      </c>
      <c r="F850" s="3" t="str">
        <f>IFERROR(INDEX(FuelLab,MATCH($C850,FuelKeyL,0)),"")</f>
        <v>All fuels</v>
      </c>
      <c r="G850" s="3" t="inlineStr">
        <is>
          <t>.res.all</t>
        </is>
      </c>
      <c r="I850" s="3" t="inlineStr">
        <is>
          <t>pav.q|all|ecy</t>
        </is>
      </c>
      <c r="J850" s="3" t="inlineStr">
        <is>
          <t>pav.q.tot.ecy</t>
        </is>
      </c>
    </row>
    <row r="851">
      <c r="A851" s="3" t="str">
        <f>$B851&amp;"|"&amp;$C851</f>
        <v>foo|all</v>
      </c>
      <c r="B851" s="3" t="inlineStr">
        <is>
          <t>foo</t>
        </is>
      </c>
      <c r="C851" s="3" t="inlineStr">
        <is>
          <t>all</t>
        </is>
      </c>
      <c r="D851" s="3" t="str">
        <f>IF($B851="",""," | "&amp;$E851&amp;" | "&amp;$F851)</f>
        <v> | Food &amp; forestry | All fuels</v>
      </c>
      <c r="E851" s="3" t="str">
        <f>IFERROR(INDEX(SecLab,MATCH($B851,SecKey,0)),"")</f>
        <v>Food &amp; forestry</v>
      </c>
      <c r="F851" s="3" t="str">
        <f>IFERROR(INDEX(FuelLab,MATCH($C851,FuelKeyL,0)),"")</f>
        <v>All fuels</v>
      </c>
      <c r="G851" s="3" t="inlineStr">
        <is>
          <t>.foo.all</t>
        </is>
      </c>
      <c r="I851" s="3" t="inlineStr">
        <is>
          <t>pav.sp|all|all</t>
        </is>
      </c>
      <c r="J851" s="3" t="inlineStr">
        <is>
          <t>pav.sp.tot.tot</t>
        </is>
      </c>
    </row>
    <row r="852">
      <c r="A852" s="3" t="str">
        <f>$B852&amp;"|"&amp;$C852</f>
        <v>srv|all</v>
      </c>
      <c r="B852" s="3" t="inlineStr">
        <is>
          <t>srv</t>
        </is>
      </c>
      <c r="C852" s="3" t="inlineStr">
        <is>
          <t>all</t>
        </is>
      </c>
      <c r="D852" s="3" t="str">
        <f>IF($B852="",""," | "&amp;$E852&amp;" | "&amp;$F852)</f>
        <v> | Services (public &amp; private) | All fuels</v>
      </c>
      <c r="E852" s="3" t="str">
        <f>IFERROR(INDEX(SecLab,MATCH($B852,SecKey,0)),"")</f>
        <v>Services (public &amp; private)</v>
      </c>
      <c r="F852" s="3" t="str">
        <f>IFERROR(INDEX(FuelLab,MATCH($C852,FuelKeyL,0)),"")</f>
        <v>All fuels</v>
      </c>
      <c r="G852" s="3" t="inlineStr">
        <is>
          <t>.srv.all</t>
        </is>
      </c>
      <c r="I852" s="3" t="inlineStr">
        <is>
          <t>pav.q|all|all</t>
        </is>
      </c>
      <c r="J852" s="3" t="inlineStr">
        <is>
          <t>pav.q.tot.tot</t>
        </is>
      </c>
    </row>
    <row r="853">
      <c r="A853" s="3" t="str">
        <f>$B853&amp;"|"&amp;$C853</f>
        <v>mch|all</v>
      </c>
      <c r="B853" s="3" t="inlineStr">
        <is>
          <t>mch</t>
        </is>
      </c>
      <c r="C853" s="3" t="inlineStr">
        <is>
          <t>all</t>
        </is>
      </c>
      <c r="D853" s="3" t="str">
        <f>IF($B853="",""," | "&amp;$E853&amp;" | "&amp;$F853)</f>
        <v> | Mining &amp; chemicals | All fuels</v>
      </c>
      <c r="E853" s="3" t="str">
        <f>IFERROR(INDEX(SecLab,MATCH($B853,SecKey,0)),"")</f>
        <v>Mining &amp; chemicals</v>
      </c>
      <c r="F853" s="3" t="str">
        <f>IFERROR(INDEX(FuelLab,MATCH($C853,FuelKeyL,0)),"")</f>
        <v>All fuels</v>
      </c>
      <c r="G853" s="3" t="inlineStr">
        <is>
          <t>.mch.all</t>
        </is>
      </c>
      <c r="I853" s="3" t="inlineStr">
        <is>
          <t>pav.spr|all|all</t>
        </is>
      </c>
      <c r="J853" s="3" t="inlineStr">
        <is>
          <t>pav.spr.tot.tot</t>
        </is>
      </c>
    </row>
    <row r="854">
      <c r="A854" s="3" t="str">
        <f>$B854&amp;"|"&amp;$C854</f>
        <v>irn|all</v>
      </c>
      <c r="B854" s="3" t="inlineStr">
        <is>
          <t>irn</t>
        </is>
      </c>
      <c r="C854" s="3" t="inlineStr">
        <is>
          <t>all</t>
        </is>
      </c>
      <c r="D854" s="3" t="str">
        <f>IF($B854="",""," | "&amp;$E854&amp;" | "&amp;$F854)</f>
        <v> | Iron &amp; steel | All fuels</v>
      </c>
      <c r="E854" s="3" t="str">
        <f>IFERROR(INDEX(SecLab,MATCH($B854,SecKey,0)),"")</f>
        <v>Iron &amp; steel</v>
      </c>
      <c r="F854" s="3" t="str">
        <f>IFERROR(INDEX(FuelLab,MATCH($C854,FuelKeyL,0)),"")</f>
        <v>All fuels</v>
      </c>
      <c r="G854" s="3" t="inlineStr">
        <is>
          <t>.irn.all</t>
        </is>
      </c>
      <c r="I854" s="3" t="inlineStr">
        <is>
          <t>pav.sp0|all|all</t>
        </is>
      </c>
      <c r="J854" s="3" t="inlineStr">
        <is>
          <t>pav.sp0.tot.tot</t>
        </is>
      </c>
    </row>
    <row r="855">
      <c r="A855" s="3" t="str">
        <f>$B855&amp;"|"&amp;$C855</f>
        <v>nfm|all</v>
      </c>
      <c r="B855" s="3" t="inlineStr">
        <is>
          <t>nfm</t>
        </is>
      </c>
      <c r="C855" s="3" t="inlineStr">
        <is>
          <t>all</t>
        </is>
      </c>
      <c r="D855" s="3" t="str">
        <f>IF($B855="",""," | "&amp;$E855&amp;" | "&amp;$F855)</f>
        <v> | Other metals | All fuels</v>
      </c>
      <c r="E855" s="3" t="str">
        <f>IFERROR(INDEX(SecLab,MATCH($B855,SecKey,0)),"")</f>
        <v>Other metals</v>
      </c>
      <c r="F855" s="3" t="str">
        <f>IFERROR(INDEX(FuelLab,MATCH($C855,FuelKeyL,0)),"")</f>
        <v>All fuels</v>
      </c>
      <c r="G855" s="3" t="inlineStr">
        <is>
          <t>.nfm.all</t>
        </is>
      </c>
      <c r="I855" s="3" t="inlineStr">
        <is>
          <t>pavl.qr|all|coa</t>
        </is>
      </c>
      <c r="J855" s="3" t="inlineStr">
        <is>
          <t>pavl.qr.tot.coa</t>
        </is>
      </c>
    </row>
    <row r="856">
      <c r="A856" s="3" t="str">
        <f>$B856&amp;"|"&amp;$C856</f>
        <v>mac|all</v>
      </c>
      <c r="B856" s="3" t="inlineStr">
        <is>
          <t>mac</t>
        </is>
      </c>
      <c r="C856" s="3" t="inlineStr">
        <is>
          <t>all</t>
        </is>
      </c>
      <c r="D856" s="3" t="str">
        <f>IF($B856="",""," | "&amp;$E856&amp;" | "&amp;$F856)</f>
        <v> | Machinery | All fuels</v>
      </c>
      <c r="E856" s="3" t="str">
        <f>IFERROR(INDEX(SecLab,MATCH($B856,SecKey,0)),"")</f>
        <v>Machinery</v>
      </c>
      <c r="F856" s="3" t="str">
        <f>IFERROR(INDEX(FuelLab,MATCH($C856,FuelKeyL,0)),"")</f>
        <v>All fuels</v>
      </c>
      <c r="G856" s="3" t="inlineStr">
        <is>
          <t>.mac.all</t>
        </is>
      </c>
      <c r="I856" s="3" t="inlineStr">
        <is>
          <t>pavl.qi|all|coa</t>
        </is>
      </c>
      <c r="J856" s="3" t="inlineStr">
        <is>
          <t>pavl.qi.tot.coa</t>
        </is>
      </c>
    </row>
    <row r="857">
      <c r="A857" s="3" t="str">
        <f>$B857&amp;"|"&amp;$C857</f>
        <v>cem|all</v>
      </c>
      <c r="B857" s="3" t="inlineStr">
        <is>
          <t>cem</t>
        </is>
      </c>
      <c r="C857" s="3" t="inlineStr">
        <is>
          <t>all</t>
        </is>
      </c>
      <c r="D857" s="3" t="str">
        <f>IF($B857="",""," | "&amp;$E857&amp;" | "&amp;$F857)</f>
        <v> | Cement | All fuels</v>
      </c>
      <c r="E857" s="3" t="str">
        <f>IFERROR(INDEX(SecLab,MATCH($B857,SecKey,0)),"")</f>
        <v>Cement</v>
      </c>
      <c r="F857" s="3" t="str">
        <f>IFERROR(INDEX(FuelLab,MATCH($C857,FuelKeyL,0)),"")</f>
        <v>All fuels</v>
      </c>
      <c r="G857" s="3" t="inlineStr">
        <is>
          <t>.cem.all</t>
        </is>
      </c>
      <c r="I857" s="3" t="inlineStr">
        <is>
          <t>pavl.qp|all|coa</t>
        </is>
      </c>
      <c r="J857" s="3" t="inlineStr">
        <is>
          <t>pavl.qp.tot.coa</t>
        </is>
      </c>
    </row>
    <row r="858">
      <c r="A858" s="3" t="str">
        <f>$B858&amp;"|"&amp;$C858</f>
        <v>omn|all</v>
      </c>
      <c r="B858" s="3" t="inlineStr">
        <is>
          <t>omn</t>
        </is>
      </c>
      <c r="C858" s="3" t="inlineStr">
        <is>
          <t>all</t>
        </is>
      </c>
      <c r="D858" s="3" t="str">
        <f>IF($B858="",""," | "&amp;$E858&amp;" | "&amp;$F858)</f>
        <v> | Other manufacturing | All fuels</v>
      </c>
      <c r="E858" s="3" t="str">
        <f>IFERROR(INDEX(SecLab,MATCH($B858,SecKey,0)),"")</f>
        <v>Other manufacturing</v>
      </c>
      <c r="F858" s="3" t="str">
        <f>IFERROR(INDEX(FuelLab,MATCH($C858,FuelKeyL,0)),"")</f>
        <v>All fuels</v>
      </c>
      <c r="G858" s="3" t="inlineStr">
        <is>
          <t>.omn.all</t>
        </is>
      </c>
      <c r="I858" s="3" t="inlineStr">
        <is>
          <t>pavl.qr|all|nga</t>
        </is>
      </c>
      <c r="J858" s="3" t="inlineStr">
        <is>
          <t>pavl.qr.tot.nga</t>
        </is>
      </c>
    </row>
    <row r="859">
      <c r="A859" s="3" t="str">
        <f>$B859&amp;"|"&amp;$C859</f>
        <v>cst|all</v>
      </c>
      <c r="B859" s="3" t="inlineStr">
        <is>
          <t>cst</t>
        </is>
      </c>
      <c r="C859" s="3" t="inlineStr">
        <is>
          <t>all</t>
        </is>
      </c>
      <c r="D859" s="3" t="str">
        <f>IF($B859="",""," | "&amp;$E859&amp;" | "&amp;$F859)</f>
        <v> | Construction | All fuels</v>
      </c>
      <c r="E859" s="3" t="str">
        <f>IFERROR(INDEX(SecLab,MATCH($B859,SecKey,0)),"")</f>
        <v>Construction</v>
      </c>
      <c r="F859" s="3" t="str">
        <f>IFERROR(INDEX(FuelLab,MATCH($C859,FuelKeyL,0)),"")</f>
        <v>All fuels</v>
      </c>
      <c r="G859" s="3" t="inlineStr">
        <is>
          <t>.cst.all</t>
        </is>
      </c>
      <c r="I859" s="3" t="inlineStr">
        <is>
          <t>pavl.qi|all|nga</t>
        </is>
      </c>
      <c r="J859" s="3" t="inlineStr">
        <is>
          <t>pavl.qi.tot.nga</t>
        </is>
      </c>
    </row>
    <row r="860">
      <c r="A860" s="3" t="str">
        <f>$B860&amp;"|"&amp;$C860</f>
        <v>ftr|all</v>
      </c>
      <c r="B860" s="3" t="inlineStr">
        <is>
          <t>ftr</t>
        </is>
      </c>
      <c r="C860" s="3" t="inlineStr">
        <is>
          <t>all</t>
        </is>
      </c>
      <c r="D860" s="3" t="str">
        <f>IF($B860="",""," | "&amp;$E860&amp;" | "&amp;$F860)</f>
        <v> | Fuel transformation | All fuels</v>
      </c>
      <c r="E860" s="3" t="str">
        <f>IFERROR(INDEX(SecLab,MATCH($B860,SecKey,0)),"")</f>
        <v>Fuel transformation</v>
      </c>
      <c r="F860" s="3" t="str">
        <f>IFERROR(INDEX(FuelLab,MATCH($C860,FuelKeyL,0)),"")</f>
        <v>All fuels</v>
      </c>
      <c r="G860" s="3" t="inlineStr">
        <is>
          <t>.ftr.all</t>
        </is>
      </c>
      <c r="I860" s="3" t="inlineStr">
        <is>
          <t>pavl.qp|all|nga</t>
        </is>
      </c>
      <c r="J860" s="3" t="inlineStr">
        <is>
          <t>pavl.qp.tot.nga</t>
        </is>
      </c>
    </row>
    <row r="861">
      <c r="A861" s="3" t="str">
        <f>$B861&amp;"|"&amp;$C861</f>
        <v>oen|all</v>
      </c>
      <c r="B861" s="3" t="inlineStr">
        <is>
          <t>oen</t>
        </is>
      </c>
      <c r="C861" s="3" t="inlineStr">
        <is>
          <t>all</t>
        </is>
      </c>
      <c r="D861" s="3" t="str">
        <f>IF($B861="",""," | "&amp;$E861&amp;" | "&amp;$F861)</f>
        <v> | Other energy use | All fuels</v>
      </c>
      <c r="E861" s="3" t="str">
        <f>IFERROR(INDEX(SecLab,MATCH($B861,SecKey,0)),"")</f>
        <v>Other energy use</v>
      </c>
      <c r="F861" s="3" t="str">
        <f>IFERROR(INDEX(FuelLab,MATCH($C861,FuelKeyL,0)),"")</f>
        <v>All fuels</v>
      </c>
      <c r="G861" s="3" t="inlineStr">
        <is>
          <t>.oen.all</t>
        </is>
      </c>
      <c r="I861" s="3" t="inlineStr">
        <is>
          <t>ener|rod|all</t>
        </is>
      </c>
      <c r="J861" s="3" t="inlineStr">
        <is>
          <t>ener.rod.tot</t>
        </is>
      </c>
    </row>
    <row r="862">
      <c r="A862" s="3" t="str">
        <f>$B862&amp;"|"&amp;$C862</f>
        <v>pow|coa</v>
      </c>
      <c r="B862" s="3" t="inlineStr">
        <is>
          <t>pow</t>
        </is>
      </c>
      <c r="C862" s="3" t="inlineStr">
        <is>
          <t>coa</t>
        </is>
      </c>
      <c r="D862" s="3" t="str">
        <f>IF($B862="",""," | "&amp;$E862&amp;" | "&amp;$F862)</f>
        <v> | Power | Coal</v>
      </c>
      <c r="E862" s="3" t="str">
        <f>IFERROR(INDEX(SecLab,MATCH($B862,SecKey,0)),"")</f>
        <v>Power</v>
      </c>
      <c r="F862" s="3" t="str">
        <f>IFERROR(INDEX(FuelLab,MATCH($C862,FuelKeyL,0)),"")</f>
        <v>Coal</v>
      </c>
      <c r="G862" s="3" t="inlineStr">
        <is>
          <t>.pow.coa</t>
        </is>
      </c>
      <c r="I862" s="3" t="inlineStr">
        <is>
          <t>ch4|rod|coa</t>
        </is>
      </c>
      <c r="J862" s="3" t="inlineStr">
        <is>
          <t>em.rod.coa.ch4</t>
        </is>
      </c>
    </row>
    <row r="863">
      <c r="A863" s="3" t="str">
        <f>$B863&amp;"|"&amp;$C863</f>
        <v>res|coa</v>
      </c>
      <c r="B863" s="3" t="inlineStr">
        <is>
          <t>res</t>
        </is>
      </c>
      <c r="C863" s="3" t="inlineStr">
        <is>
          <t>coa</t>
        </is>
      </c>
      <c r="D863" s="3" t="str">
        <f>IF($B863="",""," | "&amp;$E863&amp;" | "&amp;$F863)</f>
        <v> | Residential | Coal</v>
      </c>
      <c r="E863" s="3" t="str">
        <f>IFERROR(INDEX(SecLab,MATCH($B863,SecKey,0)),"")</f>
        <v>Residential</v>
      </c>
      <c r="F863" s="3" t="str">
        <f>IFERROR(INDEX(FuelLab,MATCH($C863,FuelKeyL,0)),"")</f>
        <v>Coal</v>
      </c>
      <c r="G863" s="3" t="inlineStr">
        <is>
          <t>.res.coa</t>
        </is>
      </c>
      <c r="I863" s="3" t="inlineStr">
        <is>
          <t>ch4|rod|nga</t>
        </is>
      </c>
      <c r="J863" s="3" t="inlineStr">
        <is>
          <t>em.rod.nga.ch4</t>
        </is>
      </c>
    </row>
    <row r="864">
      <c r="A864" s="3" t="str">
        <f>$B864&amp;"|"&amp;$C864</f>
        <v>ind|coa</v>
      </c>
      <c r="B864" s="3" t="inlineStr">
        <is>
          <t>ind</t>
        </is>
      </c>
      <c r="C864" s="3" t="inlineStr">
        <is>
          <t>coa</t>
        </is>
      </c>
      <c r="D864" s="3" t="str">
        <f>IF($B864="",""," | "&amp;$E864&amp;" | "&amp;$F864)</f>
        <v> | Industry | Coal</v>
      </c>
      <c r="E864" s="3" t="str">
        <f>IFERROR(INDEX(SecLab,MATCH($B864,SecKey,0)),"")</f>
        <v>Industry</v>
      </c>
      <c r="F864" s="3" t="str">
        <f>IFERROR(INDEX(FuelLab,MATCH($C864,FuelKeyL,0)),"")</f>
        <v>Coal</v>
      </c>
      <c r="G864" s="3" t="inlineStr">
        <is>
          <t>.ind.coa</t>
        </is>
      </c>
      <c r="I864" s="3" t="inlineStr">
        <is>
          <t>ch4|rod|gso</t>
        </is>
      </c>
      <c r="J864" s="3" t="inlineStr">
        <is>
          <t>em.rod.gso.ch4</t>
        </is>
      </c>
    </row>
    <row r="865">
      <c r="A865" s="3" t="str">
        <f>$B865&amp;"|"&amp;$C865</f>
        <v>pow|nga</v>
      </c>
      <c r="B865" s="3" t="inlineStr">
        <is>
          <t>pow</t>
        </is>
      </c>
      <c r="C865" s="3" t="inlineStr">
        <is>
          <t>nga</t>
        </is>
      </c>
      <c r="D865" s="3" t="str">
        <f>IF($B865="",""," | "&amp;$E865&amp;" | "&amp;$F865)</f>
        <v> | Power | Natural gas</v>
      </c>
      <c r="E865" s="3" t="str">
        <f>IFERROR(INDEX(SecLab,MATCH($B865,SecKey,0)),"")</f>
        <v>Power</v>
      </c>
      <c r="F865" s="3" t="str">
        <f>IFERROR(INDEX(FuelLab,MATCH($C865,FuelKeyL,0)),"")</f>
        <v>Natural gas</v>
      </c>
      <c r="G865" s="3" t="inlineStr">
        <is>
          <t>.pow.nga</t>
        </is>
      </c>
      <c r="I865" s="3" t="inlineStr">
        <is>
          <t>ch4|rod|die</t>
        </is>
      </c>
      <c r="J865" s="3" t="inlineStr">
        <is>
          <t>em.rod.die.ch4</t>
        </is>
      </c>
    </row>
    <row r="866">
      <c r="A866" s="3" t="str">
        <f>$B866&amp;"|"&amp;$C866</f>
        <v>res|nga</v>
      </c>
      <c r="B866" s="3" t="inlineStr">
        <is>
          <t>res</t>
        </is>
      </c>
      <c r="C866" s="3" t="inlineStr">
        <is>
          <t>nga</t>
        </is>
      </c>
      <c r="D866" s="3" t="str">
        <f>IF($B866="",""," | "&amp;$E866&amp;" | "&amp;$F866)</f>
        <v> | Residential | Natural gas</v>
      </c>
      <c r="E866" s="3" t="str">
        <f>IFERROR(INDEX(SecLab,MATCH($B866,SecKey,0)),"")</f>
        <v>Residential</v>
      </c>
      <c r="F866" s="3" t="str">
        <f>IFERROR(INDEX(FuelLab,MATCH($C866,FuelKeyL,0)),"")</f>
        <v>Natural gas</v>
      </c>
      <c r="G866" s="3" t="inlineStr">
        <is>
          <t>.res.nga</t>
        </is>
      </c>
      <c r="I866" s="3" t="inlineStr">
        <is>
          <t>ch4|rod|lpg</t>
        </is>
      </c>
      <c r="J866" s="3" t="inlineStr">
        <is>
          <t>em.rod.lpg.ch4</t>
        </is>
      </c>
    </row>
    <row r="867">
      <c r="A867" s="3" t="str">
        <f>$B867&amp;"|"&amp;$C867</f>
        <v>ind|nga</v>
      </c>
      <c r="B867" s="3" t="inlineStr">
        <is>
          <t>ind</t>
        </is>
      </c>
      <c r="C867" s="3" t="inlineStr">
        <is>
          <t>nga</t>
        </is>
      </c>
      <c r="D867" s="3" t="str">
        <f>IF($B867="",""," | "&amp;$E867&amp;" | "&amp;$F867)</f>
        <v> | Industry | Natural gas</v>
      </c>
      <c r="E867" s="3" t="str">
        <f>IFERROR(INDEX(SecLab,MATCH($B867,SecKey,0)),"")</f>
        <v>Industry</v>
      </c>
      <c r="F867" s="3" t="str">
        <f>IFERROR(INDEX(FuelLab,MATCH($C867,FuelKeyL,0)),"")</f>
        <v>Natural gas</v>
      </c>
      <c r="G867" s="3" t="inlineStr">
        <is>
          <t>.ind.nga</t>
        </is>
      </c>
      <c r="I867" s="3" t="inlineStr">
        <is>
          <t>ch4|rod|ker</t>
        </is>
      </c>
      <c r="J867" s="3" t="inlineStr">
        <is>
          <t>em.rod.ker.ch4</t>
        </is>
      </c>
    </row>
    <row r="868">
      <c r="A868" s="3" t="str">
        <f>$B868&amp;"|"&amp;$C868</f>
        <v>res|ecy</v>
      </c>
      <c r="B868" s="3" t="inlineStr">
        <is>
          <t>res</t>
        </is>
      </c>
      <c r="C868" s="3" t="inlineStr">
        <is>
          <t>ecy</t>
        </is>
      </c>
      <c r="D868" s="3" t="str">
        <f>IF($B868="",""," | "&amp;$E868&amp;" | "&amp;$F868)</f>
        <v> | Residential | Electricity</v>
      </c>
      <c r="E868" s="3" t="str">
        <f>IFERROR(INDEX(SecLab,MATCH($B868,SecKey,0)),"")</f>
        <v>Residential</v>
      </c>
      <c r="F868" s="3" t="str">
        <f>IFERROR(INDEX(FuelLab,MATCH($C868,FuelKeyL,0)),"")</f>
        <v>Electricity</v>
      </c>
      <c r="G868" s="3" t="inlineStr">
        <is>
          <t>.res.ecy</t>
        </is>
      </c>
      <c r="I868" s="3" t="inlineStr">
        <is>
          <t>ch4|rod|jfu</t>
        </is>
      </c>
      <c r="J868" s="3" t="inlineStr">
        <is>
          <t>em.rod.jfu.ch4</t>
        </is>
      </c>
    </row>
    <row r="869">
      <c r="A869" s="3" t="str">
        <f>$B869&amp;"|"&amp;$C869</f>
        <v>ind|ecy</v>
      </c>
      <c r="B869" s="3" t="inlineStr">
        <is>
          <t>ind</t>
        </is>
      </c>
      <c r="C869" s="3" t="inlineStr">
        <is>
          <t>ecy</t>
        </is>
      </c>
      <c r="D869" s="3" t="str">
        <f>IF($B869="",""," | "&amp;$E869&amp;" | "&amp;$F869)</f>
        <v> | Industry | Electricity</v>
      </c>
      <c r="E869" s="3" t="str">
        <f>IFERROR(INDEX(SecLab,MATCH($B869,SecKey,0)),"")</f>
        <v>Industry</v>
      </c>
      <c r="F869" s="3" t="str">
        <f>IFERROR(INDEX(FuelLab,MATCH($C869,FuelKeyL,0)),"")</f>
        <v>Electricity</v>
      </c>
      <c r="G869" s="3" t="inlineStr">
        <is>
          <t>.ind.ecy</t>
        </is>
      </c>
      <c r="I869" s="3" t="inlineStr">
        <is>
          <t>ch4|rod|oop</t>
        </is>
      </c>
      <c r="J869" s="3" t="inlineStr">
        <is>
          <t>em.rod.oop.ch4</t>
        </is>
      </c>
    </row>
    <row r="870">
      <c r="A870" s="3" t="str">
        <f>$B870&amp;"|"&amp;$C870</f>
        <v>all|tgt</v>
      </c>
      <c r="B870" s="3" t="inlineStr">
        <is>
          <t>all</t>
        </is>
      </c>
      <c r="C870" s="3" t="inlineStr">
        <is>
          <t>tgt</t>
        </is>
      </c>
      <c r="D870" s="3" t="str">
        <f>IF($B870="",""," | "&amp;$E870&amp;" | "&amp;$F870)</f>
        <v> | All sectors | </v>
      </c>
      <c r="E870" s="3" t="str">
        <f>IFERROR(INDEX(SecLab,MATCH($B870,SecKey,0)),"")</f>
        <v>All sectors</v>
      </c>
      <c r="F870" s="3" t="str">
        <f>IFERROR(INDEX(FuelLab,MATCH($C870,FuelKeyL,0)),"")</f>
        <v/>
      </c>
      <c r="G870" s="3" t="inlineStr">
        <is>
          <t>.all.tgt</t>
        </is>
      </c>
      <c r="I870" s="3" t="inlineStr">
        <is>
          <t>ch4|rod|bio</t>
        </is>
      </c>
      <c r="J870" s="3" t="inlineStr">
        <is>
          <t>em.rod.bio.ch4</t>
        </is>
      </c>
    </row>
    <row r="871">
      <c r="A871" s="3" t="str">
        <f>$B871&amp;"|"&amp;$C871</f>
        <v>all|rkn</v>
      </c>
      <c r="B871" s="3" t="inlineStr">
        <is>
          <t>all</t>
        </is>
      </c>
      <c r="C871" s="3" t="inlineStr">
        <is>
          <t>rkn</t>
        </is>
      </c>
      <c r="D871" s="3" t="str">
        <f>IF($B871="",""," | "&amp;$E871&amp;" | "&amp;$F871)</f>
        <v> | All sectors | </v>
      </c>
      <c r="E871" s="3" t="str">
        <f>IFERROR(INDEX(SecLab,MATCH($B871,SecKey,0)),"")</f>
        <v>All sectors</v>
      </c>
      <c r="F871" s="3" t="str">
        <f>IFERROR(INDEX(FuelLab,MATCH($C871,FuelKeyL,0)),"")</f>
        <v/>
      </c>
      <c r="G871" s="3" t="inlineStr">
        <is>
          <t>.all.rkn</t>
        </is>
      </c>
      <c r="I871" s="3" t="inlineStr">
        <is>
          <t>ener|ral|all</t>
        </is>
      </c>
      <c r="J871" s="3" t="inlineStr">
        <is>
          <t>ener.ral.tot</t>
        </is>
      </c>
    </row>
    <row r="872">
      <c r="A872" s="3" t="str">
        <f>$B872&amp;"|"&amp;$C872</f>
        <v>all|rkg</v>
      </c>
      <c r="B872" s="3" t="inlineStr">
        <is>
          <t>all</t>
        </is>
      </c>
      <c r="C872" s="3" t="inlineStr">
        <is>
          <t>rkg</t>
        </is>
      </c>
      <c r="D872" s="3" t="str">
        <f>IF($B872="",""," | "&amp;$E872&amp;" | "&amp;$F872)</f>
        <v> | All sectors | </v>
      </c>
      <c r="E872" s="3" t="str">
        <f>IFERROR(INDEX(SecLab,MATCH($B872,SecKey,0)),"")</f>
        <v>All sectors</v>
      </c>
      <c r="F872" s="3" t="str">
        <f>IFERROR(INDEX(FuelLab,MATCH($C872,FuelKeyL,0)),"")</f>
        <v/>
      </c>
      <c r="G872" s="3" t="inlineStr">
        <is>
          <t>.all.rkg</t>
        </is>
      </c>
      <c r="I872" s="3" t="inlineStr">
        <is>
          <t>ch4|ral|coa</t>
        </is>
      </c>
      <c r="J872" s="3" t="inlineStr">
        <is>
          <t>em.ral.coa.ch4</t>
        </is>
      </c>
    </row>
    <row r="873">
      <c r="A873" s="3" t="str">
        <f>$B873&amp;"|"&amp;$C873</f>
        <v>all|man</v>
      </c>
      <c r="B873" s="3" t="inlineStr">
        <is>
          <t>all</t>
        </is>
      </c>
      <c r="C873" s="3" t="inlineStr">
        <is>
          <t>man</t>
        </is>
      </c>
      <c r="D873" s="3" t="str">
        <f>IF($B873="",""," | "&amp;$E873&amp;" | "&amp;$F873)</f>
        <v> | All sectors | </v>
      </c>
      <c r="E873" s="3" t="str">
        <f>IFERROR(INDEX(SecLab,MATCH($B873,SecKey,0)),"")</f>
        <v>All sectors</v>
      </c>
      <c r="F873" s="3" t="str">
        <f>IFERROR(INDEX(FuelLab,MATCH($C873,FuelKeyL,0)),"")</f>
        <v/>
      </c>
      <c r="G873" s="3" t="inlineStr">
        <is>
          <t>.all.man</t>
        </is>
      </c>
      <c r="I873" s="3" t="inlineStr">
        <is>
          <t>ch4|ral|nga</t>
        </is>
      </c>
      <c r="J873" s="3" t="inlineStr">
        <is>
          <t>em.ral.nga.ch4</t>
        </is>
      </c>
    </row>
    <row r="874">
      <c r="A874" s="3" t="str">
        <f>$B874&amp;"|"&amp;$C874</f>
        <v>all|epa</v>
      </c>
      <c r="B874" s="3" t="inlineStr">
        <is>
          <t>all</t>
        </is>
      </c>
      <c r="C874" s="3" t="inlineStr">
        <is>
          <t>epa</t>
        </is>
      </c>
      <c r="D874" s="3" t="str">
        <f>IF($B874="",""," | "&amp;$E874&amp;" | "&amp;$F874)</f>
        <v> | All sectors | </v>
      </c>
      <c r="E874" s="3" t="str">
        <f>IFERROR(INDEX(SecLab,MATCH($B874,SecKey,0)),"")</f>
        <v>All sectors</v>
      </c>
      <c r="F874" s="3" t="str">
        <f>IFERROR(INDEX(FuelLab,MATCH($C874,FuelKeyL,0)),"")</f>
        <v/>
      </c>
      <c r="G874" s="3" t="inlineStr">
        <is>
          <t>.all.epa</t>
        </is>
      </c>
      <c r="I874" s="3" t="inlineStr">
        <is>
          <t>ch4|ral|gso</t>
        </is>
      </c>
      <c r="J874" s="3" t="inlineStr">
        <is>
          <t>em.ral.gso.ch4</t>
        </is>
      </c>
    </row>
    <row r="875">
      <c r="A875" s="3" t="str">
        <f>$B875&amp;"|"&amp;$C875</f>
        <v>all|nat</v>
      </c>
      <c r="B875" s="3" t="inlineStr">
        <is>
          <t>all</t>
        </is>
      </c>
      <c r="C875" s="3" t="inlineStr">
        <is>
          <t>nat</t>
        </is>
      </c>
      <c r="D875" s="3" t="str">
        <f>IF($B875="",""," | "&amp;$E875&amp;" | "&amp;$F875)</f>
        <v> | All sectors | </v>
      </c>
      <c r="E875" s="3" t="str">
        <f>IFERROR(INDEX(SecLab,MATCH($B875,SecKey,0)),"")</f>
        <v>All sectors</v>
      </c>
      <c r="F875" s="3" t="str">
        <f>IFERROR(INDEX(FuelLab,MATCH($C875,FuelKeyL,0)),"")</f>
        <v/>
      </c>
      <c r="G875" s="3" t="inlineStr">
        <is>
          <t>.all.nat</t>
        </is>
      </c>
      <c r="I875" s="3" t="inlineStr">
        <is>
          <t>ch4|ral|die</t>
        </is>
      </c>
      <c r="J875" s="3" t="inlineStr">
        <is>
          <t>em.ral.die.ch4</t>
        </is>
      </c>
    </row>
    <row r="876">
      <c r="A876" s="3" t="str">
        <f>$B876&amp;"|"&amp;$C876</f>
        <v>all|glo</v>
      </c>
      <c r="B876" s="3" t="inlineStr">
        <is>
          <t>all</t>
        </is>
      </c>
      <c r="C876" s="3" t="inlineStr">
        <is>
          <t>glo</t>
        </is>
      </c>
      <c r="D876" s="3" t="str">
        <f>IF($B876="",""," | "&amp;$E876&amp;" | "&amp;$F876)</f>
        <v> | All sectors | </v>
      </c>
      <c r="E876" s="3" t="str">
        <f>IFERROR(INDEX(SecLab,MATCH($B876,SecKey,0)),"")</f>
        <v>All sectors</v>
      </c>
      <c r="F876" s="3" t="str">
        <f>IFERROR(INDEX(FuelLab,MATCH($C876,FuelKeyL,0)),"")</f>
        <v/>
      </c>
      <c r="G876" s="3" t="inlineStr">
        <is>
          <t>.all.glo</t>
        </is>
      </c>
      <c r="I876" s="3" t="inlineStr">
        <is>
          <t>ch4|ral|lpg</t>
        </is>
      </c>
      <c r="J876" s="3" t="inlineStr">
        <is>
          <t>em.ral.lpg.ch4</t>
        </is>
      </c>
    </row>
    <row r="877">
      <c r="A877" s="3" t="str">
        <f>$B877&amp;"|"&amp;$C877</f>
        <v>mch|coa</v>
      </c>
      <c r="B877" s="3" t="inlineStr">
        <is>
          <t>mch</t>
        </is>
      </c>
      <c r="C877" s="3" t="inlineStr">
        <is>
          <t>coa</t>
        </is>
      </c>
      <c r="D877" s="3" t="str">
        <f>IF($B877="",""," | "&amp;$E877&amp;" | "&amp;$F877)</f>
        <v> | Mining &amp; chemicals | Coal</v>
      </c>
      <c r="E877" s="3" t="str">
        <f>IFERROR(INDEX(SecLab,MATCH($B877,SecKey,0)),"")</f>
        <v>Mining &amp; chemicals</v>
      </c>
      <c r="F877" s="3" t="str">
        <f>IFERROR(INDEX(FuelLab,MATCH($C877,FuelKeyL,0)),"")</f>
        <v>Coal</v>
      </c>
      <c r="G877" s="3" t="inlineStr">
        <is>
          <t>.mch.coa</t>
        </is>
      </c>
      <c r="I877" s="3" t="inlineStr">
        <is>
          <t>ch4|ral|ker</t>
        </is>
      </c>
      <c r="J877" s="3" t="inlineStr">
        <is>
          <t>em.ral.ker.ch4</t>
        </is>
      </c>
    </row>
    <row r="878">
      <c r="A878" s="3" t="str">
        <f>$B878&amp;"|"&amp;$C878</f>
        <v>irn|coa</v>
      </c>
      <c r="B878" s="3" t="inlineStr">
        <is>
          <t>irn</t>
        </is>
      </c>
      <c r="C878" s="3" t="inlineStr">
        <is>
          <t>coa</t>
        </is>
      </c>
      <c r="D878" s="3" t="str">
        <f>IF($B878="",""," | "&amp;$E878&amp;" | "&amp;$F878)</f>
        <v> | Iron &amp; steel | Coal</v>
      </c>
      <c r="E878" s="3" t="str">
        <f>IFERROR(INDEX(SecLab,MATCH($B878,SecKey,0)),"")</f>
        <v>Iron &amp; steel</v>
      </c>
      <c r="F878" s="3" t="str">
        <f>IFERROR(INDEX(FuelLab,MATCH($C878,FuelKeyL,0)),"")</f>
        <v>Coal</v>
      </c>
      <c r="G878" s="3" t="inlineStr">
        <is>
          <t>.irn.coa</t>
        </is>
      </c>
      <c r="I878" s="3" t="inlineStr">
        <is>
          <t>ch4|ral|jfu</t>
        </is>
      </c>
      <c r="J878" s="3" t="inlineStr">
        <is>
          <t>em.ral.jfu.ch4</t>
        </is>
      </c>
    </row>
    <row r="879">
      <c r="A879" s="3" t="str">
        <f>$B879&amp;"|"&amp;$C879</f>
        <v>nfm|coa</v>
      </c>
      <c r="B879" s="3" t="inlineStr">
        <is>
          <t>nfm</t>
        </is>
      </c>
      <c r="C879" s="3" t="inlineStr">
        <is>
          <t>coa</t>
        </is>
      </c>
      <c r="D879" s="3" t="str">
        <f>IF($B879="",""," | "&amp;$E879&amp;" | "&amp;$F879)</f>
        <v> | Other metals | Coal</v>
      </c>
      <c r="E879" s="3" t="str">
        <f>IFERROR(INDEX(SecLab,MATCH($B879,SecKey,0)),"")</f>
        <v>Other metals</v>
      </c>
      <c r="F879" s="3" t="str">
        <f>IFERROR(INDEX(FuelLab,MATCH($C879,FuelKeyL,0)),"")</f>
        <v>Coal</v>
      </c>
      <c r="G879" s="3" t="inlineStr">
        <is>
          <t>.nfm.coa</t>
        </is>
      </c>
      <c r="I879" s="3" t="inlineStr">
        <is>
          <t>ch4|ral|oop</t>
        </is>
      </c>
      <c r="J879" s="3" t="inlineStr">
        <is>
          <t>em.ral.oop.ch4</t>
        </is>
      </c>
    </row>
    <row r="880">
      <c r="A880" s="3" t="str">
        <f>$B880&amp;"|"&amp;$C880</f>
        <v>mac|coa</v>
      </c>
      <c r="B880" s="3" t="inlineStr">
        <is>
          <t>mac</t>
        </is>
      </c>
      <c r="C880" s="3" t="inlineStr">
        <is>
          <t>coa</t>
        </is>
      </c>
      <c r="D880" s="3" t="str">
        <f>IF($B880="",""," | "&amp;$E880&amp;" | "&amp;$F880)</f>
        <v> | Machinery | Coal</v>
      </c>
      <c r="E880" s="3" t="str">
        <f>IFERROR(INDEX(SecLab,MATCH($B880,SecKey,0)),"")</f>
        <v>Machinery</v>
      </c>
      <c r="F880" s="3" t="str">
        <f>IFERROR(INDEX(FuelLab,MATCH($C880,FuelKeyL,0)),"")</f>
        <v>Coal</v>
      </c>
      <c r="G880" s="3" t="inlineStr">
        <is>
          <t>.mac.coa</t>
        </is>
      </c>
      <c r="I880" s="3" t="inlineStr">
        <is>
          <t>ch4|ral|bio</t>
        </is>
      </c>
      <c r="J880" s="3" t="inlineStr">
        <is>
          <t>em.ral.bio.ch4</t>
        </is>
      </c>
    </row>
    <row r="881">
      <c r="A881" s="3" t="str">
        <f>$B881&amp;"|"&amp;$C881</f>
        <v>cem|coa</v>
      </c>
      <c r="B881" s="3" t="inlineStr">
        <is>
          <t>cem</t>
        </is>
      </c>
      <c r="C881" s="3" t="inlineStr">
        <is>
          <t>coa</t>
        </is>
      </c>
      <c r="D881" s="3" t="str">
        <f>IF($B881="",""," | "&amp;$E881&amp;" | "&amp;$F881)</f>
        <v> | Cement | Coal</v>
      </c>
      <c r="E881" s="3" t="str">
        <f>IFERROR(INDEX(SecLab,MATCH($B881,SecKey,0)),"")</f>
        <v>Cement</v>
      </c>
      <c r="F881" s="3" t="str">
        <f>IFERROR(INDEX(FuelLab,MATCH($C881,FuelKeyL,0)),"")</f>
        <v>Coal</v>
      </c>
      <c r="G881" s="3" t="inlineStr">
        <is>
          <t>.cem.coa</t>
        </is>
      </c>
      <c r="I881" s="3" t="inlineStr">
        <is>
          <t>ener|avi|all</t>
        </is>
      </c>
      <c r="J881" s="3" t="inlineStr">
        <is>
          <t>ener.avi.tot</t>
        </is>
      </c>
    </row>
    <row r="882">
      <c r="A882" s="3" t="str">
        <f>$B882&amp;"|"&amp;$C882</f>
        <v>omn|coa</v>
      </c>
      <c r="B882" s="3" t="inlineStr">
        <is>
          <t>omn</t>
        </is>
      </c>
      <c r="C882" s="3" t="inlineStr">
        <is>
          <t>coa</t>
        </is>
      </c>
      <c r="D882" s="3" t="str">
        <f>IF($B882="",""," | "&amp;$E882&amp;" | "&amp;$F882)</f>
        <v> | Other manufacturing | Coal</v>
      </c>
      <c r="E882" s="3" t="str">
        <f>IFERROR(INDEX(SecLab,MATCH($B882,SecKey,0)),"")</f>
        <v>Other manufacturing</v>
      </c>
      <c r="F882" s="3" t="str">
        <f>IFERROR(INDEX(FuelLab,MATCH($C882,FuelKeyL,0)),"")</f>
        <v>Coal</v>
      </c>
      <c r="G882" s="3" t="inlineStr">
        <is>
          <t>.omn.coa</t>
        </is>
      </c>
      <c r="I882" s="3" t="inlineStr">
        <is>
          <t>ch4|avi|coa</t>
        </is>
      </c>
      <c r="J882" s="3" t="inlineStr">
        <is>
          <t>em.avi.coa.ch4</t>
        </is>
      </c>
    </row>
    <row r="883">
      <c r="A883" s="3" t="str">
        <f>$B883&amp;"|"&amp;$C883</f>
        <v>cst|coa</v>
      </c>
      <c r="B883" s="3" t="inlineStr">
        <is>
          <t>cst</t>
        </is>
      </c>
      <c r="C883" s="3" t="inlineStr">
        <is>
          <t>coa</t>
        </is>
      </c>
      <c r="D883" s="3" t="str">
        <f>IF($B883="",""," | "&amp;$E883&amp;" | "&amp;$F883)</f>
        <v> | Construction | Coal</v>
      </c>
      <c r="E883" s="3" t="str">
        <f>IFERROR(INDEX(SecLab,MATCH($B883,SecKey,0)),"")</f>
        <v>Construction</v>
      </c>
      <c r="F883" s="3" t="str">
        <f>IFERROR(INDEX(FuelLab,MATCH($C883,FuelKeyL,0)),"")</f>
        <v>Coal</v>
      </c>
      <c r="G883" s="3" t="inlineStr">
        <is>
          <t>.cst.coa</t>
        </is>
      </c>
      <c r="I883" s="3" t="inlineStr">
        <is>
          <t>ch4|avi|nga</t>
        </is>
      </c>
      <c r="J883" s="3" t="inlineStr">
        <is>
          <t>em.avi.nga.ch4</t>
        </is>
      </c>
    </row>
    <row r="884">
      <c r="A884" s="3" t="str">
        <f>$B884&amp;"|"&amp;$C884</f>
        <v>ftr|coa</v>
      </c>
      <c r="B884" s="3" t="inlineStr">
        <is>
          <t>ftr</t>
        </is>
      </c>
      <c r="C884" s="3" t="inlineStr">
        <is>
          <t>coa</t>
        </is>
      </c>
      <c r="D884" s="3" t="str">
        <f>IF($B884="",""," | "&amp;$E884&amp;" | "&amp;$F884)</f>
        <v> | Fuel transformation | Coal</v>
      </c>
      <c r="E884" s="3" t="str">
        <f>IFERROR(INDEX(SecLab,MATCH($B884,SecKey,0)),"")</f>
        <v>Fuel transformation</v>
      </c>
      <c r="F884" s="3" t="str">
        <f>IFERROR(INDEX(FuelLab,MATCH($C884,FuelKeyL,0)),"")</f>
        <v>Coal</v>
      </c>
      <c r="G884" s="3" t="inlineStr">
        <is>
          <t>.ftr.coa</t>
        </is>
      </c>
      <c r="I884" s="3" t="inlineStr">
        <is>
          <t>ch4|avi|gso</t>
        </is>
      </c>
      <c r="J884" s="3" t="inlineStr">
        <is>
          <t>em.avi.gso.ch4</t>
        </is>
      </c>
    </row>
    <row r="885">
      <c r="A885" s="3" t="str">
        <f>$B885&amp;"|"&amp;$C885</f>
        <v>foo|coa</v>
      </c>
      <c r="B885" s="3" t="inlineStr">
        <is>
          <t>foo</t>
        </is>
      </c>
      <c r="C885" s="3" t="inlineStr">
        <is>
          <t>coa</t>
        </is>
      </c>
      <c r="D885" s="3" t="str">
        <f>IF($B885="",""," | "&amp;$E885&amp;" | "&amp;$F885)</f>
        <v> | Food &amp; forestry | Coal</v>
      </c>
      <c r="E885" s="3" t="str">
        <f>IFERROR(INDEX(SecLab,MATCH($B885,SecKey,0)),"")</f>
        <v>Food &amp; forestry</v>
      </c>
      <c r="F885" s="3" t="str">
        <f>IFERROR(INDEX(FuelLab,MATCH($C885,FuelKeyL,0)),"")</f>
        <v>Coal</v>
      </c>
      <c r="G885" s="3" t="inlineStr">
        <is>
          <t>.foo.coa</t>
        </is>
      </c>
      <c r="I885" s="3" t="inlineStr">
        <is>
          <t>ch4|avi|die</t>
        </is>
      </c>
      <c r="J885" s="3" t="inlineStr">
        <is>
          <t>em.avi.die.ch4</t>
        </is>
      </c>
    </row>
    <row r="886">
      <c r="A886" s="3" t="str">
        <f>$B886&amp;"|"&amp;$C886</f>
        <v>srv|coa</v>
      </c>
      <c r="B886" s="3" t="inlineStr">
        <is>
          <t>srv</t>
        </is>
      </c>
      <c r="C886" s="3" t="inlineStr">
        <is>
          <t>coa</t>
        </is>
      </c>
      <c r="D886" s="3" t="str">
        <f>IF($B886="",""," | "&amp;$E886&amp;" | "&amp;$F886)</f>
        <v> | Services (public &amp; private) | Coal</v>
      </c>
      <c r="E886" s="3" t="str">
        <f>IFERROR(INDEX(SecLab,MATCH($B886,SecKey,0)),"")</f>
        <v>Services (public &amp; private)</v>
      </c>
      <c r="F886" s="3" t="str">
        <f>IFERROR(INDEX(FuelLab,MATCH($C886,FuelKeyL,0)),"")</f>
        <v>Coal</v>
      </c>
      <c r="G886" s="3" t="inlineStr">
        <is>
          <t>.srv.coa</t>
        </is>
      </c>
      <c r="I886" s="3" t="inlineStr">
        <is>
          <t>ch4|avi|lpg</t>
        </is>
      </c>
      <c r="J886" s="3" t="inlineStr">
        <is>
          <t>em.avi.lpg.ch4</t>
        </is>
      </c>
    </row>
    <row r="887">
      <c r="A887" s="3" t="str">
        <f>$B887&amp;"|"&amp;$C887</f>
        <v>mch|nga</v>
      </c>
      <c r="B887" s="3" t="inlineStr">
        <is>
          <t>mch</t>
        </is>
      </c>
      <c r="C887" s="3" t="inlineStr">
        <is>
          <t>nga</t>
        </is>
      </c>
      <c r="D887" s="3" t="str">
        <f>IF($B887="",""," | "&amp;$E887&amp;" | "&amp;$F887)</f>
        <v> | Mining &amp; chemicals | Natural gas</v>
      </c>
      <c r="E887" s="3" t="str">
        <f>IFERROR(INDEX(SecLab,MATCH($B887,SecKey,0)),"")</f>
        <v>Mining &amp; chemicals</v>
      </c>
      <c r="F887" s="3" t="str">
        <f>IFERROR(INDEX(FuelLab,MATCH($C887,FuelKeyL,0)),"")</f>
        <v>Natural gas</v>
      </c>
      <c r="G887" s="3" t="inlineStr">
        <is>
          <t>.mch.nga</t>
        </is>
      </c>
      <c r="I887" s="3" t="inlineStr">
        <is>
          <t>ch4|avi|ker</t>
        </is>
      </c>
      <c r="J887" s="3" t="inlineStr">
        <is>
          <t>em.avi.ker.ch4</t>
        </is>
      </c>
    </row>
    <row r="888">
      <c r="A888" s="3" t="str">
        <f>$B888&amp;"|"&amp;$C888</f>
        <v>irn|nga</v>
      </c>
      <c r="B888" s="3" t="inlineStr">
        <is>
          <t>irn</t>
        </is>
      </c>
      <c r="C888" s="3" t="inlineStr">
        <is>
          <t>nga</t>
        </is>
      </c>
      <c r="D888" s="3" t="str">
        <f>IF($B888="",""," | "&amp;$E888&amp;" | "&amp;$F888)</f>
        <v> | Iron &amp; steel | Natural gas</v>
      </c>
      <c r="E888" s="3" t="str">
        <f>IFERROR(INDEX(SecLab,MATCH($B888,SecKey,0)),"")</f>
        <v>Iron &amp; steel</v>
      </c>
      <c r="F888" s="3" t="str">
        <f>IFERROR(INDEX(FuelLab,MATCH($C888,FuelKeyL,0)),"")</f>
        <v>Natural gas</v>
      </c>
      <c r="G888" s="3" t="inlineStr">
        <is>
          <t>.irn.nga</t>
        </is>
      </c>
      <c r="I888" s="3" t="inlineStr">
        <is>
          <t>ch4|avi|jfu</t>
        </is>
      </c>
      <c r="J888" s="3" t="inlineStr">
        <is>
          <t>em.avi.jfu.ch4</t>
        </is>
      </c>
    </row>
    <row r="889">
      <c r="A889" s="3" t="str">
        <f>$B889&amp;"|"&amp;$C889</f>
        <v>nfm|nga</v>
      </c>
      <c r="B889" s="3" t="inlineStr">
        <is>
          <t>nfm</t>
        </is>
      </c>
      <c r="C889" s="3" t="inlineStr">
        <is>
          <t>nga</t>
        </is>
      </c>
      <c r="D889" s="3" t="str">
        <f>IF($B889="",""," | "&amp;$E889&amp;" | "&amp;$F889)</f>
        <v> | Other metals | Natural gas</v>
      </c>
      <c r="E889" s="3" t="str">
        <f>IFERROR(INDEX(SecLab,MATCH($B889,SecKey,0)),"")</f>
        <v>Other metals</v>
      </c>
      <c r="F889" s="3" t="str">
        <f>IFERROR(INDEX(FuelLab,MATCH($C889,FuelKeyL,0)),"")</f>
        <v>Natural gas</v>
      </c>
      <c r="G889" s="3" t="inlineStr">
        <is>
          <t>.nfm.nga</t>
        </is>
      </c>
      <c r="I889" s="3" t="inlineStr">
        <is>
          <t>ch4|avi|oop</t>
        </is>
      </c>
      <c r="J889" s="3" t="inlineStr">
        <is>
          <t>em.avi.oop.ch4</t>
        </is>
      </c>
    </row>
    <row r="890">
      <c r="A890" s="3" t="str">
        <f>$B890&amp;"|"&amp;$C890</f>
        <v>mac|nga</v>
      </c>
      <c r="B890" s="3" t="inlineStr">
        <is>
          <t>mac</t>
        </is>
      </c>
      <c r="C890" s="3" t="inlineStr">
        <is>
          <t>nga</t>
        </is>
      </c>
      <c r="D890" s="3" t="str">
        <f>IF($B890="",""," | "&amp;$E890&amp;" | "&amp;$F890)</f>
        <v> | Machinery | Natural gas</v>
      </c>
      <c r="E890" s="3" t="str">
        <f>IFERROR(INDEX(SecLab,MATCH($B890,SecKey,0)),"")</f>
        <v>Machinery</v>
      </c>
      <c r="F890" s="3" t="str">
        <f>IFERROR(INDEX(FuelLab,MATCH($C890,FuelKeyL,0)),"")</f>
        <v>Natural gas</v>
      </c>
      <c r="G890" s="3" t="inlineStr">
        <is>
          <t>.mac.nga</t>
        </is>
      </c>
      <c r="I890" s="3" t="inlineStr">
        <is>
          <t>ch4|avi|bio</t>
        </is>
      </c>
      <c r="J890" s="3" t="inlineStr">
        <is>
          <t>em.avi.bio.ch4</t>
        </is>
      </c>
    </row>
    <row r="891">
      <c r="A891" s="3" t="str">
        <f>$B891&amp;"|"&amp;$C891</f>
        <v>cem|nga</v>
      </c>
      <c r="B891" s="3" t="inlineStr">
        <is>
          <t>cem</t>
        </is>
      </c>
      <c r="C891" s="3" t="inlineStr">
        <is>
          <t>nga</t>
        </is>
      </c>
      <c r="D891" s="3" t="str">
        <f>IF($B891="",""," | "&amp;$E891&amp;" | "&amp;$F891)</f>
        <v> | Cement | Natural gas</v>
      </c>
      <c r="E891" s="3" t="str">
        <f>IFERROR(INDEX(SecLab,MATCH($B891,SecKey,0)),"")</f>
        <v>Cement</v>
      </c>
      <c r="F891" s="3" t="str">
        <f>IFERROR(INDEX(FuelLab,MATCH($C891,FuelKeyL,0)),"")</f>
        <v>Natural gas</v>
      </c>
      <c r="G891" s="3" t="inlineStr">
        <is>
          <t>.cem.nga</t>
        </is>
      </c>
      <c r="I891" s="3" t="inlineStr">
        <is>
          <t>ener|nav|all</t>
        </is>
      </c>
      <c r="J891" s="3" t="inlineStr">
        <is>
          <t>ener.nav.tot</t>
        </is>
      </c>
    </row>
    <row r="892">
      <c r="A892" s="3" t="str">
        <f>$B892&amp;"|"&amp;$C892</f>
        <v>omn|nga</v>
      </c>
      <c r="B892" s="3" t="inlineStr">
        <is>
          <t>omn</t>
        </is>
      </c>
      <c r="C892" s="3" t="inlineStr">
        <is>
          <t>nga</t>
        </is>
      </c>
      <c r="D892" s="3" t="str">
        <f>IF($B892="",""," | "&amp;$E892&amp;" | "&amp;$F892)</f>
        <v> | Other manufacturing | Natural gas</v>
      </c>
      <c r="E892" s="3" t="str">
        <f>IFERROR(INDEX(SecLab,MATCH($B892,SecKey,0)),"")</f>
        <v>Other manufacturing</v>
      </c>
      <c r="F892" s="3" t="str">
        <f>IFERROR(INDEX(FuelLab,MATCH($C892,FuelKeyL,0)),"")</f>
        <v>Natural gas</v>
      </c>
      <c r="G892" s="3" t="inlineStr">
        <is>
          <t>.omn.nga</t>
        </is>
      </c>
      <c r="I892" s="3" t="inlineStr">
        <is>
          <t>ch4|nav|coa</t>
        </is>
      </c>
      <c r="J892" s="3" t="inlineStr">
        <is>
          <t>em.nav.coa.ch4</t>
        </is>
      </c>
    </row>
    <row r="893">
      <c r="A893" s="3" t="str">
        <f>$B893&amp;"|"&amp;$C893</f>
        <v>cst|nga</v>
      </c>
      <c r="B893" s="3" t="inlineStr">
        <is>
          <t>cst</t>
        </is>
      </c>
      <c r="C893" s="3" t="inlineStr">
        <is>
          <t>nga</t>
        </is>
      </c>
      <c r="D893" s="3" t="str">
        <f>IF($B893="",""," | "&amp;$E893&amp;" | "&amp;$F893)</f>
        <v> | Construction | Natural gas</v>
      </c>
      <c r="E893" s="3" t="str">
        <f>IFERROR(INDEX(SecLab,MATCH($B893,SecKey,0)),"")</f>
        <v>Construction</v>
      </c>
      <c r="F893" s="3" t="str">
        <f>IFERROR(INDEX(FuelLab,MATCH($C893,FuelKeyL,0)),"")</f>
        <v>Natural gas</v>
      </c>
      <c r="G893" s="3" t="inlineStr">
        <is>
          <t>.cst.nga</t>
        </is>
      </c>
      <c r="I893" s="3" t="inlineStr">
        <is>
          <t>ch4|nav|nga</t>
        </is>
      </c>
      <c r="J893" s="3" t="inlineStr">
        <is>
          <t>em.nav.nga.ch4</t>
        </is>
      </c>
    </row>
    <row r="894">
      <c r="A894" s="3" t="str">
        <f>$B894&amp;"|"&amp;$C894</f>
        <v>ftr|nga</v>
      </c>
      <c r="B894" s="3" t="inlineStr">
        <is>
          <t>ftr</t>
        </is>
      </c>
      <c r="C894" s="3" t="inlineStr">
        <is>
          <t>nga</t>
        </is>
      </c>
      <c r="D894" s="3" t="str">
        <f>IF($B894="",""," | "&amp;$E894&amp;" | "&amp;$F894)</f>
        <v> | Fuel transformation | Natural gas</v>
      </c>
      <c r="E894" s="3" t="str">
        <f>IFERROR(INDEX(SecLab,MATCH($B894,SecKey,0)),"")</f>
        <v>Fuel transformation</v>
      </c>
      <c r="F894" s="3" t="str">
        <f>IFERROR(INDEX(FuelLab,MATCH($C894,FuelKeyL,0)),"")</f>
        <v>Natural gas</v>
      </c>
      <c r="G894" s="3" t="inlineStr">
        <is>
          <t>.ftr.nga</t>
        </is>
      </c>
      <c r="I894" s="3" t="inlineStr">
        <is>
          <t>ch4|nav|gso</t>
        </is>
      </c>
      <c r="J894" s="3" t="inlineStr">
        <is>
          <t>em.nav.gso.ch4</t>
        </is>
      </c>
    </row>
    <row r="895">
      <c r="A895" s="3" t="str">
        <f>$B895&amp;"|"&amp;$C895</f>
        <v>foo|nga</v>
      </c>
      <c r="B895" s="3" t="inlineStr">
        <is>
          <t>foo</t>
        </is>
      </c>
      <c r="C895" s="3" t="inlineStr">
        <is>
          <t>nga</t>
        </is>
      </c>
      <c r="D895" s="3" t="str">
        <f>IF($B895="",""," | "&amp;$E895&amp;" | "&amp;$F895)</f>
        <v> | Food &amp; forestry | Natural gas</v>
      </c>
      <c r="E895" s="3" t="str">
        <f>IFERROR(INDEX(SecLab,MATCH($B895,SecKey,0)),"")</f>
        <v>Food &amp; forestry</v>
      </c>
      <c r="F895" s="3" t="str">
        <f>IFERROR(INDEX(FuelLab,MATCH($C895,FuelKeyL,0)),"")</f>
        <v>Natural gas</v>
      </c>
      <c r="G895" s="3" t="inlineStr">
        <is>
          <t>.foo.nga</t>
        </is>
      </c>
      <c r="I895" s="3" t="inlineStr">
        <is>
          <t>ch4|nav|die</t>
        </is>
      </c>
      <c r="J895" s="3" t="inlineStr">
        <is>
          <t>em.nav.die.ch4</t>
        </is>
      </c>
    </row>
    <row r="896">
      <c r="A896" s="3" t="str">
        <f>$B896&amp;"|"&amp;$C896</f>
        <v>srv|nga</v>
      </c>
      <c r="B896" s="3" t="inlineStr">
        <is>
          <t>srv</t>
        </is>
      </c>
      <c r="C896" s="3" t="inlineStr">
        <is>
          <t>nga</t>
        </is>
      </c>
      <c r="D896" s="3" t="str">
        <f>IF($B896="",""," | "&amp;$E896&amp;" | "&amp;$F896)</f>
        <v> | Services (public &amp; private) | Natural gas</v>
      </c>
      <c r="E896" s="3" t="str">
        <f>IFERROR(INDEX(SecLab,MATCH($B896,SecKey,0)),"")</f>
        <v>Services (public &amp; private)</v>
      </c>
      <c r="F896" s="3" t="str">
        <f>IFERROR(INDEX(FuelLab,MATCH($C896,FuelKeyL,0)),"")</f>
        <v>Natural gas</v>
      </c>
      <c r="G896" s="3" t="inlineStr">
        <is>
          <t>.srv.nga</t>
        </is>
      </c>
      <c r="I896" s="3" t="inlineStr">
        <is>
          <t>ch4|nav|lpg</t>
        </is>
      </c>
      <c r="J896" s="3" t="inlineStr">
        <is>
          <t>em.nav.lpg.ch4</t>
        </is>
      </c>
    </row>
    <row r="897">
      <c r="A897" s="3" t="str">
        <f>$B897&amp;"|"&amp;$C897</f>
        <v>rod|gso</v>
      </c>
      <c r="B897" s="3" t="inlineStr">
        <is>
          <t>rod</t>
        </is>
      </c>
      <c r="C897" s="3" t="inlineStr">
        <is>
          <t>gso</t>
        </is>
      </c>
      <c r="D897" s="3" t="str">
        <f>IF($B897="",""," | "&amp;$E897&amp;" | "&amp;$F897)</f>
        <v> | Road | Gasoline</v>
      </c>
      <c r="E897" s="3" t="str">
        <f>IFERROR(INDEX(SecLab,MATCH($B897,SecKey,0)),"")</f>
        <v>Road</v>
      </c>
      <c r="F897" s="3" t="str">
        <f>IFERROR(INDEX(FuelLab,MATCH($C897,FuelKeyL,0)),"")</f>
        <v>Gasoline</v>
      </c>
      <c r="G897" s="3" t="inlineStr">
        <is>
          <t>.rod.gso</t>
        </is>
      </c>
      <c r="I897" s="3" t="inlineStr">
        <is>
          <t>ch4|nav|ker</t>
        </is>
      </c>
      <c r="J897" s="3" t="inlineStr">
        <is>
          <t>em.nav.ker.ch4</t>
        </is>
      </c>
    </row>
    <row r="898">
      <c r="A898" s="3" t="str">
        <f>$B898&amp;"|"&amp;$C898</f>
        <v>ral|gso</v>
      </c>
      <c r="B898" s="3" t="inlineStr">
        <is>
          <t>ral</t>
        </is>
      </c>
      <c r="C898" s="3" t="inlineStr">
        <is>
          <t>gso</t>
        </is>
      </c>
      <c r="D898" s="3" t="str">
        <f>IF($B898="",""," | "&amp;$E898&amp;" | "&amp;$F898)</f>
        <v> | Rail | Gasoline</v>
      </c>
      <c r="E898" s="3" t="str">
        <f>IFERROR(INDEX(SecLab,MATCH($B898,SecKey,0)),"")</f>
        <v>Rail</v>
      </c>
      <c r="F898" s="3" t="str">
        <f>IFERROR(INDEX(FuelLab,MATCH($C898,FuelKeyL,0)),"")</f>
        <v>Gasoline</v>
      </c>
      <c r="G898" s="3" t="inlineStr">
        <is>
          <t>.ral.gso</t>
        </is>
      </c>
      <c r="I898" s="3" t="inlineStr">
        <is>
          <t>ch4|nav|jfu</t>
        </is>
      </c>
      <c r="J898" s="3" t="inlineStr">
        <is>
          <t>em.nav.jfu.ch4</t>
        </is>
      </c>
    </row>
    <row r="899">
      <c r="A899" s="3" t="str">
        <f>$B899&amp;"|"&amp;$C899</f>
        <v>avi|gso</v>
      </c>
      <c r="B899" s="3" t="inlineStr">
        <is>
          <t>avi</t>
        </is>
      </c>
      <c r="C899" s="3" t="inlineStr">
        <is>
          <t>gso</t>
        </is>
      </c>
      <c r="D899" s="3" t="str">
        <f>IF($B899="",""," | "&amp;$E899&amp;" | "&amp;$F899)</f>
        <v> | Domestic aviation | Gasoline</v>
      </c>
      <c r="E899" s="3" t="str">
        <f>IFERROR(INDEX(SecLab,MATCH($B899,SecKey,0)),"")</f>
        <v>Domestic aviation</v>
      </c>
      <c r="F899" s="3" t="str">
        <f>IFERROR(INDEX(FuelLab,MATCH($C899,FuelKeyL,0)),"")</f>
        <v>Gasoline</v>
      </c>
      <c r="G899" s="3" t="inlineStr">
        <is>
          <t>.avi.gso</t>
        </is>
      </c>
      <c r="I899" s="3" t="inlineStr">
        <is>
          <t>ch4|nav|oop</t>
        </is>
      </c>
      <c r="J899" s="3" t="inlineStr">
        <is>
          <t>em.nav.oop.ch4</t>
        </is>
      </c>
    </row>
    <row r="900">
      <c r="A900" s="3" t="str">
        <f>$B900&amp;"|"&amp;$C900</f>
        <v>nav|gso</v>
      </c>
      <c r="B900" s="3" t="inlineStr">
        <is>
          <t>nav</t>
        </is>
      </c>
      <c r="C900" s="3" t="inlineStr">
        <is>
          <t>gso</t>
        </is>
      </c>
      <c r="D900" s="3" t="str">
        <f>IF($B900="",""," | "&amp;$E900&amp;" | "&amp;$F900)</f>
        <v> | Domestic navigation | Gasoline</v>
      </c>
      <c r="E900" s="3" t="str">
        <f>IFERROR(INDEX(SecLab,MATCH($B900,SecKey,0)),"")</f>
        <v>Domestic navigation</v>
      </c>
      <c r="F900" s="3" t="str">
        <f>IFERROR(INDEX(FuelLab,MATCH($C900,FuelKeyL,0)),"")</f>
        <v>Gasoline</v>
      </c>
      <c r="G900" s="3" t="inlineStr">
        <is>
          <t>.nav.gso</t>
        </is>
      </c>
      <c r="I900" s="3" t="inlineStr">
        <is>
          <t>ch4|nav|bio</t>
        </is>
      </c>
      <c r="J900" s="3" t="inlineStr">
        <is>
          <t>em.nav.bio.ch4</t>
        </is>
      </c>
    </row>
    <row r="901">
      <c r="A901" s="3" t="str">
        <f>$B901&amp;"|"&amp;$C901</f>
        <v>res|gso</v>
      </c>
      <c r="B901" s="3" t="inlineStr">
        <is>
          <t>res</t>
        </is>
      </c>
      <c r="C901" s="3" t="inlineStr">
        <is>
          <t>gso</t>
        </is>
      </c>
      <c r="D901" s="3" t="str">
        <f>IF($B901="",""," | "&amp;$E901&amp;" | "&amp;$F901)</f>
        <v> | Residential | Gasoline</v>
      </c>
      <c r="E901" s="3" t="str">
        <f>IFERROR(INDEX(SecLab,MATCH($B901,SecKey,0)),"")</f>
        <v>Residential</v>
      </c>
      <c r="F901" s="3" t="str">
        <f>IFERROR(INDEX(FuelLab,MATCH($C901,FuelKeyL,0)),"")</f>
        <v>Gasoline</v>
      </c>
      <c r="G901" s="3" t="inlineStr">
        <is>
          <t>.res.gso</t>
        </is>
      </c>
      <c r="I901" s="3" t="inlineStr">
        <is>
          <t>ener|tra|all</t>
        </is>
      </c>
      <c r="J901" s="3" t="inlineStr">
        <is>
          <t>ener.tra.tot</t>
        </is>
      </c>
    </row>
    <row r="902">
      <c r="A902" s="3" t="str">
        <f>$B902&amp;"|"&amp;$C902</f>
        <v>foo|gso</v>
      </c>
      <c r="B902" s="3" t="inlineStr">
        <is>
          <t>foo</t>
        </is>
      </c>
      <c r="C902" s="3" t="inlineStr">
        <is>
          <t>gso</t>
        </is>
      </c>
      <c r="D902" s="3" t="str">
        <f>IF($B902="",""," | "&amp;$E902&amp;" | "&amp;$F902)</f>
        <v> | Food &amp; forestry | Gasoline</v>
      </c>
      <c r="E902" s="3" t="str">
        <f>IFERROR(INDEX(SecLab,MATCH($B902,SecKey,0)),"")</f>
        <v>Food &amp; forestry</v>
      </c>
      <c r="F902" s="3" t="str">
        <f>IFERROR(INDEX(FuelLab,MATCH($C902,FuelKeyL,0)),"")</f>
        <v>Gasoline</v>
      </c>
      <c r="G902" s="3" t="inlineStr">
        <is>
          <t>.foo.gso</t>
        </is>
      </c>
      <c r="I902" s="3" t="inlineStr">
        <is>
          <t>trstt|pas|all</t>
        </is>
      </c>
      <c r="J902" s="3" t="inlineStr">
        <is>
          <t>trstt.pas.tot</t>
        </is>
      </c>
    </row>
    <row r="903">
      <c r="A903" s="3" t="str">
        <f>$B903&amp;"|"&amp;$C903</f>
        <v>srv|gso</v>
      </c>
      <c r="B903" s="3" t="inlineStr">
        <is>
          <t>srv</t>
        </is>
      </c>
      <c r="C903" s="3" t="inlineStr">
        <is>
          <t>gso</t>
        </is>
      </c>
      <c r="D903" s="3" t="str">
        <f>IF($B903="",""," | "&amp;$E903&amp;" | "&amp;$F903)</f>
        <v> | Services (public &amp; private) | Gasoline</v>
      </c>
      <c r="E903" s="3" t="str">
        <f>IFERROR(INDEX(SecLab,MATCH($B903,SecKey,0)),"")</f>
        <v>Services (public &amp; private)</v>
      </c>
      <c r="F903" s="3" t="str">
        <f>IFERROR(INDEX(FuelLab,MATCH($C903,FuelKeyL,0)),"")</f>
        <v>Gasoline</v>
      </c>
      <c r="G903" s="3" t="inlineStr">
        <is>
          <t>.srv.gso</t>
        </is>
      </c>
      <c r="I903" s="3" t="inlineStr">
        <is>
          <t>trevst|pas|ev</t>
        </is>
      </c>
      <c r="J903" s="3" t="inlineStr">
        <is>
          <t>stockcalc.ev.pass</t>
        </is>
      </c>
    </row>
    <row r="904">
      <c r="A904" s="3" t="str">
        <f>$B904&amp;"|"&amp;$C904</f>
        <v>mch|gso</v>
      </c>
      <c r="B904" s="3" t="inlineStr">
        <is>
          <t>mch</t>
        </is>
      </c>
      <c r="C904" s="3" t="inlineStr">
        <is>
          <t>gso</t>
        </is>
      </c>
      <c r="D904" s="3" t="str">
        <f>IF($B904="",""," | "&amp;$E904&amp;" | "&amp;$F904)</f>
        <v> | Mining &amp; chemicals | Gasoline</v>
      </c>
      <c r="E904" s="3" t="str">
        <f>IFERROR(INDEX(SecLab,MATCH($B904,SecKey,0)),"")</f>
        <v>Mining &amp; chemicals</v>
      </c>
      <c r="F904" s="3" t="str">
        <f>IFERROR(INDEX(FuelLab,MATCH($C904,FuelKeyL,0)),"")</f>
        <v>Gasoline</v>
      </c>
      <c r="G904" s="3" t="inlineStr">
        <is>
          <t>.mch.gso</t>
        </is>
      </c>
      <c r="I904" s="3" t="inlineStr">
        <is>
          <t>trevsf|fre|bev</t>
        </is>
      </c>
      <c r="J904" s="3" t="inlineStr">
        <is>
          <t>stockcalc.bev.fre</t>
        </is>
      </c>
    </row>
    <row r="905">
      <c r="A905" s="3" t="str">
        <f>$B905&amp;"|"&amp;$C905</f>
        <v>irn|gso</v>
      </c>
      <c r="B905" s="3" t="inlineStr">
        <is>
          <t>irn</t>
        </is>
      </c>
      <c r="C905" s="3" t="inlineStr">
        <is>
          <t>gso</t>
        </is>
      </c>
      <c r="D905" s="3" t="str">
        <f>IF($B905="",""," | "&amp;$E905&amp;" | "&amp;$F905)</f>
        <v> | Iron &amp; steel | Gasoline</v>
      </c>
      <c r="E905" s="3" t="str">
        <f>IFERROR(INDEX(SecLab,MATCH($B905,SecKey,0)),"")</f>
        <v>Iron &amp; steel</v>
      </c>
      <c r="F905" s="3" t="str">
        <f>IFERROR(INDEX(FuelLab,MATCH($C905,FuelKeyL,0)),"")</f>
        <v>Gasoline</v>
      </c>
      <c r="G905" s="3" t="inlineStr">
        <is>
          <t>.irn.gso</t>
        </is>
      </c>
      <c r="I905" s="3" t="inlineStr">
        <is>
          <t>trevsc|cyc|bev</t>
        </is>
      </c>
      <c r="J905" s="3" t="inlineStr">
        <is>
          <t>stockcalc.bev.motor</t>
        </is>
      </c>
    </row>
    <row r="906">
      <c r="A906" s="3" t="str">
        <f>$B906&amp;"|"&amp;$C906</f>
        <v>nfm|gso</v>
      </c>
      <c r="B906" s="3" t="inlineStr">
        <is>
          <t>nfm</t>
        </is>
      </c>
      <c r="C906" s="3" t="inlineStr">
        <is>
          <t>gso</t>
        </is>
      </c>
      <c r="D906" s="3" t="str">
        <f>IF($B906="",""," | "&amp;$E906&amp;" | "&amp;$F906)</f>
        <v> | Other metals | Gasoline</v>
      </c>
      <c r="E906" s="3" t="str">
        <f>IFERROR(INDEX(SecLab,MATCH($B906,SecKey,0)),"")</f>
        <v>Other metals</v>
      </c>
      <c r="F906" s="3" t="str">
        <f>IFERROR(INDEX(FuelLab,MATCH($C906,FuelKeyL,0)),"")</f>
        <v>Gasoline</v>
      </c>
      <c r="G906" s="3" t="inlineStr">
        <is>
          <t>.nfm.gso</t>
        </is>
      </c>
      <c r="I906" s="3" t="inlineStr">
        <is>
          <t>trafts|pas|all</t>
        </is>
      </c>
      <c r="J906" s="3" t="inlineStr">
        <is>
          <t>trafts.pas.tot</t>
        </is>
      </c>
    </row>
    <row r="907">
      <c r="A907" s="3" t="str">
        <f>$B907&amp;"|"&amp;$C907</f>
        <v>mac|gso</v>
      </c>
      <c r="B907" s="3" t="inlineStr">
        <is>
          <t>mac</t>
        </is>
      </c>
      <c r="C907" s="3" t="inlineStr">
        <is>
          <t>gso</t>
        </is>
      </c>
      <c r="D907" s="3" t="str">
        <f>IF($B907="",""," | "&amp;$E907&amp;" | "&amp;$F907)</f>
        <v> | Machinery | Gasoline</v>
      </c>
      <c r="E907" s="3" t="str">
        <f>IFERROR(INDEX(SecLab,MATCH($B907,SecKey,0)),"")</f>
        <v>Machinery</v>
      </c>
      <c r="F907" s="3" t="str">
        <f>IFERROR(INDEX(FuelLab,MATCH($C907,FuelKeyL,0)),"")</f>
        <v>Gasoline</v>
      </c>
      <c r="G907" s="3" t="inlineStr">
        <is>
          <t>.mac.gso</t>
        </is>
      </c>
      <c r="I907" s="3" t="inlineStr">
        <is>
          <t>traftsf|fre|all</t>
        </is>
      </c>
      <c r="J907" s="3" t="inlineStr">
        <is>
          <t>traftsf.fre.tot</t>
        </is>
      </c>
    </row>
    <row r="908">
      <c r="A908" s="3" t="str">
        <f>$B908&amp;"|"&amp;$C908</f>
        <v>cem|gso</v>
      </c>
      <c r="B908" s="3" t="inlineStr">
        <is>
          <t>cem</t>
        </is>
      </c>
      <c r="C908" s="3" t="inlineStr">
        <is>
          <t>gso</t>
        </is>
      </c>
      <c r="D908" s="3" t="str">
        <f>IF($B908="",""," | "&amp;$E908&amp;" | "&amp;$F908)</f>
        <v> | Cement | Gasoline</v>
      </c>
      <c r="E908" s="3" t="str">
        <f>IFERROR(INDEX(SecLab,MATCH($B908,SecKey,0)),"")</f>
        <v>Cement</v>
      </c>
      <c r="F908" s="3" t="str">
        <f>IFERROR(INDEX(FuelLab,MATCH($C908,FuelKeyL,0)),"")</f>
        <v>Gasoline</v>
      </c>
      <c r="G908" s="3" t="inlineStr">
        <is>
          <t>.cem.gso</t>
        </is>
      </c>
      <c r="I908" s="3" t="inlineStr">
        <is>
          <t>traftsc|cyc|all</t>
        </is>
      </c>
      <c r="J908" s="3" t="inlineStr">
        <is>
          <t>traftsc.cyc.tot</t>
        </is>
      </c>
    </row>
    <row r="909">
      <c r="A909" s="3" t="str">
        <f>$B909&amp;"|"&amp;$C909</f>
        <v>omn|gso</v>
      </c>
      <c r="B909" s="3" t="inlineStr">
        <is>
          <t>omn</t>
        </is>
      </c>
      <c r="C909" s="3" t="inlineStr">
        <is>
          <t>gso</t>
        </is>
      </c>
      <c r="D909" s="3" t="str">
        <f>IF($B909="",""," | "&amp;$E909&amp;" | "&amp;$F909)</f>
        <v> | Other manufacturing | Gasoline</v>
      </c>
      <c r="E909" s="3" t="str">
        <f>IFERROR(INDEX(SecLab,MATCH($B909,SecKey,0)),"")</f>
        <v>Other manufacturing</v>
      </c>
      <c r="F909" s="3" t="str">
        <f>IFERROR(INDEX(FuelLab,MATCH($C909,FuelKeyL,0)),"")</f>
        <v>Gasoline</v>
      </c>
      <c r="G909" s="3" t="inlineStr">
        <is>
          <t>.omn.gso</t>
        </is>
      </c>
      <c r="I909" s="3" t="inlineStr">
        <is>
          <t>trevcc|pas|ev</t>
        </is>
      </c>
      <c r="J909" s="3" t="inlineStr">
        <is>
          <t>shrcalc.ev.pass</t>
        </is>
      </c>
    </row>
    <row r="910">
      <c r="A910" s="3" t="str">
        <f>$B910&amp;"|"&amp;$C910</f>
        <v>cst|gso</v>
      </c>
      <c r="B910" s="3" t="inlineStr">
        <is>
          <t>cst</t>
        </is>
      </c>
      <c r="C910" s="3" t="inlineStr">
        <is>
          <t>gso</t>
        </is>
      </c>
      <c r="D910" s="3" t="str">
        <f>IF($B910="",""," | "&amp;$E910&amp;" | "&amp;$F910)</f>
        <v> | Construction | Gasoline</v>
      </c>
      <c r="E910" s="3" t="str">
        <f>IFERROR(INDEX(SecLab,MATCH($B910,SecKey,0)),"")</f>
        <v>Construction</v>
      </c>
      <c r="F910" s="3" t="str">
        <f>IFERROR(INDEX(FuelLab,MATCH($C910,FuelKeyL,0)),"")</f>
        <v>Gasoline</v>
      </c>
      <c r="G910" s="3" t="inlineStr">
        <is>
          <t>.cst.gso</t>
        </is>
      </c>
      <c r="I910" s="3" t="inlineStr">
        <is>
          <t>trevsh|pas|ev</t>
        </is>
      </c>
      <c r="J910" s="3" t="inlineStr">
        <is>
          <t>shract.ev.pass</t>
        </is>
      </c>
    </row>
    <row r="911">
      <c r="A911" s="3" t="str">
        <f>$B911&amp;"|"&amp;$C911</f>
        <v>ftr|gso</v>
      </c>
      <c r="B911" s="3" t="inlineStr">
        <is>
          <t>ftr</t>
        </is>
      </c>
      <c r="C911" s="3" t="inlineStr">
        <is>
          <t>gso</t>
        </is>
      </c>
      <c r="D911" s="3" t="str">
        <f>IF($B911="",""," | "&amp;$E911&amp;" | "&amp;$F911)</f>
        <v> | Fuel transformation | Gasoline</v>
      </c>
      <c r="E911" s="3" t="str">
        <f>IFERROR(INDEX(SecLab,MATCH($B911,SecKey,0)),"")</f>
        <v>Fuel transformation</v>
      </c>
      <c r="F911" s="3" t="str">
        <f>IFERROR(INDEX(FuelLab,MATCH($C911,FuelKeyL,0)),"")</f>
        <v>Gasoline</v>
      </c>
      <c r="G911" s="3" t="inlineStr">
        <is>
          <t>.ftr.gso</t>
        </is>
      </c>
      <c r="I911" s="3" t="inlineStr">
        <is>
          <t>trlgfb|fre|bev</t>
        </is>
      </c>
      <c r="J911" s="3" t="inlineStr">
        <is>
          <t>shrcalc.bev.fre</t>
        </is>
      </c>
    </row>
    <row r="912">
      <c r="A912" s="3" t="str">
        <f>$B912&amp;"|"&amp;$C912</f>
        <v>oen|gso</v>
      </c>
      <c r="B912" s="3" t="inlineStr">
        <is>
          <t>oen</t>
        </is>
      </c>
      <c r="C912" s="3" t="inlineStr">
        <is>
          <t>gso</t>
        </is>
      </c>
      <c r="D912" s="3" t="str">
        <f>IF($B912="",""," | "&amp;$E912&amp;" | "&amp;$F912)</f>
        <v> | Other energy use | Gasoline</v>
      </c>
      <c r="E912" s="3" t="str">
        <f>IFERROR(INDEX(SecLab,MATCH($B912,SecKey,0)),"")</f>
        <v>Other energy use</v>
      </c>
      <c r="F912" s="3" t="str">
        <f>IFERROR(INDEX(FuelLab,MATCH($C912,FuelKeyL,0)),"")</f>
        <v>Gasoline</v>
      </c>
      <c r="G912" s="3" t="inlineStr">
        <is>
          <t>.oen.gso</t>
        </is>
      </c>
      <c r="I912" s="3" t="inlineStr">
        <is>
          <t>trshfb|fre|bev</t>
        </is>
      </c>
      <c r="J912" s="3" t="inlineStr">
        <is>
          <t>shract.bev.fre</t>
        </is>
      </c>
    </row>
    <row r="913">
      <c r="A913" s="3" t="str">
        <f>$B913&amp;"|"&amp;$C913</f>
        <v>rod|die</v>
      </c>
      <c r="B913" s="3" t="inlineStr">
        <is>
          <t>rod</t>
        </is>
      </c>
      <c r="C913" s="3" t="inlineStr">
        <is>
          <t>die</t>
        </is>
      </c>
      <c r="D913" s="3" t="str">
        <f>IF($B913="",""," | "&amp;$E913&amp;" | "&amp;$F913)</f>
        <v> | Road | Diesel</v>
      </c>
      <c r="E913" s="3" t="str">
        <f>IFERROR(INDEX(SecLab,MATCH($B913,SecKey,0)),"")</f>
        <v>Road</v>
      </c>
      <c r="F913" s="3" t="str">
        <f>IFERROR(INDEX(FuelLab,MATCH($C913,FuelKeyL,0)),"")</f>
        <v>Diesel</v>
      </c>
      <c r="G913" s="3" t="inlineStr">
        <is>
          <t>.rod.die</t>
        </is>
      </c>
      <c r="I913" s="3" t="inlineStr">
        <is>
          <t>trlgcb|cyc|bev</t>
        </is>
      </c>
      <c r="J913" s="3" t="inlineStr">
        <is>
          <t>shrcalc.bev.motor</t>
        </is>
      </c>
    </row>
    <row r="914">
      <c r="A914" s="3" t="str">
        <f>$B914&amp;"|"&amp;$C914</f>
        <v>ral|die</v>
      </c>
      <c r="B914" s="3" t="inlineStr">
        <is>
          <t>ral</t>
        </is>
      </c>
      <c r="C914" s="3" t="inlineStr">
        <is>
          <t>die</t>
        </is>
      </c>
      <c r="D914" s="3" t="str">
        <f>IF($B914="",""," | "&amp;$E914&amp;" | "&amp;$F914)</f>
        <v> | Rail | Diesel</v>
      </c>
      <c r="E914" s="3" t="str">
        <f>IFERROR(INDEX(SecLab,MATCH($B914,SecKey,0)),"")</f>
        <v>Rail</v>
      </c>
      <c r="F914" s="3" t="str">
        <f>IFERROR(INDEX(FuelLab,MATCH($C914,FuelKeyL,0)),"")</f>
        <v>Diesel</v>
      </c>
      <c r="G914" s="3" t="inlineStr">
        <is>
          <t>.ral.die</t>
        </is>
      </c>
      <c r="I914" s="3" t="inlineStr">
        <is>
          <t>trshcb|cyc|bev</t>
        </is>
      </c>
      <c r="J914" s="3" t="inlineStr">
        <is>
          <t>shract.bev.motor</t>
        </is>
      </c>
    </row>
    <row r="915">
      <c r="A915" s="3" t="str">
        <f>$B915&amp;"|"&amp;$C915</f>
        <v>avi|die</v>
      </c>
      <c r="B915" s="3" t="inlineStr">
        <is>
          <t>avi</t>
        </is>
      </c>
      <c r="C915" s="3" t="inlineStr">
        <is>
          <t>die</t>
        </is>
      </c>
      <c r="D915" s="3" t="str">
        <f>IF($B915="",""," | "&amp;$E915&amp;" | "&amp;$F915)</f>
        <v> | Domestic aviation | Diesel</v>
      </c>
      <c r="E915" s="3" t="str">
        <f>IFERROR(INDEX(SecLab,MATCH($B915,SecKey,0)),"")</f>
        <v>Domestic aviation</v>
      </c>
      <c r="F915" s="3" t="str">
        <f>IFERROR(INDEX(FuelLab,MATCH($C915,FuelKeyL,0)),"")</f>
        <v>Diesel</v>
      </c>
      <c r="G915" s="3" t="inlineStr">
        <is>
          <t>.avi.die</t>
        </is>
      </c>
      <c r="I915" s="3" t="inlineStr">
        <is>
          <t>trbkmt|pas|all</t>
        </is>
      </c>
      <c r="J915" s="3" t="inlineStr">
        <is>
          <t>trbkmt.pas.tot</t>
        </is>
      </c>
    </row>
    <row r="916">
      <c r="A916" s="3" t="str">
        <f>$B916&amp;"|"&amp;$C916</f>
        <v>nav|die</v>
      </c>
      <c r="B916" s="3" t="inlineStr">
        <is>
          <t>nav</t>
        </is>
      </c>
      <c r="C916" s="3" t="inlineStr">
        <is>
          <t>die</t>
        </is>
      </c>
      <c r="D916" s="3" t="str">
        <f>IF($B916="",""," | "&amp;$E916&amp;" | "&amp;$F916)</f>
        <v> | Domestic navigation | Diesel</v>
      </c>
      <c r="E916" s="3" t="str">
        <f>IFERROR(INDEX(SecLab,MATCH($B916,SecKey,0)),"")</f>
        <v>Domestic navigation</v>
      </c>
      <c r="F916" s="3" t="str">
        <f>IFERROR(INDEX(FuelLab,MATCH($C916,FuelKeyL,0)),"")</f>
        <v>Diesel</v>
      </c>
      <c r="G916" s="3" t="inlineStr">
        <is>
          <t>.nav.die</t>
        </is>
      </c>
      <c r="I916" s="3" t="inlineStr">
        <is>
          <t>trbkmtf|fre|all</t>
        </is>
      </c>
      <c r="J916" s="3" t="inlineStr">
        <is>
          <t>trbkmtf.fre.tot</t>
        </is>
      </c>
    </row>
    <row r="917">
      <c r="A917" s="3" t="str">
        <f>$B917&amp;"|"&amp;$C917</f>
        <v>res|die</v>
      </c>
      <c r="B917" s="3" t="inlineStr">
        <is>
          <t>res</t>
        </is>
      </c>
      <c r="C917" s="3" t="inlineStr">
        <is>
          <t>die</t>
        </is>
      </c>
      <c r="D917" s="3" t="str">
        <f>IF($B917="",""," | "&amp;$E917&amp;" | "&amp;$F917)</f>
        <v> | Residential | Diesel</v>
      </c>
      <c r="E917" s="3" t="str">
        <f>IFERROR(INDEX(SecLab,MATCH($B917,SecKey,0)),"")</f>
        <v>Residential</v>
      </c>
      <c r="F917" s="3" t="str">
        <f>IFERROR(INDEX(FuelLab,MATCH($C917,FuelKeyL,0)),"")</f>
        <v>Diesel</v>
      </c>
      <c r="G917" s="3" t="inlineStr">
        <is>
          <t>.res.die</t>
        </is>
      </c>
      <c r="I917" s="3" t="inlineStr">
        <is>
          <t>trkmp|pas|all</t>
        </is>
      </c>
      <c r="J917" s="3" t="inlineStr">
        <is>
          <t>pass.vkt.all</t>
        </is>
      </c>
    </row>
    <row r="918">
      <c r="A918" s="3" t="str">
        <f>$B918&amp;"|"&amp;$C918</f>
        <v>foo|die</v>
      </c>
      <c r="B918" s="3" t="inlineStr">
        <is>
          <t>foo</t>
        </is>
      </c>
      <c r="C918" s="3" t="inlineStr">
        <is>
          <t>die</t>
        </is>
      </c>
      <c r="D918" s="3" t="str">
        <f>IF($B918="",""," | "&amp;$E918&amp;" | "&amp;$F918)</f>
        <v> | Food &amp; forestry | Diesel</v>
      </c>
      <c r="E918" s="3" t="str">
        <f>IFERROR(INDEX(SecLab,MATCH($B918,SecKey,0)),"")</f>
        <v>Food &amp; forestry</v>
      </c>
      <c r="F918" s="3" t="str">
        <f>IFERROR(INDEX(FuelLab,MATCH($C918,FuelKeyL,0)),"")</f>
        <v>Diesel</v>
      </c>
      <c r="G918" s="3" t="inlineStr">
        <is>
          <t>.foo.die</t>
        </is>
      </c>
      <c r="I918" s="3" t="inlineStr">
        <is>
          <t>trkmf|fre|all</t>
        </is>
      </c>
      <c r="J918" s="3" t="inlineStr">
        <is>
          <t>fre.vkt.all</t>
        </is>
      </c>
    </row>
    <row r="919">
      <c r="A919" s="3" t="str">
        <f>$B919&amp;"|"&amp;$C919</f>
        <v>srv|die</v>
      </c>
      <c r="B919" s="3" t="inlineStr">
        <is>
          <t>srv</t>
        </is>
      </c>
      <c r="C919" s="3" t="inlineStr">
        <is>
          <t>die</t>
        </is>
      </c>
      <c r="D919" s="3" t="str">
        <f>IF($B919="",""," | "&amp;$E919&amp;" | "&amp;$F919)</f>
        <v> | Services (public &amp; private) | Diesel</v>
      </c>
      <c r="E919" s="3" t="str">
        <f>IFERROR(INDEX(SecLab,MATCH($B919,SecKey,0)),"")</f>
        <v>Services (public &amp; private)</v>
      </c>
      <c r="F919" s="3" t="str">
        <f>IFERROR(INDEX(FuelLab,MATCH($C919,FuelKeyL,0)),"")</f>
        <v>Diesel</v>
      </c>
      <c r="G919" s="3" t="inlineStr">
        <is>
          <t>.srv.die</t>
        </is>
      </c>
      <c r="I919" s="3" t="inlineStr">
        <is>
          <t>trkmc|cyc|all</t>
        </is>
      </c>
      <c r="J919" s="3" t="inlineStr">
        <is>
          <t>motor.vkt.all</t>
        </is>
      </c>
    </row>
    <row r="920">
      <c r="A920" s="3" t="str">
        <f>$B920&amp;"|"&amp;$C920</f>
        <v>mch|die</v>
      </c>
      <c r="B920" s="3" t="inlineStr">
        <is>
          <t>mch</t>
        </is>
      </c>
      <c r="C920" s="3" t="inlineStr">
        <is>
          <t>die</t>
        </is>
      </c>
      <c r="D920" s="3" t="str">
        <f>IF($B920="",""," | "&amp;$E920&amp;" | "&amp;$F920)</f>
        <v> | Mining &amp; chemicals | Diesel</v>
      </c>
      <c r="E920" s="3" t="str">
        <f>IFERROR(INDEX(SecLab,MATCH($B920,SecKey,0)),"")</f>
        <v>Mining &amp; chemicals</v>
      </c>
      <c r="F920" s="3" t="str">
        <f>IFERROR(INDEX(FuelLab,MATCH($C920,FuelKeyL,0)),"")</f>
        <v>Diesel</v>
      </c>
      <c r="G920" s="3" t="inlineStr">
        <is>
          <t>.mch.die</t>
        </is>
      </c>
      <c r="I920" s="3" t="inlineStr">
        <is>
          <t>trkmt|all|all</t>
        </is>
      </c>
      <c r="J920" s="3" t="inlineStr">
        <is>
          <t>all.vkt.all</t>
        </is>
      </c>
    </row>
    <row r="921">
      <c r="A921" s="3" t="str">
        <f>$B921&amp;"|"&amp;$C921</f>
        <v>irn|die</v>
      </c>
      <c r="B921" s="3" t="inlineStr">
        <is>
          <t>irn</t>
        </is>
      </c>
      <c r="C921" s="3" t="inlineStr">
        <is>
          <t>die</t>
        </is>
      </c>
      <c r="D921" s="3" t="str">
        <f>IF($B921="",""," | "&amp;$E921&amp;" | "&amp;$F921)</f>
        <v> | Iron &amp; steel | Diesel</v>
      </c>
      <c r="E921" s="3" t="str">
        <f>IFERROR(INDEX(SecLab,MATCH($B921,SecKey,0)),"")</f>
        <v>Iron &amp; steel</v>
      </c>
      <c r="F921" s="3" t="str">
        <f>IFERROR(INDEX(FuelLab,MATCH($C921,FuelKeyL,0)),"")</f>
        <v>Diesel</v>
      </c>
      <c r="G921" s="3" t="inlineStr">
        <is>
          <t>.irn.die</t>
        </is>
      </c>
      <c r="I921" s="3" t="inlineStr">
        <is>
          <t>trvht|pas|all</t>
        </is>
      </c>
      <c r="J921" s="3" t="inlineStr">
        <is>
          <t>pass.own.all</t>
        </is>
      </c>
    </row>
    <row r="922">
      <c r="A922" s="3" t="str">
        <f>$B922&amp;"|"&amp;$C922</f>
        <v>nfm|die</v>
      </c>
      <c r="B922" s="3" t="inlineStr">
        <is>
          <t>nfm</t>
        </is>
      </c>
      <c r="C922" s="3" t="inlineStr">
        <is>
          <t>die</t>
        </is>
      </c>
      <c r="D922" s="3" t="str">
        <f>IF($B922="",""," | "&amp;$E922&amp;" | "&amp;$F922)</f>
        <v> | Other metals | Diesel</v>
      </c>
      <c r="E922" s="3" t="str">
        <f>IFERROR(INDEX(SecLab,MATCH($B922,SecKey,0)),"")</f>
        <v>Other metals</v>
      </c>
      <c r="F922" s="3" t="str">
        <f>IFERROR(INDEX(FuelLab,MATCH($C922,FuelKeyL,0)),"")</f>
        <v>Diesel</v>
      </c>
      <c r="G922" s="3" t="inlineStr">
        <is>
          <t>.nfm.die</t>
        </is>
      </c>
      <c r="I922" s="3" t="inlineStr">
        <is>
          <t>trvhtf|fre|all</t>
        </is>
      </c>
      <c r="J922" s="3" t="inlineStr">
        <is>
          <t>fre.own.all</t>
        </is>
      </c>
    </row>
    <row r="923">
      <c r="A923" s="3" t="str">
        <f>$B923&amp;"|"&amp;$C923</f>
        <v>mac|die</v>
      </c>
      <c r="B923" s="3" t="inlineStr">
        <is>
          <t>mac</t>
        </is>
      </c>
      <c r="C923" s="3" t="inlineStr">
        <is>
          <t>die</t>
        </is>
      </c>
      <c r="D923" s="3" t="str">
        <f>IF($B923="",""," | "&amp;$E923&amp;" | "&amp;$F923)</f>
        <v> | Machinery | Diesel</v>
      </c>
      <c r="E923" s="3" t="str">
        <f>IFERROR(INDEX(SecLab,MATCH($B923,SecKey,0)),"")</f>
        <v>Machinery</v>
      </c>
      <c r="F923" s="3" t="str">
        <f>IFERROR(INDEX(FuelLab,MATCH($C923,FuelKeyL,0)),"")</f>
        <v>Diesel</v>
      </c>
      <c r="G923" s="3" t="inlineStr">
        <is>
          <t>.mac.die</t>
        </is>
      </c>
      <c r="I923" s="3" t="inlineStr">
        <is>
          <t>trvhtc|cyc|all</t>
        </is>
      </c>
      <c r="J923" s="3" t="inlineStr">
        <is>
          <t>motor.own.all</t>
        </is>
      </c>
    </row>
    <row r="924">
      <c r="A924" s="3" t="str">
        <f>$B924&amp;"|"&amp;$C924</f>
        <v>cem|die</v>
      </c>
      <c r="B924" s="3" t="inlineStr">
        <is>
          <t>cem</t>
        </is>
      </c>
      <c r="C924" s="3" t="inlineStr">
        <is>
          <t>die</t>
        </is>
      </c>
      <c r="D924" s="3" t="str">
        <f>IF($B924="",""," | "&amp;$E924&amp;" | "&amp;$F924)</f>
        <v> | Cement | Diesel</v>
      </c>
      <c r="E924" s="3" t="str">
        <f>IFERROR(INDEX(SecLab,MATCH($B924,SecKey,0)),"")</f>
        <v>Cement</v>
      </c>
      <c r="F924" s="3" t="str">
        <f>IFERROR(INDEX(FuelLab,MATCH($C924,FuelKeyL,0)),"")</f>
        <v>Diesel</v>
      </c>
      <c r="G924" s="3" t="inlineStr">
        <is>
          <t>.cem.die</t>
        </is>
      </c>
      <c r="I924" s="3" t="inlineStr">
        <is>
          <t>trvhta|all|all</t>
        </is>
      </c>
      <c r="J924" s="3" t="inlineStr">
        <is>
          <t>all.own.all</t>
        </is>
      </c>
    </row>
    <row r="925">
      <c r="A925" s="3" t="str">
        <f>$B925&amp;"|"&amp;$C925</f>
        <v>omn|die</v>
      </c>
      <c r="B925" s="3" t="inlineStr">
        <is>
          <t>omn</t>
        </is>
      </c>
      <c r="C925" s="3" t="inlineStr">
        <is>
          <t>die</t>
        </is>
      </c>
      <c r="D925" s="3" t="str">
        <f>IF($B925="",""," | "&amp;$E925&amp;" | "&amp;$F925)</f>
        <v> | Other manufacturing | Diesel</v>
      </c>
      <c r="E925" s="3" t="str">
        <f>IFERROR(INDEX(SecLab,MATCH($B925,SecKey,0)),"")</f>
        <v>Other manufacturing</v>
      </c>
      <c r="F925" s="3" t="str">
        <f>IFERROR(INDEX(FuelLab,MATCH($C925,FuelKeyL,0)),"")</f>
        <v>Diesel</v>
      </c>
      <c r="G925" s="3" t="inlineStr">
        <is>
          <t>.omn.die</t>
        </is>
      </c>
      <c r="I925" s="3" t="inlineStr">
        <is>
          <t>trsum|rod|all</t>
        </is>
      </c>
      <c r="J925" s="3" t="inlineStr">
        <is>
          <t>trsum.rod.tot</t>
        </is>
      </c>
    </row>
    <row r="926">
      <c r="A926" s="3" t="str">
        <f>$B926&amp;"|"&amp;$C926</f>
        <v>cst|die</v>
      </c>
      <c r="B926" s="3" t="inlineStr">
        <is>
          <t>cst</t>
        </is>
      </c>
      <c r="C926" s="3" t="inlineStr">
        <is>
          <t>die</t>
        </is>
      </c>
      <c r="D926" s="3" t="str">
        <f>IF($B926="",""," | "&amp;$E926&amp;" | "&amp;$F926)</f>
        <v> | Construction | Diesel</v>
      </c>
      <c r="E926" s="3" t="str">
        <f>IFERROR(INDEX(SecLab,MATCH($B926,SecKey,0)),"")</f>
        <v>Construction</v>
      </c>
      <c r="F926" s="3" t="str">
        <f>IFERROR(INDEX(FuelLab,MATCH($C926,FuelKeyL,0)),"")</f>
        <v>Diesel</v>
      </c>
      <c r="G926" s="3" t="inlineStr">
        <is>
          <t>.cst.die</t>
        </is>
      </c>
      <c r="I926" s="3" t="inlineStr">
        <is>
          <t>ener|res|all</t>
        </is>
      </c>
      <c r="J926" s="3" t="inlineStr">
        <is>
          <t>ener.res.tot</t>
        </is>
      </c>
    </row>
    <row r="927">
      <c r="A927" s="3" t="str">
        <f>$B927&amp;"|"&amp;$C927</f>
        <v>ftr|die</v>
      </c>
      <c r="B927" s="3" t="inlineStr">
        <is>
          <t>ftr</t>
        </is>
      </c>
      <c r="C927" s="3" t="inlineStr">
        <is>
          <t>die</t>
        </is>
      </c>
      <c r="D927" s="3" t="str">
        <f>IF($B927="",""," | "&amp;$E927&amp;" | "&amp;$F927)</f>
        <v> | Fuel transformation | Diesel</v>
      </c>
      <c r="E927" s="3" t="str">
        <f>IFERROR(INDEX(SecLab,MATCH($B927,SecKey,0)),"")</f>
        <v>Fuel transformation</v>
      </c>
      <c r="F927" s="3" t="str">
        <f>IFERROR(INDEX(FuelLab,MATCH($C927,FuelKeyL,0)),"")</f>
        <v>Diesel</v>
      </c>
      <c r="G927" s="3" t="inlineStr">
        <is>
          <t>.ftr.die</t>
        </is>
      </c>
      <c r="I927" s="3" t="inlineStr">
        <is>
          <t>ch4|res|coa</t>
        </is>
      </c>
      <c r="J927" s="3" t="inlineStr">
        <is>
          <t>em.res.coa.ch4</t>
        </is>
      </c>
    </row>
    <row r="928">
      <c r="A928" s="3" t="str">
        <f>$B928&amp;"|"&amp;$C928</f>
        <v>oen|die</v>
      </c>
      <c r="B928" s="3" t="inlineStr">
        <is>
          <t>oen</t>
        </is>
      </c>
      <c r="C928" s="3" t="inlineStr">
        <is>
          <t>die</t>
        </is>
      </c>
      <c r="D928" s="3" t="str">
        <f>IF($B928="",""," | "&amp;$E928&amp;" | "&amp;$F928)</f>
        <v> | Other energy use | Diesel</v>
      </c>
      <c r="E928" s="3" t="str">
        <f>IFERROR(INDEX(SecLab,MATCH($B928,SecKey,0)),"")</f>
        <v>Other energy use</v>
      </c>
      <c r="F928" s="3" t="str">
        <f>IFERROR(INDEX(FuelLab,MATCH($C928,FuelKeyL,0)),"")</f>
        <v>Diesel</v>
      </c>
      <c r="G928" s="3" t="inlineStr">
        <is>
          <t>.oen.die</t>
        </is>
      </c>
      <c r="I928" s="3" t="inlineStr">
        <is>
          <t>ch4|res|nga</t>
        </is>
      </c>
      <c r="J928" s="3" t="inlineStr">
        <is>
          <t>em.res.nga.ch4</t>
        </is>
      </c>
    </row>
    <row r="929">
      <c r="A929" s="3" t="str">
        <f>$B929&amp;"|"&amp;$C929</f>
        <v>rod|lpg</v>
      </c>
      <c r="B929" s="3" t="inlineStr">
        <is>
          <t>rod</t>
        </is>
      </c>
      <c r="C929" s="3" t="inlineStr">
        <is>
          <t>lpg</t>
        </is>
      </c>
      <c r="D929" s="3" t="str">
        <f>IF($B929="",""," | "&amp;$E929&amp;" | "&amp;$F929)</f>
        <v> | Road | LPG</v>
      </c>
      <c r="E929" s="3" t="str">
        <f>IFERROR(INDEX(SecLab,MATCH($B929,SecKey,0)),"")</f>
        <v>Road</v>
      </c>
      <c r="F929" s="3" t="str">
        <f>IFERROR(INDEX(FuelLab,MATCH($C929,FuelKeyL,0)),"")</f>
        <v>LPG</v>
      </c>
      <c r="G929" s="3" t="inlineStr">
        <is>
          <t>.rod.lpg</t>
        </is>
      </c>
      <c r="I929" s="3" t="inlineStr">
        <is>
          <t>ch4|res|gso</t>
        </is>
      </c>
      <c r="J929" s="3" t="inlineStr">
        <is>
          <t>em.res.gso.ch4</t>
        </is>
      </c>
    </row>
    <row r="930">
      <c r="A930" s="3" t="str">
        <f>$B930&amp;"|"&amp;$C930</f>
        <v>ral|lpg</v>
      </c>
      <c r="B930" s="3" t="inlineStr">
        <is>
          <t>ral</t>
        </is>
      </c>
      <c r="C930" s="3" t="inlineStr">
        <is>
          <t>lpg</t>
        </is>
      </c>
      <c r="D930" s="3" t="str">
        <f>IF($B930="",""," | "&amp;$E930&amp;" | "&amp;$F930)</f>
        <v> | Rail | LPG</v>
      </c>
      <c r="E930" s="3" t="str">
        <f>IFERROR(INDEX(SecLab,MATCH($B930,SecKey,0)),"")</f>
        <v>Rail</v>
      </c>
      <c r="F930" s="3" t="str">
        <f>IFERROR(INDEX(FuelLab,MATCH($C930,FuelKeyL,0)),"")</f>
        <v>LPG</v>
      </c>
      <c r="G930" s="3" t="inlineStr">
        <is>
          <t>.ral.lpg</t>
        </is>
      </c>
      <c r="I930" s="3" t="inlineStr">
        <is>
          <t>ch4|res|die</t>
        </is>
      </c>
      <c r="J930" s="3" t="inlineStr">
        <is>
          <t>em.res.die.ch4</t>
        </is>
      </c>
    </row>
    <row r="931">
      <c r="A931" s="3" t="str">
        <f>$B931&amp;"|"&amp;$C931</f>
        <v>avi|lpg</v>
      </c>
      <c r="B931" s="3" t="inlineStr">
        <is>
          <t>avi</t>
        </is>
      </c>
      <c r="C931" s="3" t="inlineStr">
        <is>
          <t>lpg</t>
        </is>
      </c>
      <c r="D931" s="3" t="str">
        <f>IF($B931="",""," | "&amp;$E931&amp;" | "&amp;$F931)</f>
        <v> | Domestic aviation | LPG</v>
      </c>
      <c r="E931" s="3" t="str">
        <f>IFERROR(INDEX(SecLab,MATCH($B931,SecKey,0)),"")</f>
        <v>Domestic aviation</v>
      </c>
      <c r="F931" s="3" t="str">
        <f>IFERROR(INDEX(FuelLab,MATCH($C931,FuelKeyL,0)),"")</f>
        <v>LPG</v>
      </c>
      <c r="G931" s="3" t="inlineStr">
        <is>
          <t>.avi.lpg</t>
        </is>
      </c>
      <c r="I931" s="3" t="inlineStr">
        <is>
          <t>ch4|res|lpg</t>
        </is>
      </c>
      <c r="J931" s="3" t="inlineStr">
        <is>
          <t>em.res.lpg.ch4</t>
        </is>
      </c>
    </row>
    <row r="932">
      <c r="A932" s="3" t="str">
        <f>$B932&amp;"|"&amp;$C932</f>
        <v>nav|lpg</v>
      </c>
      <c r="B932" s="3" t="inlineStr">
        <is>
          <t>nav</t>
        </is>
      </c>
      <c r="C932" s="3" t="inlineStr">
        <is>
          <t>lpg</t>
        </is>
      </c>
      <c r="D932" s="3" t="str">
        <f>IF($B932="",""," | "&amp;$E932&amp;" | "&amp;$F932)</f>
        <v> | Domestic navigation | LPG</v>
      </c>
      <c r="E932" s="3" t="str">
        <f>IFERROR(INDEX(SecLab,MATCH($B932,SecKey,0)),"")</f>
        <v>Domestic navigation</v>
      </c>
      <c r="F932" s="3" t="str">
        <f>IFERROR(INDEX(FuelLab,MATCH($C932,FuelKeyL,0)),"")</f>
        <v>LPG</v>
      </c>
      <c r="G932" s="3" t="inlineStr">
        <is>
          <t>.nav.lpg</t>
        </is>
      </c>
      <c r="I932" s="3" t="inlineStr">
        <is>
          <t>ch4|res|ker</t>
        </is>
      </c>
      <c r="J932" s="3" t="inlineStr">
        <is>
          <t>em.res.ker.ch4</t>
        </is>
      </c>
    </row>
    <row r="933">
      <c r="A933" s="3" t="str">
        <f>$B933&amp;"|"&amp;$C933</f>
        <v>res|lpg</v>
      </c>
      <c r="B933" s="3" t="inlineStr">
        <is>
          <t>res</t>
        </is>
      </c>
      <c r="C933" s="3" t="inlineStr">
        <is>
          <t>lpg</t>
        </is>
      </c>
      <c r="D933" s="3" t="str">
        <f>IF($B933="",""," | "&amp;$E933&amp;" | "&amp;$F933)</f>
        <v> | Residential | LPG</v>
      </c>
      <c r="E933" s="3" t="str">
        <f>IFERROR(INDEX(SecLab,MATCH($B933,SecKey,0)),"")</f>
        <v>Residential</v>
      </c>
      <c r="F933" s="3" t="str">
        <f>IFERROR(INDEX(FuelLab,MATCH($C933,FuelKeyL,0)),"")</f>
        <v>LPG</v>
      </c>
      <c r="G933" s="3" t="inlineStr">
        <is>
          <t>.res.lpg</t>
        </is>
      </c>
      <c r="I933" s="3" t="inlineStr">
        <is>
          <t>ch4|res|jfu</t>
        </is>
      </c>
      <c r="J933" s="3" t="inlineStr">
        <is>
          <t>em.res.jfu.ch4</t>
        </is>
      </c>
    </row>
    <row r="934">
      <c r="A934" s="3" t="str">
        <f>$B934&amp;"|"&amp;$C934</f>
        <v>foo|lpg</v>
      </c>
      <c r="B934" s="3" t="inlineStr">
        <is>
          <t>foo</t>
        </is>
      </c>
      <c r="C934" s="3" t="inlineStr">
        <is>
          <t>lpg</t>
        </is>
      </c>
      <c r="D934" s="3" t="str">
        <f>IF($B934="",""," | "&amp;$E934&amp;" | "&amp;$F934)</f>
        <v> | Food &amp; forestry | LPG</v>
      </c>
      <c r="E934" s="3" t="str">
        <f>IFERROR(INDEX(SecLab,MATCH($B934,SecKey,0)),"")</f>
        <v>Food &amp; forestry</v>
      </c>
      <c r="F934" s="3" t="str">
        <f>IFERROR(INDEX(FuelLab,MATCH($C934,FuelKeyL,0)),"")</f>
        <v>LPG</v>
      </c>
      <c r="G934" s="3" t="inlineStr">
        <is>
          <t>.foo.lpg</t>
        </is>
      </c>
      <c r="I934" s="3" t="inlineStr">
        <is>
          <t>ch4|res|oop</t>
        </is>
      </c>
      <c r="J934" s="3" t="inlineStr">
        <is>
          <t>em.res.oop.ch4</t>
        </is>
      </c>
    </row>
    <row r="935">
      <c r="A935" s="3" t="str">
        <f>$B935&amp;"|"&amp;$C935</f>
        <v>srv|lpg</v>
      </c>
      <c r="B935" s="3" t="inlineStr">
        <is>
          <t>srv</t>
        </is>
      </c>
      <c r="C935" s="3" t="inlineStr">
        <is>
          <t>lpg</t>
        </is>
      </c>
      <c r="D935" s="3" t="str">
        <f>IF($B935="",""," | "&amp;$E935&amp;" | "&amp;$F935)</f>
        <v> | Services (public &amp; private) | LPG</v>
      </c>
      <c r="E935" s="3" t="str">
        <f>IFERROR(INDEX(SecLab,MATCH($B935,SecKey,0)),"")</f>
        <v>Services (public &amp; private)</v>
      </c>
      <c r="F935" s="3" t="str">
        <f>IFERROR(INDEX(FuelLab,MATCH($C935,FuelKeyL,0)),"")</f>
        <v>LPG</v>
      </c>
      <c r="G935" s="3" t="inlineStr">
        <is>
          <t>.srv.lpg</t>
        </is>
      </c>
      <c r="I935" s="3" t="inlineStr">
        <is>
          <t>ch4|res|bio</t>
        </is>
      </c>
      <c r="J935" s="3" t="inlineStr">
        <is>
          <t>em.res.bio.ch4</t>
        </is>
      </c>
    </row>
    <row r="936">
      <c r="A936" s="3" t="str">
        <f>$B936&amp;"|"&amp;$C936</f>
        <v>mch|lpg</v>
      </c>
      <c r="B936" s="3" t="inlineStr">
        <is>
          <t>mch</t>
        </is>
      </c>
      <c r="C936" s="3" t="inlineStr">
        <is>
          <t>lpg</t>
        </is>
      </c>
      <c r="D936" s="3" t="str">
        <f>IF($B936="",""," | "&amp;$E936&amp;" | "&amp;$F936)</f>
        <v> | Mining &amp; chemicals | LPG</v>
      </c>
      <c r="E936" s="3" t="str">
        <f>IFERROR(INDEX(SecLab,MATCH($B936,SecKey,0)),"")</f>
        <v>Mining &amp; chemicals</v>
      </c>
      <c r="F936" s="3" t="str">
        <f>IFERROR(INDEX(FuelLab,MATCH($C936,FuelKeyL,0)),"")</f>
        <v>LPG</v>
      </c>
      <c r="G936" s="3" t="inlineStr">
        <is>
          <t>.mch.lpg</t>
        </is>
      </c>
      <c r="I936" s="3" t="inlineStr">
        <is>
          <t>ener|foo|all</t>
        </is>
      </c>
      <c r="J936" s="3" t="inlineStr">
        <is>
          <t>ener.foo.tot</t>
        </is>
      </c>
    </row>
    <row r="937">
      <c r="A937" s="3" t="str">
        <f>$B937&amp;"|"&amp;$C937</f>
        <v>irn|lpg</v>
      </c>
      <c r="B937" s="3" t="inlineStr">
        <is>
          <t>irn</t>
        </is>
      </c>
      <c r="C937" s="3" t="inlineStr">
        <is>
          <t>lpg</t>
        </is>
      </c>
      <c r="D937" s="3" t="str">
        <f>IF($B937="",""," | "&amp;$E937&amp;" | "&amp;$F937)</f>
        <v> | Iron &amp; steel | LPG</v>
      </c>
      <c r="E937" s="3" t="str">
        <f>IFERROR(INDEX(SecLab,MATCH($B937,SecKey,0)),"")</f>
        <v>Iron &amp; steel</v>
      </c>
      <c r="F937" s="3" t="str">
        <f>IFERROR(INDEX(FuelLab,MATCH($C937,FuelKeyL,0)),"")</f>
        <v>LPG</v>
      </c>
      <c r="G937" s="3" t="inlineStr">
        <is>
          <t>.irn.lpg</t>
        </is>
      </c>
      <c r="I937" s="3" t="inlineStr">
        <is>
          <t>ch4|foo|coa</t>
        </is>
      </c>
      <c r="J937" s="3" t="inlineStr">
        <is>
          <t>em.foo.coa.ch4</t>
        </is>
      </c>
    </row>
    <row r="938">
      <c r="A938" s="3" t="str">
        <f>$B938&amp;"|"&amp;$C938</f>
        <v>nfm|lpg</v>
      </c>
      <c r="B938" s="3" t="inlineStr">
        <is>
          <t>nfm</t>
        </is>
      </c>
      <c r="C938" s="3" t="inlineStr">
        <is>
          <t>lpg</t>
        </is>
      </c>
      <c r="D938" s="3" t="str">
        <f>IF($B938="",""," | "&amp;$E938&amp;" | "&amp;$F938)</f>
        <v> | Other metals | LPG</v>
      </c>
      <c r="E938" s="3" t="str">
        <f>IFERROR(INDEX(SecLab,MATCH($B938,SecKey,0)),"")</f>
        <v>Other metals</v>
      </c>
      <c r="F938" s="3" t="str">
        <f>IFERROR(INDEX(FuelLab,MATCH($C938,FuelKeyL,0)),"")</f>
        <v>LPG</v>
      </c>
      <c r="G938" s="3" t="inlineStr">
        <is>
          <t>.nfm.lpg</t>
        </is>
      </c>
      <c r="I938" s="3" t="inlineStr">
        <is>
          <t>ch4|foo|nga</t>
        </is>
      </c>
      <c r="J938" s="3" t="inlineStr">
        <is>
          <t>em.foo.nga.ch4</t>
        </is>
      </c>
    </row>
    <row r="939">
      <c r="A939" s="3" t="str">
        <f>$B939&amp;"|"&amp;$C939</f>
        <v>mac|lpg</v>
      </c>
      <c r="B939" s="3" t="inlineStr">
        <is>
          <t>mac</t>
        </is>
      </c>
      <c r="C939" s="3" t="inlineStr">
        <is>
          <t>lpg</t>
        </is>
      </c>
      <c r="D939" s="3" t="str">
        <f>IF($B939="",""," | "&amp;$E939&amp;" | "&amp;$F939)</f>
        <v> | Machinery | LPG</v>
      </c>
      <c r="E939" s="3" t="str">
        <f>IFERROR(INDEX(SecLab,MATCH($B939,SecKey,0)),"")</f>
        <v>Machinery</v>
      </c>
      <c r="F939" s="3" t="str">
        <f>IFERROR(INDEX(FuelLab,MATCH($C939,FuelKeyL,0)),"")</f>
        <v>LPG</v>
      </c>
      <c r="G939" s="3" t="inlineStr">
        <is>
          <t>.mac.lpg</t>
        </is>
      </c>
      <c r="I939" s="3" t="inlineStr">
        <is>
          <t>ch4|foo|gso</t>
        </is>
      </c>
      <c r="J939" s="3" t="inlineStr">
        <is>
          <t>em.foo.gso.ch4</t>
        </is>
      </c>
    </row>
    <row r="940">
      <c r="A940" s="3" t="str">
        <f>$B940&amp;"|"&amp;$C940</f>
        <v>cem|lpg</v>
      </c>
      <c r="B940" s="3" t="inlineStr">
        <is>
          <t>cem</t>
        </is>
      </c>
      <c r="C940" s="3" t="inlineStr">
        <is>
          <t>lpg</t>
        </is>
      </c>
      <c r="D940" s="3" t="str">
        <f>IF($B940="",""," | "&amp;$E940&amp;" | "&amp;$F940)</f>
        <v> | Cement | LPG</v>
      </c>
      <c r="E940" s="3" t="str">
        <f>IFERROR(INDEX(SecLab,MATCH($B940,SecKey,0)),"")</f>
        <v>Cement</v>
      </c>
      <c r="F940" s="3" t="str">
        <f>IFERROR(INDEX(FuelLab,MATCH($C940,FuelKeyL,0)),"")</f>
        <v>LPG</v>
      </c>
      <c r="G940" s="3" t="inlineStr">
        <is>
          <t>.cem.lpg</t>
        </is>
      </c>
      <c r="I940" s="3" t="inlineStr">
        <is>
          <t>ch4|foo|die</t>
        </is>
      </c>
      <c r="J940" s="3" t="inlineStr">
        <is>
          <t>em.foo.die.ch4</t>
        </is>
      </c>
    </row>
    <row r="941">
      <c r="A941" s="3" t="str">
        <f>$B941&amp;"|"&amp;$C941</f>
        <v>omn|lpg</v>
      </c>
      <c r="B941" s="3" t="inlineStr">
        <is>
          <t>omn</t>
        </is>
      </c>
      <c r="C941" s="3" t="inlineStr">
        <is>
          <t>lpg</t>
        </is>
      </c>
      <c r="D941" s="3" t="str">
        <f>IF($B941="",""," | "&amp;$E941&amp;" | "&amp;$F941)</f>
        <v> | Other manufacturing | LPG</v>
      </c>
      <c r="E941" s="3" t="str">
        <f>IFERROR(INDEX(SecLab,MATCH($B941,SecKey,0)),"")</f>
        <v>Other manufacturing</v>
      </c>
      <c r="F941" s="3" t="str">
        <f>IFERROR(INDEX(FuelLab,MATCH($C941,FuelKeyL,0)),"")</f>
        <v>LPG</v>
      </c>
      <c r="G941" s="3" t="inlineStr">
        <is>
          <t>.omn.lpg</t>
        </is>
      </c>
      <c r="I941" s="3" t="inlineStr">
        <is>
          <t>ch4|foo|lpg</t>
        </is>
      </c>
      <c r="J941" s="3" t="inlineStr">
        <is>
          <t>em.foo.lpg.ch4</t>
        </is>
      </c>
    </row>
    <row r="942">
      <c r="A942" s="3" t="str">
        <f>$B942&amp;"|"&amp;$C942</f>
        <v>cst|lpg</v>
      </c>
      <c r="B942" s="3" t="inlineStr">
        <is>
          <t>cst</t>
        </is>
      </c>
      <c r="C942" s="3" t="inlineStr">
        <is>
          <t>lpg</t>
        </is>
      </c>
      <c r="D942" s="3" t="str">
        <f>IF($B942="",""," | "&amp;$E942&amp;" | "&amp;$F942)</f>
        <v> | Construction | LPG</v>
      </c>
      <c r="E942" s="3" t="str">
        <f>IFERROR(INDEX(SecLab,MATCH($B942,SecKey,0)),"")</f>
        <v>Construction</v>
      </c>
      <c r="F942" s="3" t="str">
        <f>IFERROR(INDEX(FuelLab,MATCH($C942,FuelKeyL,0)),"")</f>
        <v>LPG</v>
      </c>
      <c r="G942" s="3" t="inlineStr">
        <is>
          <t>.cst.lpg</t>
        </is>
      </c>
      <c r="I942" s="3" t="inlineStr">
        <is>
          <t>ch4|foo|ker</t>
        </is>
      </c>
      <c r="J942" s="3" t="inlineStr">
        <is>
          <t>em.foo.ker.ch4</t>
        </is>
      </c>
    </row>
    <row r="943">
      <c r="A943" s="3" t="str">
        <f>$B943&amp;"|"&amp;$C943</f>
        <v>ftr|lpg</v>
      </c>
      <c r="B943" s="3" t="inlineStr">
        <is>
          <t>ftr</t>
        </is>
      </c>
      <c r="C943" s="3" t="inlineStr">
        <is>
          <t>lpg</t>
        </is>
      </c>
      <c r="D943" s="3" t="str">
        <f>IF($B943="",""," | "&amp;$E943&amp;" | "&amp;$F943)</f>
        <v> | Fuel transformation | LPG</v>
      </c>
      <c r="E943" s="3" t="str">
        <f>IFERROR(INDEX(SecLab,MATCH($B943,SecKey,0)),"")</f>
        <v>Fuel transformation</v>
      </c>
      <c r="F943" s="3" t="str">
        <f>IFERROR(INDEX(FuelLab,MATCH($C943,FuelKeyL,0)),"")</f>
        <v>LPG</v>
      </c>
      <c r="G943" s="3" t="inlineStr">
        <is>
          <t>.ftr.lpg</t>
        </is>
      </c>
      <c r="I943" s="3" t="inlineStr">
        <is>
          <t>ch4|foo|jfu</t>
        </is>
      </c>
      <c r="J943" s="3" t="inlineStr">
        <is>
          <t>em.foo.jfu.ch4</t>
        </is>
      </c>
    </row>
    <row r="944">
      <c r="A944" s="3" t="str">
        <f>$B944&amp;"|"&amp;$C944</f>
        <v>oen|lpg</v>
      </c>
      <c r="B944" s="3" t="inlineStr">
        <is>
          <t>oen</t>
        </is>
      </c>
      <c r="C944" s="3" t="inlineStr">
        <is>
          <t>lpg</t>
        </is>
      </c>
      <c r="D944" s="3" t="str">
        <f>IF($B944="",""," | "&amp;$E944&amp;" | "&amp;$F944)</f>
        <v> | Other energy use | LPG</v>
      </c>
      <c r="E944" s="3" t="str">
        <f>IFERROR(INDEX(SecLab,MATCH($B944,SecKey,0)),"")</f>
        <v>Other energy use</v>
      </c>
      <c r="F944" s="3" t="str">
        <f>IFERROR(INDEX(FuelLab,MATCH($C944,FuelKeyL,0)),"")</f>
        <v>LPG</v>
      </c>
      <c r="G944" s="3" t="inlineStr">
        <is>
          <t>.oen.lpg</t>
        </is>
      </c>
      <c r="I944" s="3" t="inlineStr">
        <is>
          <t>ch4|foo|oop</t>
        </is>
      </c>
      <c r="J944" s="3" t="inlineStr">
        <is>
          <t>em.foo.oop.ch4</t>
        </is>
      </c>
    </row>
    <row r="945">
      <c r="A945" s="3" t="str">
        <f>$B945&amp;"|"&amp;$C945</f>
        <v>rod|ker</v>
      </c>
      <c r="B945" s="3" t="inlineStr">
        <is>
          <t>rod</t>
        </is>
      </c>
      <c r="C945" s="3" t="inlineStr">
        <is>
          <t>ker</t>
        </is>
      </c>
      <c r="D945" s="3" t="str">
        <f>IF($B945="",""," | "&amp;$E945&amp;" | "&amp;$F945)</f>
        <v> | Road | Kerosene</v>
      </c>
      <c r="E945" s="3" t="str">
        <f>IFERROR(INDEX(SecLab,MATCH($B945,SecKey,0)),"")</f>
        <v>Road</v>
      </c>
      <c r="F945" s="3" t="str">
        <f>IFERROR(INDEX(FuelLab,MATCH($C945,FuelKeyL,0)),"")</f>
        <v>Kerosene</v>
      </c>
      <c r="G945" s="3" t="inlineStr">
        <is>
          <t>.rod.ker</t>
        </is>
      </c>
      <c r="I945" s="3" t="inlineStr">
        <is>
          <t>ch4|foo|bio</t>
        </is>
      </c>
      <c r="J945" s="3" t="inlineStr">
        <is>
          <t>em.foo.bio.ch4</t>
        </is>
      </c>
    </row>
    <row r="946">
      <c r="A946" s="3" t="str">
        <f>$B946&amp;"|"&amp;$C946</f>
        <v>ral|ker</v>
      </c>
      <c r="B946" s="3" t="inlineStr">
        <is>
          <t>ral</t>
        </is>
      </c>
      <c r="C946" s="3" t="inlineStr">
        <is>
          <t>ker</t>
        </is>
      </c>
      <c r="D946" s="3" t="str">
        <f>IF($B946="",""," | "&amp;$E946&amp;" | "&amp;$F946)</f>
        <v> | Rail | Kerosene</v>
      </c>
      <c r="E946" s="3" t="str">
        <f>IFERROR(INDEX(SecLab,MATCH($B946,SecKey,0)),"")</f>
        <v>Rail</v>
      </c>
      <c r="F946" s="3" t="str">
        <f>IFERROR(INDEX(FuelLab,MATCH($C946,FuelKeyL,0)),"")</f>
        <v>Kerosene</v>
      </c>
      <c r="G946" s="3" t="inlineStr">
        <is>
          <t>.ral.ker</t>
        </is>
      </c>
      <c r="I946" s="3" t="inlineStr">
        <is>
          <t>ener|srv|all</t>
        </is>
      </c>
      <c r="J946" s="3" t="inlineStr">
        <is>
          <t>ener.srv.tot</t>
        </is>
      </c>
    </row>
    <row r="947">
      <c r="A947" s="3" t="str">
        <f>$B947&amp;"|"&amp;$C947</f>
        <v>avi|ker</v>
      </c>
      <c r="B947" s="3" t="inlineStr">
        <is>
          <t>avi</t>
        </is>
      </c>
      <c r="C947" s="3" t="inlineStr">
        <is>
          <t>ker</t>
        </is>
      </c>
      <c r="D947" s="3" t="str">
        <f>IF($B947="",""," | "&amp;$E947&amp;" | "&amp;$F947)</f>
        <v> | Domestic aviation | Kerosene</v>
      </c>
      <c r="E947" s="3" t="str">
        <f>IFERROR(INDEX(SecLab,MATCH($B947,SecKey,0)),"")</f>
        <v>Domestic aviation</v>
      </c>
      <c r="F947" s="3" t="str">
        <f>IFERROR(INDEX(FuelLab,MATCH($C947,FuelKeyL,0)),"")</f>
        <v>Kerosene</v>
      </c>
      <c r="G947" s="3" t="inlineStr">
        <is>
          <t>.avi.ker</t>
        </is>
      </c>
      <c r="I947" s="3" t="inlineStr">
        <is>
          <t>ch4|srv|coa</t>
        </is>
      </c>
      <c r="J947" s="3" t="inlineStr">
        <is>
          <t>em.srv.coa.ch4</t>
        </is>
      </c>
    </row>
    <row r="948">
      <c r="A948" s="3" t="str">
        <f>$B948&amp;"|"&amp;$C948</f>
        <v>nav|ker</v>
      </c>
      <c r="B948" s="3" t="inlineStr">
        <is>
          <t>nav</t>
        </is>
      </c>
      <c r="C948" s="3" t="inlineStr">
        <is>
          <t>ker</t>
        </is>
      </c>
      <c r="D948" s="3" t="str">
        <f>IF($B948="",""," | "&amp;$E948&amp;" | "&amp;$F948)</f>
        <v> | Domestic navigation | Kerosene</v>
      </c>
      <c r="E948" s="3" t="str">
        <f>IFERROR(INDEX(SecLab,MATCH($B948,SecKey,0)),"")</f>
        <v>Domestic navigation</v>
      </c>
      <c r="F948" s="3" t="str">
        <f>IFERROR(INDEX(FuelLab,MATCH($C948,FuelKeyL,0)),"")</f>
        <v>Kerosene</v>
      </c>
      <c r="G948" s="3" t="inlineStr">
        <is>
          <t>.nav.ker</t>
        </is>
      </c>
      <c r="I948" s="3" t="inlineStr">
        <is>
          <t>ch4|srv|nga</t>
        </is>
      </c>
      <c r="J948" s="3" t="inlineStr">
        <is>
          <t>em.srv.nga.ch4</t>
        </is>
      </c>
    </row>
    <row r="949">
      <c r="A949" s="3" t="str">
        <f>$B949&amp;"|"&amp;$C949</f>
        <v>res|ker</v>
      </c>
      <c r="B949" s="3" t="inlineStr">
        <is>
          <t>res</t>
        </is>
      </c>
      <c r="C949" s="3" t="inlineStr">
        <is>
          <t>ker</t>
        </is>
      </c>
      <c r="D949" s="3" t="str">
        <f>IF($B949="",""," | "&amp;$E949&amp;" | "&amp;$F949)</f>
        <v> | Residential | Kerosene</v>
      </c>
      <c r="E949" s="3" t="str">
        <f>IFERROR(INDEX(SecLab,MATCH($B949,SecKey,0)),"")</f>
        <v>Residential</v>
      </c>
      <c r="F949" s="3" t="str">
        <f>IFERROR(INDEX(FuelLab,MATCH($C949,FuelKeyL,0)),"")</f>
        <v>Kerosene</v>
      </c>
      <c r="G949" s="3" t="inlineStr">
        <is>
          <t>.res.ker</t>
        </is>
      </c>
      <c r="I949" s="3" t="inlineStr">
        <is>
          <t>ch4|srv|gso</t>
        </is>
      </c>
      <c r="J949" s="3" t="inlineStr">
        <is>
          <t>em.srv.gso.ch4</t>
        </is>
      </c>
    </row>
    <row r="950">
      <c r="A950" s="3" t="str">
        <f>$B950&amp;"|"&amp;$C950</f>
        <v>foo|ker</v>
      </c>
      <c r="B950" s="3" t="inlineStr">
        <is>
          <t>foo</t>
        </is>
      </c>
      <c r="C950" s="3" t="inlineStr">
        <is>
          <t>ker</t>
        </is>
      </c>
      <c r="D950" s="3" t="str">
        <f>IF($B950="",""," | "&amp;$E950&amp;" | "&amp;$F950)</f>
        <v> | Food &amp; forestry | Kerosene</v>
      </c>
      <c r="E950" s="3" t="str">
        <f>IFERROR(INDEX(SecLab,MATCH($B950,SecKey,0)),"")</f>
        <v>Food &amp; forestry</v>
      </c>
      <c r="F950" s="3" t="str">
        <f>IFERROR(INDEX(FuelLab,MATCH($C950,FuelKeyL,0)),"")</f>
        <v>Kerosene</v>
      </c>
      <c r="G950" s="3" t="inlineStr">
        <is>
          <t>.foo.ker</t>
        </is>
      </c>
      <c r="I950" s="3" t="inlineStr">
        <is>
          <t>ch4|srv|die</t>
        </is>
      </c>
      <c r="J950" s="3" t="inlineStr">
        <is>
          <t>em.srv.die.ch4</t>
        </is>
      </c>
    </row>
    <row r="951">
      <c r="A951" s="3" t="str">
        <f>$B951&amp;"|"&amp;$C951</f>
        <v>srv|ker</v>
      </c>
      <c r="B951" s="3" t="inlineStr">
        <is>
          <t>srv</t>
        </is>
      </c>
      <c r="C951" s="3" t="inlineStr">
        <is>
          <t>ker</t>
        </is>
      </c>
      <c r="D951" s="3" t="str">
        <f>IF($B951="",""," | "&amp;$E951&amp;" | "&amp;$F951)</f>
        <v> | Services (public &amp; private) | Kerosene</v>
      </c>
      <c r="E951" s="3" t="str">
        <f>IFERROR(INDEX(SecLab,MATCH($B951,SecKey,0)),"")</f>
        <v>Services (public &amp; private)</v>
      </c>
      <c r="F951" s="3" t="str">
        <f>IFERROR(INDEX(FuelLab,MATCH($C951,FuelKeyL,0)),"")</f>
        <v>Kerosene</v>
      </c>
      <c r="G951" s="3" t="inlineStr">
        <is>
          <t>.srv.ker</t>
        </is>
      </c>
      <c r="I951" s="3" t="inlineStr">
        <is>
          <t>ch4|srv|lpg</t>
        </is>
      </c>
      <c r="J951" s="3" t="inlineStr">
        <is>
          <t>em.srv.lpg.ch4</t>
        </is>
      </c>
    </row>
    <row r="952">
      <c r="A952" s="3" t="str">
        <f>$B952&amp;"|"&amp;$C952</f>
        <v>mch|ker</v>
      </c>
      <c r="B952" s="3" t="inlineStr">
        <is>
          <t>mch</t>
        </is>
      </c>
      <c r="C952" s="3" t="inlineStr">
        <is>
          <t>ker</t>
        </is>
      </c>
      <c r="D952" s="3" t="str">
        <f>IF($B952="",""," | "&amp;$E952&amp;" | "&amp;$F952)</f>
        <v> | Mining &amp; chemicals | Kerosene</v>
      </c>
      <c r="E952" s="3" t="str">
        <f>IFERROR(INDEX(SecLab,MATCH($B952,SecKey,0)),"")</f>
        <v>Mining &amp; chemicals</v>
      </c>
      <c r="F952" s="3" t="str">
        <f>IFERROR(INDEX(FuelLab,MATCH($C952,FuelKeyL,0)),"")</f>
        <v>Kerosene</v>
      </c>
      <c r="G952" s="3" t="inlineStr">
        <is>
          <t>.mch.ker</t>
        </is>
      </c>
      <c r="I952" s="3" t="inlineStr">
        <is>
          <t>ch4|srv|ker</t>
        </is>
      </c>
      <c r="J952" s="3" t="inlineStr">
        <is>
          <t>em.srv.ker.ch4</t>
        </is>
      </c>
    </row>
    <row r="953">
      <c r="A953" s="3" t="str">
        <f>$B953&amp;"|"&amp;$C953</f>
        <v>irn|ker</v>
      </c>
      <c r="B953" s="3" t="inlineStr">
        <is>
          <t>irn</t>
        </is>
      </c>
      <c r="C953" s="3" t="inlineStr">
        <is>
          <t>ker</t>
        </is>
      </c>
      <c r="D953" s="3" t="str">
        <f>IF($B953="",""," | "&amp;$E953&amp;" | "&amp;$F953)</f>
        <v> | Iron &amp; steel | Kerosene</v>
      </c>
      <c r="E953" s="3" t="str">
        <f>IFERROR(INDEX(SecLab,MATCH($B953,SecKey,0)),"")</f>
        <v>Iron &amp; steel</v>
      </c>
      <c r="F953" s="3" t="str">
        <f>IFERROR(INDEX(FuelLab,MATCH($C953,FuelKeyL,0)),"")</f>
        <v>Kerosene</v>
      </c>
      <c r="G953" s="3" t="inlineStr">
        <is>
          <t>.irn.ker</t>
        </is>
      </c>
      <c r="I953" s="3" t="inlineStr">
        <is>
          <t>ch4|srv|jfu</t>
        </is>
      </c>
      <c r="J953" s="3" t="inlineStr">
        <is>
          <t>em.srv.jfu.ch4</t>
        </is>
      </c>
    </row>
    <row r="954">
      <c r="A954" s="3" t="str">
        <f>$B954&amp;"|"&amp;$C954</f>
        <v>nfm|ker</v>
      </c>
      <c r="B954" s="3" t="inlineStr">
        <is>
          <t>nfm</t>
        </is>
      </c>
      <c r="C954" s="3" t="inlineStr">
        <is>
          <t>ker</t>
        </is>
      </c>
      <c r="D954" s="3" t="str">
        <f>IF($B954="",""," | "&amp;$E954&amp;" | "&amp;$F954)</f>
        <v> | Other metals | Kerosene</v>
      </c>
      <c r="E954" s="3" t="str">
        <f>IFERROR(INDEX(SecLab,MATCH($B954,SecKey,0)),"")</f>
        <v>Other metals</v>
      </c>
      <c r="F954" s="3" t="str">
        <f>IFERROR(INDEX(FuelLab,MATCH($C954,FuelKeyL,0)),"")</f>
        <v>Kerosene</v>
      </c>
      <c r="G954" s="3" t="inlineStr">
        <is>
          <t>.nfm.ker</t>
        </is>
      </c>
      <c r="I954" s="3" t="inlineStr">
        <is>
          <t>ch4|srv|oop</t>
        </is>
      </c>
      <c r="J954" s="3" t="inlineStr">
        <is>
          <t>em.srv.oop.ch4</t>
        </is>
      </c>
    </row>
    <row r="955">
      <c r="A955" s="3" t="str">
        <f>$B955&amp;"|"&amp;$C955</f>
        <v>mac|ker</v>
      </c>
      <c r="B955" s="3" t="inlineStr">
        <is>
          <t>mac</t>
        </is>
      </c>
      <c r="C955" s="3" t="inlineStr">
        <is>
          <t>ker</t>
        </is>
      </c>
      <c r="D955" s="3" t="str">
        <f>IF($B955="",""," | "&amp;$E955&amp;" | "&amp;$F955)</f>
        <v> | Machinery | Kerosene</v>
      </c>
      <c r="E955" s="3" t="str">
        <f>IFERROR(INDEX(SecLab,MATCH($B955,SecKey,0)),"")</f>
        <v>Machinery</v>
      </c>
      <c r="F955" s="3" t="str">
        <f>IFERROR(INDEX(FuelLab,MATCH($C955,FuelKeyL,0)),"")</f>
        <v>Kerosene</v>
      </c>
      <c r="G955" s="3" t="inlineStr">
        <is>
          <t>.mac.ker</t>
        </is>
      </c>
      <c r="I955" s="3" t="inlineStr">
        <is>
          <t>ch4|srv|bio</t>
        </is>
      </c>
      <c r="J955" s="3" t="inlineStr">
        <is>
          <t>em.srv.bio.ch4</t>
        </is>
      </c>
    </row>
    <row r="956">
      <c r="A956" s="3" t="str">
        <f>$B956&amp;"|"&amp;$C956</f>
        <v>cem|ker</v>
      </c>
      <c r="B956" s="3" t="inlineStr">
        <is>
          <t>cem</t>
        </is>
      </c>
      <c r="C956" s="3" t="inlineStr">
        <is>
          <t>ker</t>
        </is>
      </c>
      <c r="D956" s="3" t="str">
        <f>IF($B956="",""," | "&amp;$E956&amp;" | "&amp;$F956)</f>
        <v> | Cement | Kerosene</v>
      </c>
      <c r="E956" s="3" t="str">
        <f>IFERROR(INDEX(SecLab,MATCH($B956,SecKey,0)),"")</f>
        <v>Cement</v>
      </c>
      <c r="F956" s="3" t="str">
        <f>IFERROR(INDEX(FuelLab,MATCH($C956,FuelKeyL,0)),"")</f>
        <v>Kerosene</v>
      </c>
      <c r="G956" s="3" t="inlineStr">
        <is>
          <t>.cem.ker</t>
        </is>
      </c>
      <c r="I956" s="3" t="inlineStr">
        <is>
          <t>ener|bld|all</t>
        </is>
      </c>
      <c r="J956" s="3" t="inlineStr">
        <is>
          <t>ener.bld.tot</t>
        </is>
      </c>
    </row>
    <row r="957">
      <c r="A957" s="3" t="str">
        <f>$B957&amp;"|"&amp;$C957</f>
        <v>omn|ker</v>
      </c>
      <c r="B957" s="3" t="inlineStr">
        <is>
          <t>omn</t>
        </is>
      </c>
      <c r="C957" s="3" t="inlineStr">
        <is>
          <t>ker</t>
        </is>
      </c>
      <c r="D957" s="3" t="str">
        <f>IF($B957="",""," | "&amp;$E957&amp;" | "&amp;$F957)</f>
        <v> | Other manufacturing | Kerosene</v>
      </c>
      <c r="E957" s="3" t="str">
        <f>IFERROR(INDEX(SecLab,MATCH($B957,SecKey,0)),"")</f>
        <v>Other manufacturing</v>
      </c>
      <c r="F957" s="3" t="str">
        <f>IFERROR(INDEX(FuelLab,MATCH($C957,FuelKeyL,0)),"")</f>
        <v>Kerosene</v>
      </c>
      <c r="G957" s="3" t="inlineStr">
        <is>
          <t>.omn.ker</t>
        </is>
      </c>
      <c r="I957" s="3" t="inlineStr">
        <is>
          <t>lks|res|all</t>
        </is>
      </c>
      <c r="J957" s="3" t="inlineStr">
        <is>
          <t>lks.res.tot</t>
        </is>
      </c>
    </row>
    <row r="958">
      <c r="A958" s="3" t="str">
        <f>$B958&amp;"|"&amp;$C958</f>
        <v>cst|ker</v>
      </c>
      <c r="B958" s="3" t="inlineStr">
        <is>
          <t>cst</t>
        </is>
      </c>
      <c r="C958" s="3" t="inlineStr">
        <is>
          <t>ker</t>
        </is>
      </c>
      <c r="D958" s="3" t="str">
        <f>IF($B958="",""," | "&amp;$E958&amp;" | "&amp;$F958)</f>
        <v> | Construction | Kerosene</v>
      </c>
      <c r="E958" s="3" t="str">
        <f>IFERROR(INDEX(SecLab,MATCH($B958,SecKey,0)),"")</f>
        <v>Construction</v>
      </c>
      <c r="F958" s="3" t="str">
        <f>IFERROR(INDEX(FuelLab,MATCH($C958,FuelKeyL,0)),"")</f>
        <v>Kerosene</v>
      </c>
      <c r="G958" s="3" t="inlineStr">
        <is>
          <t>.cst.ker</t>
        </is>
      </c>
      <c r="I958" s="3" t="inlineStr">
        <is>
          <t>ener|mch|all</t>
        </is>
      </c>
      <c r="J958" s="3" t="inlineStr">
        <is>
          <t>ener.mch.tot</t>
        </is>
      </c>
    </row>
    <row r="959">
      <c r="A959" s="3" t="str">
        <f>$B959&amp;"|"&amp;$C959</f>
        <v>ftr|ker</v>
      </c>
      <c r="B959" s="3" t="inlineStr">
        <is>
          <t>ftr</t>
        </is>
      </c>
      <c r="C959" s="3" t="inlineStr">
        <is>
          <t>ker</t>
        </is>
      </c>
      <c r="D959" s="3" t="str">
        <f>IF($B959="",""," | "&amp;$E959&amp;" | "&amp;$F959)</f>
        <v> | Fuel transformation | Kerosene</v>
      </c>
      <c r="E959" s="3" t="str">
        <f>IFERROR(INDEX(SecLab,MATCH($B959,SecKey,0)),"")</f>
        <v>Fuel transformation</v>
      </c>
      <c r="F959" s="3" t="str">
        <f>IFERROR(INDEX(FuelLab,MATCH($C959,FuelKeyL,0)),"")</f>
        <v>Kerosene</v>
      </c>
      <c r="G959" s="3" t="inlineStr">
        <is>
          <t>.ftr.ker</t>
        </is>
      </c>
      <c r="I959" s="3" t="inlineStr">
        <is>
          <t>ch4|mch|coa</t>
        </is>
      </c>
      <c r="J959" s="3" t="inlineStr">
        <is>
          <t>em.mch.coa.ch4</t>
        </is>
      </c>
    </row>
    <row r="960">
      <c r="A960" s="3" t="str">
        <f>$B960&amp;"|"&amp;$C960</f>
        <v>oen|ker</v>
      </c>
      <c r="B960" s="3" t="inlineStr">
        <is>
          <t>oen</t>
        </is>
      </c>
      <c r="C960" s="3" t="inlineStr">
        <is>
          <t>ker</t>
        </is>
      </c>
      <c r="D960" s="3" t="str">
        <f>IF($B960="",""," | "&amp;$E960&amp;" | "&amp;$F960)</f>
        <v> | Other energy use | Kerosene</v>
      </c>
      <c r="E960" s="3" t="str">
        <f>IFERROR(INDEX(SecLab,MATCH($B960,SecKey,0)),"")</f>
        <v>Other energy use</v>
      </c>
      <c r="F960" s="3" t="str">
        <f>IFERROR(INDEX(FuelLab,MATCH($C960,FuelKeyL,0)),"")</f>
        <v>Kerosene</v>
      </c>
      <c r="G960" s="3" t="inlineStr">
        <is>
          <t>.oen.ker</t>
        </is>
      </c>
      <c r="I960" s="3" t="inlineStr">
        <is>
          <t>ch4|mch|nga</t>
        </is>
      </c>
      <c r="J960" s="3" t="inlineStr">
        <is>
          <t>em.mch.nga.ch4</t>
        </is>
      </c>
    </row>
    <row r="961">
      <c r="A961" s="3" t="str">
        <f>$B961&amp;"|"&amp;$C961</f>
        <v>pow|oop</v>
      </c>
      <c r="B961" s="3" t="inlineStr">
        <is>
          <t>pow</t>
        </is>
      </c>
      <c r="C961" s="3" t="inlineStr">
        <is>
          <t>oop</t>
        </is>
      </c>
      <c r="D961" s="3" t="str">
        <f>IF($B961="",""," | "&amp;$E961&amp;" | "&amp;$F961)</f>
        <v> | Power | Other oil products</v>
      </c>
      <c r="E961" s="3" t="str">
        <f>IFERROR(INDEX(SecLab,MATCH($B961,SecKey,0)),"")</f>
        <v>Power</v>
      </c>
      <c r="F961" s="3" t="str">
        <f>IFERROR(INDEX(FuelLab,MATCH($C961,FuelKeyL,0)),"")</f>
        <v>Other oil products</v>
      </c>
      <c r="G961" s="3" t="inlineStr">
        <is>
          <t>.pow.oop</t>
        </is>
      </c>
      <c r="I961" s="3" t="inlineStr">
        <is>
          <t>ch4|mch|gso</t>
        </is>
      </c>
      <c r="J961" s="3" t="inlineStr">
        <is>
          <t>em.mch.gso.ch4</t>
        </is>
      </c>
    </row>
    <row r="962">
      <c r="A962" s="3" t="str">
        <f>$B962&amp;"|"&amp;$C962</f>
        <v>mch|oop</v>
      </c>
      <c r="B962" s="3" t="inlineStr">
        <is>
          <t>mch</t>
        </is>
      </c>
      <c r="C962" s="3" t="inlineStr">
        <is>
          <t>oop</t>
        </is>
      </c>
      <c r="D962" s="3" t="str">
        <f>IF($B962="",""," | "&amp;$E962&amp;" | "&amp;$F962)</f>
        <v> | Mining &amp; chemicals | Other oil products</v>
      </c>
      <c r="E962" s="3" t="str">
        <f>IFERROR(INDEX(SecLab,MATCH($B962,SecKey,0)),"")</f>
        <v>Mining &amp; chemicals</v>
      </c>
      <c r="F962" s="3" t="str">
        <f>IFERROR(INDEX(FuelLab,MATCH($C962,FuelKeyL,0)),"")</f>
        <v>Other oil products</v>
      </c>
      <c r="G962" s="3" t="inlineStr">
        <is>
          <t>.mch.oop</t>
        </is>
      </c>
      <c r="I962" s="3" t="inlineStr">
        <is>
          <t>ch4|mch|die</t>
        </is>
      </c>
      <c r="J962" s="3" t="inlineStr">
        <is>
          <t>em.mch.die.ch4</t>
        </is>
      </c>
    </row>
    <row r="963">
      <c r="A963" s="3" t="str">
        <f>$B963&amp;"|"&amp;$C963</f>
        <v>irn|oop</v>
      </c>
      <c r="B963" s="3" t="inlineStr">
        <is>
          <t>irn</t>
        </is>
      </c>
      <c r="C963" s="3" t="inlineStr">
        <is>
          <t>oop</t>
        </is>
      </c>
      <c r="D963" s="3" t="str">
        <f>IF($B963="",""," | "&amp;$E963&amp;" | "&amp;$F963)</f>
        <v> | Iron &amp; steel | Other oil products</v>
      </c>
      <c r="E963" s="3" t="str">
        <f>IFERROR(INDEX(SecLab,MATCH($B963,SecKey,0)),"")</f>
        <v>Iron &amp; steel</v>
      </c>
      <c r="F963" s="3" t="str">
        <f>IFERROR(INDEX(FuelLab,MATCH($C963,FuelKeyL,0)),"")</f>
        <v>Other oil products</v>
      </c>
      <c r="G963" s="3" t="inlineStr">
        <is>
          <t>.irn.oop</t>
        </is>
      </c>
      <c r="I963" s="3" t="inlineStr">
        <is>
          <t>ch4|mch|lpg</t>
        </is>
      </c>
      <c r="J963" s="3" t="inlineStr">
        <is>
          <t>em.mch.lpg.ch4</t>
        </is>
      </c>
    </row>
    <row r="964">
      <c r="A964" s="3" t="str">
        <f>$B964&amp;"|"&amp;$C964</f>
        <v>nfm|oop</v>
      </c>
      <c r="B964" s="3" t="inlineStr">
        <is>
          <t>nfm</t>
        </is>
      </c>
      <c r="C964" s="3" t="inlineStr">
        <is>
          <t>oop</t>
        </is>
      </c>
      <c r="D964" s="3" t="str">
        <f>IF($B964="",""," | "&amp;$E964&amp;" | "&amp;$F964)</f>
        <v> | Other metals | Other oil products</v>
      </c>
      <c r="E964" s="3" t="str">
        <f>IFERROR(INDEX(SecLab,MATCH($B964,SecKey,0)),"")</f>
        <v>Other metals</v>
      </c>
      <c r="F964" s="3" t="str">
        <f>IFERROR(INDEX(FuelLab,MATCH($C964,FuelKeyL,0)),"")</f>
        <v>Other oil products</v>
      </c>
      <c r="G964" s="3" t="inlineStr">
        <is>
          <t>.nfm.oop</t>
        </is>
      </c>
      <c r="I964" s="3" t="inlineStr">
        <is>
          <t>ch4|mch|ker</t>
        </is>
      </c>
      <c r="J964" s="3" t="inlineStr">
        <is>
          <t>em.mch.ker.ch4</t>
        </is>
      </c>
    </row>
    <row r="965">
      <c r="A965" s="3" t="str">
        <f>$B965&amp;"|"&amp;$C965</f>
        <v>mac|oop</v>
      </c>
      <c r="B965" s="3" t="inlineStr">
        <is>
          <t>mac</t>
        </is>
      </c>
      <c r="C965" s="3" t="inlineStr">
        <is>
          <t>oop</t>
        </is>
      </c>
      <c r="D965" s="3" t="str">
        <f>IF($B965="",""," | "&amp;$E965&amp;" | "&amp;$F965)</f>
        <v> | Machinery | Other oil products</v>
      </c>
      <c r="E965" s="3" t="str">
        <f>IFERROR(INDEX(SecLab,MATCH($B965,SecKey,0)),"")</f>
        <v>Machinery</v>
      </c>
      <c r="F965" s="3" t="str">
        <f>IFERROR(INDEX(FuelLab,MATCH($C965,FuelKeyL,0)),"")</f>
        <v>Other oil products</v>
      </c>
      <c r="G965" s="3" t="inlineStr">
        <is>
          <t>.mac.oop</t>
        </is>
      </c>
      <c r="I965" s="3" t="inlineStr">
        <is>
          <t>ch4|mch|jfu</t>
        </is>
      </c>
      <c r="J965" s="3" t="inlineStr">
        <is>
          <t>em.mch.jfu.ch4</t>
        </is>
      </c>
    </row>
    <row r="966">
      <c r="A966" s="3" t="str">
        <f>$B966&amp;"|"&amp;$C966</f>
        <v>cem|oop</v>
      </c>
      <c r="B966" s="3" t="inlineStr">
        <is>
          <t>cem</t>
        </is>
      </c>
      <c r="C966" s="3" t="inlineStr">
        <is>
          <t>oop</t>
        </is>
      </c>
      <c r="D966" s="3" t="str">
        <f>IF($B966="",""," | "&amp;$E966&amp;" | "&amp;$F966)</f>
        <v> | Cement | Other oil products</v>
      </c>
      <c r="E966" s="3" t="str">
        <f>IFERROR(INDEX(SecLab,MATCH($B966,SecKey,0)),"")</f>
        <v>Cement</v>
      </c>
      <c r="F966" s="3" t="str">
        <f>IFERROR(INDEX(FuelLab,MATCH($C966,FuelKeyL,0)),"")</f>
        <v>Other oil products</v>
      </c>
      <c r="G966" s="3" t="inlineStr">
        <is>
          <t>.cem.oop</t>
        </is>
      </c>
      <c r="I966" s="3" t="inlineStr">
        <is>
          <t>ch4|mch|oop</t>
        </is>
      </c>
      <c r="J966" s="3" t="inlineStr">
        <is>
          <t>em.mch.oop.ch4</t>
        </is>
      </c>
    </row>
    <row r="967">
      <c r="A967" s="3" t="str">
        <f>$B967&amp;"|"&amp;$C967</f>
        <v>omn|oop</v>
      </c>
      <c r="B967" s="3" t="inlineStr">
        <is>
          <t>omn</t>
        </is>
      </c>
      <c r="C967" s="3" t="inlineStr">
        <is>
          <t>oop</t>
        </is>
      </c>
      <c r="D967" s="3" t="str">
        <f>IF($B967="",""," | "&amp;$E967&amp;" | "&amp;$F967)</f>
        <v> | Other manufacturing | Other oil products</v>
      </c>
      <c r="E967" s="3" t="str">
        <f>IFERROR(INDEX(SecLab,MATCH($B967,SecKey,0)),"")</f>
        <v>Other manufacturing</v>
      </c>
      <c r="F967" s="3" t="str">
        <f>IFERROR(INDEX(FuelLab,MATCH($C967,FuelKeyL,0)),"")</f>
        <v>Other oil products</v>
      </c>
      <c r="G967" s="3" t="inlineStr">
        <is>
          <t>.omn.oop</t>
        </is>
      </c>
      <c r="I967" s="3" t="inlineStr">
        <is>
          <t>ch4|mch|bio</t>
        </is>
      </c>
      <c r="J967" s="3" t="inlineStr">
        <is>
          <t>em.mch.bio.ch4</t>
        </is>
      </c>
    </row>
    <row r="968">
      <c r="A968" s="3" t="str">
        <f>$B968&amp;"|"&amp;$C968</f>
        <v>cst|oop</v>
      </c>
      <c r="B968" s="3" t="inlineStr">
        <is>
          <t>cst</t>
        </is>
      </c>
      <c r="C968" s="3" t="inlineStr">
        <is>
          <t>oop</t>
        </is>
      </c>
      <c r="D968" s="3" t="str">
        <f>IF($B968="",""," | "&amp;$E968&amp;" | "&amp;$F968)</f>
        <v> | Construction | Other oil products</v>
      </c>
      <c r="E968" s="3" t="str">
        <f>IFERROR(INDEX(SecLab,MATCH($B968,SecKey,0)),"")</f>
        <v>Construction</v>
      </c>
      <c r="F968" s="3" t="str">
        <f>IFERROR(INDEX(FuelLab,MATCH($C968,FuelKeyL,0)),"")</f>
        <v>Other oil products</v>
      </c>
      <c r="G968" s="3" t="inlineStr">
        <is>
          <t>.cst.oop</t>
        </is>
      </c>
      <c r="I968" s="3" t="inlineStr">
        <is>
          <t>ener|irn|all</t>
        </is>
      </c>
      <c r="J968" s="3" t="inlineStr">
        <is>
          <t>ener.irn.tot</t>
        </is>
      </c>
    </row>
    <row r="969">
      <c r="A969" s="3" t="str">
        <f>$B969&amp;"|"&amp;$C969</f>
        <v>ftr|oop</v>
      </c>
      <c r="B969" s="3" t="inlineStr">
        <is>
          <t>ftr</t>
        </is>
      </c>
      <c r="C969" s="3" t="inlineStr">
        <is>
          <t>oop</t>
        </is>
      </c>
      <c r="D969" s="3" t="str">
        <f>IF($B969="",""," | "&amp;$E969&amp;" | "&amp;$F969)</f>
        <v> | Fuel transformation | Other oil products</v>
      </c>
      <c r="E969" s="3" t="str">
        <f>IFERROR(INDEX(SecLab,MATCH($B969,SecKey,0)),"")</f>
        <v>Fuel transformation</v>
      </c>
      <c r="F969" s="3" t="str">
        <f>IFERROR(INDEX(FuelLab,MATCH($C969,FuelKeyL,0)),"")</f>
        <v>Other oil products</v>
      </c>
      <c r="G969" s="3" t="inlineStr">
        <is>
          <t>.ftr.oop</t>
        </is>
      </c>
      <c r="I969" s="3" t="inlineStr">
        <is>
          <t>ch4|irn|coa</t>
        </is>
      </c>
      <c r="J969" s="3" t="inlineStr">
        <is>
          <t>em.irn.coa.ch4</t>
        </is>
      </c>
    </row>
    <row r="970">
      <c r="A970" s="3" t="str">
        <f>$B970&amp;"|"&amp;$C970</f>
        <v>pas|gso</v>
      </c>
      <c r="B970" s="3" t="inlineStr">
        <is>
          <t>pas</t>
        </is>
      </c>
      <c r="C970" s="3" t="inlineStr">
        <is>
          <t>gso</t>
        </is>
      </c>
      <c r="D970" s="3" t="str">
        <f>IF($B970="",""," | "&amp;$E970&amp;" | "&amp;$F970)</f>
        <v> | Passenger and light vehicles | Gasoline</v>
      </c>
      <c r="E970" s="3" t="str">
        <f>IFERROR(INDEX(SecLab,MATCH($B970,SecKey,0)),"")</f>
        <v>Passenger and light vehicles</v>
      </c>
      <c r="F970" s="3" t="str">
        <f>IFERROR(INDEX(FuelLab,MATCH($C970,FuelKeyL,0)),"")</f>
        <v>Gasoline</v>
      </c>
      <c r="G970" s="3" t="inlineStr">
        <is>
          <t>.pass.gso</t>
        </is>
      </c>
      <c r="I970" s="3" t="inlineStr">
        <is>
          <t>ch4|irn|nga</t>
        </is>
      </c>
      <c r="J970" s="3" t="inlineStr">
        <is>
          <t>em.irn.nga.ch4</t>
        </is>
      </c>
    </row>
    <row r="971">
      <c r="A971" s="3" t="str">
        <f>$B971&amp;"|"&amp;$C971</f>
        <v>pas|die</v>
      </c>
      <c r="B971" s="3" t="inlineStr">
        <is>
          <t>pas</t>
        </is>
      </c>
      <c r="C971" s="3" t="inlineStr">
        <is>
          <t>die</t>
        </is>
      </c>
      <c r="D971" s="3" t="str">
        <f>IF($B971="",""," | "&amp;$E971&amp;" | "&amp;$F971)</f>
        <v> | Passenger and light vehicles | Diesel</v>
      </c>
      <c r="E971" s="3" t="str">
        <f>IFERROR(INDEX(SecLab,MATCH($B971,SecKey,0)),"")</f>
        <v>Passenger and light vehicles</v>
      </c>
      <c r="F971" s="3" t="str">
        <f>IFERROR(INDEX(FuelLab,MATCH($C971,FuelKeyL,0)),"")</f>
        <v>Diesel</v>
      </c>
      <c r="G971" s="3" t="inlineStr">
        <is>
          <t>.pass.die</t>
        </is>
      </c>
      <c r="I971" s="3" t="inlineStr">
        <is>
          <t>ch4|irn|gso</t>
        </is>
      </c>
      <c r="J971" s="3" t="inlineStr">
        <is>
          <t>em.irn.gso.ch4</t>
        </is>
      </c>
    </row>
    <row r="972">
      <c r="A972" s="3" t="str">
        <f>$B972&amp;"|"&amp;$C972</f>
        <v>tra|all</v>
      </c>
      <c r="B972" s="3" t="inlineStr">
        <is>
          <t>tra</t>
        </is>
      </c>
      <c r="C972" s="3" t="inlineStr">
        <is>
          <t>all</t>
        </is>
      </c>
      <c r="D972" s="3" t="str">
        <f>IF($B972="",""," | "&amp;$E972&amp;" | "&amp;$F972)</f>
        <v> | Transport | All fuels</v>
      </c>
      <c r="E972" s="3" t="str">
        <f>IFERROR(INDEX(SecLab,MATCH($B972,SecKey,0)),"")</f>
        <v>Transport</v>
      </c>
      <c r="F972" s="3" t="str">
        <f>IFERROR(INDEX(FuelLab,MATCH($C972,FuelKeyL,0)),"")</f>
        <v>All fuels</v>
      </c>
      <c r="G972" s="3" t="inlineStr">
        <is>
          <t>.tra.all</t>
        </is>
      </c>
      <c r="I972" s="3" t="inlineStr">
        <is>
          <t>ch4|irn|die</t>
        </is>
      </c>
      <c r="J972" s="3" t="inlineStr">
        <is>
          <t>em.irn.die.ch4</t>
        </is>
      </c>
    </row>
    <row r="973">
      <c r="A973" s="3" t="str">
        <f>$B973&amp;"|"&amp;$C973</f>
        <v>ind|all</v>
      </c>
      <c r="B973" s="3" t="inlineStr">
        <is>
          <t>ind</t>
        </is>
      </c>
      <c r="C973" s="3" t="inlineStr">
        <is>
          <t>all</t>
        </is>
      </c>
      <c r="D973" s="3" t="str">
        <f>IF($B973="",""," | "&amp;$E973&amp;" | "&amp;$F973)</f>
        <v> | Industry | All fuels</v>
      </c>
      <c r="E973" s="3" t="str">
        <f>IFERROR(INDEX(SecLab,MATCH($B973,SecKey,0)),"")</f>
        <v>Industry</v>
      </c>
      <c r="F973" s="3" t="str">
        <f>IFERROR(INDEX(FuelLab,MATCH($C973,FuelKeyL,0)),"")</f>
        <v>All fuels</v>
      </c>
      <c r="G973" s="3" t="inlineStr">
        <is>
          <t>.ind.all</t>
        </is>
      </c>
      <c r="I973" s="3" t="inlineStr">
        <is>
          <t>ch4|irn|lpg</t>
        </is>
      </c>
      <c r="J973" s="3" t="inlineStr">
        <is>
          <t>em.irn.lpg.ch4</t>
        </is>
      </c>
    </row>
    <row r="974">
      <c r="A974" s="3" t="str">
        <f>$B974&amp;"|"&amp;$C974</f>
        <v>dg|all</v>
      </c>
      <c r="B974" s="3" t="inlineStr">
        <is>
          <t>dg</t>
        </is>
      </c>
      <c r="C974" s="3" t="inlineStr">
        <is>
          <t>all</t>
        </is>
      </c>
      <c r="D974" s="3" t="str">
        <f>IF($B974="",""," | "&amp;$E974&amp;" | "&amp;$F974)</f>
        <v> |  | All fuels</v>
      </c>
      <c r="E974" s="3" t="str">
        <f>IFERROR(INDEX(SecLab,MATCH($B974,SecKey,0)),"")</f>
        <v/>
      </c>
      <c r="F974" s="3" t="str">
        <f>IFERROR(INDEX(FuelLab,MATCH($C974,FuelKeyL,0)),"")</f>
        <v>All fuels</v>
      </c>
      <c r="G974" s="3" t="inlineStr">
        <is>
          <t>.dg.all</t>
        </is>
      </c>
      <c r="I974" s="3" t="inlineStr">
        <is>
          <t>ch4|irn|ker</t>
        </is>
      </c>
      <c r="J974" s="3" t="inlineStr">
        <is>
          <t>em.irn.ker.ch4</t>
        </is>
      </c>
    </row>
    <row r="975">
      <c r="A975" s="3" t="str">
        <f>$B975&amp;"|"&amp;$C975</f>
        <v>bm|all</v>
      </c>
      <c r="B975" s="3" t="inlineStr">
        <is>
          <t>bm</t>
        </is>
      </c>
      <c r="C975" s="3" t="inlineStr">
        <is>
          <t>all</t>
        </is>
      </c>
      <c r="D975" s="3" t="str">
        <f>IF($B975="",""," | "&amp;$E975&amp;" | "&amp;$F975)</f>
        <v> |  | All fuels</v>
      </c>
      <c r="E975" s="3" t="str">
        <f>IFERROR(INDEX(SecLab,MATCH($B975,SecKey,0)),"")</f>
        <v/>
      </c>
      <c r="F975" s="3" t="str">
        <f>IFERROR(INDEX(FuelLab,MATCH($C975,FuelKeyL,0)),"")</f>
        <v>All fuels</v>
      </c>
      <c r="G975" s="3" t="inlineStr">
        <is>
          <t>.bm.all</t>
        </is>
      </c>
      <c r="I975" s="3" t="inlineStr">
        <is>
          <t>ch4|irn|jfu</t>
        </is>
      </c>
      <c r="J975" s="3" t="inlineStr">
        <is>
          <t>em.irn.jfu.ch4</t>
        </is>
      </c>
    </row>
    <row r="976">
      <c r="A976" s="3" t="str">
        <f>$B976&amp;"|"&amp;$C976</f>
        <v>ps|all</v>
      </c>
      <c r="B976" s="3" t="inlineStr">
        <is>
          <t>ps</t>
        </is>
      </c>
      <c r="C976" s="3" t="inlineStr">
        <is>
          <t>all</t>
        </is>
      </c>
      <c r="D976" s="3" t="str">
        <f>IF($B976="",""," | "&amp;$E976&amp;" | "&amp;$F976)</f>
        <v> |  | All fuels</v>
      </c>
      <c r="E976" s="3" t="str">
        <f>IFERROR(INDEX(SecLab,MATCH($B976,SecKey,0)),"")</f>
        <v/>
      </c>
      <c r="F976" s="3" t="str">
        <f>IFERROR(INDEX(FuelLab,MATCH($C976,FuelKeyL,0)),"")</f>
        <v>All fuels</v>
      </c>
      <c r="G976" s="3" t="inlineStr">
        <is>
          <t>.ps.all</t>
        </is>
      </c>
      <c r="I976" s="3" t="inlineStr">
        <is>
          <t>ch4|irn|oop</t>
        </is>
      </c>
      <c r="J976" s="3" t="inlineStr">
        <is>
          <t>em.irn.oop.ch4</t>
        </is>
      </c>
    </row>
    <row r="977">
      <c r="A977" s="3" t="str">
        <f>$B977&amp;"|"&amp;$C977</f>
        <v>cs|all</v>
      </c>
      <c r="B977" s="3" t="inlineStr">
        <is>
          <t>cs</t>
        </is>
      </c>
      <c r="C977" s="3" t="inlineStr">
        <is>
          <t>all</t>
        </is>
      </c>
      <c r="D977" s="3" t="str">
        <f>IF($B977="",""," | "&amp;$E977&amp;" | "&amp;$F977)</f>
        <v> |  | All fuels</v>
      </c>
      <c r="E977" s="3" t="str">
        <f>IFERROR(INDEX(SecLab,MATCH($B977,SecKey,0)),"")</f>
        <v/>
      </c>
      <c r="F977" s="3" t="str">
        <f>IFERROR(INDEX(FuelLab,MATCH($C977,FuelKeyL,0)),"")</f>
        <v>All fuels</v>
      </c>
      <c r="G977" s="3" t="inlineStr">
        <is>
          <t>.cs.all</t>
        </is>
      </c>
      <c r="I977" s="3" t="inlineStr">
        <is>
          <t>ch4|irn|bio</t>
        </is>
      </c>
      <c r="J977" s="3" t="inlineStr">
        <is>
          <t>em.irn.bio.ch4</t>
        </is>
      </c>
    </row>
    <row r="978">
      <c r="A978" s="3" t="str">
        <f>$B978&amp;"|"&amp;$C978</f>
        <v>pc|all</v>
      </c>
      <c r="B978" s="3" t="inlineStr">
        <is>
          <t>pc</t>
        </is>
      </c>
      <c r="C978" s="3" t="inlineStr">
        <is>
          <t>all</t>
        </is>
      </c>
      <c r="D978" s="3" t="str">
        <f>IF($B978="",""," | "&amp;$E978&amp;" | "&amp;$F978)</f>
        <v> |  | All fuels</v>
      </c>
      <c r="E978" s="3" t="str">
        <f>IFERROR(INDEX(SecLab,MATCH($B978,SecKey,0)),"")</f>
        <v/>
      </c>
      <c r="F978" s="3" t="str">
        <f>IFERROR(INDEX(FuelLab,MATCH($C978,FuelKeyL,0)),"")</f>
        <v>All fuels</v>
      </c>
      <c r="G978" s="3" t="inlineStr">
        <is>
          <t>.pc.all</t>
        </is>
      </c>
      <c r="I978" s="3" t="inlineStr">
        <is>
          <t>ener|nfm|all</t>
        </is>
      </c>
      <c r="J978" s="3" t="inlineStr">
        <is>
          <t>ener.nfm.tot</t>
        </is>
      </c>
    </row>
    <row r="979">
      <c r="A979" s="3" t="str">
        <f>$B979&amp;"|"&amp;$C979</f>
        <v>all|oil</v>
      </c>
      <c r="B979" s="3" t="inlineStr">
        <is>
          <t>all</t>
        </is>
      </c>
      <c r="C979" s="3" t="inlineStr">
        <is>
          <t>oil</t>
        </is>
      </c>
      <c r="D979" s="3" t="str">
        <f>IF($B979="",""," | "&amp;$E979&amp;" | "&amp;$F979)</f>
        <v> | All sectors | Crude oil</v>
      </c>
      <c r="E979" s="3" t="str">
        <f>IFERROR(INDEX(SecLab,MATCH($B979,SecKey,0)),"")</f>
        <v>All sectors</v>
      </c>
      <c r="F979" s="3" t="str">
        <f>IFERROR(INDEX(FuelLab,MATCH($C979,FuelKeyL,0)),"")</f>
        <v>Crude oil</v>
      </c>
      <c r="G979" s="3" t="inlineStr">
        <is>
          <t>.all.oil</t>
        </is>
      </c>
      <c r="I979" s="3" t="inlineStr">
        <is>
          <t>ch4|nfm|coa</t>
        </is>
      </c>
      <c r="J979" s="3" t="inlineStr">
        <is>
          <t>em.nfm.coa.ch4</t>
        </is>
      </c>
    </row>
    <row r="980">
      <c r="A980" s="3" t="str">
        <f>$B980&amp;"|"&amp;$C980</f>
        <v>all|ecy</v>
      </c>
      <c r="B980" s="3" t="inlineStr">
        <is>
          <t>all</t>
        </is>
      </c>
      <c r="C980" s="3" t="inlineStr">
        <is>
          <t>ecy</t>
        </is>
      </c>
      <c r="D980" s="3" t="str">
        <f>IF($B980="",""," | "&amp;$E980&amp;" | "&amp;$F980)</f>
        <v> | All sectors | Electricity</v>
      </c>
      <c r="E980" s="3" t="str">
        <f>IFERROR(INDEX(SecLab,MATCH($B980,SecKey,0)),"")</f>
        <v>All sectors</v>
      </c>
      <c r="F980" s="3" t="str">
        <f>IFERROR(INDEX(FuelLab,MATCH($C980,FuelKeyL,0)),"")</f>
        <v>Electricity</v>
      </c>
      <c r="G980" s="3" t="inlineStr">
        <is>
          <t>.all.ecy</t>
        </is>
      </c>
      <c r="I980" s="3" t="inlineStr">
        <is>
          <t>ch4|nfm|nga</t>
        </is>
      </c>
      <c r="J980" s="3" t="inlineStr">
        <is>
          <t>em.nfm.nga.ch4</t>
        </is>
      </c>
    </row>
    <row r="981">
      <c r="A981" s="3" t="str">
        <f>$B981&amp;"|"&amp;$C981</f>
        <v>all|all</v>
      </c>
      <c r="B981" s="3" t="inlineStr">
        <is>
          <t>all</t>
        </is>
      </c>
      <c r="C981" s="3" t="inlineStr">
        <is>
          <t>all</t>
        </is>
      </c>
      <c r="D981" s="3" t="str">
        <f>IF($B981="",""," | "&amp;$E981&amp;" | "&amp;$F981)</f>
        <v> | All sectors | All fuels</v>
      </c>
      <c r="E981" s="3" t="str">
        <f>IFERROR(INDEX(SecLab,MATCH($B981,SecKey,0)),"")</f>
        <v>All sectors</v>
      </c>
      <c r="F981" s="3" t="str">
        <f>IFERROR(INDEX(FuelLab,MATCH($C981,FuelKeyL,0)),"")</f>
        <v>All fuels</v>
      </c>
      <c r="G981" s="3" t="inlineStr">
        <is>
          <t>.all.all</t>
        </is>
      </c>
      <c r="I981" s="3" t="inlineStr">
        <is>
          <t>ch4|nfm|gso</t>
        </is>
      </c>
      <c r="J981" s="3" t="inlineStr">
        <is>
          <t>em.nfm.gso.ch4</t>
        </is>
      </c>
    </row>
    <row r="982">
      <c r="A982" s="3" t="str">
        <f>$B982&amp;"|"&amp;$C982</f>
        <v>int|oil</v>
      </c>
      <c r="B982" s="3" t="inlineStr">
        <is>
          <t>int</t>
        </is>
      </c>
      <c r="C982" s="3" t="inlineStr">
        <is>
          <t>oil</t>
        </is>
      </c>
      <c r="D982" s="3" t="str">
        <f>IF($B982="",""," | "&amp;$E982&amp;" | "&amp;$F982)</f>
        <v> | International | Crude oil</v>
      </c>
      <c r="E982" s="3" t="str">
        <f>IFERROR(INDEX(SecLab,MATCH($B982,SecKey,0)),"")</f>
        <v>International</v>
      </c>
      <c r="F982" s="3" t="str">
        <f>IFERROR(INDEX(FuelLab,MATCH($C982,FuelKeyL,0)),"")</f>
        <v>Crude oil</v>
      </c>
      <c r="G982" s="3" t="inlineStr">
        <is>
          <t>.int.oil</t>
        </is>
      </c>
      <c r="I982" s="3" t="inlineStr">
        <is>
          <t>ch4|nfm|die</t>
        </is>
      </c>
      <c r="J982" s="3" t="inlineStr">
        <is>
          <t>em.nfm.die.ch4</t>
        </is>
      </c>
    </row>
    <row r="983">
      <c r="A983" s="3" t="str">
        <f>$B983&amp;"|"&amp;$C983</f>
        <v>int|coa</v>
      </c>
      <c r="B983" s="3" t="inlineStr">
        <is>
          <t>int</t>
        </is>
      </c>
      <c r="C983" s="3" t="inlineStr">
        <is>
          <t>coa</t>
        </is>
      </c>
      <c r="D983" s="3" t="str">
        <f>IF($B983="",""," | "&amp;$E983&amp;" | "&amp;$F983)</f>
        <v> | International | Coal</v>
      </c>
      <c r="E983" s="3" t="str">
        <f>IFERROR(INDEX(SecLab,MATCH($B983,SecKey,0)),"")</f>
        <v>International</v>
      </c>
      <c r="F983" s="3" t="str">
        <f>IFERROR(INDEX(FuelLab,MATCH($C983,FuelKeyL,0)),"")</f>
        <v>Coal</v>
      </c>
      <c r="G983" s="3" t="inlineStr">
        <is>
          <t>.int.coa</t>
        </is>
      </c>
      <c r="I983" s="3" t="inlineStr">
        <is>
          <t>ch4|nfm|lpg</t>
        </is>
      </c>
      <c r="J983" s="3" t="inlineStr">
        <is>
          <t>em.nfm.lpg.ch4</t>
        </is>
      </c>
    </row>
    <row r="984">
      <c r="A984" s="3" t="str">
        <f>$B984&amp;"|"&amp;$C984</f>
        <v>int|nga</v>
      </c>
      <c r="B984" s="3" t="inlineStr">
        <is>
          <t>int</t>
        </is>
      </c>
      <c r="C984" s="3" t="inlineStr">
        <is>
          <t>nga</t>
        </is>
      </c>
      <c r="D984" s="3" t="str">
        <f>IF($B984="",""," | "&amp;$E984&amp;" | "&amp;$F984)</f>
        <v> | International | Natural gas</v>
      </c>
      <c r="E984" s="3" t="str">
        <f>IFERROR(INDEX(SecLab,MATCH($B984,SecKey,0)),"")</f>
        <v>International</v>
      </c>
      <c r="F984" s="3" t="str">
        <f>IFERROR(INDEX(FuelLab,MATCH($C984,FuelKeyL,0)),"")</f>
        <v>Natural gas</v>
      </c>
      <c r="G984" s="3" t="inlineStr">
        <is>
          <t>.int.nga</t>
        </is>
      </c>
      <c r="I984" s="3" t="inlineStr">
        <is>
          <t>ch4|nfm|ker</t>
        </is>
      </c>
      <c r="J984" s="3" t="inlineStr">
        <is>
          <t>em.nfm.ker.ch4</t>
        </is>
      </c>
    </row>
    <row r="985">
      <c r="A985" s="3" t="str">
        <f>$B985&amp;"|"&amp;$C985</f>
        <v>int|one</v>
      </c>
      <c r="B985" s="3" t="inlineStr">
        <is>
          <t>int</t>
        </is>
      </c>
      <c r="C985" s="3" t="inlineStr">
        <is>
          <t>one</t>
        </is>
      </c>
      <c r="D985" s="3" t="str">
        <f>IF($B985="",""," | "&amp;$E985&amp;" | "&amp;$F985)</f>
        <v> | International | Flat (no change)</v>
      </c>
      <c r="E985" s="3" t="str">
        <f>IFERROR(INDEX(SecLab,MATCH($B985,SecKey,0)),"")</f>
        <v>International</v>
      </c>
      <c r="F985" s="3" t="str">
        <f>IFERROR(INDEX(FuelLab,MATCH($C985,FuelKeyL,0)),"")</f>
        <v>Flat (no change)</v>
      </c>
      <c r="G985" s="3" t="inlineStr">
        <is>
          <t>.int.one</t>
        </is>
      </c>
      <c r="I985" s="3" t="inlineStr">
        <is>
          <t>ch4|nfm|jfu</t>
        </is>
      </c>
      <c r="J985" s="3" t="inlineStr">
        <is>
          <t>em.nfm.jfu.ch4</t>
        </is>
      </c>
    </row>
    <row r="986">
      <c r="A986" s="3" t="str">
        <f>$B986&amp;"|"&amp;$C986</f>
        <v>pow|nuc</v>
      </c>
      <c r="B986" s="3" t="inlineStr">
        <is>
          <t>pow</t>
        </is>
      </c>
      <c r="C986" s="3" t="inlineStr">
        <is>
          <t>nuc</t>
        </is>
      </c>
      <c r="D986" s="3" t="str">
        <f>IF($B986="",""," | "&amp;$E986&amp;" | "&amp;$F986)</f>
        <v> | Power | Nuclear</v>
      </c>
      <c r="E986" s="3" t="str">
        <f>IFERROR(INDEX(SecLab,MATCH($B986,SecKey,0)),"")</f>
        <v>Power</v>
      </c>
      <c r="F986" s="3" t="str">
        <f>IFERROR(INDEX(FuelLab,MATCH($C986,FuelKeyL,0)),"")</f>
        <v>Nuclear</v>
      </c>
      <c r="G986" s="3" t="inlineStr">
        <is>
          <t>.pow.nuc</t>
        </is>
      </c>
      <c r="I986" s="3" t="inlineStr">
        <is>
          <t>ch4|nfm|oop</t>
        </is>
      </c>
      <c r="J986" s="3" t="inlineStr">
        <is>
          <t>em.nfm.oop.ch4</t>
        </is>
      </c>
    </row>
    <row r="987">
      <c r="A987" s="3" t="str">
        <f>$B987&amp;"|"&amp;$C987</f>
        <v>pow|wnd</v>
      </c>
      <c r="B987" s="3" t="inlineStr">
        <is>
          <t>pow</t>
        </is>
      </c>
      <c r="C987" s="3" t="inlineStr">
        <is>
          <t>wnd</t>
        </is>
      </c>
      <c r="D987" s="3" t="str">
        <f>IF($B987="",""," | "&amp;$E987&amp;" | "&amp;$F987)</f>
        <v> | Power | Wind</v>
      </c>
      <c r="E987" s="3" t="str">
        <f>IFERROR(INDEX(SecLab,MATCH($B987,SecKey,0)),"")</f>
        <v>Power</v>
      </c>
      <c r="F987" s="3" t="str">
        <f>IFERROR(INDEX(FuelLab,MATCH($C987,FuelKeyL,0)),"")</f>
        <v>Wind</v>
      </c>
      <c r="G987" s="3" t="inlineStr">
        <is>
          <t>.pow.wnd</t>
        </is>
      </c>
      <c r="I987" s="3" t="inlineStr">
        <is>
          <t>ch4|nfm|bio</t>
        </is>
      </c>
      <c r="J987" s="3" t="inlineStr">
        <is>
          <t>em.nfm.bio.ch4</t>
        </is>
      </c>
    </row>
    <row r="988">
      <c r="A988" s="3" t="str">
        <f>$B988&amp;"|"&amp;$C988</f>
        <v>pow|sol</v>
      </c>
      <c r="B988" s="3" t="inlineStr">
        <is>
          <t>pow</t>
        </is>
      </c>
      <c r="C988" s="3" t="inlineStr">
        <is>
          <t>sol</t>
        </is>
      </c>
      <c r="D988" s="3" t="str">
        <f>IF($B988="",""," | "&amp;$E988&amp;" | "&amp;$F988)</f>
        <v> | Power | Solar</v>
      </c>
      <c r="E988" s="3" t="str">
        <f>IFERROR(INDEX(SecLab,MATCH($B988,SecKey,0)),"")</f>
        <v>Power</v>
      </c>
      <c r="F988" s="3" t="str">
        <f>IFERROR(INDEX(FuelLab,MATCH($C988,FuelKeyL,0)),"")</f>
        <v>Solar</v>
      </c>
      <c r="G988" s="3" t="inlineStr">
        <is>
          <t>.pow.sol</t>
        </is>
      </c>
      <c r="I988" s="3" t="inlineStr">
        <is>
          <t>ener|mac|all</t>
        </is>
      </c>
      <c r="J988" s="3" t="inlineStr">
        <is>
          <t>ener.mac.tot</t>
        </is>
      </c>
    </row>
    <row r="989">
      <c r="A989" s="3" t="str">
        <f>$B989&amp;"|"&amp;$C989</f>
        <v>pow|hyd</v>
      </c>
      <c r="B989" s="3" t="inlineStr">
        <is>
          <t>pow</t>
        </is>
      </c>
      <c r="C989" s="3" t="inlineStr">
        <is>
          <t>hyd</t>
        </is>
      </c>
      <c r="D989" s="3" t="str">
        <f>IF($B989="",""," | "&amp;$E989&amp;" | "&amp;$F989)</f>
        <v> | Power | Hydro</v>
      </c>
      <c r="E989" s="3" t="str">
        <f>IFERROR(INDEX(SecLab,MATCH($B989,SecKey,0)),"")</f>
        <v>Power</v>
      </c>
      <c r="F989" s="3" t="str">
        <f>IFERROR(INDEX(FuelLab,MATCH($C989,FuelKeyL,0)),"")</f>
        <v>Hydro</v>
      </c>
      <c r="G989" s="3" t="inlineStr">
        <is>
          <t>.pow.hyd</t>
        </is>
      </c>
      <c r="I989" s="3" t="inlineStr">
        <is>
          <t>ch4|mac|coa</t>
        </is>
      </c>
      <c r="J989" s="3" t="inlineStr">
        <is>
          <t>em.mac.coa.ch4</t>
        </is>
      </c>
    </row>
    <row r="990">
      <c r="A990" s="3" t="str">
        <f>$B990&amp;"|"&amp;$C990</f>
        <v>pow|ore</v>
      </c>
      <c r="B990" s="3" t="inlineStr">
        <is>
          <t>pow</t>
        </is>
      </c>
      <c r="C990" s="3" t="inlineStr">
        <is>
          <t>ore</t>
        </is>
      </c>
      <c r="D990" s="3" t="str">
        <f>IF($B990="",""," | "&amp;$E990&amp;" | "&amp;$F990)</f>
        <v> | Power | Other renewables</v>
      </c>
      <c r="E990" s="3" t="str">
        <f>IFERROR(INDEX(SecLab,MATCH($B990,SecKey,0)),"")</f>
        <v>Power</v>
      </c>
      <c r="F990" s="3" t="str">
        <f>IFERROR(INDEX(FuelLab,MATCH($C990,FuelKeyL,0)),"")</f>
        <v>Other renewables</v>
      </c>
      <c r="G990" s="3" t="inlineStr">
        <is>
          <t>.pow.ore</t>
        </is>
      </c>
      <c r="I990" s="3" t="inlineStr">
        <is>
          <t>ch4|mac|nga</t>
        </is>
      </c>
      <c r="J990" s="3" t="inlineStr">
        <is>
          <t>em.mac.nga.ch4</t>
        </is>
      </c>
    </row>
    <row r="991">
      <c r="A991" s="3" t="str">
        <f>$B991&amp;"|"&amp;$C991</f>
        <v>pow|bio</v>
      </c>
      <c r="B991" s="3" t="inlineStr">
        <is>
          <t>pow</t>
        </is>
      </c>
      <c r="C991" s="3" t="inlineStr">
        <is>
          <t>bio</t>
        </is>
      </c>
      <c r="D991" s="3" t="str">
        <f>IF($B991="",""," | "&amp;$E991&amp;" | "&amp;$F991)</f>
        <v> | Power | Biomass</v>
      </c>
      <c r="E991" s="3" t="str">
        <f>IFERROR(INDEX(SecLab,MATCH($B991,SecKey,0)),"")</f>
        <v>Power</v>
      </c>
      <c r="F991" s="3" t="str">
        <f>IFERROR(INDEX(FuelLab,MATCH($C991,FuelKeyL,0)),"")</f>
        <v>Biomass</v>
      </c>
      <c r="G991" s="3" t="inlineStr">
        <is>
          <t>.pow.bio</t>
        </is>
      </c>
      <c r="I991" s="3" t="inlineStr">
        <is>
          <t>ch4|mac|gso</t>
        </is>
      </c>
      <c r="J991" s="3" t="inlineStr">
        <is>
          <t>em.mac.gso.ch4</t>
        </is>
      </c>
    </row>
    <row r="992">
      <c r="A992" s="3" t="str">
        <f>$B992&amp;"|"&amp;$C992</f>
        <v>tra|ecy</v>
      </c>
      <c r="B992" s="3" t="inlineStr">
        <is>
          <t>tra</t>
        </is>
      </c>
      <c r="C992" s="3" t="inlineStr">
        <is>
          <t>ecy</t>
        </is>
      </c>
      <c r="D992" s="3" t="str">
        <f>IF($B992="",""," | "&amp;$E992&amp;" | "&amp;$F992)</f>
        <v> | Transport | Electricity</v>
      </c>
      <c r="E992" s="3" t="str">
        <f>IFERROR(INDEX(SecLab,MATCH($B992,SecKey,0)),"")</f>
        <v>Transport</v>
      </c>
      <c r="F992" s="3" t="str">
        <f>IFERROR(INDEX(FuelLab,MATCH($C992,FuelKeyL,0)),"")</f>
        <v>Electricity</v>
      </c>
      <c r="G992" s="3" t="inlineStr">
        <is>
          <t>.tra.ecy</t>
        </is>
      </c>
      <c r="I992" s="3" t="inlineStr">
        <is>
          <t>ch4|mac|die</t>
        </is>
      </c>
      <c r="J992" s="3" t="inlineStr">
        <is>
          <t>em.mac.die.ch4</t>
        </is>
      </c>
    </row>
    <row r="993">
      <c r="A993" s="3" t="str">
        <f>$B993&amp;"|"&amp;$C993</f>
        <v>srv|ecy</v>
      </c>
      <c r="B993" s="3" t="inlineStr">
        <is>
          <t>srv</t>
        </is>
      </c>
      <c r="C993" s="3" t="inlineStr">
        <is>
          <t>ecy</t>
        </is>
      </c>
      <c r="D993" s="3" t="str">
        <f>IF($B993="",""," | "&amp;$E993&amp;" | "&amp;$F993)</f>
        <v> | Services (public &amp; private) | Electricity</v>
      </c>
      <c r="E993" s="3" t="str">
        <f>IFERROR(INDEX(SecLab,MATCH($B993,SecKey,0)),"")</f>
        <v>Services (public &amp; private)</v>
      </c>
      <c r="F993" s="3" t="str">
        <f>IFERROR(INDEX(FuelLab,MATCH($C993,FuelKeyL,0)),"")</f>
        <v>Electricity</v>
      </c>
      <c r="G993" s="3" t="inlineStr">
        <is>
          <t>.srv.ecy</t>
        </is>
      </c>
      <c r="I993" s="3" t="inlineStr">
        <is>
          <t>ch4|mac|lpg</t>
        </is>
      </c>
      <c r="J993" s="3" t="inlineStr">
        <is>
          <t>em.mac.lpg.ch4</t>
        </is>
      </c>
    </row>
    <row r="994">
      <c r="A994" s="3" t="str">
        <f>$B994&amp;"|"&amp;$C994</f>
        <v>rod|ecy</v>
      </c>
      <c r="B994" s="3" t="inlineStr">
        <is>
          <t>rod</t>
        </is>
      </c>
      <c r="C994" s="3" t="inlineStr">
        <is>
          <t>ecy</t>
        </is>
      </c>
      <c r="D994" s="3" t="str">
        <f>IF($B994="",""," | "&amp;$E994&amp;" | "&amp;$F994)</f>
        <v> | Road | Electricity</v>
      </c>
      <c r="E994" s="3" t="str">
        <f>IFERROR(INDEX(SecLab,MATCH($B994,SecKey,0)),"")</f>
        <v>Road</v>
      </c>
      <c r="F994" s="3" t="str">
        <f>IFERROR(INDEX(FuelLab,MATCH($C994,FuelKeyL,0)),"")</f>
        <v>Electricity</v>
      </c>
      <c r="G994" s="3" t="inlineStr">
        <is>
          <t>.rod.ecy</t>
        </is>
      </c>
      <c r="I994" s="3" t="inlineStr">
        <is>
          <t>ch4|mac|ker</t>
        </is>
      </c>
      <c r="J994" s="3" t="inlineStr">
        <is>
          <t>em.mac.ker.ch4</t>
        </is>
      </c>
    </row>
    <row r="995">
      <c r="A995" s="3" t="str">
        <f>$B995&amp;"|"&amp;$C995</f>
        <v>ral|ecy</v>
      </c>
      <c r="B995" s="3" t="inlineStr">
        <is>
          <t>ral</t>
        </is>
      </c>
      <c r="C995" s="3" t="inlineStr">
        <is>
          <t>ecy</t>
        </is>
      </c>
      <c r="D995" s="3" t="str">
        <f>IF($B995="",""," | "&amp;$E995&amp;" | "&amp;$F995)</f>
        <v> | Rail | Electricity</v>
      </c>
      <c r="E995" s="3" t="str">
        <f>IFERROR(INDEX(SecLab,MATCH($B995,SecKey,0)),"")</f>
        <v>Rail</v>
      </c>
      <c r="F995" s="3" t="str">
        <f>IFERROR(INDEX(FuelLab,MATCH($C995,FuelKeyL,0)),"")</f>
        <v>Electricity</v>
      </c>
      <c r="G995" s="3" t="inlineStr">
        <is>
          <t>.ral.ecy</t>
        </is>
      </c>
      <c r="I995" s="3" t="inlineStr">
        <is>
          <t>ch4|mac|jfu</t>
        </is>
      </c>
      <c r="J995" s="3" t="inlineStr">
        <is>
          <t>em.mac.jfu.ch4</t>
        </is>
      </c>
    </row>
    <row r="996">
      <c r="A996" s="3" t="str">
        <f>$B996&amp;"|"&amp;$C996</f>
        <v>avi|ecy</v>
      </c>
      <c r="B996" s="3" t="inlineStr">
        <is>
          <t>avi</t>
        </is>
      </c>
      <c r="C996" s="3" t="inlineStr">
        <is>
          <t>ecy</t>
        </is>
      </c>
      <c r="D996" s="3" t="str">
        <f>IF($B996="",""," | "&amp;$E996&amp;" | "&amp;$F996)</f>
        <v> | Domestic aviation | Electricity</v>
      </c>
      <c r="E996" s="3" t="str">
        <f>IFERROR(INDEX(SecLab,MATCH($B996,SecKey,0)),"")</f>
        <v>Domestic aviation</v>
      </c>
      <c r="F996" s="3" t="str">
        <f>IFERROR(INDEX(FuelLab,MATCH($C996,FuelKeyL,0)),"")</f>
        <v>Electricity</v>
      </c>
      <c r="G996" s="3" t="inlineStr">
        <is>
          <t>.avi.ecy</t>
        </is>
      </c>
      <c r="I996" s="3" t="inlineStr">
        <is>
          <t>ch4|mac|oop</t>
        </is>
      </c>
      <c r="J996" s="3" t="inlineStr">
        <is>
          <t>em.mac.oop.ch4</t>
        </is>
      </c>
    </row>
    <row r="997">
      <c r="A997" s="3" t="str">
        <f>$B997&amp;"|"&amp;$C997</f>
        <v>nav|ecy</v>
      </c>
      <c r="B997" s="3" t="inlineStr">
        <is>
          <t>nav</t>
        </is>
      </c>
      <c r="C997" s="3" t="inlineStr">
        <is>
          <t>ecy</t>
        </is>
      </c>
      <c r="D997" s="3" t="str">
        <f>IF($B997="",""," | "&amp;$E997&amp;" | "&amp;$F997)</f>
        <v> | Domestic navigation | Electricity</v>
      </c>
      <c r="E997" s="3" t="str">
        <f>IFERROR(INDEX(SecLab,MATCH($B997,SecKey,0)),"")</f>
        <v>Domestic navigation</v>
      </c>
      <c r="F997" s="3" t="str">
        <f>IFERROR(INDEX(FuelLab,MATCH($C997,FuelKeyL,0)),"")</f>
        <v>Electricity</v>
      </c>
      <c r="G997" s="3" t="inlineStr">
        <is>
          <t>.nav.ecy</t>
        </is>
      </c>
      <c r="I997" s="3" t="inlineStr">
        <is>
          <t>ch4|mac|bio</t>
        </is>
      </c>
      <c r="J997" s="3" t="inlineStr">
        <is>
          <t>em.mac.bio.ch4</t>
        </is>
      </c>
    </row>
    <row r="998">
      <c r="A998" s="3" t="str">
        <f>$B998&amp;"|"&amp;$C998</f>
        <v>foo|ecy</v>
      </c>
      <c r="B998" s="3" t="inlineStr">
        <is>
          <t>foo</t>
        </is>
      </c>
      <c r="C998" s="3" t="inlineStr">
        <is>
          <t>ecy</t>
        </is>
      </c>
      <c r="D998" s="3" t="str">
        <f>IF($B998="",""," | "&amp;$E998&amp;" | "&amp;$F998)</f>
        <v> | Food &amp; forestry | Electricity</v>
      </c>
      <c r="E998" s="3" t="str">
        <f>IFERROR(INDEX(SecLab,MATCH($B998,SecKey,0)),"")</f>
        <v>Food &amp; forestry</v>
      </c>
      <c r="F998" s="3" t="str">
        <f>IFERROR(INDEX(FuelLab,MATCH($C998,FuelKeyL,0)),"")</f>
        <v>Electricity</v>
      </c>
      <c r="G998" s="3" t="inlineStr">
        <is>
          <t>.foo.ecy</t>
        </is>
      </c>
      <c r="I998" s="3" t="inlineStr">
        <is>
          <t>ener|cem|all</t>
        </is>
      </c>
      <c r="J998" s="3" t="inlineStr">
        <is>
          <t>ener.cem.tot</t>
        </is>
      </c>
    </row>
    <row r="999">
      <c r="A999" s="3" t="str">
        <f>$B999&amp;"|"&amp;$C999</f>
        <v>mch|ecy</v>
      </c>
      <c r="B999" s="3" t="inlineStr">
        <is>
          <t>mch</t>
        </is>
      </c>
      <c r="C999" s="3" t="inlineStr">
        <is>
          <t>ecy</t>
        </is>
      </c>
      <c r="D999" s="3" t="str">
        <f>IF($B999="",""," | "&amp;$E999&amp;" | "&amp;$F999)</f>
        <v> | Mining &amp; chemicals | Electricity</v>
      </c>
      <c r="E999" s="3" t="str">
        <f>IFERROR(INDEX(SecLab,MATCH($B999,SecKey,0)),"")</f>
        <v>Mining &amp; chemicals</v>
      </c>
      <c r="F999" s="3" t="str">
        <f>IFERROR(INDEX(FuelLab,MATCH($C999,FuelKeyL,0)),"")</f>
        <v>Electricity</v>
      </c>
      <c r="G999" s="3" t="inlineStr">
        <is>
          <t>.mch.ecy</t>
        </is>
      </c>
      <c r="I999" s="3" t="inlineStr">
        <is>
          <t>ch4|cem|coa</t>
        </is>
      </c>
      <c r="J999" s="3" t="inlineStr">
        <is>
          <t>em.cem.coa.ch4</t>
        </is>
      </c>
    </row>
    <row r="1000">
      <c r="A1000" s="3" t="str">
        <f>$B1000&amp;"|"&amp;$C1000</f>
        <v>irn|ecy</v>
      </c>
      <c r="B1000" s="3" t="inlineStr">
        <is>
          <t>irn</t>
        </is>
      </c>
      <c r="C1000" s="3" t="inlineStr">
        <is>
          <t>ecy</t>
        </is>
      </c>
      <c r="D1000" s="3" t="str">
        <f>IF($B1000="",""," | "&amp;$E1000&amp;" | "&amp;$F1000)</f>
        <v> | Iron &amp; steel | Electricity</v>
      </c>
      <c r="E1000" s="3" t="str">
        <f>IFERROR(INDEX(SecLab,MATCH($B1000,SecKey,0)),"")</f>
        <v>Iron &amp; steel</v>
      </c>
      <c r="F1000" s="3" t="str">
        <f>IFERROR(INDEX(FuelLab,MATCH($C1000,FuelKeyL,0)),"")</f>
        <v>Electricity</v>
      </c>
      <c r="G1000" s="3" t="inlineStr">
        <is>
          <t>.irn.ecy</t>
        </is>
      </c>
      <c r="I1000" s="3" t="inlineStr">
        <is>
          <t>ch4|cem|nga</t>
        </is>
      </c>
      <c r="J1000" s="3" t="inlineStr">
        <is>
          <t>em.cem.nga.ch4</t>
        </is>
      </c>
    </row>
    <row r="1001">
      <c r="A1001" s="3" t="str">
        <f>$B1001&amp;"|"&amp;$C1001</f>
        <v>nfm|ecy</v>
      </c>
      <c r="B1001" s="3" t="inlineStr">
        <is>
          <t>nfm</t>
        </is>
      </c>
      <c r="C1001" s="3" t="inlineStr">
        <is>
          <t>ecy</t>
        </is>
      </c>
      <c r="D1001" s="3" t="str">
        <f>IF($B1001="",""," | "&amp;$E1001&amp;" | "&amp;$F1001)</f>
        <v> | Other metals | Electricity</v>
      </c>
      <c r="E1001" s="3" t="str">
        <f>IFERROR(INDEX(SecLab,MATCH($B1001,SecKey,0)),"")</f>
        <v>Other metals</v>
      </c>
      <c r="F1001" s="3" t="str">
        <f>IFERROR(INDEX(FuelLab,MATCH($C1001,FuelKeyL,0)),"")</f>
        <v>Electricity</v>
      </c>
      <c r="G1001" s="3" t="inlineStr">
        <is>
          <t>.nfm.ecy</t>
        </is>
      </c>
      <c r="I1001" s="3" t="inlineStr">
        <is>
          <t>ch4|cem|gso</t>
        </is>
      </c>
      <c r="J1001" s="3" t="inlineStr">
        <is>
          <t>em.cem.gso.ch4</t>
        </is>
      </c>
    </row>
    <row r="1002">
      <c r="A1002" s="3" t="str">
        <f>$B1002&amp;"|"&amp;$C1002</f>
        <v>mac|ecy</v>
      </c>
      <c r="B1002" s="3" t="inlineStr">
        <is>
          <t>mac</t>
        </is>
      </c>
      <c r="C1002" s="3" t="inlineStr">
        <is>
          <t>ecy</t>
        </is>
      </c>
      <c r="D1002" s="3" t="str">
        <f>IF($B1002="",""," | "&amp;$E1002&amp;" | "&amp;$F1002)</f>
        <v> | Machinery | Electricity</v>
      </c>
      <c r="E1002" s="3" t="str">
        <f>IFERROR(INDEX(SecLab,MATCH($B1002,SecKey,0)),"")</f>
        <v>Machinery</v>
      </c>
      <c r="F1002" s="3" t="str">
        <f>IFERROR(INDEX(FuelLab,MATCH($C1002,FuelKeyL,0)),"")</f>
        <v>Electricity</v>
      </c>
      <c r="G1002" s="3" t="inlineStr">
        <is>
          <t>.mac.ecy</t>
        </is>
      </c>
      <c r="I1002" s="3" t="inlineStr">
        <is>
          <t>ch4|cem|die</t>
        </is>
      </c>
      <c r="J1002" s="3" t="inlineStr">
        <is>
          <t>em.cem.die.ch4</t>
        </is>
      </c>
    </row>
    <row r="1003">
      <c r="A1003" s="3" t="str">
        <f>$B1003&amp;"|"&amp;$C1003</f>
        <v>cem|ecy</v>
      </c>
      <c r="B1003" s="3" t="inlineStr">
        <is>
          <t>cem</t>
        </is>
      </c>
      <c r="C1003" s="3" t="inlineStr">
        <is>
          <t>ecy</t>
        </is>
      </c>
      <c r="D1003" s="3" t="str">
        <f>IF($B1003="",""," | "&amp;$E1003&amp;" | "&amp;$F1003)</f>
        <v> | Cement | Electricity</v>
      </c>
      <c r="E1003" s="3" t="str">
        <f>IFERROR(INDEX(SecLab,MATCH($B1003,SecKey,0)),"")</f>
        <v>Cement</v>
      </c>
      <c r="F1003" s="3" t="str">
        <f>IFERROR(INDEX(FuelLab,MATCH($C1003,FuelKeyL,0)),"")</f>
        <v>Electricity</v>
      </c>
      <c r="G1003" s="3" t="inlineStr">
        <is>
          <t>.cem.ecy</t>
        </is>
      </c>
      <c r="I1003" s="3" t="inlineStr">
        <is>
          <t>ch4|cem|lpg</t>
        </is>
      </c>
      <c r="J1003" s="3" t="inlineStr">
        <is>
          <t>em.cem.lpg.ch4</t>
        </is>
      </c>
    </row>
    <row r="1004">
      <c r="A1004" s="3" t="str">
        <f>$B1004&amp;"|"&amp;$C1004</f>
        <v>omn|ecy</v>
      </c>
      <c r="B1004" s="3" t="inlineStr">
        <is>
          <t>omn</t>
        </is>
      </c>
      <c r="C1004" s="3" t="inlineStr">
        <is>
          <t>ecy</t>
        </is>
      </c>
      <c r="D1004" s="3" t="str">
        <f>IF($B1004="",""," | "&amp;$E1004&amp;" | "&amp;$F1004)</f>
        <v> | Other manufacturing | Electricity</v>
      </c>
      <c r="E1004" s="3" t="str">
        <f>IFERROR(INDEX(SecLab,MATCH($B1004,SecKey,0)),"")</f>
        <v>Other manufacturing</v>
      </c>
      <c r="F1004" s="3" t="str">
        <f>IFERROR(INDEX(FuelLab,MATCH($C1004,FuelKeyL,0)),"")</f>
        <v>Electricity</v>
      </c>
      <c r="G1004" s="3" t="inlineStr">
        <is>
          <t>.omn.ecy</t>
        </is>
      </c>
      <c r="I1004" s="3" t="inlineStr">
        <is>
          <t>ch4|cem|ker</t>
        </is>
      </c>
      <c r="J1004" s="3" t="inlineStr">
        <is>
          <t>em.cem.ker.ch4</t>
        </is>
      </c>
    </row>
    <row r="1005">
      <c r="A1005" s="3" t="str">
        <f>$B1005&amp;"|"&amp;$C1005</f>
        <v>cst|ecy</v>
      </c>
      <c r="B1005" s="3" t="inlineStr">
        <is>
          <t>cst</t>
        </is>
      </c>
      <c r="C1005" s="3" t="inlineStr">
        <is>
          <t>ecy</t>
        </is>
      </c>
      <c r="D1005" s="3" t="str">
        <f>IF($B1005="",""," | "&amp;$E1005&amp;" | "&amp;$F1005)</f>
        <v> | Construction | Electricity</v>
      </c>
      <c r="E1005" s="3" t="str">
        <f>IFERROR(INDEX(SecLab,MATCH($B1005,SecKey,0)),"")</f>
        <v>Construction</v>
      </c>
      <c r="F1005" s="3" t="str">
        <f>IFERROR(INDEX(FuelLab,MATCH($C1005,FuelKeyL,0)),"")</f>
        <v>Electricity</v>
      </c>
      <c r="G1005" s="3" t="inlineStr">
        <is>
          <t>.cst.ecy</t>
        </is>
      </c>
      <c r="I1005" s="3" t="inlineStr">
        <is>
          <t>ch4|cem|jfu</t>
        </is>
      </c>
      <c r="J1005" s="3" t="inlineStr">
        <is>
          <t>em.cem.jfu.ch4</t>
        </is>
      </c>
    </row>
    <row r="1006">
      <c r="A1006" s="3" t="str">
        <f>$B1006&amp;"|"&amp;$C1006</f>
        <v>oen|ecy</v>
      </c>
      <c r="B1006" s="3" t="inlineStr">
        <is>
          <t>oen</t>
        </is>
      </c>
      <c r="C1006" s="3" t="inlineStr">
        <is>
          <t>ecy</t>
        </is>
      </c>
      <c r="D1006" s="3" t="str">
        <f>IF($B1006="",""," | "&amp;$E1006&amp;" | "&amp;$F1006)</f>
        <v> | Other energy use | Electricity</v>
      </c>
      <c r="E1006" s="3" t="str">
        <f>IFERROR(INDEX(SecLab,MATCH($B1006,SecKey,0)),"")</f>
        <v>Other energy use</v>
      </c>
      <c r="F1006" s="3" t="str">
        <f>IFERROR(INDEX(FuelLab,MATCH($C1006,FuelKeyL,0)),"")</f>
        <v>Electricity</v>
      </c>
      <c r="G1006" s="3" t="inlineStr">
        <is>
          <t>.oen.ecy</t>
        </is>
      </c>
      <c r="I1006" s="3" t="inlineStr">
        <is>
          <t>ch4|cem|oop</t>
        </is>
      </c>
      <c r="J1006" s="3" t="inlineStr">
        <is>
          <t>em.cem.oop.ch4</t>
        </is>
      </c>
    </row>
    <row r="1007">
      <c r="A1007" s="3" t="str">
        <f>$B1007&amp;"|"&amp;$C1007</f>
        <v>rod|coa</v>
      </c>
      <c r="B1007" s="3" t="inlineStr">
        <is>
          <t>rod</t>
        </is>
      </c>
      <c r="C1007" s="3" t="inlineStr">
        <is>
          <t>coa</t>
        </is>
      </c>
      <c r="D1007" s="3" t="str">
        <f>IF($B1007="",""," | "&amp;$E1007&amp;" | "&amp;$F1007)</f>
        <v> | Road | Coal</v>
      </c>
      <c r="E1007" s="3" t="str">
        <f>IFERROR(INDEX(SecLab,MATCH($B1007,SecKey,0)),"")</f>
        <v>Road</v>
      </c>
      <c r="F1007" s="3" t="str">
        <f>IFERROR(INDEX(FuelLab,MATCH($C1007,FuelKeyL,0)),"")</f>
        <v>Coal</v>
      </c>
      <c r="G1007" s="3" t="inlineStr">
        <is>
          <t>.rod.coa</t>
        </is>
      </c>
      <c r="I1007" s="3" t="inlineStr">
        <is>
          <t>ch4|cem|bio</t>
        </is>
      </c>
      <c r="J1007" s="3" t="inlineStr">
        <is>
          <t>em.cem.bio.ch4</t>
        </is>
      </c>
    </row>
    <row r="1008">
      <c r="A1008" s="3" t="str">
        <f>$B1008&amp;"|"&amp;$C1008</f>
        <v>rod|nga</v>
      </c>
      <c r="B1008" s="3" t="inlineStr">
        <is>
          <t>rod</t>
        </is>
      </c>
      <c r="C1008" s="3" t="inlineStr">
        <is>
          <t>nga</t>
        </is>
      </c>
      <c r="D1008" s="3" t="str">
        <f>IF($B1008="",""," | "&amp;$E1008&amp;" | "&amp;$F1008)</f>
        <v> | Road | Natural gas</v>
      </c>
      <c r="E1008" s="3" t="str">
        <f>IFERROR(INDEX(SecLab,MATCH($B1008,SecKey,0)),"")</f>
        <v>Road</v>
      </c>
      <c r="F1008" s="3" t="str">
        <f>IFERROR(INDEX(FuelLab,MATCH($C1008,FuelKeyL,0)),"")</f>
        <v>Natural gas</v>
      </c>
      <c r="G1008" s="3" t="inlineStr">
        <is>
          <t>.rod.nga</t>
        </is>
      </c>
      <c r="I1008" s="3" t="inlineStr">
        <is>
          <t>ener|omn|all</t>
        </is>
      </c>
      <c r="J1008" s="3" t="inlineStr">
        <is>
          <t>ener.omn.tot</t>
        </is>
      </c>
    </row>
    <row r="1009">
      <c r="A1009" s="3" t="str">
        <f>$B1009&amp;"|"&amp;$C1009</f>
        <v>rod|jfu</v>
      </c>
      <c r="B1009" s="3" t="inlineStr">
        <is>
          <t>rod</t>
        </is>
      </c>
      <c r="C1009" s="3" t="inlineStr">
        <is>
          <t>jfu</t>
        </is>
      </c>
      <c r="D1009" s="3" t="str">
        <f>IF($B1009="",""," | "&amp;$E1009&amp;" | "&amp;$F1009)</f>
        <v> | Road | Jet fuel</v>
      </c>
      <c r="E1009" s="3" t="str">
        <f>IFERROR(INDEX(SecLab,MATCH($B1009,SecKey,0)),"")</f>
        <v>Road</v>
      </c>
      <c r="F1009" s="3" t="str">
        <f>IFERROR(INDEX(FuelLab,MATCH($C1009,FuelKeyL,0)),"")</f>
        <v>Jet fuel</v>
      </c>
      <c r="G1009" s="3" t="inlineStr">
        <is>
          <t>.rod.jfu</t>
        </is>
      </c>
      <c r="I1009" s="3" t="inlineStr">
        <is>
          <t>ch4|omn|coa</t>
        </is>
      </c>
      <c r="J1009" s="3" t="inlineStr">
        <is>
          <t>em.omn.coa.ch4</t>
        </is>
      </c>
    </row>
    <row r="1010">
      <c r="A1010" s="3" t="str">
        <f>$B1010&amp;"|"&amp;$C1010</f>
        <v>rod|oop</v>
      </c>
      <c r="B1010" s="3" t="inlineStr">
        <is>
          <t>rod</t>
        </is>
      </c>
      <c r="C1010" s="3" t="inlineStr">
        <is>
          <t>oop</t>
        </is>
      </c>
      <c r="D1010" s="3" t="str">
        <f>IF($B1010="",""," | "&amp;$E1010&amp;" | "&amp;$F1010)</f>
        <v> | Road | Other oil products</v>
      </c>
      <c r="E1010" s="3" t="str">
        <f>IFERROR(INDEX(SecLab,MATCH($B1010,SecKey,0)),"")</f>
        <v>Road</v>
      </c>
      <c r="F1010" s="3" t="str">
        <f>IFERROR(INDEX(FuelLab,MATCH($C1010,FuelKeyL,0)),"")</f>
        <v>Other oil products</v>
      </c>
      <c r="G1010" s="3" t="inlineStr">
        <is>
          <t>.rod.oop</t>
        </is>
      </c>
      <c r="I1010" s="3" t="inlineStr">
        <is>
          <t>ch4|omn|nga</t>
        </is>
      </c>
      <c r="J1010" s="3" t="inlineStr">
        <is>
          <t>em.omn.nga.ch4</t>
        </is>
      </c>
    </row>
    <row r="1011">
      <c r="A1011" s="3" t="str">
        <f>$B1011&amp;"|"&amp;$C1011</f>
        <v>rod|bio</v>
      </c>
      <c r="B1011" s="3" t="inlineStr">
        <is>
          <t>rod</t>
        </is>
      </c>
      <c r="C1011" s="3" t="inlineStr">
        <is>
          <t>bio</t>
        </is>
      </c>
      <c r="D1011" s="3" t="str">
        <f>IF($B1011="",""," | "&amp;$E1011&amp;" | "&amp;$F1011)</f>
        <v> | Road | Biomass</v>
      </c>
      <c r="E1011" s="3" t="str">
        <f>IFERROR(INDEX(SecLab,MATCH($B1011,SecKey,0)),"")</f>
        <v>Road</v>
      </c>
      <c r="F1011" s="3" t="str">
        <f>IFERROR(INDEX(FuelLab,MATCH($C1011,FuelKeyL,0)),"")</f>
        <v>Biomass</v>
      </c>
      <c r="G1011" s="3" t="inlineStr">
        <is>
          <t>.rod.bio</t>
        </is>
      </c>
      <c r="I1011" s="3" t="inlineStr">
        <is>
          <t>ch4|omn|gso</t>
        </is>
      </c>
      <c r="J1011" s="3" t="inlineStr">
        <is>
          <t>em.omn.gso.ch4</t>
        </is>
      </c>
    </row>
    <row r="1012">
      <c r="A1012" s="3" t="str">
        <f>$B1012&amp;"|"&amp;$C1012</f>
        <v>ral|coa</v>
      </c>
      <c r="B1012" s="3" t="inlineStr">
        <is>
          <t>ral</t>
        </is>
      </c>
      <c r="C1012" s="3" t="inlineStr">
        <is>
          <t>coa</t>
        </is>
      </c>
      <c r="D1012" s="3" t="str">
        <f>IF($B1012="",""," | "&amp;$E1012&amp;" | "&amp;$F1012)</f>
        <v> | Rail | Coal</v>
      </c>
      <c r="E1012" s="3" t="str">
        <f>IFERROR(INDEX(SecLab,MATCH($B1012,SecKey,0)),"")</f>
        <v>Rail</v>
      </c>
      <c r="F1012" s="3" t="str">
        <f>IFERROR(INDEX(FuelLab,MATCH($C1012,FuelKeyL,0)),"")</f>
        <v>Coal</v>
      </c>
      <c r="G1012" s="3" t="inlineStr">
        <is>
          <t>.ral.coa</t>
        </is>
      </c>
      <c r="I1012" s="3" t="inlineStr">
        <is>
          <t>ch4|omn|die</t>
        </is>
      </c>
      <c r="J1012" s="3" t="inlineStr">
        <is>
          <t>em.omn.die.ch4</t>
        </is>
      </c>
    </row>
    <row r="1013">
      <c r="A1013" s="3" t="str">
        <f>$B1013&amp;"|"&amp;$C1013</f>
        <v>ral|nga</v>
      </c>
      <c r="B1013" s="3" t="inlineStr">
        <is>
          <t>ral</t>
        </is>
      </c>
      <c r="C1013" s="3" t="inlineStr">
        <is>
          <t>nga</t>
        </is>
      </c>
      <c r="D1013" s="3" t="str">
        <f>IF($B1013="",""," | "&amp;$E1013&amp;" | "&amp;$F1013)</f>
        <v> | Rail | Natural gas</v>
      </c>
      <c r="E1013" s="3" t="str">
        <f>IFERROR(INDEX(SecLab,MATCH($B1013,SecKey,0)),"")</f>
        <v>Rail</v>
      </c>
      <c r="F1013" s="3" t="str">
        <f>IFERROR(INDEX(FuelLab,MATCH($C1013,FuelKeyL,0)),"")</f>
        <v>Natural gas</v>
      </c>
      <c r="G1013" s="3" t="inlineStr">
        <is>
          <t>.ral.nga</t>
        </is>
      </c>
      <c r="I1013" s="3" t="inlineStr">
        <is>
          <t>ch4|omn|lpg</t>
        </is>
      </c>
      <c r="J1013" s="3" t="inlineStr">
        <is>
          <t>em.omn.lpg.ch4</t>
        </is>
      </c>
    </row>
    <row r="1014">
      <c r="A1014" s="3" t="str">
        <f>$B1014&amp;"|"&amp;$C1014</f>
        <v>ral|jfu</v>
      </c>
      <c r="B1014" s="3" t="inlineStr">
        <is>
          <t>ral</t>
        </is>
      </c>
      <c r="C1014" s="3" t="inlineStr">
        <is>
          <t>jfu</t>
        </is>
      </c>
      <c r="D1014" s="3" t="str">
        <f>IF($B1014="",""," | "&amp;$E1014&amp;" | "&amp;$F1014)</f>
        <v> | Rail | Jet fuel</v>
      </c>
      <c r="E1014" s="3" t="str">
        <f>IFERROR(INDEX(SecLab,MATCH($B1014,SecKey,0)),"")</f>
        <v>Rail</v>
      </c>
      <c r="F1014" s="3" t="str">
        <f>IFERROR(INDEX(FuelLab,MATCH($C1014,FuelKeyL,0)),"")</f>
        <v>Jet fuel</v>
      </c>
      <c r="G1014" s="3" t="inlineStr">
        <is>
          <t>.ral.jfu</t>
        </is>
      </c>
      <c r="I1014" s="3" t="inlineStr">
        <is>
          <t>ch4|omn|ker</t>
        </is>
      </c>
      <c r="J1014" s="3" t="inlineStr">
        <is>
          <t>em.omn.ker.ch4</t>
        </is>
      </c>
    </row>
    <row r="1015">
      <c r="A1015" s="3" t="str">
        <f>$B1015&amp;"|"&amp;$C1015</f>
        <v>ral|oop</v>
      </c>
      <c r="B1015" s="3" t="inlineStr">
        <is>
          <t>ral</t>
        </is>
      </c>
      <c r="C1015" s="3" t="inlineStr">
        <is>
          <t>oop</t>
        </is>
      </c>
      <c r="D1015" s="3" t="str">
        <f>IF($B1015="",""," | "&amp;$E1015&amp;" | "&amp;$F1015)</f>
        <v> | Rail | Other oil products</v>
      </c>
      <c r="E1015" s="3" t="str">
        <f>IFERROR(INDEX(SecLab,MATCH($B1015,SecKey,0)),"")</f>
        <v>Rail</v>
      </c>
      <c r="F1015" s="3" t="str">
        <f>IFERROR(INDEX(FuelLab,MATCH($C1015,FuelKeyL,0)),"")</f>
        <v>Other oil products</v>
      </c>
      <c r="G1015" s="3" t="inlineStr">
        <is>
          <t>.ral.oop</t>
        </is>
      </c>
      <c r="I1015" s="3" t="inlineStr">
        <is>
          <t>ch4|omn|jfu</t>
        </is>
      </c>
      <c r="J1015" s="3" t="inlineStr">
        <is>
          <t>em.omn.jfu.ch4</t>
        </is>
      </c>
    </row>
    <row r="1016">
      <c r="A1016" s="3" t="str">
        <f>$B1016&amp;"|"&amp;$C1016</f>
        <v>ral|bio</v>
      </c>
      <c r="B1016" s="3" t="inlineStr">
        <is>
          <t>ral</t>
        </is>
      </c>
      <c r="C1016" s="3" t="inlineStr">
        <is>
          <t>bio</t>
        </is>
      </c>
      <c r="D1016" s="3" t="str">
        <f>IF($B1016="",""," | "&amp;$E1016&amp;" | "&amp;$F1016)</f>
        <v> | Rail | Biomass</v>
      </c>
      <c r="E1016" s="3" t="str">
        <f>IFERROR(INDEX(SecLab,MATCH($B1016,SecKey,0)),"")</f>
        <v>Rail</v>
      </c>
      <c r="F1016" s="3" t="str">
        <f>IFERROR(INDEX(FuelLab,MATCH($C1016,FuelKeyL,0)),"")</f>
        <v>Biomass</v>
      </c>
      <c r="G1016" s="3" t="inlineStr">
        <is>
          <t>.ral.bio</t>
        </is>
      </c>
      <c r="I1016" s="3" t="inlineStr">
        <is>
          <t>ch4|omn|oop</t>
        </is>
      </c>
      <c r="J1016" s="3" t="inlineStr">
        <is>
          <t>em.omn.oop.ch4</t>
        </is>
      </c>
    </row>
    <row r="1017">
      <c r="A1017" s="3" t="str">
        <f>$B1017&amp;"|"&amp;$C1017</f>
        <v>avi|coa</v>
      </c>
      <c r="B1017" s="3" t="inlineStr">
        <is>
          <t>avi</t>
        </is>
      </c>
      <c r="C1017" s="3" t="inlineStr">
        <is>
          <t>coa</t>
        </is>
      </c>
      <c r="D1017" s="3" t="str">
        <f>IF($B1017="",""," | "&amp;$E1017&amp;" | "&amp;$F1017)</f>
        <v> | Domestic aviation | Coal</v>
      </c>
      <c r="E1017" s="3" t="str">
        <f>IFERROR(INDEX(SecLab,MATCH($B1017,SecKey,0)),"")</f>
        <v>Domestic aviation</v>
      </c>
      <c r="F1017" s="3" t="str">
        <f>IFERROR(INDEX(FuelLab,MATCH($C1017,FuelKeyL,0)),"")</f>
        <v>Coal</v>
      </c>
      <c r="G1017" s="3" t="inlineStr">
        <is>
          <t>.avi.coa</t>
        </is>
      </c>
      <c r="I1017" s="3" t="inlineStr">
        <is>
          <t>ch4|omn|bio</t>
        </is>
      </c>
      <c r="J1017" s="3" t="inlineStr">
        <is>
          <t>em.omn.bio.ch4</t>
        </is>
      </c>
    </row>
    <row r="1018">
      <c r="A1018" s="3" t="str">
        <f>$B1018&amp;"|"&amp;$C1018</f>
        <v>avi|nga</v>
      </c>
      <c r="B1018" s="3" t="inlineStr">
        <is>
          <t>avi</t>
        </is>
      </c>
      <c r="C1018" s="3" t="inlineStr">
        <is>
          <t>nga</t>
        </is>
      </c>
      <c r="D1018" s="3" t="str">
        <f>IF($B1018="",""," | "&amp;$E1018&amp;" | "&amp;$F1018)</f>
        <v> | Domestic aviation | Natural gas</v>
      </c>
      <c r="E1018" s="3" t="str">
        <f>IFERROR(INDEX(SecLab,MATCH($B1018,SecKey,0)),"")</f>
        <v>Domestic aviation</v>
      </c>
      <c r="F1018" s="3" t="str">
        <f>IFERROR(INDEX(FuelLab,MATCH($C1018,FuelKeyL,0)),"")</f>
        <v>Natural gas</v>
      </c>
      <c r="G1018" s="3" t="inlineStr">
        <is>
          <t>.avi.nga</t>
        </is>
      </c>
      <c r="I1018" s="3" t="inlineStr">
        <is>
          <t>ener|cst|all</t>
        </is>
      </c>
      <c r="J1018" s="3" t="inlineStr">
        <is>
          <t>ener.cst.tot</t>
        </is>
      </c>
    </row>
    <row r="1019">
      <c r="A1019" s="3" t="str">
        <f>$B1019&amp;"|"&amp;$C1019</f>
        <v>avi|jfu</v>
      </c>
      <c r="B1019" s="3" t="inlineStr">
        <is>
          <t>avi</t>
        </is>
      </c>
      <c r="C1019" s="3" t="inlineStr">
        <is>
          <t>jfu</t>
        </is>
      </c>
      <c r="D1019" s="3" t="str">
        <f>IF($B1019="",""," | "&amp;$E1019&amp;" | "&amp;$F1019)</f>
        <v> | Domestic aviation | Jet fuel</v>
      </c>
      <c r="E1019" s="3" t="str">
        <f>IFERROR(INDEX(SecLab,MATCH($B1019,SecKey,0)),"")</f>
        <v>Domestic aviation</v>
      </c>
      <c r="F1019" s="3" t="str">
        <f>IFERROR(INDEX(FuelLab,MATCH($C1019,FuelKeyL,0)),"")</f>
        <v>Jet fuel</v>
      </c>
      <c r="G1019" s="3" t="inlineStr">
        <is>
          <t>.avi.jfu</t>
        </is>
      </c>
      <c r="I1019" s="3" t="inlineStr">
        <is>
          <t>ch4|cst|coa</t>
        </is>
      </c>
      <c r="J1019" s="3" t="inlineStr">
        <is>
          <t>em.cst.coa.ch4</t>
        </is>
      </c>
    </row>
    <row r="1020">
      <c r="A1020" s="3" t="str">
        <f>$B1020&amp;"|"&amp;$C1020</f>
        <v>avi|oop</v>
      </c>
      <c r="B1020" s="3" t="inlineStr">
        <is>
          <t>avi</t>
        </is>
      </c>
      <c r="C1020" s="3" t="inlineStr">
        <is>
          <t>oop</t>
        </is>
      </c>
      <c r="D1020" s="3" t="str">
        <f>IF($B1020="",""," | "&amp;$E1020&amp;" | "&amp;$F1020)</f>
        <v> | Domestic aviation | Other oil products</v>
      </c>
      <c r="E1020" s="3" t="str">
        <f>IFERROR(INDEX(SecLab,MATCH($B1020,SecKey,0)),"")</f>
        <v>Domestic aviation</v>
      </c>
      <c r="F1020" s="3" t="str">
        <f>IFERROR(INDEX(FuelLab,MATCH($C1020,FuelKeyL,0)),"")</f>
        <v>Other oil products</v>
      </c>
      <c r="G1020" s="3" t="inlineStr">
        <is>
          <t>.avi.oop</t>
        </is>
      </c>
      <c r="I1020" s="3" t="inlineStr">
        <is>
          <t>ch4|cst|nga</t>
        </is>
      </c>
      <c r="J1020" s="3" t="inlineStr">
        <is>
          <t>em.cst.nga.ch4</t>
        </is>
      </c>
    </row>
    <row r="1021">
      <c r="A1021" s="3" t="str">
        <f>$B1021&amp;"|"&amp;$C1021</f>
        <v>avi|bio</v>
      </c>
      <c r="B1021" s="3" t="inlineStr">
        <is>
          <t>avi</t>
        </is>
      </c>
      <c r="C1021" s="3" t="inlineStr">
        <is>
          <t>bio</t>
        </is>
      </c>
      <c r="D1021" s="3" t="str">
        <f>IF($B1021="",""," | "&amp;$E1021&amp;" | "&amp;$F1021)</f>
        <v> | Domestic aviation | Biomass</v>
      </c>
      <c r="E1021" s="3" t="str">
        <f>IFERROR(INDEX(SecLab,MATCH($B1021,SecKey,0)),"")</f>
        <v>Domestic aviation</v>
      </c>
      <c r="F1021" s="3" t="str">
        <f>IFERROR(INDEX(FuelLab,MATCH($C1021,FuelKeyL,0)),"")</f>
        <v>Biomass</v>
      </c>
      <c r="G1021" s="3" t="inlineStr">
        <is>
          <t>.avi.bio</t>
        </is>
      </c>
      <c r="I1021" s="3" t="inlineStr">
        <is>
          <t>ch4|cst|gso</t>
        </is>
      </c>
      <c r="J1021" s="3" t="inlineStr">
        <is>
          <t>em.cst.gso.ch4</t>
        </is>
      </c>
    </row>
    <row r="1022">
      <c r="A1022" s="3" t="str">
        <f>$B1022&amp;"|"&amp;$C1022</f>
        <v>nav|coa</v>
      </c>
      <c r="B1022" s="3" t="inlineStr">
        <is>
          <t>nav</t>
        </is>
      </c>
      <c r="C1022" s="3" t="inlineStr">
        <is>
          <t>coa</t>
        </is>
      </c>
      <c r="D1022" s="3" t="str">
        <f>IF($B1022="",""," | "&amp;$E1022&amp;" | "&amp;$F1022)</f>
        <v> | Domestic navigation | Coal</v>
      </c>
      <c r="E1022" s="3" t="str">
        <f>IFERROR(INDEX(SecLab,MATCH($B1022,SecKey,0)),"")</f>
        <v>Domestic navigation</v>
      </c>
      <c r="F1022" s="3" t="str">
        <f>IFERROR(INDEX(FuelLab,MATCH($C1022,FuelKeyL,0)),"")</f>
        <v>Coal</v>
      </c>
      <c r="G1022" s="3" t="inlineStr">
        <is>
          <t>.nav.coa</t>
        </is>
      </c>
      <c r="I1022" s="3" t="inlineStr">
        <is>
          <t>ch4|cst|die</t>
        </is>
      </c>
      <c r="J1022" s="3" t="inlineStr">
        <is>
          <t>em.cst.die.ch4</t>
        </is>
      </c>
    </row>
    <row r="1023">
      <c r="A1023" s="3" t="str">
        <f>$B1023&amp;"|"&amp;$C1023</f>
        <v>nav|nga</v>
      </c>
      <c r="B1023" s="3" t="inlineStr">
        <is>
          <t>nav</t>
        </is>
      </c>
      <c r="C1023" s="3" t="inlineStr">
        <is>
          <t>nga</t>
        </is>
      </c>
      <c r="D1023" s="3" t="str">
        <f>IF($B1023="",""," | "&amp;$E1023&amp;" | "&amp;$F1023)</f>
        <v> | Domestic navigation | Natural gas</v>
      </c>
      <c r="E1023" s="3" t="str">
        <f>IFERROR(INDEX(SecLab,MATCH($B1023,SecKey,0)),"")</f>
        <v>Domestic navigation</v>
      </c>
      <c r="F1023" s="3" t="str">
        <f>IFERROR(INDEX(FuelLab,MATCH($C1023,FuelKeyL,0)),"")</f>
        <v>Natural gas</v>
      </c>
      <c r="G1023" s="3" t="inlineStr">
        <is>
          <t>.nav.nga</t>
        </is>
      </c>
      <c r="I1023" s="3" t="inlineStr">
        <is>
          <t>ch4|cst|lpg</t>
        </is>
      </c>
      <c r="J1023" s="3" t="inlineStr">
        <is>
          <t>em.cst.lpg.ch4</t>
        </is>
      </c>
    </row>
    <row r="1024">
      <c r="A1024" s="3" t="str">
        <f>$B1024&amp;"|"&amp;$C1024</f>
        <v>nav|jfu</v>
      </c>
      <c r="B1024" s="3" t="inlineStr">
        <is>
          <t>nav</t>
        </is>
      </c>
      <c r="C1024" s="3" t="inlineStr">
        <is>
          <t>jfu</t>
        </is>
      </c>
      <c r="D1024" s="3" t="str">
        <f>IF($B1024="",""," | "&amp;$E1024&amp;" | "&amp;$F1024)</f>
        <v> | Domestic navigation | Jet fuel</v>
      </c>
      <c r="E1024" s="3" t="str">
        <f>IFERROR(INDEX(SecLab,MATCH($B1024,SecKey,0)),"")</f>
        <v>Domestic navigation</v>
      </c>
      <c r="F1024" s="3" t="str">
        <f>IFERROR(INDEX(FuelLab,MATCH($C1024,FuelKeyL,0)),"")</f>
        <v>Jet fuel</v>
      </c>
      <c r="G1024" s="3" t="inlineStr">
        <is>
          <t>.nav.jfu</t>
        </is>
      </c>
      <c r="I1024" s="3" t="inlineStr">
        <is>
          <t>ch4|cst|ker</t>
        </is>
      </c>
      <c r="J1024" s="3" t="inlineStr">
        <is>
          <t>em.cst.ker.ch4</t>
        </is>
      </c>
    </row>
    <row r="1025">
      <c r="A1025" s="3" t="str">
        <f>$B1025&amp;"|"&amp;$C1025</f>
        <v>nav|oop</v>
      </c>
      <c r="B1025" s="3" t="inlineStr">
        <is>
          <t>nav</t>
        </is>
      </c>
      <c r="C1025" s="3" t="inlineStr">
        <is>
          <t>oop</t>
        </is>
      </c>
      <c r="D1025" s="3" t="str">
        <f>IF($B1025="",""," | "&amp;$E1025&amp;" | "&amp;$F1025)</f>
        <v> | Domestic navigation | Other oil products</v>
      </c>
      <c r="E1025" s="3" t="str">
        <f>IFERROR(INDEX(SecLab,MATCH($B1025,SecKey,0)),"")</f>
        <v>Domestic navigation</v>
      </c>
      <c r="F1025" s="3" t="str">
        <f>IFERROR(INDEX(FuelLab,MATCH($C1025,FuelKeyL,0)),"")</f>
        <v>Other oil products</v>
      </c>
      <c r="G1025" s="3" t="inlineStr">
        <is>
          <t>.nav.oop</t>
        </is>
      </c>
      <c r="I1025" s="3" t="inlineStr">
        <is>
          <t>ch4|cst|jfu</t>
        </is>
      </c>
      <c r="J1025" s="3" t="inlineStr">
        <is>
          <t>em.cst.jfu.ch4</t>
        </is>
      </c>
    </row>
    <row r="1026">
      <c r="A1026" s="3" t="str">
        <f>$B1026&amp;"|"&amp;$C1026</f>
        <v>nav|bio</v>
      </c>
      <c r="B1026" s="3" t="inlineStr">
        <is>
          <t>nav</t>
        </is>
      </c>
      <c r="C1026" s="3" t="inlineStr">
        <is>
          <t>bio</t>
        </is>
      </c>
      <c r="D1026" s="3" t="str">
        <f>IF($B1026="",""," | "&amp;$E1026&amp;" | "&amp;$F1026)</f>
        <v> | Domestic navigation | Biomass</v>
      </c>
      <c r="E1026" s="3" t="str">
        <f>IFERROR(INDEX(SecLab,MATCH($B1026,SecKey,0)),"")</f>
        <v>Domestic navigation</v>
      </c>
      <c r="F1026" s="3" t="str">
        <f>IFERROR(INDEX(FuelLab,MATCH($C1026,FuelKeyL,0)),"")</f>
        <v>Biomass</v>
      </c>
      <c r="G1026" s="3" t="inlineStr">
        <is>
          <t>.nav.bio</t>
        </is>
      </c>
      <c r="I1026" s="3" t="inlineStr">
        <is>
          <t>ch4|cst|oop</t>
        </is>
      </c>
      <c r="J1026" s="3" t="inlineStr">
        <is>
          <t>em.cst.oop.ch4</t>
        </is>
      </c>
    </row>
    <row r="1027">
      <c r="A1027" s="3" t="str">
        <f>$B1027&amp;"|"&amp;$C1027</f>
        <v>cyc|gso</v>
      </c>
      <c r="B1027" s="3" t="inlineStr">
        <is>
          <t>cyc</t>
        </is>
      </c>
      <c r="C1027" s="3" t="inlineStr">
        <is>
          <t>gso</t>
        </is>
      </c>
      <c r="D1027" s="3" t="str">
        <f>IF($B1027="",""," | "&amp;$E1027&amp;" | "&amp;$F1027)</f>
        <v> | 2-3 wheelers | Gasoline</v>
      </c>
      <c r="E1027" s="3" t="str">
        <f>IFERROR(INDEX(SecLab,MATCH($B1027,SecKey,0)),"")</f>
        <v>2-3 wheelers</v>
      </c>
      <c r="F1027" s="3" t="str">
        <f>IFERROR(INDEX(FuelLab,MATCH($C1027,FuelKeyL,0)),"")</f>
        <v>Gasoline</v>
      </c>
      <c r="G1027" s="3" t="inlineStr">
        <is>
          <t>.motor.gso</t>
        </is>
      </c>
      <c r="I1027" s="3" t="inlineStr">
        <is>
          <t>ch4|cst|bio</t>
        </is>
      </c>
      <c r="J1027" s="3" t="inlineStr">
        <is>
          <t>em.cst.bio.ch4</t>
        </is>
      </c>
    </row>
    <row r="1028">
      <c r="A1028" s="3" t="str">
        <f>$B1028&amp;"|"&amp;$C1028</f>
        <v>bus|die</v>
      </c>
      <c r="B1028" s="3" t="inlineStr">
        <is>
          <t>bus</t>
        </is>
      </c>
      <c r="C1028" s="3" t="inlineStr">
        <is>
          <t>die</t>
        </is>
      </c>
      <c r="D1028" s="3" t="str">
        <f>IF($B1028="",""," | "&amp;$E1028&amp;" | "&amp;$F1028)</f>
        <v> | Buses | Diesel</v>
      </c>
      <c r="E1028" s="3" t="str">
        <f>IFERROR(INDEX(SecLab,MATCH($B1028,SecKey,0)),"")</f>
        <v>Buses</v>
      </c>
      <c r="F1028" s="3" t="str">
        <f>IFERROR(INDEX(FuelLab,MATCH($C1028,FuelKeyL,0)),"")</f>
        <v>Diesel</v>
      </c>
      <c r="G1028" s="3" t="inlineStr">
        <is>
          <t>.bus.die</t>
        </is>
      </c>
      <c r="I1028" s="3" t="inlineStr">
        <is>
          <t>ener|ftr|all</t>
        </is>
      </c>
      <c r="J1028" s="3" t="inlineStr">
        <is>
          <t>ener.ftr.tot</t>
        </is>
      </c>
    </row>
    <row r="1029">
      <c r="A1029" s="3" t="str">
        <f>$B1029&amp;"|"&amp;$C1029</f>
        <v>fre|die</v>
      </c>
      <c r="B1029" s="3" t="inlineStr">
        <is>
          <t>fre</t>
        </is>
      </c>
      <c r="C1029" s="3" t="inlineStr">
        <is>
          <t>die</t>
        </is>
      </c>
      <c r="D1029" s="3" t="str">
        <f>IF($B1029="",""," | "&amp;$E1029&amp;" | "&amp;$F1029)</f>
        <v> | Freight vehicles | Diesel</v>
      </c>
      <c r="E1029" s="3" t="str">
        <f>IFERROR(INDEX(SecLab,MATCH($B1029,SecKey,0)),"")</f>
        <v>Freight vehicles</v>
      </c>
      <c r="F1029" s="3" t="str">
        <f>IFERROR(INDEX(FuelLab,MATCH($C1029,FuelKeyL,0)),"")</f>
        <v>Diesel</v>
      </c>
      <c r="G1029" s="3" t="inlineStr">
        <is>
          <t>.fre.die</t>
        </is>
      </c>
      <c r="I1029" s="3" t="inlineStr">
        <is>
          <t>ch4|ftr|coa</t>
        </is>
      </c>
      <c r="J1029" s="3" t="inlineStr">
        <is>
          <t>em.ftr.coa.ch4</t>
        </is>
      </c>
    </row>
    <row r="1030">
      <c r="A1030" s="3" t="str">
        <f>$B1030&amp;"|"&amp;$C1030</f>
        <v>pas|lpg</v>
      </c>
      <c r="B1030" s="3" t="inlineStr">
        <is>
          <t>pas</t>
        </is>
      </c>
      <c r="C1030" s="3" t="inlineStr">
        <is>
          <t>lpg</t>
        </is>
      </c>
      <c r="D1030" s="3" t="str">
        <f>IF($B1030="",""," | "&amp;$E1030&amp;" | "&amp;$F1030)</f>
        <v> | Passenger and light vehicles | LPG</v>
      </c>
      <c r="E1030" s="3" t="str">
        <f>IFERROR(INDEX(SecLab,MATCH($B1030,SecKey,0)),"")</f>
        <v>Passenger and light vehicles</v>
      </c>
      <c r="F1030" s="3" t="str">
        <f>IFERROR(INDEX(FuelLab,MATCH($C1030,FuelKeyL,0)),"")</f>
        <v>LPG</v>
      </c>
      <c r="G1030" s="3" t="inlineStr">
        <is>
          <t>.pass.lpg</t>
        </is>
      </c>
      <c r="I1030" s="3" t="inlineStr">
        <is>
          <t>ch4|ftr|nga</t>
        </is>
      </c>
      <c r="J1030" s="3" t="inlineStr">
        <is>
          <t>em.ftr.nga.ch4</t>
        </is>
      </c>
    </row>
    <row r="1031">
      <c r="A1031" s="3" t="str">
        <f>$B1031&amp;"|"&amp;$C1031</f>
        <v>bus|lpg</v>
      </c>
      <c r="B1031" s="3" t="inlineStr">
        <is>
          <t>bus</t>
        </is>
      </c>
      <c r="C1031" s="3" t="inlineStr">
        <is>
          <t>lpg</t>
        </is>
      </c>
      <c r="D1031" s="3" t="str">
        <f>IF($B1031="",""," | "&amp;$E1031&amp;" | "&amp;$F1031)</f>
        <v> | Buses | LPG</v>
      </c>
      <c r="E1031" s="3" t="str">
        <f>IFERROR(INDEX(SecLab,MATCH($B1031,SecKey,0)),"")</f>
        <v>Buses</v>
      </c>
      <c r="F1031" s="3" t="str">
        <f>IFERROR(INDEX(FuelLab,MATCH($C1031,FuelKeyL,0)),"")</f>
        <v>LPG</v>
      </c>
      <c r="G1031" s="3" t="inlineStr">
        <is>
          <t>.bus.lpg</t>
        </is>
      </c>
      <c r="I1031" s="3" t="inlineStr">
        <is>
          <t>ch4|ftr|gso</t>
        </is>
      </c>
      <c r="J1031" s="3" t="inlineStr">
        <is>
          <t>em.ftr.gso.ch4</t>
        </is>
      </c>
    </row>
    <row r="1032">
      <c r="A1032" s="3" t="str">
        <f>$B1032&amp;"|"&amp;$C1032</f>
        <v>fre|lpg</v>
      </c>
      <c r="B1032" s="3" t="inlineStr">
        <is>
          <t>fre</t>
        </is>
      </c>
      <c r="C1032" s="3" t="inlineStr">
        <is>
          <t>lpg</t>
        </is>
      </c>
      <c r="D1032" s="3" t="str">
        <f>IF($B1032="",""," | "&amp;$E1032&amp;" | "&amp;$F1032)</f>
        <v> | Freight vehicles | LPG</v>
      </c>
      <c r="E1032" s="3" t="str">
        <f>IFERROR(INDEX(SecLab,MATCH($B1032,SecKey,0)),"")</f>
        <v>Freight vehicles</v>
      </c>
      <c r="F1032" s="3" t="str">
        <f>IFERROR(INDEX(FuelLab,MATCH($C1032,FuelKeyL,0)),"")</f>
        <v>LPG</v>
      </c>
      <c r="G1032" s="3" t="inlineStr">
        <is>
          <t>.fre.lpg</t>
        </is>
      </c>
      <c r="I1032" s="3" t="inlineStr">
        <is>
          <t>ch4|ftr|die</t>
        </is>
      </c>
      <c r="J1032" s="3" t="inlineStr">
        <is>
          <t>em.ftr.die.ch4</t>
        </is>
      </c>
    </row>
    <row r="1033">
      <c r="A1033" s="3" t="str">
        <f>$B1033&amp;"|"&amp;$C1033</f>
        <v>pas|nga</v>
      </c>
      <c r="B1033" s="3" t="inlineStr">
        <is>
          <t>pas</t>
        </is>
      </c>
      <c r="C1033" s="3" t="inlineStr">
        <is>
          <t>nga</t>
        </is>
      </c>
      <c r="D1033" s="3" t="str">
        <f>IF($B1033="",""," | "&amp;$E1033&amp;" | "&amp;$F1033)</f>
        <v> | Passenger and light vehicles | Natural gas</v>
      </c>
      <c r="E1033" s="3" t="str">
        <f>IFERROR(INDEX(SecLab,MATCH($B1033,SecKey,0)),"")</f>
        <v>Passenger and light vehicles</v>
      </c>
      <c r="F1033" s="3" t="str">
        <f>IFERROR(INDEX(FuelLab,MATCH($C1033,FuelKeyL,0)),"")</f>
        <v>Natural gas</v>
      </c>
      <c r="G1033" s="3" t="inlineStr">
        <is>
          <t>.pass.nga</t>
        </is>
      </c>
      <c r="I1033" s="3" t="inlineStr">
        <is>
          <t>ch4|ftr|lpg</t>
        </is>
      </c>
      <c r="J1033" s="3" t="inlineStr">
        <is>
          <t>em.ftr.lpg.ch4</t>
        </is>
      </c>
    </row>
    <row r="1034">
      <c r="A1034" s="3" t="str">
        <f>$B1034&amp;"|"&amp;$C1034</f>
        <v>bus|nga</v>
      </c>
      <c r="B1034" s="3" t="inlineStr">
        <is>
          <t>bus</t>
        </is>
      </c>
      <c r="C1034" s="3" t="inlineStr">
        <is>
          <t>nga</t>
        </is>
      </c>
      <c r="D1034" s="3" t="str">
        <f>IF($B1034="",""," | "&amp;$E1034&amp;" | "&amp;$F1034)</f>
        <v> | Buses | Natural gas</v>
      </c>
      <c r="E1034" s="3" t="str">
        <f>IFERROR(INDEX(SecLab,MATCH($B1034,SecKey,0)),"")</f>
        <v>Buses</v>
      </c>
      <c r="F1034" s="3" t="str">
        <f>IFERROR(INDEX(FuelLab,MATCH($C1034,FuelKeyL,0)),"")</f>
        <v>Natural gas</v>
      </c>
      <c r="G1034" s="3" t="inlineStr">
        <is>
          <t>.bus.nga</t>
        </is>
      </c>
      <c r="I1034" s="3" t="inlineStr">
        <is>
          <t>ch4|ftr|ker</t>
        </is>
      </c>
      <c r="J1034" s="3" t="inlineStr">
        <is>
          <t>em.ftr.ker.ch4</t>
        </is>
      </c>
    </row>
    <row r="1035">
      <c r="A1035" s="3" t="str">
        <f>$B1035&amp;"|"&amp;$C1035</f>
        <v>fre|nga</v>
      </c>
      <c r="B1035" s="3" t="inlineStr">
        <is>
          <t>fre</t>
        </is>
      </c>
      <c r="C1035" s="3" t="inlineStr">
        <is>
          <t>nga</t>
        </is>
      </c>
      <c r="D1035" s="3" t="str">
        <f>IF($B1035="",""," | "&amp;$E1035&amp;" | "&amp;$F1035)</f>
        <v> | Freight vehicles | Natural gas</v>
      </c>
      <c r="E1035" s="3" t="str">
        <f>IFERROR(INDEX(SecLab,MATCH($B1035,SecKey,0)),"")</f>
        <v>Freight vehicles</v>
      </c>
      <c r="F1035" s="3" t="str">
        <f>IFERROR(INDEX(FuelLab,MATCH($C1035,FuelKeyL,0)),"")</f>
        <v>Natural gas</v>
      </c>
      <c r="G1035" s="3" t="inlineStr">
        <is>
          <t>.fre.nga</t>
        </is>
      </c>
      <c r="I1035" s="3" t="inlineStr">
        <is>
          <t>ch4|ftr|jfu</t>
        </is>
      </c>
      <c r="J1035" s="3" t="inlineStr">
        <is>
          <t>em.ftr.jfu.ch4</t>
        </is>
      </c>
    </row>
    <row r="1036">
      <c r="A1036" s="3" t="str">
        <f>$B1036&amp;"|"&amp;$C1036</f>
        <v>lgt|ice</v>
      </c>
      <c r="B1036" s="3" t="inlineStr">
        <is>
          <t>lgt</t>
        </is>
      </c>
      <c r="C1036" s="3" t="inlineStr">
        <is>
          <t>ice</t>
        </is>
      </c>
      <c r="D1036" s="3" t="str">
        <f>IF($B1036="",""," | "&amp;$E1036&amp;" | "&amp;$F1036)</f>
        <v> | Light vehicles | Internal combustion</v>
      </c>
      <c r="E1036" s="3" t="str">
        <f>IFERROR(INDEX(SecLab,MATCH($B1036,SecKey,0)),"")</f>
        <v>Light vehicles</v>
      </c>
      <c r="F1036" s="3" t="str">
        <f>IFERROR(INDEX(FuelLab,MATCH($C1036,FuelKeyL,0)),"")</f>
        <v>Internal combustion</v>
      </c>
      <c r="G1036" s="3" t="inlineStr">
        <is>
          <t>.lgt.ice</t>
        </is>
      </c>
      <c r="I1036" s="3" t="inlineStr">
        <is>
          <t>ch4|ftr|oop</t>
        </is>
      </c>
      <c r="J1036" s="3" t="inlineStr">
        <is>
          <t>em.ftr.oop.ch4</t>
        </is>
      </c>
    </row>
    <row r="1037">
      <c r="A1037" s="3" t="str">
        <f>$B1037&amp;"|"&amp;$C1037</f>
        <v>pas|phv</v>
      </c>
      <c r="B1037" s="3" t="inlineStr">
        <is>
          <t>pas</t>
        </is>
      </c>
      <c r="C1037" s="3" t="inlineStr">
        <is>
          <t>phv</t>
        </is>
      </c>
      <c r="D1037" s="3" t="str">
        <f>IF($B1037="",""," | "&amp;$E1037&amp;" | "&amp;$F1037)</f>
        <v> | Passenger and light vehicles | Plug-in hybrid</v>
      </c>
      <c r="E1037" s="3" t="str">
        <f>IFERROR(INDEX(SecLab,MATCH($B1037,SecKey,0)),"")</f>
        <v>Passenger and light vehicles</v>
      </c>
      <c r="F1037" s="3" t="str">
        <f>IFERROR(INDEX(FuelLab,MATCH($C1037,FuelKeyL,0)),"")</f>
        <v>Plug-in hybrid</v>
      </c>
      <c r="G1037" s="3" t="inlineStr">
        <is>
          <t>.pass.phv</t>
        </is>
      </c>
      <c r="I1037" s="3" t="inlineStr">
        <is>
          <t>ch4|ftr|bio</t>
        </is>
      </c>
      <c r="J1037" s="3" t="inlineStr">
        <is>
          <t>em.ftr.bio.ch4</t>
        </is>
      </c>
    </row>
    <row r="1038">
      <c r="A1038" s="3" t="str">
        <f>$B1038&amp;"|"&amp;$C1038</f>
        <v>pas|bev</v>
      </c>
      <c r="B1038" s="3" t="inlineStr">
        <is>
          <t>pas</t>
        </is>
      </c>
      <c r="C1038" s="3" t="inlineStr">
        <is>
          <t>bev</t>
        </is>
      </c>
      <c r="D1038" s="3" t="str">
        <f>IF($B1038="",""," | "&amp;$E1038&amp;" | "&amp;$F1038)</f>
        <v> | Passenger and light vehicles | Battery electric</v>
      </c>
      <c r="E1038" s="3" t="str">
        <f>IFERROR(INDEX(SecLab,MATCH($B1038,SecKey,0)),"")</f>
        <v>Passenger and light vehicles</v>
      </c>
      <c r="F1038" s="3" t="str">
        <f>IFERROR(INDEX(FuelLab,MATCH($C1038,FuelKeyL,0)),"")</f>
        <v>Battery electric</v>
      </c>
      <c r="G1038" s="3" t="inlineStr">
        <is>
          <t>.pass.bev</t>
        </is>
      </c>
      <c r="I1038" s="3" t="inlineStr">
        <is>
          <t>ener|ind|all</t>
        </is>
      </c>
      <c r="J1038" s="3" t="inlineStr">
        <is>
          <t>ener.ind.tot</t>
        </is>
      </c>
    </row>
    <row r="1039">
      <c r="A1039" s="3" t="str">
        <f>$B1039&amp;"|"&amp;$C1039</f>
        <v>pas|all</v>
      </c>
      <c r="B1039" s="3" t="inlineStr">
        <is>
          <t>pas</t>
        </is>
      </c>
      <c r="C1039" s="3" t="inlineStr">
        <is>
          <t>all</t>
        </is>
      </c>
      <c r="D1039" s="3" t="str">
        <f>IF($B1039="",""," | "&amp;$E1039&amp;" | "&amp;$F1039)</f>
        <v> | Passenger and light vehicles | All fuels</v>
      </c>
      <c r="E1039" s="3" t="str">
        <f>IFERROR(INDEX(SecLab,MATCH($B1039,SecKey,0)),"")</f>
        <v>Passenger and light vehicles</v>
      </c>
      <c r="F1039" s="3" t="str">
        <f>IFERROR(INDEX(FuelLab,MATCH($C1039,FuelKeyL,0)),"")</f>
        <v>All fuels</v>
      </c>
      <c r="G1039" s="3" t="inlineStr">
        <is>
          <t>.pass.all</t>
        </is>
      </c>
      <c r="I1039" s="3" t="inlineStr">
        <is>
          <t>ener|oen|all</t>
        </is>
      </c>
      <c r="J1039" s="3" t="inlineStr">
        <is>
          <t>ener.oen.tot</t>
        </is>
      </c>
    </row>
    <row r="1040">
      <c r="A1040" s="3" t="str">
        <f>$B1040&amp;"|"&amp;$C1040</f>
        <v>lgt|all</v>
      </c>
      <c r="B1040" s="3" t="inlineStr">
        <is>
          <t>lgt</t>
        </is>
      </c>
      <c r="C1040" s="3" t="inlineStr">
        <is>
          <t>all</t>
        </is>
      </c>
      <c r="D1040" s="3" t="str">
        <f>IF($B1040="",""," | "&amp;$E1040&amp;" | "&amp;$F1040)</f>
        <v> | Light vehicles | All fuels</v>
      </c>
      <c r="E1040" s="3" t="str">
        <f>IFERROR(INDEX(SecLab,MATCH($B1040,SecKey,0)),"")</f>
        <v>Light vehicles</v>
      </c>
      <c r="F1040" s="3" t="str">
        <f>IFERROR(INDEX(FuelLab,MATCH($C1040,FuelKeyL,0)),"")</f>
        <v>All fuels</v>
      </c>
      <c r="G1040" s="3" t="inlineStr">
        <is>
          <t>.lgt.all</t>
        </is>
      </c>
      <c r="I1040" s="3" t="inlineStr">
        <is>
          <t>ch4|oen|coa</t>
        </is>
      </c>
      <c r="J1040" s="3" t="inlineStr">
        <is>
          <t>em.oen.coa.ch4</t>
        </is>
      </c>
    </row>
    <row r="1041">
      <c r="A1041" s="3" t="str">
        <f>$B1041&amp;"|"&amp;$C1041</f>
        <v>fre|all</v>
      </c>
      <c r="B1041" s="3" t="inlineStr">
        <is>
          <t>fre</t>
        </is>
      </c>
      <c r="C1041" s="3" t="inlineStr">
        <is>
          <t>all</t>
        </is>
      </c>
      <c r="D1041" s="3" t="str">
        <f>IF($B1041="",""," | "&amp;$E1041&amp;" | "&amp;$F1041)</f>
        <v> | Freight vehicles | All fuels</v>
      </c>
      <c r="E1041" s="3" t="str">
        <f>IFERROR(INDEX(SecLab,MATCH($B1041,SecKey,0)),"")</f>
        <v>Freight vehicles</v>
      </c>
      <c r="F1041" s="3" t="str">
        <f>IFERROR(INDEX(FuelLab,MATCH($C1041,FuelKeyL,0)),"")</f>
        <v>All fuels</v>
      </c>
      <c r="G1041" s="3" t="inlineStr">
        <is>
          <t>.fre.all</t>
        </is>
      </c>
      <c r="I1041" s="3" t="inlineStr">
        <is>
          <t>ch4|oen|nga</t>
        </is>
      </c>
      <c r="J1041" s="3" t="inlineStr">
        <is>
          <t>em.oen.nga.ch4</t>
        </is>
      </c>
    </row>
    <row r="1042">
      <c r="A1042" s="3" t="str">
        <f>$B1042&amp;"|"&amp;$C1042</f>
        <v>cyc|all</v>
      </c>
      <c r="B1042" s="3" t="inlineStr">
        <is>
          <t>cyc</t>
        </is>
      </c>
      <c r="C1042" s="3" t="inlineStr">
        <is>
          <t>all</t>
        </is>
      </c>
      <c r="D1042" s="3" t="str">
        <f>IF($B1042="",""," | "&amp;$E1042&amp;" | "&amp;$F1042)</f>
        <v> | 2-3 wheelers | All fuels</v>
      </c>
      <c r="E1042" s="3" t="str">
        <f>IFERROR(INDEX(SecLab,MATCH($B1042,SecKey,0)),"")</f>
        <v>2-3 wheelers</v>
      </c>
      <c r="F1042" s="3" t="str">
        <f>IFERROR(INDEX(FuelLab,MATCH($C1042,FuelKeyL,0)),"")</f>
        <v>All fuels</v>
      </c>
      <c r="G1042" s="3" t="inlineStr">
        <is>
          <t>.motor.all</t>
        </is>
      </c>
      <c r="I1042" s="3" t="inlineStr">
        <is>
          <t>ch4|oen|gso</t>
        </is>
      </c>
      <c r="J1042" s="3" t="inlineStr">
        <is>
          <t>em.oen.gso.ch4</t>
        </is>
      </c>
    </row>
    <row r="1043">
      <c r="A1043" s="3" t="str">
        <f>$B1043&amp;"|"&amp;$C1043</f>
        <v>pas|ev</v>
      </c>
      <c r="B1043" s="3" t="inlineStr">
        <is>
          <t>pas</t>
        </is>
      </c>
      <c r="C1043" s="3" t="inlineStr">
        <is>
          <t>ev</t>
        </is>
      </c>
      <c r="D1043" s="3" t="str">
        <f>IF($B1043="",""," | "&amp;$E1043&amp;" | "&amp;$F1043)</f>
        <v> | Passenger and light vehicles | Electric (BEV and PHEV)</v>
      </c>
      <c r="E1043" s="3" t="str">
        <f>IFERROR(INDEX(SecLab,MATCH($B1043,SecKey,0)),"")</f>
        <v>Passenger and light vehicles</v>
      </c>
      <c r="F1043" s="3" t="str">
        <f>IFERROR(INDEX(FuelLab,MATCH($C1043,FuelKeyL,0)),"")</f>
        <v>Electric (BEV and PHEV)</v>
      </c>
      <c r="G1043" s="3" t="inlineStr">
        <is>
          <t>.pass.ev</t>
        </is>
      </c>
      <c r="I1043" s="3" t="inlineStr">
        <is>
          <t>ch4|oen|die</t>
        </is>
      </c>
      <c r="J1043" s="3" t="inlineStr">
        <is>
          <t>em.oen.die.ch4</t>
        </is>
      </c>
    </row>
    <row r="1044">
      <c r="A1044" s="3" t="str">
        <f>$B1044&amp;"|"&amp;$C1044</f>
        <v>lgt|bev</v>
      </c>
      <c r="B1044" s="3" t="inlineStr">
        <is>
          <t>lgt</t>
        </is>
      </c>
      <c r="C1044" s="3" t="inlineStr">
        <is>
          <t>bev</t>
        </is>
      </c>
      <c r="D1044" s="3" t="str">
        <f>IF($B1044="",""," | "&amp;$E1044&amp;" | "&amp;$F1044)</f>
        <v> | Light vehicles | Battery electric</v>
      </c>
      <c r="E1044" s="3" t="str">
        <f>IFERROR(INDEX(SecLab,MATCH($B1044,SecKey,0)),"")</f>
        <v>Light vehicles</v>
      </c>
      <c r="F1044" s="3" t="str">
        <f>IFERROR(INDEX(FuelLab,MATCH($C1044,FuelKeyL,0)),"")</f>
        <v>Battery electric</v>
      </c>
      <c r="G1044" s="3" t="inlineStr">
        <is>
          <t>.lgt.bev</t>
        </is>
      </c>
      <c r="I1044" s="3" t="inlineStr">
        <is>
          <t>ch4|oen|lpg</t>
        </is>
      </c>
      <c r="J1044" s="3" t="inlineStr">
        <is>
          <t>em.oen.lpg.ch4</t>
        </is>
      </c>
    </row>
    <row r="1045">
      <c r="A1045" s="3" t="str">
        <f>$B1045&amp;"|"&amp;$C1045</f>
        <v>fre|bev</v>
      </c>
      <c r="B1045" s="3" t="inlineStr">
        <is>
          <t>fre</t>
        </is>
      </c>
      <c r="C1045" s="3" t="inlineStr">
        <is>
          <t>bev</t>
        </is>
      </c>
      <c r="D1045" s="3" t="str">
        <f>IF($B1045="",""," | "&amp;$E1045&amp;" | "&amp;$F1045)</f>
        <v> | Freight vehicles | Battery electric</v>
      </c>
      <c r="E1045" s="3" t="str">
        <f>IFERROR(INDEX(SecLab,MATCH($B1045,SecKey,0)),"")</f>
        <v>Freight vehicles</v>
      </c>
      <c r="F1045" s="3" t="str">
        <f>IFERROR(INDEX(FuelLab,MATCH($C1045,FuelKeyL,0)),"")</f>
        <v>Battery electric</v>
      </c>
      <c r="G1045" s="3" t="inlineStr">
        <is>
          <t>.fre.bev</t>
        </is>
      </c>
      <c r="I1045" s="3" t="inlineStr">
        <is>
          <t>ch4|oen|ker</t>
        </is>
      </c>
      <c r="J1045" s="3" t="inlineStr">
        <is>
          <t>em.oen.ker.ch4</t>
        </is>
      </c>
    </row>
    <row r="1046">
      <c r="A1046" s="3" t="str">
        <f>$B1046&amp;"|"&amp;$C1046</f>
        <v>cyc|bev</v>
      </c>
      <c r="B1046" s="3" t="inlineStr">
        <is>
          <t>cyc</t>
        </is>
      </c>
      <c r="C1046" s="3" t="inlineStr">
        <is>
          <t>bev</t>
        </is>
      </c>
      <c r="D1046" s="3" t="str">
        <f>IF($B1046="",""," | "&amp;$E1046&amp;" | "&amp;$F1046)</f>
        <v> | 2-3 wheelers | Battery electric</v>
      </c>
      <c r="E1046" s="3" t="str">
        <f>IFERROR(INDEX(SecLab,MATCH($B1046,SecKey,0)),"")</f>
        <v>2-3 wheelers</v>
      </c>
      <c r="F1046" s="3" t="str">
        <f>IFERROR(INDEX(FuelLab,MATCH($C1046,FuelKeyL,0)),"")</f>
        <v>Battery electric</v>
      </c>
      <c r="G1046" s="3" t="inlineStr">
        <is>
          <t>.motor.bev</t>
        </is>
      </c>
      <c r="I1046" s="3" t="inlineStr">
        <is>
          <t>ch4|oen|jfu</t>
        </is>
      </c>
      <c r="J1046" s="3" t="inlineStr">
        <is>
          <t>em.oen.jfu.ch4</t>
        </is>
      </c>
    </row>
    <row r="1047">
      <c r="A1047" s="3" t="str">
        <f>$B1047&amp;"|"&amp;$C1047</f>
        <v>cyc|ice</v>
      </c>
      <c r="B1047" s="3" t="inlineStr">
        <is>
          <t>cyc</t>
        </is>
      </c>
      <c r="C1047" s="3" t="inlineStr">
        <is>
          <t>ice</t>
        </is>
      </c>
      <c r="D1047" s="3" t="str">
        <f>IF($B1047="",""," | "&amp;$E1047&amp;" | "&amp;$F1047)</f>
        <v> | 2-3 wheelers | Internal combustion</v>
      </c>
      <c r="E1047" s="3" t="str">
        <f>IFERROR(INDEX(SecLab,MATCH($B1047,SecKey,0)),"")</f>
        <v>2-3 wheelers</v>
      </c>
      <c r="F1047" s="3" t="str">
        <f>IFERROR(INDEX(FuelLab,MATCH($C1047,FuelKeyL,0)),"")</f>
        <v>Internal combustion</v>
      </c>
      <c r="G1047" s="3" t="inlineStr">
        <is>
          <t>.motor.ice</t>
        </is>
      </c>
      <c r="I1047" s="3" t="inlineStr">
        <is>
          <t>ch4|oen|oop</t>
        </is>
      </c>
      <c r="J1047" s="3" t="inlineStr">
        <is>
          <t>em.oen.oop.ch4</t>
        </is>
      </c>
    </row>
    <row r="1048">
      <c r="A1048" s="3" t="str">
        <f>$B1048&amp;"|"&amp;$C1048</f>
        <v>fre|ice</v>
      </c>
      <c r="B1048" s="3" t="inlineStr">
        <is>
          <t>fre</t>
        </is>
      </c>
      <c r="C1048" s="3" t="inlineStr">
        <is>
          <t>ice</t>
        </is>
      </c>
      <c r="D1048" s="3" t="str">
        <f>IF($B1048="",""," | "&amp;$E1048&amp;" | "&amp;$F1048)</f>
        <v> | Freight vehicles | Internal combustion</v>
      </c>
      <c r="E1048" s="3" t="str">
        <f>IFERROR(INDEX(SecLab,MATCH($B1048,SecKey,0)),"")</f>
        <v>Freight vehicles</v>
      </c>
      <c r="F1048" s="3" t="str">
        <f>IFERROR(INDEX(FuelLab,MATCH($C1048,FuelKeyL,0)),"")</f>
        <v>Internal combustion</v>
      </c>
      <c r="G1048" s="3" t="inlineStr">
        <is>
          <t>.fre.ice</t>
        </is>
      </c>
      <c r="I1048" s="3" t="inlineStr">
        <is>
          <t>ch4|oen|bio</t>
        </is>
      </c>
      <c r="J1048" s="3" t="inlineStr">
        <is>
          <t>em.oen.bio.ch4</t>
        </is>
      </c>
    </row>
    <row r="1049">
      <c r="A1049" s="3" t="str">
        <f>$B1049&amp;"|"&amp;$C1049</f>
        <v>pas|ice</v>
      </c>
      <c r="B1049" s="3" t="inlineStr">
        <is>
          <t>pas</t>
        </is>
      </c>
      <c r="C1049" s="3" t="inlineStr">
        <is>
          <t>ice</t>
        </is>
      </c>
      <c r="D1049" s="3" t="str">
        <f>IF($B1049="",""," | "&amp;$E1049&amp;" | "&amp;$F1049)</f>
        <v> | Passenger and light vehicles | Internal combustion</v>
      </c>
      <c r="E1049" s="3" t="str">
        <f>IFERROR(INDEX(SecLab,MATCH($B1049,SecKey,0)),"")</f>
        <v>Passenger and light vehicles</v>
      </c>
      <c r="F1049" s="3" t="str">
        <f>IFERROR(INDEX(FuelLab,MATCH($C1049,FuelKeyL,0)),"")</f>
        <v>Internal combustion</v>
      </c>
      <c r="G1049" s="3" t="inlineStr">
        <is>
          <t>.pass.ice</t>
        </is>
      </c>
      <c r="I1049" s="3" t="inlineStr">
        <is>
          <t>ener|all|coa</t>
        </is>
      </c>
      <c r="J1049" s="3" t="inlineStr">
        <is>
          <t>ener.tot.coa</t>
        </is>
      </c>
    </row>
    <row r="1050">
      <c r="A1050" s="3" t="str">
        <f>$B1050&amp;"|"&amp;$C1050</f>
        <v>lgt|gso</v>
      </c>
      <c r="B1050" s="3" t="inlineStr">
        <is>
          <t>lgt</t>
        </is>
      </c>
      <c r="C1050" s="3" t="inlineStr">
        <is>
          <t>gso</t>
        </is>
      </c>
      <c r="D1050" s="3" t="str">
        <f>IF($B1050="",""," | "&amp;$E1050&amp;" | "&amp;$F1050)</f>
        <v> | Light vehicles | Gasoline</v>
      </c>
      <c r="E1050" s="3" t="str">
        <f>IFERROR(INDEX(SecLab,MATCH($B1050,SecKey,0)),"")</f>
        <v>Light vehicles</v>
      </c>
      <c r="F1050" s="3" t="str">
        <f>IFERROR(INDEX(FuelLab,MATCH($C1050,FuelKeyL,0)),"")</f>
        <v>Gasoline</v>
      </c>
      <c r="G1050" s="3" t="inlineStr">
        <is>
          <t>.lgt.gso</t>
        </is>
      </c>
      <c r="I1050" s="3" t="inlineStr">
        <is>
          <t>ener|all|nga</t>
        </is>
      </c>
      <c r="J1050" s="3" t="inlineStr">
        <is>
          <t>ener.tot.nga</t>
        </is>
      </c>
    </row>
    <row r="1051">
      <c r="A1051" s="3" t="str">
        <f>$B1051&amp;"|"&amp;$C1051</f>
        <v>lgt|die</v>
      </c>
      <c r="B1051" s="3" t="inlineStr">
        <is>
          <t>lgt</t>
        </is>
      </c>
      <c r="C1051" s="3" t="inlineStr">
        <is>
          <t>die</t>
        </is>
      </c>
      <c r="D1051" s="3" t="str">
        <f>IF($B1051="",""," | "&amp;$E1051&amp;" | "&amp;$F1051)</f>
        <v> | Light vehicles | Diesel</v>
      </c>
      <c r="E1051" s="3" t="str">
        <f>IFERROR(INDEX(SecLab,MATCH($B1051,SecKey,0)),"")</f>
        <v>Light vehicles</v>
      </c>
      <c r="F1051" s="3" t="str">
        <f>IFERROR(INDEX(FuelLab,MATCH($C1051,FuelKeyL,0)),"")</f>
        <v>Diesel</v>
      </c>
      <c r="G1051" s="3" t="inlineStr">
        <is>
          <t>.lgt.die</t>
        </is>
      </c>
      <c r="I1051" s="3" t="inlineStr">
        <is>
          <t>ener|all|gso</t>
        </is>
      </c>
      <c r="J1051" s="3" t="inlineStr">
        <is>
          <t>ener.tot.gso</t>
        </is>
      </c>
    </row>
    <row r="1052">
      <c r="A1052" s="3" t="str">
        <f>$B1052&amp;"|"&amp;$C1052</f>
        <v>lgt|lpg</v>
      </c>
      <c r="B1052" s="3" t="inlineStr">
        <is>
          <t>lgt</t>
        </is>
      </c>
      <c r="C1052" s="3" t="inlineStr">
        <is>
          <t>lpg</t>
        </is>
      </c>
      <c r="D1052" s="3" t="str">
        <f>IF($B1052="",""," | "&amp;$E1052&amp;" | "&amp;$F1052)</f>
        <v> | Light vehicles | LPG</v>
      </c>
      <c r="E1052" s="3" t="str">
        <f>IFERROR(INDEX(SecLab,MATCH($B1052,SecKey,0)),"")</f>
        <v>Light vehicles</v>
      </c>
      <c r="F1052" s="3" t="str">
        <f>IFERROR(INDEX(FuelLab,MATCH($C1052,FuelKeyL,0)),"")</f>
        <v>LPG</v>
      </c>
      <c r="G1052" s="3" t="inlineStr">
        <is>
          <t>.lgt.lpg</t>
        </is>
      </c>
      <c r="I1052" s="3" t="inlineStr">
        <is>
          <t>ener|all|die</t>
        </is>
      </c>
      <c r="J1052" s="3" t="inlineStr">
        <is>
          <t>ener.tot.die</t>
        </is>
      </c>
    </row>
    <row r="1053">
      <c r="A1053" s="3" t="str">
        <f>$B1053&amp;"|"&amp;$C1053</f>
        <v>lgt|nga</v>
      </c>
      <c r="B1053" s="3" t="inlineStr">
        <is>
          <t>lgt</t>
        </is>
      </c>
      <c r="C1053" s="3" t="inlineStr">
        <is>
          <t>nga</t>
        </is>
      </c>
      <c r="D1053" s="3" t="str">
        <f>IF($B1053="",""," | "&amp;$E1053&amp;" | "&amp;$F1053)</f>
        <v> | Light vehicles | Natural gas</v>
      </c>
      <c r="E1053" s="3" t="str">
        <f>IFERROR(INDEX(SecLab,MATCH($B1053,SecKey,0)),"")</f>
        <v>Light vehicles</v>
      </c>
      <c r="F1053" s="3" t="str">
        <f>IFERROR(INDEX(FuelLab,MATCH($C1053,FuelKeyL,0)),"")</f>
        <v>Natural gas</v>
      </c>
      <c r="G1053" s="3" t="inlineStr">
        <is>
          <t>.lgt.nga</t>
        </is>
      </c>
      <c r="I1053" s="3" t="inlineStr">
        <is>
          <t>ener|all|lpg</t>
        </is>
      </c>
      <c r="J1053" s="3" t="inlineStr">
        <is>
          <t>ener.tot.lpg</t>
        </is>
      </c>
    </row>
    <row r="1054">
      <c r="A1054" s="3" t="str">
        <f>$B1054&amp;"|"&amp;$C1054</f>
        <v>bus|all</v>
      </c>
      <c r="B1054" s="3" t="inlineStr">
        <is>
          <t>bus</t>
        </is>
      </c>
      <c r="C1054" s="3" t="inlineStr">
        <is>
          <t>all</t>
        </is>
      </c>
      <c r="D1054" s="3" t="str">
        <f>IF($B1054="",""," | "&amp;$E1054&amp;" | "&amp;$F1054)</f>
        <v> | Buses | All fuels</v>
      </c>
      <c r="E1054" s="3" t="str">
        <f>IFERROR(INDEX(SecLab,MATCH($B1054,SecKey,0)),"")</f>
        <v>Buses</v>
      </c>
      <c r="F1054" s="3" t="str">
        <f>IFERROR(INDEX(FuelLab,MATCH($C1054,FuelKeyL,0)),"")</f>
        <v>All fuels</v>
      </c>
      <c r="G1054" s="3" t="inlineStr">
        <is>
          <t>.bus.all</t>
        </is>
      </c>
      <c r="I1054" s="3" t="inlineStr">
        <is>
          <t>ener|all|ker</t>
        </is>
      </c>
      <c r="J1054" s="3" t="inlineStr">
        <is>
          <t>ener.tot.ker</t>
        </is>
      </c>
    </row>
    <row r="1055">
      <c r="A1055" s="3" t="str">
        <f>$B1055&amp;"|"&amp;$C1055</f>
        <v>pau|ice</v>
      </c>
      <c r="B1055" s="3" t="inlineStr">
        <is>
          <t>pau</t>
        </is>
      </c>
      <c r="C1055" s="3" t="inlineStr">
        <is>
          <t>ice</t>
        </is>
      </c>
      <c r="D1055" s="3" t="str">
        <f>IF($B1055="",""," | "&amp;$E1055&amp;" | "&amp;$F1055)</f>
        <v> | Used passenger and light vehicles | Internal combustion</v>
      </c>
      <c r="E1055" s="3" t="str">
        <f>IFERROR(INDEX(SecLab,MATCH($B1055,SecKey,0)),"")</f>
        <v>Used passenger and light vehicles</v>
      </c>
      <c r="F1055" s="3" t="str">
        <f>IFERROR(INDEX(FuelLab,MATCH($C1055,FuelKeyL,0)),"")</f>
        <v>Internal combustion</v>
      </c>
      <c r="G1055" s="3" t="inlineStr">
        <is>
          <t>.pau.ice</t>
        </is>
      </c>
      <c r="I1055" s="3" t="inlineStr">
        <is>
          <t>ener|all|jfu</t>
        </is>
      </c>
      <c r="J1055" s="3" t="inlineStr">
        <is>
          <t>ener.tot.jfu</t>
        </is>
      </c>
    </row>
    <row r="1056">
      <c r="A1056" s="3" t="str">
        <f>$B1056&amp;"|"&amp;$C1056</f>
        <v>pau|bev</v>
      </c>
      <c r="B1056" s="3" t="inlineStr">
        <is>
          <t>pau</t>
        </is>
      </c>
      <c r="C1056" s="3" t="inlineStr">
        <is>
          <t>bev</t>
        </is>
      </c>
      <c r="D1056" s="3" t="str">
        <f>IF($B1056="",""," | "&amp;$E1056&amp;" | "&amp;$F1056)</f>
        <v> | Used passenger and light vehicles | Battery electric</v>
      </c>
      <c r="E1056" s="3" t="str">
        <f>IFERROR(INDEX(SecLab,MATCH($B1056,SecKey,0)),"")</f>
        <v>Used passenger and light vehicles</v>
      </c>
      <c r="F1056" s="3" t="str">
        <f>IFERROR(INDEX(FuelLab,MATCH($C1056,FuelKeyL,0)),"")</f>
        <v>Battery electric</v>
      </c>
      <c r="G1056" s="3" t="inlineStr">
        <is>
          <t>.pau.bev</t>
        </is>
      </c>
      <c r="I1056" s="3" t="inlineStr">
        <is>
          <t>ener|all|oop</t>
        </is>
      </c>
      <c r="J1056" s="3" t="inlineStr">
        <is>
          <t>ener.tot.oop</t>
        </is>
      </c>
    </row>
    <row r="1057">
      <c r="A1057" s="3" t="str">
        <f>$B1057&amp;"|"&amp;$C1057</f>
        <v>all|bev</v>
      </c>
      <c r="B1057" s="3" t="inlineStr">
        <is>
          <t>all</t>
        </is>
      </c>
      <c r="C1057" s="3" t="inlineStr">
        <is>
          <t>bev</t>
        </is>
      </c>
      <c r="D1057" s="3" t="str">
        <f>IF($B1057="",""," | "&amp;$E1057&amp;" | "&amp;$F1057)</f>
        <v> | All sectors | Battery electric</v>
      </c>
      <c r="E1057" s="3" t="str">
        <f>IFERROR(INDEX(SecLab,MATCH($B1057,SecKey,0)),"")</f>
        <v>All sectors</v>
      </c>
      <c r="F1057" s="3" t="str">
        <f>IFERROR(INDEX(FuelLab,MATCH($C1057,FuelKeyL,0)),"")</f>
        <v>Battery electric</v>
      </c>
      <c r="G1057" s="3" t="inlineStr">
        <is>
          <t>.all.bev</t>
        </is>
      </c>
      <c r="I1057" s="3" t="inlineStr">
        <is>
          <t>ener|all|bio</t>
        </is>
      </c>
      <c r="J1057" s="3" t="inlineStr">
        <is>
          <t>ener.tot.bio</t>
        </is>
      </c>
    </row>
    <row r="1058">
      <c r="A1058" s="3" t="str">
        <f>$B1058&amp;"|"&amp;$C1058</f>
        <v>pau|all</v>
      </c>
      <c r="B1058" s="3" t="inlineStr">
        <is>
          <t>pau</t>
        </is>
      </c>
      <c r="C1058" s="3" t="inlineStr">
        <is>
          <t>all</t>
        </is>
      </c>
      <c r="D1058" s="3" t="str">
        <f>IF($B1058="",""," | "&amp;$E1058&amp;" | "&amp;$F1058)</f>
        <v> | Used passenger and light vehicles | All fuels</v>
      </c>
      <c r="E1058" s="3" t="str">
        <f>IFERROR(INDEX(SecLab,MATCH($B1058,SecKey,0)),"")</f>
        <v>Used passenger and light vehicles</v>
      </c>
      <c r="F1058" s="3" t="str">
        <f>IFERROR(INDEX(FuelLab,MATCH($C1058,FuelKeyL,0)),"")</f>
        <v>All fuels</v>
      </c>
      <c r="G1058" s="3" t="inlineStr">
        <is>
          <t>.pau.all</t>
        </is>
      </c>
      <c r="I1058" s="3" t="inlineStr">
        <is>
          <t>eldem|all|ecy</t>
        </is>
      </c>
      <c r="J1058" s="3" t="inlineStr">
        <is>
          <t>eldem.tot.ecy</t>
        </is>
      </c>
    </row>
    <row r="1059">
      <c r="A1059" s="3" t="str">
        <f>$B1059&amp;"|"&amp;$C1059</f>
        <v>pas|ecy</v>
      </c>
      <c r="B1059" s="3" t="inlineStr">
        <is>
          <t>pas</t>
        </is>
      </c>
      <c r="C1059" s="3" t="inlineStr">
        <is>
          <t>ecy</t>
        </is>
      </c>
      <c r="D1059" s="3" t="str">
        <f>IF($B1059="",""," | "&amp;$E1059&amp;" | "&amp;$F1059)</f>
        <v> | Passenger and light vehicles | Electricity</v>
      </c>
      <c r="E1059" s="3" t="str">
        <f>IFERROR(INDEX(SecLab,MATCH($B1059,SecKey,0)),"")</f>
        <v>Passenger and light vehicles</v>
      </c>
      <c r="F1059" s="3" t="str">
        <f>IFERROR(INDEX(FuelLab,MATCH($C1059,FuelKeyL,0)),"")</f>
        <v>Electricity</v>
      </c>
      <c r="G1059" s="3" t="inlineStr">
        <is>
          <t>.pass.ecy</t>
        </is>
      </c>
      <c r="I1059" s="3" t="inlineStr">
        <is>
          <t>ener|all|all</t>
        </is>
      </c>
      <c r="J1059" s="3" t="inlineStr">
        <is>
          <t>ener.tot.tot</t>
        </is>
      </c>
    </row>
    <row r="1060">
      <c r="A1060" s="3" t="str">
        <f>$B1060&amp;"|"&amp;$C1060</f>
        <v>fre|ecy</v>
      </c>
      <c r="B1060" s="3" t="inlineStr">
        <is>
          <t>fre</t>
        </is>
      </c>
      <c r="C1060" s="3" t="inlineStr">
        <is>
          <t>ecy</t>
        </is>
      </c>
      <c r="D1060" s="3" t="str">
        <f>IF($B1060="",""," | "&amp;$E1060&amp;" | "&amp;$F1060)</f>
        <v> | Freight vehicles | Electricity</v>
      </c>
      <c r="E1060" s="3" t="str">
        <f>IFERROR(INDEX(SecLab,MATCH($B1060,SecKey,0)),"")</f>
        <v>Freight vehicles</v>
      </c>
      <c r="F1060" s="3" t="str">
        <f>IFERROR(INDEX(FuelLab,MATCH($C1060,FuelKeyL,0)),"")</f>
        <v>Electricity</v>
      </c>
      <c r="G1060" s="3" t="inlineStr">
        <is>
          <t>.fre.ecy</t>
        </is>
      </c>
      <c r="I1060" s="3" t="inlineStr">
        <is>
          <t>rtx|all|all</t>
        </is>
      </c>
      <c r="J1060" s="3" t="inlineStr">
        <is>
          <t>rtx.tot.tot</t>
        </is>
      </c>
    </row>
    <row r="1061">
      <c r="A1061" s="3" t="str">
        <f>$B1061&amp;"|"&amp;$C1061</f>
        <v>cyc|ecy</v>
      </c>
      <c r="B1061" s="3" t="inlineStr">
        <is>
          <t>cyc</t>
        </is>
      </c>
      <c r="C1061" s="3" t="inlineStr">
        <is>
          <t>ecy</t>
        </is>
      </c>
      <c r="D1061" s="3" t="str">
        <f>IF($B1061="",""," | "&amp;$E1061&amp;" | "&amp;$F1061)</f>
        <v> | 2-3 wheelers | Electricity</v>
      </c>
      <c r="E1061" s="3" t="str">
        <f>IFERROR(INDEX(SecLab,MATCH($B1061,SecKey,0)),"")</f>
        <v>2-3 wheelers</v>
      </c>
      <c r="F1061" s="3" t="str">
        <f>IFERROR(INDEX(FuelLab,MATCH($C1061,FuelKeyL,0)),"")</f>
        <v>Electricity</v>
      </c>
      <c r="G1061" s="3" t="inlineStr">
        <is>
          <t>.motor.ecy</t>
        </is>
      </c>
      <c r="I1061" s="3" t="inlineStr">
        <is>
          <t>rtx|tra|all</t>
        </is>
      </c>
      <c r="J1061" s="3" t="inlineStr">
        <is>
          <t>rtx.tra.tot</t>
        </is>
      </c>
    </row>
    <row r="1062">
      <c r="A1062" s="3" t="str">
        <f>$B1062&amp;"|"&amp;$C1062</f>
        <v>bus|ecy</v>
      </c>
      <c r="B1062" s="3" t="inlineStr">
        <is>
          <t>bus</t>
        </is>
      </c>
      <c r="C1062" s="3" t="inlineStr">
        <is>
          <t>ecy</t>
        </is>
      </c>
      <c r="D1062" s="3" t="str">
        <f>IF($B1062="",""," | "&amp;$E1062&amp;" | "&amp;$F1062)</f>
        <v> | Buses | Electricity</v>
      </c>
      <c r="E1062" s="3" t="str">
        <f>IFERROR(INDEX(SecLab,MATCH($B1062,SecKey,0)),"")</f>
        <v>Buses</v>
      </c>
      <c r="F1062" s="3" t="str">
        <f>IFERROR(INDEX(FuelLab,MATCH($C1062,FuelKeyL,0)),"")</f>
        <v>Electricity</v>
      </c>
      <c r="G1062" s="3" t="inlineStr">
        <is>
          <t>.bus.ecy</t>
        </is>
      </c>
      <c r="I1062" s="3" t="inlineStr">
        <is>
          <t>rtx|bld|all</t>
        </is>
      </c>
      <c r="J1062" s="3" t="inlineStr">
        <is>
          <t>rtx.bld.tot</t>
        </is>
      </c>
    </row>
    <row r="1063">
      <c r="A1063" s="3" t="str">
        <f>$B1063&amp;"|"&amp;$C1063</f>
        <v>fre|ev</v>
      </c>
      <c r="B1063" s="3" t="inlineStr">
        <is>
          <t>fre</t>
        </is>
      </c>
      <c r="C1063" s="3" t="inlineStr">
        <is>
          <t>ev</t>
        </is>
      </c>
      <c r="D1063" s="3" t="str">
        <f>IF($B1063="",""," | "&amp;$E1063&amp;" | "&amp;$F1063)</f>
        <v> | Freight vehicles | Electric (BEV and PHEV)</v>
      </c>
      <c r="E1063" s="3" t="str">
        <f>IFERROR(INDEX(SecLab,MATCH($B1063,SecKey,0)),"")</f>
        <v>Freight vehicles</v>
      </c>
      <c r="F1063" s="3" t="str">
        <f>IFERROR(INDEX(FuelLab,MATCH($C1063,FuelKeyL,0)),"")</f>
        <v>Electric (BEV and PHEV)</v>
      </c>
      <c r="G1063" s="3" t="inlineStr">
        <is>
          <t>.fre.ev</t>
        </is>
      </c>
      <c r="I1063" s="3" t="inlineStr">
        <is>
          <t>rtx|ind|all</t>
        </is>
      </c>
      <c r="J1063" s="3" t="inlineStr">
        <is>
          <t>rtx.ind.tot</t>
        </is>
      </c>
    </row>
    <row r="1064">
      <c r="A1064" s="3" t="str">
        <f>$B1064&amp;"|"&amp;$C1064</f>
        <v>cyc|ev</v>
      </c>
      <c r="B1064" s="3" t="inlineStr">
        <is>
          <t>cyc</t>
        </is>
      </c>
      <c r="C1064" s="3" t="inlineStr">
        <is>
          <t>ev</t>
        </is>
      </c>
      <c r="D1064" s="3" t="str">
        <f>IF($B1064="",""," | "&amp;$E1064&amp;" | "&amp;$F1064)</f>
        <v> | 2-3 wheelers | Electric (BEV and PHEV)</v>
      </c>
      <c r="E1064" s="3" t="str">
        <f>IFERROR(INDEX(SecLab,MATCH($B1064,SecKey,0)),"")</f>
        <v>2-3 wheelers</v>
      </c>
      <c r="F1064" s="3" t="str">
        <f>IFERROR(INDEX(FuelLab,MATCH($C1064,FuelKeyL,0)),"")</f>
        <v>Electric (BEV and PHEV)</v>
      </c>
      <c r="G1064" s="3" t="inlineStr">
        <is>
          <t>.motor.ev</t>
        </is>
      </c>
      <c r="I1064" s="3" t="inlineStr">
        <is>
          <t>rtx|oen|all</t>
        </is>
      </c>
      <c r="J1064" s="3" t="inlineStr">
        <is>
          <t>rtx.oen.tot</t>
        </is>
      </c>
    </row>
    <row r="1065">
      <c r="A1065" s="3" t="str">
        <f>$B1065&amp;"|"&amp;$C1065</f>
        <v>rod|bgs</v>
      </c>
      <c r="B1065" s="3" t="inlineStr">
        <is>
          <t>rod</t>
        </is>
      </c>
      <c r="C1065" s="3" t="inlineStr">
        <is>
          <t>bgs</t>
        </is>
      </c>
      <c r="D1065" s="3" t="str">
        <f>IF($B1065="",""," | "&amp;$E1065&amp;" | "&amp;$F1065)</f>
        <v> | Road | </v>
      </c>
      <c r="E1065" s="3" t="str">
        <f>IFERROR(INDEX(SecLab,MATCH($B1065,SecKey,0)),"")</f>
        <v>Road</v>
      </c>
      <c r="F1065" s="3" t="str">
        <f>IFERROR(INDEX(FuelLab,MATCH($C1065,FuelKeyL,0)),"")</f>
        <v/>
      </c>
      <c r="G1065" s="3" t="inlineStr">
        <is>
          <t>.rod.bgs</t>
        </is>
      </c>
      <c r="I1065" s="3" t="inlineStr">
        <is>
          <t>rtx|pow|all</t>
        </is>
      </c>
      <c r="J1065" s="3" t="inlineStr">
        <is>
          <t>rtx.pow.tot</t>
        </is>
      </c>
    </row>
    <row r="1066">
      <c r="A1066" s="3" t="str">
        <f>$B1066&amp;"|"&amp;$C1066</f>
        <v>rod|bdi</v>
      </c>
      <c r="B1066" s="3" t="inlineStr">
        <is>
          <t>rod</t>
        </is>
      </c>
      <c r="C1066" s="3" t="inlineStr">
        <is>
          <t>bdi</t>
        </is>
      </c>
      <c r="D1066" s="3" t="str">
        <f>IF($B1066="",""," | "&amp;$E1066&amp;" | "&amp;$F1066)</f>
        <v> | Road | </v>
      </c>
      <c r="E1066" s="3" t="str">
        <f>IFERROR(INDEX(SecLab,MATCH($B1066,SecKey,0)),"")</f>
        <v>Road</v>
      </c>
      <c r="F1066" s="3" t="str">
        <f>IFERROR(INDEX(FuelLab,MATCH($C1066,FuelKeyL,0)),"")</f>
        <v/>
      </c>
      <c r="G1066" s="3" t="inlineStr">
        <is>
          <t>.rod.bdi</t>
        </is>
      </c>
      <c r="I1066" s="3" t="inlineStr">
        <is>
          <t>rsub|all|all</t>
        </is>
      </c>
      <c r="J1066" s="3" t="inlineStr">
        <is>
          <t>rsub.tot.tot</t>
        </is>
      </c>
    </row>
    <row r="1067">
      <c r="A1067" s="3" t="str">
        <f>$B1067&amp;"|"&amp;$C1067</f>
        <v>rod|obf</v>
      </c>
      <c r="B1067" s="3" t="inlineStr">
        <is>
          <t>rod</t>
        </is>
      </c>
      <c r="C1067" s="3" t="inlineStr">
        <is>
          <t>obf</t>
        </is>
      </c>
      <c r="D1067" s="3" t="str">
        <f>IF($B1067="",""," | "&amp;$E1067&amp;" | "&amp;$F1067)</f>
        <v> | Road | </v>
      </c>
      <c r="E1067" s="3" t="str">
        <f>IFERROR(INDEX(SecLab,MATCH($B1067,SecKey,0)),"")</f>
        <v>Road</v>
      </c>
      <c r="F1067" s="3" t="str">
        <f>IFERROR(INDEX(FuelLab,MATCH($C1067,FuelKeyL,0)),"")</f>
        <v/>
      </c>
      <c r="G1067" s="3" t="inlineStr">
        <is>
          <t>.rod.obf</t>
        </is>
      </c>
      <c r="I1067" s="3" t="inlineStr">
        <is>
          <t>rsub|tra|all</t>
        </is>
      </c>
      <c r="J1067" s="3" t="inlineStr">
        <is>
          <t>rsub.tra.tot</t>
        </is>
      </c>
    </row>
    <row r="1068">
      <c r="A1068" s="3" t="str">
        <f>$B1068&amp;"|"&amp;$C1068</f>
        <v>tra|ren</v>
      </c>
      <c r="B1068" s="3" t="inlineStr">
        <is>
          <t>tra</t>
        </is>
      </c>
      <c r="C1068" s="3" t="inlineStr">
        <is>
          <t>ren</t>
        </is>
      </c>
      <c r="D1068" s="3" t="str">
        <f>IF($B1068="",""," | "&amp;$E1068&amp;" | "&amp;$F1068)</f>
        <v> | Transport | </v>
      </c>
      <c r="E1068" s="3" t="str">
        <f>IFERROR(INDEX(SecLab,MATCH($B1068,SecKey,0)),"")</f>
        <v>Transport</v>
      </c>
      <c r="F1068" s="3" t="str">
        <f>IFERROR(INDEX(FuelLab,MATCH($C1068,FuelKeyL,0)),"")</f>
        <v/>
      </c>
      <c r="G1068" s="3" t="inlineStr">
        <is>
          <t>.tra.ren</t>
        </is>
      </c>
      <c r="I1068" s="3" t="inlineStr">
        <is>
          <t>rsub|bld|all</t>
        </is>
      </c>
      <c r="J1068" s="3" t="inlineStr">
        <is>
          <t>rsub.bld.tot</t>
        </is>
      </c>
    </row>
    <row r="1069">
      <c r="A1069" s="3" t="str">
        <f>$B1069&amp;"|"&amp;$C1069</f>
        <v>avi|ren</v>
      </c>
      <c r="B1069" s="3" t="inlineStr">
        <is>
          <t>avi</t>
        </is>
      </c>
      <c r="C1069" s="3" t="inlineStr">
        <is>
          <t>ren</t>
        </is>
      </c>
      <c r="D1069" s="3" t="str">
        <f>IF($B1069="",""," | "&amp;$E1069&amp;" | "&amp;$F1069)</f>
        <v> | Domestic aviation | </v>
      </c>
      <c r="E1069" s="3" t="str">
        <f>IFERROR(INDEX(SecLab,MATCH($B1069,SecKey,0)),"")</f>
        <v>Domestic aviation</v>
      </c>
      <c r="F1069" s="3" t="str">
        <f>IFERROR(INDEX(FuelLab,MATCH($C1069,FuelKeyL,0)),"")</f>
        <v/>
      </c>
      <c r="G1069" s="3" t="inlineStr">
        <is>
          <t>.avi.ren</t>
        </is>
      </c>
      <c r="I1069" s="3" t="inlineStr">
        <is>
          <t>rsub|ind|all</t>
        </is>
      </c>
      <c r="J1069" s="3" t="inlineStr">
        <is>
          <t>rsub.ind.tot</t>
        </is>
      </c>
    </row>
    <row r="1070">
      <c r="A1070" s="3" t="str">
        <f>$B1070&amp;"|"&amp;$C1070</f>
        <v>nav|ren</v>
      </c>
      <c r="B1070" s="3" t="inlineStr">
        <is>
          <t>nav</t>
        </is>
      </c>
      <c r="C1070" s="3" t="inlineStr">
        <is>
          <t>ren</t>
        </is>
      </c>
      <c r="D1070" s="3" t="str">
        <f>IF($B1070="",""," | "&amp;$E1070&amp;" | "&amp;$F1070)</f>
        <v> | Domestic navigation | </v>
      </c>
      <c r="E1070" s="3" t="str">
        <f>IFERROR(INDEX(SecLab,MATCH($B1070,SecKey,0)),"")</f>
        <v>Domestic navigation</v>
      </c>
      <c r="F1070" s="3" t="str">
        <f>IFERROR(INDEX(FuelLab,MATCH($C1070,FuelKeyL,0)),"")</f>
        <v/>
      </c>
      <c r="G1070" s="3" t="inlineStr">
        <is>
          <t>.nav.ren</t>
        </is>
      </c>
      <c r="I1070" s="3" t="inlineStr">
        <is>
          <t>rsub|oen|all</t>
        </is>
      </c>
      <c r="J1070" s="3" t="inlineStr">
        <is>
          <t>rsub.oen.tot</t>
        </is>
      </c>
    </row>
    <row r="1071">
      <c r="A1071" s="3" t="str">
        <f>$B1071&amp;"|"&amp;$C1071</f>
        <v>res|jfu</v>
      </c>
      <c r="B1071" s="3" t="inlineStr">
        <is>
          <t>res</t>
        </is>
      </c>
      <c r="C1071" s="3" t="inlineStr">
        <is>
          <t>jfu</t>
        </is>
      </c>
      <c r="D1071" s="3" t="str">
        <f>IF($B1071="",""," | "&amp;$E1071&amp;" | "&amp;$F1071)</f>
        <v> | Residential | Jet fuel</v>
      </c>
      <c r="E1071" s="3" t="str">
        <f>IFERROR(INDEX(SecLab,MATCH($B1071,SecKey,0)),"")</f>
        <v>Residential</v>
      </c>
      <c r="F1071" s="3" t="str">
        <f>IFERROR(INDEX(FuelLab,MATCH($C1071,FuelKeyL,0)),"")</f>
        <v>Jet fuel</v>
      </c>
      <c r="G1071" s="3" t="inlineStr">
        <is>
          <t>.res.jfu</t>
        </is>
      </c>
      <c r="I1071" s="3" t="inlineStr">
        <is>
          <t>rsub|pow|all</t>
        </is>
      </c>
      <c r="J1071" s="3" t="inlineStr">
        <is>
          <t>rsub.pow.tot</t>
        </is>
      </c>
    </row>
    <row r="1072">
      <c r="A1072" s="3" t="str">
        <f>$B1072&amp;"|"&amp;$C1072</f>
        <v>res|oop</v>
      </c>
      <c r="B1072" s="3" t="inlineStr">
        <is>
          <t>res</t>
        </is>
      </c>
      <c r="C1072" s="3" t="inlineStr">
        <is>
          <t>oop</t>
        </is>
      </c>
      <c r="D1072" s="3" t="str">
        <f>IF($B1072="",""," | "&amp;$E1072&amp;" | "&amp;$F1072)</f>
        <v> | Residential | Other oil products</v>
      </c>
      <c r="E1072" s="3" t="str">
        <f>IFERROR(INDEX(SecLab,MATCH($B1072,SecKey,0)),"")</f>
        <v>Residential</v>
      </c>
      <c r="F1072" s="3" t="str">
        <f>IFERROR(INDEX(FuelLab,MATCH($C1072,FuelKeyL,0)),"")</f>
        <v>Other oil products</v>
      </c>
      <c r="G1072" s="3" t="inlineStr">
        <is>
          <t>.res.oop</t>
        </is>
      </c>
      <c r="I1072" s="3" t="inlineStr">
        <is>
          <t>rnew|all|all</t>
        </is>
      </c>
      <c r="J1072" s="3" t="inlineStr">
        <is>
          <t>rnew.tot.tot</t>
        </is>
      </c>
    </row>
    <row r="1073">
      <c r="A1073" s="3" t="str">
        <f>$B1073&amp;"|"&amp;$C1073</f>
        <v>res|bio</v>
      </c>
      <c r="B1073" s="3" t="inlineStr">
        <is>
          <t>res</t>
        </is>
      </c>
      <c r="C1073" s="3" t="inlineStr">
        <is>
          <t>bio</t>
        </is>
      </c>
      <c r="D1073" s="3" t="str">
        <f>IF($B1073="",""," | "&amp;$E1073&amp;" | "&amp;$F1073)</f>
        <v> | Residential | Biomass</v>
      </c>
      <c r="E1073" s="3" t="str">
        <f>IFERROR(INDEX(SecLab,MATCH($B1073,SecKey,0)),"")</f>
        <v>Residential</v>
      </c>
      <c r="F1073" s="3" t="str">
        <f>IFERROR(INDEX(FuelLab,MATCH($C1073,FuelKeyL,0)),"")</f>
        <v>Biomass</v>
      </c>
      <c r="G1073" s="3" t="inlineStr">
        <is>
          <t>.res.bio</t>
        </is>
      </c>
      <c r="I1073" s="3" t="inlineStr">
        <is>
          <t>rnew|tra|all</t>
        </is>
      </c>
      <c r="J1073" s="3" t="inlineStr">
        <is>
          <t>rnew.tra.tot</t>
        </is>
      </c>
    </row>
    <row r="1074">
      <c r="A1074" s="3" t="str">
        <f>$B1074&amp;"|"&amp;$C1074</f>
        <v>foo|jfu</v>
      </c>
      <c r="B1074" s="3" t="inlineStr">
        <is>
          <t>foo</t>
        </is>
      </c>
      <c r="C1074" s="3" t="inlineStr">
        <is>
          <t>jfu</t>
        </is>
      </c>
      <c r="D1074" s="3" t="str">
        <f>IF($B1074="",""," | "&amp;$E1074&amp;" | "&amp;$F1074)</f>
        <v> | Food &amp; forestry | Jet fuel</v>
      </c>
      <c r="E1074" s="3" t="str">
        <f>IFERROR(INDEX(SecLab,MATCH($B1074,SecKey,0)),"")</f>
        <v>Food &amp; forestry</v>
      </c>
      <c r="F1074" s="3" t="str">
        <f>IFERROR(INDEX(FuelLab,MATCH($C1074,FuelKeyL,0)),"")</f>
        <v>Jet fuel</v>
      </c>
      <c r="G1074" s="3" t="inlineStr">
        <is>
          <t>.foo.jfu</t>
        </is>
      </c>
      <c r="I1074" s="3" t="inlineStr">
        <is>
          <t>rnew|bld|all</t>
        </is>
      </c>
      <c r="J1074" s="3" t="inlineStr">
        <is>
          <t>rnew.bld.tot</t>
        </is>
      </c>
    </row>
    <row r="1075">
      <c r="A1075" s="3" t="str">
        <f>$B1075&amp;"|"&amp;$C1075</f>
        <v>foo|oop</v>
      </c>
      <c r="B1075" s="3" t="inlineStr">
        <is>
          <t>foo</t>
        </is>
      </c>
      <c r="C1075" s="3" t="inlineStr">
        <is>
          <t>oop</t>
        </is>
      </c>
      <c r="D1075" s="3" t="str">
        <f>IF($B1075="",""," | "&amp;$E1075&amp;" | "&amp;$F1075)</f>
        <v> | Food &amp; forestry | Other oil products</v>
      </c>
      <c r="E1075" s="3" t="str">
        <f>IFERROR(INDEX(SecLab,MATCH($B1075,SecKey,0)),"")</f>
        <v>Food &amp; forestry</v>
      </c>
      <c r="F1075" s="3" t="str">
        <f>IFERROR(INDEX(FuelLab,MATCH($C1075,FuelKeyL,0)),"")</f>
        <v>Other oil products</v>
      </c>
      <c r="G1075" s="3" t="inlineStr">
        <is>
          <t>.foo.oop</t>
        </is>
      </c>
      <c r="I1075" s="3" t="inlineStr">
        <is>
          <t>rnew|ind|all</t>
        </is>
      </c>
      <c r="J1075" s="3" t="inlineStr">
        <is>
          <t>rnew.ind.tot</t>
        </is>
      </c>
    </row>
    <row r="1076">
      <c r="A1076" s="3" t="str">
        <f>$B1076&amp;"|"&amp;$C1076</f>
        <v>foo|bio</v>
      </c>
      <c r="B1076" s="3" t="inlineStr">
        <is>
          <t>foo</t>
        </is>
      </c>
      <c r="C1076" s="3" t="inlineStr">
        <is>
          <t>bio</t>
        </is>
      </c>
      <c r="D1076" s="3" t="str">
        <f>IF($B1076="",""," | "&amp;$E1076&amp;" | "&amp;$F1076)</f>
        <v> | Food &amp; forestry | Biomass</v>
      </c>
      <c r="E1076" s="3" t="str">
        <f>IFERROR(INDEX(SecLab,MATCH($B1076,SecKey,0)),"")</f>
        <v>Food &amp; forestry</v>
      </c>
      <c r="F1076" s="3" t="str">
        <f>IFERROR(INDEX(FuelLab,MATCH($C1076,FuelKeyL,0)),"")</f>
        <v>Biomass</v>
      </c>
      <c r="G1076" s="3" t="inlineStr">
        <is>
          <t>.foo.bio</t>
        </is>
      </c>
      <c r="I1076" s="3" t="inlineStr">
        <is>
          <t>rnew|oen|all</t>
        </is>
      </c>
      <c r="J1076" s="3" t="inlineStr">
        <is>
          <t>rnew.oen.tot</t>
        </is>
      </c>
    </row>
    <row r="1077">
      <c r="A1077" s="3" t="str">
        <f>$B1077&amp;"|"&amp;$C1077</f>
        <v>srv|jfu</v>
      </c>
      <c r="B1077" s="3" t="inlineStr">
        <is>
          <t>srv</t>
        </is>
      </c>
      <c r="C1077" s="3" t="inlineStr">
        <is>
          <t>jfu</t>
        </is>
      </c>
      <c r="D1077" s="3" t="str">
        <f>IF($B1077="",""," | "&amp;$E1077&amp;" | "&amp;$F1077)</f>
        <v> | Services (public &amp; private) | Jet fuel</v>
      </c>
      <c r="E1077" s="3" t="str">
        <f>IFERROR(INDEX(SecLab,MATCH($B1077,SecKey,0)),"")</f>
        <v>Services (public &amp; private)</v>
      </c>
      <c r="F1077" s="3" t="str">
        <f>IFERROR(INDEX(FuelLab,MATCH($C1077,FuelKeyL,0)),"")</f>
        <v>Jet fuel</v>
      </c>
      <c r="G1077" s="3" t="inlineStr">
        <is>
          <t>.srv.jfu</t>
        </is>
      </c>
      <c r="I1077" s="3" t="inlineStr">
        <is>
          <t>rnew|pow|all</t>
        </is>
      </c>
      <c r="J1077" s="3" t="inlineStr">
        <is>
          <t>rnew.pow.tot</t>
        </is>
      </c>
    </row>
    <row r="1078">
      <c r="A1078" s="3" t="str">
        <f>$B1078&amp;"|"&amp;$C1078</f>
        <v>srv|oop</v>
      </c>
      <c r="B1078" s="3" t="inlineStr">
        <is>
          <t>srv</t>
        </is>
      </c>
      <c r="C1078" s="3" t="inlineStr">
        <is>
          <t>oop</t>
        </is>
      </c>
      <c r="D1078" s="3" t="str">
        <f>IF($B1078="",""," | "&amp;$E1078&amp;" | "&amp;$F1078)</f>
        <v> | Services (public &amp; private) | Other oil products</v>
      </c>
      <c r="E1078" s="3" t="str">
        <f>IFERROR(INDEX(SecLab,MATCH($B1078,SecKey,0)),"")</f>
        <v>Services (public &amp; private)</v>
      </c>
      <c r="F1078" s="3" t="str">
        <f>IFERROR(INDEX(FuelLab,MATCH($C1078,FuelKeyL,0)),"")</f>
        <v>Other oil products</v>
      </c>
      <c r="G1078" s="3" t="inlineStr">
        <is>
          <t>.srv.oop</t>
        </is>
      </c>
      <c r="I1078" s="3" t="inlineStr">
        <is>
          <t>rxcp|all|all</t>
        </is>
      </c>
      <c r="J1078" s="3" t="inlineStr">
        <is>
          <t>rxcp.tot.tot</t>
        </is>
      </c>
    </row>
    <row r="1079">
      <c r="A1079" s="3" t="str">
        <f>$B1079&amp;"|"&amp;$C1079</f>
        <v>srv|bio</v>
      </c>
      <c r="B1079" s="3" t="inlineStr">
        <is>
          <t>srv</t>
        </is>
      </c>
      <c r="C1079" s="3" t="inlineStr">
        <is>
          <t>bio</t>
        </is>
      </c>
      <c r="D1079" s="3" t="str">
        <f>IF($B1079="",""," | "&amp;$E1079&amp;" | "&amp;$F1079)</f>
        <v> | Services (public &amp; private) | Biomass</v>
      </c>
      <c r="E1079" s="3" t="str">
        <f>IFERROR(INDEX(SecLab,MATCH($B1079,SecKey,0)),"")</f>
        <v>Services (public &amp; private)</v>
      </c>
      <c r="F1079" s="3" t="str">
        <f>IFERROR(INDEX(FuelLab,MATCH($C1079,FuelKeyL,0)),"")</f>
        <v>Biomass</v>
      </c>
      <c r="G1079" s="3" t="inlineStr">
        <is>
          <t>.srv.bio</t>
        </is>
      </c>
      <c r="I1079" s="3" t="inlineStr">
        <is>
          <t>rxcp|tra|all</t>
        </is>
      </c>
      <c r="J1079" s="3" t="inlineStr">
        <is>
          <t>rxcp.tra.tot</t>
        </is>
      </c>
    </row>
    <row r="1080">
      <c r="A1080" s="3" t="str">
        <f>$B1080&amp;"|"&amp;$C1080</f>
        <v>bld|all</v>
      </c>
      <c r="B1080" s="3" t="inlineStr">
        <is>
          <t>bld</t>
        </is>
      </c>
      <c r="C1080" s="3" t="inlineStr">
        <is>
          <t>all</t>
        </is>
      </c>
      <c r="D1080" s="3" t="str">
        <f>IF($B1080="",""," | "&amp;$E1080&amp;" | "&amp;$F1080)</f>
        <v> | Buildings | All fuels</v>
      </c>
      <c r="E1080" s="3" t="str">
        <f>IFERROR(INDEX(SecLab,MATCH($B1080,SecKey,0)),"")</f>
        <v>Buildings</v>
      </c>
      <c r="F1080" s="3" t="str">
        <f>IFERROR(INDEX(FuelLab,MATCH($C1080,FuelKeyL,0)),"")</f>
        <v>All fuels</v>
      </c>
      <c r="G1080" s="3" t="inlineStr">
        <is>
          <t>.bld.all</t>
        </is>
      </c>
      <c r="I1080" s="3" t="inlineStr">
        <is>
          <t>rxcp|bld|all</t>
        </is>
      </c>
      <c r="J1080" s="3" t="inlineStr">
        <is>
          <t>rxcp.bld.tot</t>
        </is>
      </c>
    </row>
    <row r="1081">
      <c r="A1081" s="3" t="str">
        <f>$B1081&amp;"|"&amp;$C1081</f>
        <v>res|none</v>
      </c>
      <c r="B1081" s="3" t="inlineStr">
        <is>
          <t>res</t>
        </is>
      </c>
      <c r="C1081" s="3" t="inlineStr">
        <is>
          <t>none</t>
        </is>
      </c>
      <c r="D1081" s="3" t="str">
        <f>IF($B1081="",""," | "&amp;$E1081&amp;" | "&amp;$F1081)</f>
        <v> | Residential | None</v>
      </c>
      <c r="E1081" s="3" t="str">
        <f>IFERROR(INDEX(SecLab,MATCH($B1081,SecKey,0)),"")</f>
        <v>Residential</v>
      </c>
      <c r="F1081" s="3" t="str">
        <f>IFERROR(INDEX(FuelLab,MATCH($C1081,FuelKeyL,0)),"")</f>
        <v>None</v>
      </c>
      <c r="G1081" s="3" t="inlineStr">
        <is>
          <t>.res.none</t>
        </is>
      </c>
      <c r="I1081" s="3" t="inlineStr">
        <is>
          <t>rxcp|ind|all</t>
        </is>
      </c>
      <c r="J1081" s="3" t="inlineStr">
        <is>
          <t>rxcp.ind.tot</t>
        </is>
      </c>
    </row>
    <row r="1082">
      <c r="A1082" s="3" t="str">
        <f>$B1082&amp;"|"&amp;$C1082</f>
        <v>mch|jfu</v>
      </c>
      <c r="B1082" s="3" t="inlineStr">
        <is>
          <t>mch</t>
        </is>
      </c>
      <c r="C1082" s="3" t="inlineStr">
        <is>
          <t>jfu</t>
        </is>
      </c>
      <c r="D1082" s="3" t="str">
        <f>IF($B1082="",""," | "&amp;$E1082&amp;" | "&amp;$F1082)</f>
        <v> | Mining &amp; chemicals | Jet fuel</v>
      </c>
      <c r="E1082" s="3" t="str">
        <f>IFERROR(INDEX(SecLab,MATCH($B1082,SecKey,0)),"")</f>
        <v>Mining &amp; chemicals</v>
      </c>
      <c r="F1082" s="3" t="str">
        <f>IFERROR(INDEX(FuelLab,MATCH($C1082,FuelKeyL,0)),"")</f>
        <v>Jet fuel</v>
      </c>
      <c r="G1082" s="3" t="inlineStr">
        <is>
          <t>.mch.jfu</t>
        </is>
      </c>
      <c r="I1082" s="3" t="inlineStr">
        <is>
          <t>rxcp|oen|all</t>
        </is>
      </c>
      <c r="J1082" s="3" t="inlineStr">
        <is>
          <t>rxcp.oen.tot</t>
        </is>
      </c>
    </row>
    <row r="1083">
      <c r="A1083" s="3" t="str">
        <f>$B1083&amp;"|"&amp;$C1083</f>
        <v>mch|bio</v>
      </c>
      <c r="B1083" s="3" t="inlineStr">
        <is>
          <t>mch</t>
        </is>
      </c>
      <c r="C1083" s="3" t="inlineStr">
        <is>
          <t>bio</t>
        </is>
      </c>
      <c r="D1083" s="3" t="str">
        <f>IF($B1083="",""," | "&amp;$E1083&amp;" | "&amp;$F1083)</f>
        <v> | Mining &amp; chemicals | Biomass</v>
      </c>
      <c r="E1083" s="3" t="str">
        <f>IFERROR(INDEX(SecLab,MATCH($B1083,SecKey,0)),"")</f>
        <v>Mining &amp; chemicals</v>
      </c>
      <c r="F1083" s="3" t="str">
        <f>IFERROR(INDEX(FuelLab,MATCH($C1083,FuelKeyL,0)),"")</f>
        <v>Biomass</v>
      </c>
      <c r="G1083" s="3" t="inlineStr">
        <is>
          <t>.mch.bio</t>
        </is>
      </c>
      <c r="I1083" s="3" t="inlineStr">
        <is>
          <t>rxcp|pow|all</t>
        </is>
      </c>
      <c r="J1083" s="3" t="inlineStr">
        <is>
          <t>rxcp.pow.tot</t>
        </is>
      </c>
    </row>
    <row r="1084">
      <c r="A1084" s="3" t="str">
        <f>$B1084&amp;"|"&amp;$C1084</f>
        <v>irn|jfu</v>
      </c>
      <c r="B1084" s="3" t="inlineStr">
        <is>
          <t>irn</t>
        </is>
      </c>
      <c r="C1084" s="3" t="inlineStr">
        <is>
          <t>jfu</t>
        </is>
      </c>
      <c r="D1084" s="3" t="str">
        <f>IF($B1084="",""," | "&amp;$E1084&amp;" | "&amp;$F1084)</f>
        <v> | Iron &amp; steel | Jet fuel</v>
      </c>
      <c r="E1084" s="3" t="str">
        <f>IFERROR(INDEX(SecLab,MATCH($B1084,SecKey,0)),"")</f>
        <v>Iron &amp; steel</v>
      </c>
      <c r="F1084" s="3" t="str">
        <f>IFERROR(INDEX(FuelLab,MATCH($C1084,FuelKeyL,0)),"")</f>
        <v>Jet fuel</v>
      </c>
      <c r="G1084" s="3" t="inlineStr">
        <is>
          <t>.irn.jfu</t>
        </is>
      </c>
      <c r="I1084" s="3" t="inlineStr">
        <is>
          <t>rsr|all|all</t>
        </is>
      </c>
      <c r="J1084" s="3" t="inlineStr">
        <is>
          <t>rev.sr.usd</t>
        </is>
      </c>
    </row>
    <row r="1085">
      <c r="A1085" s="3" t="str">
        <f>$B1085&amp;"|"&amp;$C1085</f>
        <v>irn|bio</v>
      </c>
      <c r="B1085" s="3" t="inlineStr">
        <is>
          <t>irn</t>
        </is>
      </c>
      <c r="C1085" s="3" t="inlineStr">
        <is>
          <t>bio</t>
        </is>
      </c>
      <c r="D1085" s="3" t="str">
        <f>IF($B1085="",""," | "&amp;$E1085&amp;" | "&amp;$F1085)</f>
        <v> | Iron &amp; steel | Biomass</v>
      </c>
      <c r="E1085" s="3" t="str">
        <f>IFERROR(INDEX(SecLab,MATCH($B1085,SecKey,0)),"")</f>
        <v>Iron &amp; steel</v>
      </c>
      <c r="F1085" s="3" t="str">
        <f>IFERROR(INDEX(FuelLab,MATCH($C1085,FuelKeyL,0)),"")</f>
        <v>Biomass</v>
      </c>
      <c r="G1085" s="3" t="inlineStr">
        <is>
          <t>.irn.bio</t>
        </is>
      </c>
      <c r="I1085" s="3" t="inlineStr">
        <is>
          <t>rsr|tra|all</t>
        </is>
      </c>
      <c r="J1085" s="3" t="inlineStr">
        <is>
          <t>rsr.tra.tot</t>
        </is>
      </c>
    </row>
    <row r="1086">
      <c r="A1086" s="3" t="str">
        <f>$B1086&amp;"|"&amp;$C1086</f>
        <v>nfm|jfu</v>
      </c>
      <c r="B1086" s="3" t="inlineStr">
        <is>
          <t>nfm</t>
        </is>
      </c>
      <c r="C1086" s="3" t="inlineStr">
        <is>
          <t>jfu</t>
        </is>
      </c>
      <c r="D1086" s="3" t="str">
        <f>IF($B1086="",""," | "&amp;$E1086&amp;" | "&amp;$F1086)</f>
        <v> | Other metals | Jet fuel</v>
      </c>
      <c r="E1086" s="3" t="str">
        <f>IFERROR(INDEX(SecLab,MATCH($B1086,SecKey,0)),"")</f>
        <v>Other metals</v>
      </c>
      <c r="F1086" s="3" t="str">
        <f>IFERROR(INDEX(FuelLab,MATCH($C1086,FuelKeyL,0)),"")</f>
        <v>Jet fuel</v>
      </c>
      <c r="G1086" s="3" t="inlineStr">
        <is>
          <t>.nfm.jfu</t>
        </is>
      </c>
      <c r="I1086" s="3" t="inlineStr">
        <is>
          <t>rsr|bld|all</t>
        </is>
      </c>
      <c r="J1086" s="3" t="inlineStr">
        <is>
          <t>rsr.bld.tot</t>
        </is>
      </c>
    </row>
    <row r="1087">
      <c r="A1087" s="3" t="str">
        <f>$B1087&amp;"|"&amp;$C1087</f>
        <v>nfm|bio</v>
      </c>
      <c r="B1087" s="3" t="inlineStr">
        <is>
          <t>nfm</t>
        </is>
      </c>
      <c r="C1087" s="3" t="inlineStr">
        <is>
          <t>bio</t>
        </is>
      </c>
      <c r="D1087" s="3" t="str">
        <f>IF($B1087="",""," | "&amp;$E1087&amp;" | "&amp;$F1087)</f>
        <v> | Other metals | Biomass</v>
      </c>
      <c r="E1087" s="3" t="str">
        <f>IFERROR(INDEX(SecLab,MATCH($B1087,SecKey,0)),"")</f>
        <v>Other metals</v>
      </c>
      <c r="F1087" s="3" t="str">
        <f>IFERROR(INDEX(FuelLab,MATCH($C1087,FuelKeyL,0)),"")</f>
        <v>Biomass</v>
      </c>
      <c r="G1087" s="3" t="inlineStr">
        <is>
          <t>.nfm.bio</t>
        </is>
      </c>
      <c r="I1087" s="3" t="inlineStr">
        <is>
          <t>rsr|ind|all</t>
        </is>
      </c>
      <c r="J1087" s="3" t="inlineStr">
        <is>
          <t>rsr.ind.tot</t>
        </is>
      </c>
    </row>
    <row r="1088">
      <c r="A1088" s="3" t="str">
        <f>$B1088&amp;"|"&amp;$C1088</f>
        <v>mac|jfu</v>
      </c>
      <c r="B1088" s="3" t="inlineStr">
        <is>
          <t>mac</t>
        </is>
      </c>
      <c r="C1088" s="3" t="inlineStr">
        <is>
          <t>jfu</t>
        </is>
      </c>
      <c r="D1088" s="3" t="str">
        <f>IF($B1088="",""," | "&amp;$E1088&amp;" | "&amp;$F1088)</f>
        <v> | Machinery | Jet fuel</v>
      </c>
      <c r="E1088" s="3" t="str">
        <f>IFERROR(INDEX(SecLab,MATCH($B1088,SecKey,0)),"")</f>
        <v>Machinery</v>
      </c>
      <c r="F1088" s="3" t="str">
        <f>IFERROR(INDEX(FuelLab,MATCH($C1088,FuelKeyL,0)),"")</f>
        <v>Jet fuel</v>
      </c>
      <c r="G1088" s="3" t="inlineStr">
        <is>
          <t>.mac.jfu</t>
        </is>
      </c>
      <c r="I1088" s="3" t="inlineStr">
        <is>
          <t>rsr|oen|all</t>
        </is>
      </c>
      <c r="J1088" s="3" t="inlineStr">
        <is>
          <t>rsr.oen.tot</t>
        </is>
      </c>
    </row>
    <row r="1089">
      <c r="A1089" s="3" t="str">
        <f>$B1089&amp;"|"&amp;$C1089</f>
        <v>mac|bio</v>
      </c>
      <c r="B1089" s="3" t="inlineStr">
        <is>
          <t>mac</t>
        </is>
      </c>
      <c r="C1089" s="3" t="inlineStr">
        <is>
          <t>bio</t>
        </is>
      </c>
      <c r="D1089" s="3" t="str">
        <f>IF($B1089="",""," | "&amp;$E1089&amp;" | "&amp;$F1089)</f>
        <v> | Machinery | Biomass</v>
      </c>
      <c r="E1089" s="3" t="str">
        <f>IFERROR(INDEX(SecLab,MATCH($B1089,SecKey,0)),"")</f>
        <v>Machinery</v>
      </c>
      <c r="F1089" s="3" t="str">
        <f>IFERROR(INDEX(FuelLab,MATCH($C1089,FuelKeyL,0)),"")</f>
        <v>Biomass</v>
      </c>
      <c r="G1089" s="3" t="inlineStr">
        <is>
          <t>.mac.bio</t>
        </is>
      </c>
      <c r="I1089" s="3" t="inlineStr">
        <is>
          <t>rfu|all|coa</t>
        </is>
      </c>
      <c r="J1089" s="3" t="inlineStr">
        <is>
          <t>rev.usd.tot.coa</t>
        </is>
      </c>
    </row>
    <row r="1090">
      <c r="A1090" s="3" t="str">
        <f>$B1090&amp;"|"&amp;$C1090</f>
        <v>cem|jfu</v>
      </c>
      <c r="B1090" s="3" t="inlineStr">
        <is>
          <t>cem</t>
        </is>
      </c>
      <c r="C1090" s="3" t="inlineStr">
        <is>
          <t>jfu</t>
        </is>
      </c>
      <c r="D1090" s="3" t="str">
        <f>IF($B1090="",""," | "&amp;$E1090&amp;" | "&amp;$F1090)</f>
        <v> | Cement | Jet fuel</v>
      </c>
      <c r="E1090" s="3" t="str">
        <f>IFERROR(INDEX(SecLab,MATCH($B1090,SecKey,0)),"")</f>
        <v>Cement</v>
      </c>
      <c r="F1090" s="3" t="str">
        <f>IFERROR(INDEX(FuelLab,MATCH($C1090,FuelKeyL,0)),"")</f>
        <v>Jet fuel</v>
      </c>
      <c r="G1090" s="3" t="inlineStr">
        <is>
          <t>.cem.jfu</t>
        </is>
      </c>
      <c r="I1090" s="3" t="inlineStr">
        <is>
          <t>rfu|all|nga</t>
        </is>
      </c>
      <c r="J1090" s="3" t="inlineStr">
        <is>
          <t>rev.usd.tot.nga</t>
        </is>
      </c>
    </row>
    <row r="1091">
      <c r="A1091" s="3" t="str">
        <f>$B1091&amp;"|"&amp;$C1091</f>
        <v>cem|bio</v>
      </c>
      <c r="B1091" s="3" t="inlineStr">
        <is>
          <t>cem</t>
        </is>
      </c>
      <c r="C1091" s="3" t="inlineStr">
        <is>
          <t>bio</t>
        </is>
      </c>
      <c r="D1091" s="3" t="str">
        <f>IF($B1091="",""," | "&amp;$E1091&amp;" | "&amp;$F1091)</f>
        <v> | Cement | Biomass</v>
      </c>
      <c r="E1091" s="3" t="str">
        <f>IFERROR(INDEX(SecLab,MATCH($B1091,SecKey,0)),"")</f>
        <v>Cement</v>
      </c>
      <c r="F1091" s="3" t="str">
        <f>IFERROR(INDEX(FuelLab,MATCH($C1091,FuelKeyL,0)),"")</f>
        <v>Biomass</v>
      </c>
      <c r="G1091" s="3" t="inlineStr">
        <is>
          <t>.cem.bio</t>
        </is>
      </c>
      <c r="I1091" s="3" t="inlineStr">
        <is>
          <t>rfu|all|gso</t>
        </is>
      </c>
      <c r="J1091" s="3" t="inlineStr">
        <is>
          <t>rev.usd.tot.gso</t>
        </is>
      </c>
    </row>
    <row r="1092">
      <c r="A1092" s="3" t="str">
        <f>$B1092&amp;"|"&amp;$C1092</f>
        <v>omn|jfu</v>
      </c>
      <c r="B1092" s="3" t="inlineStr">
        <is>
          <t>omn</t>
        </is>
      </c>
      <c r="C1092" s="3" t="inlineStr">
        <is>
          <t>jfu</t>
        </is>
      </c>
      <c r="D1092" s="3" t="str">
        <f>IF($B1092="",""," | "&amp;$E1092&amp;" | "&amp;$F1092)</f>
        <v> | Other manufacturing | Jet fuel</v>
      </c>
      <c r="E1092" s="3" t="str">
        <f>IFERROR(INDEX(SecLab,MATCH($B1092,SecKey,0)),"")</f>
        <v>Other manufacturing</v>
      </c>
      <c r="F1092" s="3" t="str">
        <f>IFERROR(INDEX(FuelLab,MATCH($C1092,FuelKeyL,0)),"")</f>
        <v>Jet fuel</v>
      </c>
      <c r="G1092" s="3" t="inlineStr">
        <is>
          <t>.omn.jfu</t>
        </is>
      </c>
      <c r="I1092" s="3" t="inlineStr">
        <is>
          <t>rfu|all|die</t>
        </is>
      </c>
      <c r="J1092" s="3" t="inlineStr">
        <is>
          <t>rev.usd.tot.die</t>
        </is>
      </c>
    </row>
    <row r="1093">
      <c r="A1093" s="3" t="str">
        <f>$B1093&amp;"|"&amp;$C1093</f>
        <v>omn|bio</v>
      </c>
      <c r="B1093" s="3" t="inlineStr">
        <is>
          <t>omn</t>
        </is>
      </c>
      <c r="C1093" s="3" t="inlineStr">
        <is>
          <t>bio</t>
        </is>
      </c>
      <c r="D1093" s="3" t="str">
        <f>IF($B1093="",""," | "&amp;$E1093&amp;" | "&amp;$F1093)</f>
        <v> | Other manufacturing | Biomass</v>
      </c>
      <c r="E1093" s="3" t="str">
        <f>IFERROR(INDEX(SecLab,MATCH($B1093,SecKey,0)),"")</f>
        <v>Other manufacturing</v>
      </c>
      <c r="F1093" s="3" t="str">
        <f>IFERROR(INDEX(FuelLab,MATCH($C1093,FuelKeyL,0)),"")</f>
        <v>Biomass</v>
      </c>
      <c r="G1093" s="3" t="inlineStr">
        <is>
          <t>.omn.bio</t>
        </is>
      </c>
      <c r="I1093" s="3" t="inlineStr">
        <is>
          <t>rfu|all|lpg</t>
        </is>
      </c>
      <c r="J1093" s="3" t="inlineStr">
        <is>
          <t>rev.usd.tot.lpg</t>
        </is>
      </c>
    </row>
    <row r="1094">
      <c r="A1094" s="3" t="str">
        <f>$B1094&amp;"|"&amp;$C1094</f>
        <v>cst|jfu</v>
      </c>
      <c r="B1094" s="3" t="inlineStr">
        <is>
          <t>cst</t>
        </is>
      </c>
      <c r="C1094" s="3" t="inlineStr">
        <is>
          <t>jfu</t>
        </is>
      </c>
      <c r="D1094" s="3" t="str">
        <f>IF($B1094="",""," | "&amp;$E1094&amp;" | "&amp;$F1094)</f>
        <v> | Construction | Jet fuel</v>
      </c>
      <c r="E1094" s="3" t="str">
        <f>IFERROR(INDEX(SecLab,MATCH($B1094,SecKey,0)),"")</f>
        <v>Construction</v>
      </c>
      <c r="F1094" s="3" t="str">
        <f>IFERROR(INDEX(FuelLab,MATCH($C1094,FuelKeyL,0)),"")</f>
        <v>Jet fuel</v>
      </c>
      <c r="G1094" s="3" t="inlineStr">
        <is>
          <t>.cst.jfu</t>
        </is>
      </c>
      <c r="I1094" s="3" t="inlineStr">
        <is>
          <t>rfu|all|ker</t>
        </is>
      </c>
      <c r="J1094" s="3" t="inlineStr">
        <is>
          <t>rev.usd.tot.ker</t>
        </is>
      </c>
    </row>
    <row r="1095">
      <c r="A1095" s="3" t="str">
        <f>$B1095&amp;"|"&amp;$C1095</f>
        <v>cst|bio</v>
      </c>
      <c r="B1095" s="3" t="inlineStr">
        <is>
          <t>cst</t>
        </is>
      </c>
      <c r="C1095" s="3" t="inlineStr">
        <is>
          <t>bio</t>
        </is>
      </c>
      <c r="D1095" s="3" t="str">
        <f>IF($B1095="",""," | "&amp;$E1095&amp;" | "&amp;$F1095)</f>
        <v> | Construction | Biomass</v>
      </c>
      <c r="E1095" s="3" t="str">
        <f>IFERROR(INDEX(SecLab,MATCH($B1095,SecKey,0)),"")</f>
        <v>Construction</v>
      </c>
      <c r="F1095" s="3" t="str">
        <f>IFERROR(INDEX(FuelLab,MATCH($C1095,FuelKeyL,0)),"")</f>
        <v>Biomass</v>
      </c>
      <c r="G1095" s="3" t="inlineStr">
        <is>
          <t>.cst.bio</t>
        </is>
      </c>
      <c r="I1095" s="3" t="inlineStr">
        <is>
          <t>rfu|all|jfu</t>
        </is>
      </c>
      <c r="J1095" s="3" t="inlineStr">
        <is>
          <t>rev.usd.tot.jfu</t>
        </is>
      </c>
    </row>
    <row r="1096">
      <c r="A1096" s="3" t="str">
        <f>$B1096&amp;"|"&amp;$C1096</f>
        <v>ftr|ecy</v>
      </c>
      <c r="B1096" s="3" t="inlineStr">
        <is>
          <t>ftr</t>
        </is>
      </c>
      <c r="C1096" s="3" t="inlineStr">
        <is>
          <t>ecy</t>
        </is>
      </c>
      <c r="D1096" s="3" t="str">
        <f>IF($B1096="",""," | "&amp;$E1096&amp;" | "&amp;$F1096)</f>
        <v> | Fuel transformation | Electricity</v>
      </c>
      <c r="E1096" s="3" t="str">
        <f>IFERROR(INDEX(SecLab,MATCH($B1096,SecKey,0)),"")</f>
        <v>Fuel transformation</v>
      </c>
      <c r="F1096" s="3" t="str">
        <f>IFERROR(INDEX(FuelLab,MATCH($C1096,FuelKeyL,0)),"")</f>
        <v>Electricity</v>
      </c>
      <c r="G1096" s="3" t="inlineStr">
        <is>
          <t>.ftr.ecy</t>
        </is>
      </c>
      <c r="I1096" s="3" t="inlineStr">
        <is>
          <t>rfu|all|oop</t>
        </is>
      </c>
      <c r="J1096" s="3" t="inlineStr">
        <is>
          <t>rev.usd.tot.oop</t>
        </is>
      </c>
    </row>
    <row r="1097">
      <c r="A1097" s="3" t="str">
        <f>$B1097&amp;"|"&amp;$C1097</f>
        <v>ftr|jfu</v>
      </c>
      <c r="B1097" s="3" t="inlineStr">
        <is>
          <t>ftr</t>
        </is>
      </c>
      <c r="C1097" s="3" t="inlineStr">
        <is>
          <t>jfu</t>
        </is>
      </c>
      <c r="D1097" s="3" t="str">
        <f>IF($B1097="",""," | "&amp;$E1097&amp;" | "&amp;$F1097)</f>
        <v> | Fuel transformation | Jet fuel</v>
      </c>
      <c r="E1097" s="3" t="str">
        <f>IFERROR(INDEX(SecLab,MATCH($B1097,SecKey,0)),"")</f>
        <v>Fuel transformation</v>
      </c>
      <c r="F1097" s="3" t="str">
        <f>IFERROR(INDEX(FuelLab,MATCH($C1097,FuelKeyL,0)),"")</f>
        <v>Jet fuel</v>
      </c>
      <c r="G1097" s="3" t="inlineStr">
        <is>
          <t>.ftr.jfu</t>
        </is>
      </c>
      <c r="I1097" s="3" t="inlineStr">
        <is>
          <t>rfu|all|bio</t>
        </is>
      </c>
      <c r="J1097" s="3" t="inlineStr">
        <is>
          <t>rev.usd.tot.bio</t>
        </is>
      </c>
    </row>
    <row r="1098">
      <c r="A1098" s="3" t="str">
        <f>$B1098&amp;"|"&amp;$C1098</f>
        <v>ftr|bio</v>
      </c>
      <c r="B1098" s="3" t="inlineStr">
        <is>
          <t>ftr</t>
        </is>
      </c>
      <c r="C1098" s="3" t="inlineStr">
        <is>
          <t>bio</t>
        </is>
      </c>
      <c r="D1098" s="3" t="str">
        <f>IF($B1098="",""," | "&amp;$E1098&amp;" | "&amp;$F1098)</f>
        <v> | Fuel transformation | Biomass</v>
      </c>
      <c r="E1098" s="3" t="str">
        <f>IFERROR(INDEX(SecLab,MATCH($B1098,SecKey,0)),"")</f>
        <v>Fuel transformation</v>
      </c>
      <c r="F1098" s="3" t="str">
        <f>IFERROR(INDEX(FuelLab,MATCH($C1098,FuelKeyL,0)),"")</f>
        <v>Biomass</v>
      </c>
      <c r="G1098" s="3" t="inlineStr">
        <is>
          <t>.ftr.bio</t>
        </is>
      </c>
      <c r="I1098" s="3" t="inlineStr">
        <is>
          <t>rpol|all|exc</t>
        </is>
      </c>
      <c r="J1098" s="3" t="inlineStr">
        <is>
          <t>rpol.tot.exc</t>
        </is>
      </c>
    </row>
    <row r="1099">
      <c r="A1099" s="3" t="str">
        <f>$B1099&amp;"|"&amp;$C1099</f>
        <v>oen|coa</v>
      </c>
      <c r="B1099" s="3" t="inlineStr">
        <is>
          <t>oen</t>
        </is>
      </c>
      <c r="C1099" s="3" t="inlineStr">
        <is>
          <t>coa</t>
        </is>
      </c>
      <c r="D1099" s="3" t="str">
        <f>IF($B1099="",""," | "&amp;$E1099&amp;" | "&amp;$F1099)</f>
        <v> | Other energy use | Coal</v>
      </c>
      <c r="E1099" s="3" t="str">
        <f>IFERROR(INDEX(SecLab,MATCH($B1099,SecKey,0)),"")</f>
        <v>Other energy use</v>
      </c>
      <c r="F1099" s="3" t="str">
        <f>IFERROR(INDEX(FuelLab,MATCH($C1099,FuelKeyL,0)),"")</f>
        <v>Coal</v>
      </c>
      <c r="G1099" s="3" t="inlineStr">
        <is>
          <t>.oen.coa</t>
        </is>
      </c>
      <c r="I1099" s="3" t="inlineStr">
        <is>
          <t>rpol|all|vat</t>
        </is>
      </c>
      <c r="J1099" s="3" t="inlineStr">
        <is>
          <t>rpol.tot.vat</t>
        </is>
      </c>
    </row>
    <row r="1100">
      <c r="A1100" s="3" t="str">
        <f>$B1100&amp;"|"&amp;$C1100</f>
        <v>oen|nga</v>
      </c>
      <c r="B1100" s="3" t="inlineStr">
        <is>
          <t>oen</t>
        </is>
      </c>
      <c r="C1100" s="3" t="inlineStr">
        <is>
          <t>nga</t>
        </is>
      </c>
      <c r="D1100" s="3" t="str">
        <f>IF($B1100="",""," | "&amp;$E1100&amp;" | "&amp;$F1100)</f>
        <v> | Other energy use | Natural gas</v>
      </c>
      <c r="E1100" s="3" t="str">
        <f>IFERROR(INDEX(SecLab,MATCH($B1100,SecKey,0)),"")</f>
        <v>Other energy use</v>
      </c>
      <c r="F1100" s="3" t="str">
        <f>IFERROR(INDEX(FuelLab,MATCH($C1100,FuelKeyL,0)),"")</f>
        <v>Natural gas</v>
      </c>
      <c r="G1100" s="3" t="inlineStr">
        <is>
          <t>.oen.nga</t>
        </is>
      </c>
      <c r="I1100" s="3" t="inlineStr">
        <is>
          <t>rpol|all|psu</t>
        </is>
      </c>
      <c r="J1100" s="3" t="inlineStr">
        <is>
          <t>rpol.tot.psu</t>
        </is>
      </c>
    </row>
    <row r="1101">
      <c r="A1101" s="3" t="str">
        <f>$B1101&amp;"|"&amp;$C1101</f>
        <v>oen|jfu</v>
      </c>
      <c r="B1101" s="3" t="inlineStr">
        <is>
          <t>oen</t>
        </is>
      </c>
      <c r="C1101" s="3" t="inlineStr">
        <is>
          <t>jfu</t>
        </is>
      </c>
      <c r="D1101" s="3" t="str">
        <f>IF($B1101="",""," | "&amp;$E1101&amp;" | "&amp;$F1101)</f>
        <v> | Other energy use | Jet fuel</v>
      </c>
      <c r="E1101" s="3" t="str">
        <f>IFERROR(INDEX(SecLab,MATCH($B1101,SecKey,0)),"")</f>
        <v>Other energy use</v>
      </c>
      <c r="F1101" s="3" t="str">
        <f>IFERROR(INDEX(FuelLab,MATCH($C1101,FuelKeyL,0)),"")</f>
        <v>Jet fuel</v>
      </c>
      <c r="G1101" s="3" t="inlineStr">
        <is>
          <t>.oen.jfu</t>
        </is>
      </c>
      <c r="I1101" s="3" t="inlineStr">
        <is>
          <t>rpol|all|ren</t>
        </is>
      </c>
      <c r="J1101" s="3" t="inlineStr">
        <is>
          <t>rpol.tot.ren</t>
        </is>
      </c>
    </row>
    <row r="1102">
      <c r="A1102" s="3" t="str">
        <f>$B1102&amp;"|"&amp;$C1102</f>
        <v>oen|oop</v>
      </c>
      <c r="B1102" s="3" t="inlineStr">
        <is>
          <t>oen</t>
        </is>
      </c>
      <c r="C1102" s="3" t="inlineStr">
        <is>
          <t>oop</t>
        </is>
      </c>
      <c r="D1102" s="3" t="str">
        <f>IF($B1102="",""," | "&amp;$E1102&amp;" | "&amp;$F1102)</f>
        <v> | Other energy use | Other oil products</v>
      </c>
      <c r="E1102" s="3" t="str">
        <f>IFERROR(INDEX(SecLab,MATCH($B1102,SecKey,0)),"")</f>
        <v>Other energy use</v>
      </c>
      <c r="F1102" s="3" t="str">
        <f>IFERROR(INDEX(FuelLab,MATCH($C1102,FuelKeyL,0)),"")</f>
        <v>Other oil products</v>
      </c>
      <c r="G1102" s="3" t="inlineStr">
        <is>
          <t>.oen.oop</t>
        </is>
      </c>
      <c r="I1102" s="3" t="inlineStr">
        <is>
          <t>rpol|all|tot</t>
        </is>
      </c>
      <c r="J1102" s="3" t="inlineStr">
        <is>
          <t>rpol.tot.tot</t>
        </is>
      </c>
    </row>
    <row r="1103">
      <c r="A1103" s="3" t="str">
        <f>$B1103&amp;"|"&amp;$C1103</f>
        <v>oen|bio</v>
      </c>
      <c r="B1103" s="3" t="inlineStr">
        <is>
          <t>oen</t>
        </is>
      </c>
      <c r="C1103" s="3" t="inlineStr">
        <is>
          <t>bio</t>
        </is>
      </c>
      <c r="D1103" s="3" t="str">
        <f>IF($B1103="",""," | "&amp;$E1103&amp;" | "&amp;$F1103)</f>
        <v> | Other energy use | Biomass</v>
      </c>
      <c r="E1103" s="3" t="str">
        <f>IFERROR(INDEX(SecLab,MATCH($B1103,SecKey,0)),"")</f>
        <v>Other energy use</v>
      </c>
      <c r="F1103" s="3" t="str">
        <f>IFERROR(INDEX(FuelLab,MATCH($C1103,FuelKeyL,0)),"")</f>
        <v>Biomass</v>
      </c>
      <c r="G1103" s="3" t="inlineStr">
        <is>
          <t>.oen.bio</t>
        </is>
      </c>
      <c r="I1103" s="3" t="inlineStr">
        <is>
          <t>rtot|all|all</t>
        </is>
      </c>
      <c r="J1103" s="3" t="inlineStr">
        <is>
          <t>rev.usd.tot</t>
        </is>
      </c>
    </row>
    <row r="1104">
      <c r="A1104" s="3" t="str">
        <f>$B1104&amp;"|"&amp;$C1104</f>
        <v>bld|ecy</v>
      </c>
      <c r="B1104" s="3" t="inlineStr">
        <is>
          <t>bld</t>
        </is>
      </c>
      <c r="C1104" s="3" t="inlineStr">
        <is>
          <t>ecy</t>
        </is>
      </c>
      <c r="D1104" s="3" t="str">
        <f>IF($B1104="",""," | "&amp;$E1104&amp;" | "&amp;$F1104)</f>
        <v> | Buildings | Electricity</v>
      </c>
      <c r="E1104" s="3" t="str">
        <f>IFERROR(INDEX(SecLab,MATCH($B1104,SecKey,0)),"")</f>
        <v>Buildings</v>
      </c>
      <c r="F1104" s="3" t="str">
        <f>IFERROR(INDEX(FuelLab,MATCH($C1104,FuelKeyL,0)),"")</f>
        <v>Electricity</v>
      </c>
      <c r="G1104" s="3" t="inlineStr">
        <is>
          <t>.bld.ecy</t>
        </is>
      </c>
      <c r="I1104" s="3" t="inlineStr">
        <is>
          <t>co2|tra|all</t>
        </is>
      </c>
      <c r="J1104" s="3" t="inlineStr">
        <is>
          <t>co2.tra.tot</t>
        </is>
      </c>
    </row>
    <row r="1105">
      <c r="A1105" s="3" t="str">
        <f>$B1105&amp;"|"&amp;$C1105</f>
        <v>pow|ecy</v>
      </c>
      <c r="B1105" s="3" t="inlineStr">
        <is>
          <t>pow</t>
        </is>
      </c>
      <c r="C1105" s="3" t="inlineStr">
        <is>
          <t>ecy</t>
        </is>
      </c>
      <c r="D1105" s="3" t="str">
        <f>IF($B1105="",""," | "&amp;$E1105&amp;" | "&amp;$F1105)</f>
        <v> | Power | Electricity</v>
      </c>
      <c r="E1105" s="3" t="str">
        <f>IFERROR(INDEX(SecLab,MATCH($B1105,SecKey,0)),"")</f>
        <v>Power</v>
      </c>
      <c r="F1105" s="3" t="str">
        <f>IFERROR(INDEX(FuelLab,MATCH($C1105,FuelKeyL,0)),"")</f>
        <v>Electricity</v>
      </c>
      <c r="G1105" s="3" t="inlineStr">
        <is>
          <t>.pow.ecy</t>
        </is>
      </c>
      <c r="I1105" s="3" t="inlineStr">
        <is>
          <t>co2|bld|all</t>
        </is>
      </c>
      <c r="J1105" s="3" t="inlineStr">
        <is>
          <t>co2.bld.tot</t>
        </is>
      </c>
    </row>
    <row r="1106">
      <c r="A1106" s="3" t="str">
        <f>$B1106&amp;"|"&amp;$C1106</f>
        <v>all|tot</v>
      </c>
      <c r="B1106" s="3" t="inlineStr">
        <is>
          <t>all</t>
        </is>
      </c>
      <c r="C1106" s="3" t="inlineStr">
        <is>
          <t>tot</t>
        </is>
      </c>
      <c r="D1106" s="3" t="str">
        <f>IF($B1106="",""," | "&amp;$E1106&amp;" | "&amp;$F1106)</f>
        <v> | All sectors | </v>
      </c>
      <c r="E1106" s="3" t="str">
        <f>IFERROR(INDEX(SecLab,MATCH($B1106,SecKey,0)),"")</f>
        <v>All sectors</v>
      </c>
      <c r="F1106" s="3" t="str">
        <f>IFERROR(INDEX(FuelLab,MATCH($C1106,FuelKeyL,0)),"")</f>
        <v/>
      </c>
      <c r="G1106" s="3" t="inlineStr">
        <is>
          <t>.all.tot</t>
        </is>
      </c>
      <c r="I1106" s="3" t="inlineStr">
        <is>
          <t>co2|ind|all</t>
        </is>
      </c>
      <c r="J1106" s="3" t="inlineStr">
        <is>
          <t>co2.ind.tot</t>
        </is>
      </c>
    </row>
    <row r="1107">
      <c r="A1107" s="3" t="str">
        <f>$B1107&amp;"|"&amp;$C1107</f>
        <v>all|net</v>
      </c>
      <c r="B1107" s="3" t="inlineStr">
        <is>
          <t>all</t>
        </is>
      </c>
      <c r="C1107" s="3" t="inlineStr">
        <is>
          <t>net</t>
        </is>
      </c>
      <c r="D1107" s="3" t="str">
        <f>IF($B1107="",""," | "&amp;$E1107&amp;" | "&amp;$F1107)</f>
        <v> | All sectors | </v>
      </c>
      <c r="E1107" s="3" t="str">
        <f>IFERROR(INDEX(SecLab,MATCH($B1107,SecKey,0)),"")</f>
        <v>All sectors</v>
      </c>
      <c r="F1107" s="3" t="str">
        <f>IFERROR(INDEX(FuelLab,MATCH($C1107,FuelKeyL,0)),"")</f>
        <v/>
      </c>
      <c r="G1107" s="3" t="inlineStr">
        <is>
          <t>.all.net</t>
        </is>
      </c>
      <c r="I1107" s="3" t="inlineStr">
        <is>
          <t>co2|oen|all</t>
        </is>
      </c>
      <c r="J1107" s="3" t="inlineStr">
        <is>
          <t>co2.oen.tot</t>
        </is>
      </c>
    </row>
    <row r="1108">
      <c r="A1108" s="3" t="str">
        <f>$B1108&amp;"|"&amp;$C1108</f>
        <v>all|sub</v>
      </c>
      <c r="B1108" s="3" t="inlineStr">
        <is>
          <t>all</t>
        </is>
      </c>
      <c r="C1108" s="3" t="inlineStr">
        <is>
          <t>sub</t>
        </is>
      </c>
      <c r="D1108" s="3" t="str">
        <f>IF($B1108="",""," | "&amp;$E1108&amp;" | "&amp;$F1108)</f>
        <v> | All sectors | </v>
      </c>
      <c r="E1108" s="3" t="str">
        <f>IFERROR(INDEX(SecLab,MATCH($B1108,SecKey,0)),"")</f>
        <v>All sectors</v>
      </c>
      <c r="F1108" s="3" t="str">
        <f>IFERROR(INDEX(FuelLab,MATCH($C1108,FuelKeyL,0)),"")</f>
        <v/>
      </c>
      <c r="G1108" s="3" t="inlineStr">
        <is>
          <t>.all.sub</t>
        </is>
      </c>
      <c r="I1108" s="3" t="inlineStr">
        <is>
          <t>co2|pow|all</t>
        </is>
      </c>
      <c r="J1108" s="3" t="inlineStr">
        <is>
          <t>co2.pow.tot</t>
        </is>
      </c>
    </row>
    <row r="1109">
      <c r="A1109" s="3" t="str">
        <f>$B1109&amp;"|"&amp;$C1109</f>
        <v>all|new</v>
      </c>
      <c r="B1109" s="3" t="inlineStr">
        <is>
          <t>all</t>
        </is>
      </c>
      <c r="C1109" s="3" t="inlineStr">
        <is>
          <t>new</t>
        </is>
      </c>
      <c r="D1109" s="3" t="str">
        <f>IF($B1109="",""," | "&amp;$E1109&amp;" | "&amp;$F1109)</f>
        <v> | All sectors | </v>
      </c>
      <c r="E1109" s="3" t="str">
        <f>IFERROR(INDEX(SecLab,MATCH($B1109,SecKey,0)),"")</f>
        <v>All sectors</v>
      </c>
      <c r="F1109" s="3" t="str">
        <f>IFERROR(INDEX(FuelLab,MATCH($C1109,FuelKeyL,0)),"")</f>
        <v/>
      </c>
      <c r="G1109" s="3" t="inlineStr">
        <is>
          <t>.all.new</t>
        </is>
      </c>
      <c r="I1109" s="3" t="inlineStr">
        <is>
          <t>co2|all|coa</t>
        </is>
      </c>
      <c r="J1109" s="3" t="inlineStr">
        <is>
          <t>co2.tot.coa</t>
        </is>
      </c>
    </row>
    <row r="1110">
      <c r="A1110" s="3" t="str">
        <f>$B1110&amp;"|"&amp;$C1110</f>
        <v>all|chg</v>
      </c>
      <c r="B1110" s="3" t="inlineStr">
        <is>
          <t>all</t>
        </is>
      </c>
      <c r="C1110" s="3" t="inlineStr">
        <is>
          <t>chg</t>
        </is>
      </c>
      <c r="D1110" s="3" t="str">
        <f>IF($B1110="",""," | "&amp;$E1110&amp;" | "&amp;$F1110)</f>
        <v> | All sectors | </v>
      </c>
      <c r="E1110" s="3" t="str">
        <f>IFERROR(INDEX(SecLab,MATCH($B1110,SecKey,0)),"")</f>
        <v>All sectors</v>
      </c>
      <c r="F1110" s="3" t="str">
        <f>IFERROR(INDEX(FuelLab,MATCH($C1110,FuelKeyL,0)),"")</f>
        <v/>
      </c>
      <c r="G1110" s="3" t="inlineStr">
        <is>
          <t>.all.chg</t>
        </is>
      </c>
      <c r="I1110" s="3" t="inlineStr">
        <is>
          <t>co2|all|nga</t>
        </is>
      </c>
      <c r="J1110" s="3" t="inlineStr">
        <is>
          <t>co2.tot.nga</t>
        </is>
      </c>
    </row>
    <row r="1111">
      <c r="A1111" s="3" t="str">
        <f>$B1111&amp;"|"&amp;$C1111</f>
        <v>all|be</v>
      </c>
      <c r="B1111" s="3" t="inlineStr">
        <is>
          <t>all</t>
        </is>
      </c>
      <c r="C1111" s="3" t="inlineStr">
        <is>
          <t>be</t>
        </is>
      </c>
      <c r="D1111" s="3" t="str">
        <f>IF($B1111="",""," | "&amp;$E1111&amp;" | "&amp;$F1111)</f>
        <v> | All sectors | </v>
      </c>
      <c r="E1111" s="3" t="str">
        <f>IFERROR(INDEX(SecLab,MATCH($B1111,SecKey,0)),"")</f>
        <v>All sectors</v>
      </c>
      <c r="F1111" s="3" t="str">
        <f>IFERROR(INDEX(FuelLab,MATCH($C1111,FuelKeyL,0)),"")</f>
        <v/>
      </c>
      <c r="G1111" s="3" t="inlineStr">
        <is>
          <t>.all.be</t>
        </is>
      </c>
      <c r="I1111" s="3" t="inlineStr">
        <is>
          <t>co2|all|gso</t>
        </is>
      </c>
      <c r="J1111" s="3" t="inlineStr">
        <is>
          <t>co2.tot.gso</t>
        </is>
      </c>
    </row>
    <row r="1112">
      <c r="A1112" s="3" t="str">
        <f>$B1112&amp;"|"&amp;$C1112</f>
        <v>all|lcu</v>
      </c>
      <c r="B1112" s="3" t="inlineStr">
        <is>
          <t>all</t>
        </is>
      </c>
      <c r="C1112" s="3" t="inlineStr">
        <is>
          <t>lcu</t>
        </is>
      </c>
      <c r="D1112" s="3" t="str">
        <f>IF($B1112="",""," | "&amp;$E1112&amp;" | "&amp;$F1112)</f>
        <v> | All sectors | </v>
      </c>
      <c r="E1112" s="3" t="str">
        <f>IFERROR(INDEX(SecLab,MATCH($B1112,SecKey,0)),"")</f>
        <v>All sectors</v>
      </c>
      <c r="F1112" s="3" t="str">
        <f>IFERROR(INDEX(FuelLab,MATCH($C1112,FuelKeyL,0)),"")</f>
        <v/>
      </c>
      <c r="G1112" s="3" t="inlineStr">
        <is>
          <t>.all.lcu</t>
        </is>
      </c>
      <c r="I1112" s="3" t="inlineStr">
        <is>
          <t>co2|all|die</t>
        </is>
      </c>
      <c r="J1112" s="3" t="inlineStr">
        <is>
          <t>co2.tot.die</t>
        </is>
      </c>
    </row>
    <row r="1113">
      <c r="A1113" s="3" t="str">
        <f>$B1113&amp;"|"&amp;$C1113</f>
        <v>all|usd</v>
      </c>
      <c r="B1113" s="3" t="inlineStr">
        <is>
          <t>all</t>
        </is>
      </c>
      <c r="C1113" s="3" t="inlineStr">
        <is>
          <t>usd</t>
        </is>
      </c>
      <c r="D1113" s="3" t="str">
        <f>IF($B1113="",""," | "&amp;$E1113&amp;" | "&amp;$F1113)</f>
        <v> | All sectors | </v>
      </c>
      <c r="E1113" s="3" t="str">
        <f>IFERROR(INDEX(SecLab,MATCH($B1113,SecKey,0)),"")</f>
        <v>All sectors</v>
      </c>
      <c r="F1113" s="3" t="str">
        <f>IFERROR(INDEX(FuelLab,MATCH($C1113,FuelKeyL,0)),"")</f>
        <v/>
      </c>
      <c r="G1113" s="3" t="inlineStr">
        <is>
          <t>.all.usd</t>
        </is>
      </c>
      <c r="I1113" s="3" t="inlineStr">
        <is>
          <t>co2|all|lpg</t>
        </is>
      </c>
      <c r="J1113" s="3" t="inlineStr">
        <is>
          <t>co2.tot.lpg</t>
        </is>
      </c>
    </row>
    <row r="1114">
      <c r="A1114" s="3" t="str">
        <f>$B1114&amp;"|"&amp;$C1114</f>
        <v>all|ct</v>
      </c>
      <c r="B1114" s="3" t="inlineStr">
        <is>
          <t>all</t>
        </is>
      </c>
      <c r="C1114" s="3" t="inlineStr">
        <is>
          <t>ct</t>
        </is>
      </c>
      <c r="D1114" s="3" t="str">
        <f>IF($B1114="",""," | "&amp;$E1114&amp;" | "&amp;$F1114)</f>
        <v> | All sectors | </v>
      </c>
      <c r="E1114" s="3" t="str">
        <f>IFERROR(INDEX(SecLab,MATCH($B1114,SecKey,0)),"")</f>
        <v>All sectors</v>
      </c>
      <c r="F1114" s="3" t="str">
        <f>IFERROR(INDEX(FuelLab,MATCH($C1114,FuelKeyL,0)),"")</f>
        <v/>
      </c>
      <c r="G1114" s="3" t="inlineStr">
        <is>
          <t>.all.ct</t>
        </is>
      </c>
      <c r="I1114" s="3" t="inlineStr">
        <is>
          <t>co2|all|ker</t>
        </is>
      </c>
      <c r="J1114" s="3" t="inlineStr">
        <is>
          <t>co2.tot.ker</t>
        </is>
      </c>
    </row>
    <row r="1115">
      <c r="A1115" s="3" t="str">
        <f>$B1115&amp;"|"&amp;$C1115</f>
        <v>all|exc</v>
      </c>
      <c r="B1115" s="3" t="inlineStr">
        <is>
          <t>all</t>
        </is>
      </c>
      <c r="C1115" s="3" t="inlineStr">
        <is>
          <t>exc</t>
        </is>
      </c>
      <c r="D1115" s="3" t="str">
        <f>IF($B1115="",""," | "&amp;$E1115&amp;" | "&amp;$F1115)</f>
        <v> | All sectors | Revenue (energy tax increase)</v>
      </c>
      <c r="E1115" s="3" t="str">
        <f>IFERROR(INDEX(SecLab,MATCH($B1115,SecKey,0)),"")</f>
        <v>All sectors</v>
      </c>
      <c r="F1115" s="3" t="str">
        <f>IFERROR(INDEX(FuelLab,MATCH($C1115,FuelKeyL,0)),"")</f>
        <v>Revenue (energy tax increase)</v>
      </c>
      <c r="G1115" s="3" t="inlineStr">
        <is>
          <t>.all.exc</t>
        </is>
      </c>
      <c r="I1115" s="3" t="inlineStr">
        <is>
          <t>co2|all|jfu</t>
        </is>
      </c>
      <c r="J1115" s="3" t="inlineStr">
        <is>
          <t>co2.tot.jfu</t>
        </is>
      </c>
    </row>
    <row r="1116">
      <c r="A1116" s="3" t="str">
        <f>$B1116&amp;"|"&amp;$C1116</f>
        <v>all|exi</v>
      </c>
      <c r="B1116" s="3" t="inlineStr">
        <is>
          <t>all</t>
        </is>
      </c>
      <c r="C1116" s="3" t="inlineStr">
        <is>
          <t>exi</t>
        </is>
      </c>
      <c r="D1116" s="3" t="str">
        <f>IF($B1116="",""," | "&amp;$E1116&amp;" | "&amp;$F1116)</f>
        <v> | All sectors | </v>
      </c>
      <c r="E1116" s="3" t="str">
        <f>IFERROR(INDEX(SecLab,MATCH($B1116,SecKey,0)),"")</f>
        <v>All sectors</v>
      </c>
      <c r="F1116" s="3" t="str">
        <f>IFERROR(INDEX(FuelLab,MATCH($C1116,FuelKeyL,0)),"")</f>
        <v/>
      </c>
      <c r="G1116" s="3" t="inlineStr">
        <is>
          <t>.all.exi</t>
        </is>
      </c>
      <c r="I1116" s="3" t="inlineStr">
        <is>
          <t>co2|all|oop</t>
        </is>
      </c>
      <c r="J1116" s="3" t="inlineStr">
        <is>
          <t>co2.tot.oop</t>
        </is>
      </c>
    </row>
    <row r="1117">
      <c r="A1117" s="3" t="str">
        <f>$B1117&amp;"|"&amp;$C1117</f>
        <v>all|vat</v>
      </c>
      <c r="B1117" s="3" t="inlineStr">
        <is>
          <t>all</t>
        </is>
      </c>
      <c r="C1117" s="3" t="inlineStr">
        <is>
          <t>vat</t>
        </is>
      </c>
      <c r="D1117" s="3" t="str">
        <f>IF($B1117="",""," | "&amp;$E1117&amp;" | "&amp;$F1117)</f>
        <v> | All sectors | </v>
      </c>
      <c r="E1117" s="3" t="str">
        <f>IFERROR(INDEX(SecLab,MATCH($B1117,SecKey,0)),"")</f>
        <v>All sectors</v>
      </c>
      <c r="F1117" s="3" t="str">
        <f>IFERROR(INDEX(FuelLab,MATCH($C1117,FuelKeyL,0)),"")</f>
        <v/>
      </c>
      <c r="G1117" s="3" t="inlineStr">
        <is>
          <t>.all.vat</t>
        </is>
      </c>
      <c r="I1117" s="3" t="inlineStr">
        <is>
          <t>co2|all|bio</t>
        </is>
      </c>
      <c r="J1117" s="3" t="inlineStr">
        <is>
          <t>co2.tot.bio</t>
        </is>
      </c>
    </row>
    <row r="1118">
      <c r="A1118" s="3" t="str">
        <f>$B1118&amp;"|"&amp;$C1118</f>
        <v>all|ets</v>
      </c>
      <c r="B1118" s="3" t="inlineStr">
        <is>
          <t>all</t>
        </is>
      </c>
      <c r="C1118" s="3" t="inlineStr">
        <is>
          <t>ets</t>
        </is>
      </c>
      <c r="D1118" s="3" t="str">
        <f>IF($B1118="",""," | "&amp;$E1118&amp;" | "&amp;$F1118)</f>
        <v> | All sectors | </v>
      </c>
      <c r="E1118" s="3" t="str">
        <f>IFERROR(INDEX(SecLab,MATCH($B1118,SecKey,0)),"")</f>
        <v>All sectors</v>
      </c>
      <c r="F1118" s="3" t="str">
        <f>IFERROR(INDEX(FuelLab,MATCH($C1118,FuelKeyL,0)),"")</f>
        <v/>
      </c>
      <c r="G1118" s="3" t="inlineStr">
        <is>
          <t>.all.ets</t>
        </is>
      </c>
      <c r="I1118" s="3" t="inlineStr">
        <is>
          <t>co2.sec|pow|all</t>
        </is>
      </c>
      <c r="J1118" s="3" t="inlineStr">
        <is>
          <t>co2.sec.pow.tot</t>
        </is>
      </c>
    </row>
    <row r="1119">
      <c r="A1119" s="3" t="str">
        <f>$B1119&amp;"|"&amp;$C1119</f>
        <v>all|psu</v>
      </c>
      <c r="B1119" s="3" t="inlineStr">
        <is>
          <t>all</t>
        </is>
      </c>
      <c r="C1119" s="3" t="inlineStr">
        <is>
          <t>psu</t>
        </is>
      </c>
      <c r="D1119" s="3" t="str">
        <f>IF($B1119="",""," | "&amp;$E1119&amp;" | "&amp;$F1119)</f>
        <v> | All sectors | </v>
      </c>
      <c r="E1119" s="3" t="str">
        <f>IFERROR(INDEX(SecLab,MATCH($B1119,SecKey,0)),"")</f>
        <v>All sectors</v>
      </c>
      <c r="F1119" s="3" t="str">
        <f>IFERROR(INDEX(FuelLab,MATCH($C1119,FuelKeyL,0)),"")</f>
        <v/>
      </c>
      <c r="G1119" s="3" t="inlineStr">
        <is>
          <t>.all.psu</t>
        </is>
      </c>
      <c r="I1119" s="3" t="inlineStr">
        <is>
          <t>co2.sec|rod|all</t>
        </is>
      </c>
      <c r="J1119" s="3" t="inlineStr">
        <is>
          <t>co2.sec.rod.tot</t>
        </is>
      </c>
    </row>
    <row r="1120">
      <c r="A1120" s="3" t="str">
        <f>$B1120&amp;"|"&amp;$C1120</f>
        <v>all|ren</v>
      </c>
      <c r="B1120" s="3" t="inlineStr">
        <is>
          <t>all</t>
        </is>
      </c>
      <c r="C1120" s="3" t="inlineStr">
        <is>
          <t>ren</t>
        </is>
      </c>
      <c r="D1120" s="3" t="str">
        <f>IF($B1120="",""," | "&amp;$E1120&amp;" | "&amp;$F1120)</f>
        <v> | All sectors | </v>
      </c>
      <c r="E1120" s="3" t="str">
        <f>IFERROR(INDEX(SecLab,MATCH($B1120,SecKey,0)),"")</f>
        <v>All sectors</v>
      </c>
      <c r="F1120" s="3" t="str">
        <f>IFERROR(INDEX(FuelLab,MATCH($C1120,FuelKeyL,0)),"")</f>
        <v/>
      </c>
      <c r="G1120" s="3" t="inlineStr">
        <is>
          <t>.all.ren</t>
        </is>
      </c>
      <c r="I1120" s="3" t="inlineStr">
        <is>
          <t>co2.sec|ral|all</t>
        </is>
      </c>
      <c r="J1120" s="3" t="inlineStr">
        <is>
          <t>co2.sec.ral.tot</t>
        </is>
      </c>
    </row>
    <row r="1121">
      <c r="A1121" s="3" t="str">
        <f>$B1121&amp;"|"&amp;$C1121</f>
        <v>all|mf</v>
      </c>
      <c r="B1121" s="3" t="inlineStr">
        <is>
          <t>all</t>
        </is>
      </c>
      <c r="C1121" s="3" t="inlineStr">
        <is>
          <t>mf</t>
        </is>
      </c>
      <c r="D1121" s="3" t="str">
        <f>IF($B1121="",""," | "&amp;$E1121&amp;" | "&amp;$F1121)</f>
        <v> | All sectors | </v>
      </c>
      <c r="E1121" s="3" t="str">
        <f>IFERROR(INDEX(SecLab,MATCH($B1121,SecKey,0)),"")</f>
        <v>All sectors</v>
      </c>
      <c r="F1121" s="3" t="str">
        <f>IFERROR(INDEX(FuelLab,MATCH($C1121,FuelKeyL,0)),"")</f>
        <v/>
      </c>
      <c r="G1121" s="3" t="inlineStr">
        <is>
          <t>.all.mf</t>
        </is>
      </c>
      <c r="I1121" s="3" t="inlineStr">
        <is>
          <t>co2.sec|avi|all</t>
        </is>
      </c>
      <c r="J1121" s="3" t="inlineStr">
        <is>
          <t>co2.sec.avi.tot</t>
        </is>
      </c>
    </row>
    <row r="1122">
      <c r="A1122" s="3" t="str">
        <f>$B1122&amp;"|"&amp;$C1122</f>
        <v>all|trs</v>
      </c>
      <c r="B1122" s="3" t="inlineStr">
        <is>
          <t>all</t>
        </is>
      </c>
      <c r="C1122" s="3" t="inlineStr">
        <is>
          <t>trs</t>
        </is>
      </c>
      <c r="D1122" s="3" t="str">
        <f>IF($B1122="",""," | "&amp;$E1122&amp;" | "&amp;$F1122)</f>
        <v> | All sectors | </v>
      </c>
      <c r="E1122" s="3" t="str">
        <f>IFERROR(INDEX(SecLab,MATCH($B1122,SecKey,0)),"")</f>
        <v>All sectors</v>
      </c>
      <c r="F1122" s="3" t="str">
        <f>IFERROR(INDEX(FuelLab,MATCH($C1122,FuelKeyL,0)),"")</f>
        <v/>
      </c>
      <c r="G1122" s="3" t="inlineStr">
        <is>
          <t>.all.trs</t>
        </is>
      </c>
      <c r="I1122" s="3" t="inlineStr">
        <is>
          <t>co2.sec|nav|all</t>
        </is>
      </c>
      <c r="J1122" s="3" t="inlineStr">
        <is>
          <t>co2.sec.nav.tot</t>
        </is>
      </c>
    </row>
    <row r="1123">
      <c r="A1123" s="3" t="str">
        <f>$B1123&amp;"|"&amp;$C1123</f>
        <v>all|ctp</v>
      </c>
      <c r="B1123" s="3" t="inlineStr">
        <is>
          <t>all</t>
        </is>
      </c>
      <c r="C1123" s="3" t="inlineStr">
        <is>
          <t>ctp</t>
        </is>
      </c>
      <c r="D1123" s="3" t="str">
        <f>IF($B1123="",""," | "&amp;$E1123&amp;" | "&amp;$F1123)</f>
        <v> | All sectors | </v>
      </c>
      <c r="E1123" s="3" t="str">
        <f>IFERROR(INDEX(SecLab,MATCH($B1123,SecKey,0)),"")</f>
        <v>All sectors</v>
      </c>
      <c r="F1123" s="3" t="str">
        <f>IFERROR(INDEX(FuelLab,MATCH($C1123,FuelKeyL,0)),"")</f>
        <v/>
      </c>
      <c r="G1123" s="3" t="inlineStr">
        <is>
          <t>.all.ctp</t>
        </is>
      </c>
      <c r="I1123" s="3" t="inlineStr">
        <is>
          <t>co2.sec|res|all</t>
        </is>
      </c>
      <c r="J1123" s="3" t="inlineStr">
        <is>
          <t>co2.sec.res.tot</t>
        </is>
      </c>
    </row>
    <row r="1124">
      <c r="A1124" s="3" t="str">
        <f>$B1124&amp;"|"&amp;$C1124</f>
        <v>all|etp</v>
      </c>
      <c r="B1124" s="3" t="inlineStr">
        <is>
          <t>all</t>
        </is>
      </c>
      <c r="C1124" s="3" t="inlineStr">
        <is>
          <t>etp</t>
        </is>
      </c>
      <c r="D1124" s="3" t="str">
        <f>IF($B1124="",""," | "&amp;$E1124&amp;" | "&amp;$F1124)</f>
        <v> | All sectors | </v>
      </c>
      <c r="E1124" s="3" t="str">
        <f>IFERROR(INDEX(SecLab,MATCH($B1124,SecKey,0)),"")</f>
        <v>All sectors</v>
      </c>
      <c r="F1124" s="3" t="str">
        <f>IFERROR(INDEX(FuelLab,MATCH($C1124,FuelKeyL,0)),"")</f>
        <v/>
      </c>
      <c r="G1124" s="3" t="inlineStr">
        <is>
          <t>.all.etp</t>
        </is>
      </c>
      <c r="I1124" s="3" t="inlineStr">
        <is>
          <t>co2.sec|foo|all</t>
        </is>
      </c>
      <c r="J1124" s="3" t="inlineStr">
        <is>
          <t>co2.sec.foo.tot</t>
        </is>
      </c>
    </row>
    <row r="1125">
      <c r="A1125" s="3" t="str">
        <f>$B1125&amp;"|"&amp;$C1125</f>
        <v>all|pop</v>
      </c>
      <c r="B1125" s="3" t="inlineStr">
        <is>
          <t>all</t>
        </is>
      </c>
      <c r="C1125" s="3" t="inlineStr">
        <is>
          <t>pop</t>
        </is>
      </c>
      <c r="D1125" s="3" t="str">
        <f>IF($B1125="",""," | "&amp;$E1125&amp;" | "&amp;$F1125)</f>
        <v> | All sectors | </v>
      </c>
      <c r="E1125" s="3" t="str">
        <f>IFERROR(INDEX(SecLab,MATCH($B1125,SecKey,0)),"")</f>
        <v>All sectors</v>
      </c>
      <c r="F1125" s="3" t="str">
        <f>IFERROR(INDEX(FuelLab,MATCH($C1125,FuelKeyL,0)),"")</f>
        <v/>
      </c>
      <c r="G1125" s="3" t="inlineStr">
        <is>
          <t>.all.pop</t>
        </is>
      </c>
      <c r="I1125" s="3" t="inlineStr">
        <is>
          <t>co2.sec|srv|all</t>
        </is>
      </c>
      <c r="J1125" s="3" t="inlineStr">
        <is>
          <t>co2.sec.srv.tot</t>
        </is>
      </c>
    </row>
    <row r="1126">
      <c r="A1126" s="3" t="str">
        <f>$B1126&amp;"|"&amp;$C1126</f>
        <v>all|gpc</v>
      </c>
      <c r="B1126" s="3" t="inlineStr">
        <is>
          <t>all</t>
        </is>
      </c>
      <c r="C1126" s="3" t="inlineStr">
        <is>
          <t>gpc</t>
        </is>
      </c>
      <c r="D1126" s="3" t="str">
        <f>IF($B1126="",""," | "&amp;$E1126&amp;" | "&amp;$F1126)</f>
        <v> | All sectors | </v>
      </c>
      <c r="E1126" s="3" t="str">
        <f>IFERROR(INDEX(SecLab,MATCH($B1126,SecKey,0)),"")</f>
        <v>All sectors</v>
      </c>
      <c r="F1126" s="3" t="str">
        <f>IFERROR(INDEX(FuelLab,MATCH($C1126,FuelKeyL,0)),"")</f>
        <v/>
      </c>
      <c r="G1126" s="3" t="inlineStr">
        <is>
          <t>.all.gpc</t>
        </is>
      </c>
      <c r="I1126" s="3" t="inlineStr">
        <is>
          <t>co2.sec|mch|all</t>
        </is>
      </c>
      <c r="J1126" s="3" t="inlineStr">
        <is>
          <t>co2.sec.mch.tot</t>
        </is>
      </c>
    </row>
    <row r="1127">
      <c r="A1127" s="3" t="str">
        <f>$B1127&amp;"|"&amp;$C1127</f>
        <v>all|tpes</v>
      </c>
      <c r="B1127" s="3" t="inlineStr">
        <is>
          <t>all</t>
        </is>
      </c>
      <c r="C1127" s="3" t="inlineStr">
        <is>
          <t>tpes</t>
        </is>
      </c>
      <c r="D1127" s="3" t="str">
        <f>IF($B1127="",""," | "&amp;$E1127&amp;" | "&amp;$F1127)</f>
        <v> | All sectors | </v>
      </c>
      <c r="E1127" s="3" t="str">
        <f>IFERROR(INDEX(SecLab,MATCH($B1127,SecKey,0)),"")</f>
        <v>All sectors</v>
      </c>
      <c r="F1127" s="3" t="str">
        <f>IFERROR(INDEX(FuelLab,MATCH($C1127,FuelKeyL,0)),"")</f>
        <v/>
      </c>
      <c r="G1127" s="3" t="inlineStr">
        <is>
          <t>.all.tpes</t>
        </is>
      </c>
      <c r="I1127" s="3" t="inlineStr">
        <is>
          <t>co2.sec|irn|all</t>
        </is>
      </c>
      <c r="J1127" s="3" t="inlineStr">
        <is>
          <t>co2.sec.irn.tot</t>
        </is>
      </c>
    </row>
    <row r="1128">
      <c r="A1128" s="3" t="str">
        <f>$B1128&amp;"|"&amp;$C1128</f>
        <v>all|ei</v>
      </c>
      <c r="B1128" s="3" t="inlineStr">
        <is>
          <t>all</t>
        </is>
      </c>
      <c r="C1128" s="3" t="inlineStr">
        <is>
          <t>ei</t>
        </is>
      </c>
      <c r="D1128" s="3" t="str">
        <f>IF($B1128="",""," | "&amp;$E1128&amp;" | "&amp;$F1128)</f>
        <v> | All sectors | </v>
      </c>
      <c r="E1128" s="3" t="str">
        <f>IFERROR(INDEX(SecLab,MATCH($B1128,SecKey,0)),"")</f>
        <v>All sectors</v>
      </c>
      <c r="F1128" s="3" t="str">
        <f>IFERROR(INDEX(FuelLab,MATCH($C1128,FuelKeyL,0)),"")</f>
        <v/>
      </c>
      <c r="G1128" s="3" t="inlineStr">
        <is>
          <t>.all.ei</t>
        </is>
      </c>
      <c r="I1128" s="3" t="inlineStr">
        <is>
          <t>co2.sec|nfm|all</t>
        </is>
      </c>
      <c r="J1128" s="3" t="inlineStr">
        <is>
          <t>co2.sec.nfm.tot</t>
        </is>
      </c>
    </row>
    <row r="1129">
      <c r="A1129" s="3" t="str">
        <f>$B1129&amp;"|"&amp;$C1129</f>
        <v>all|ci</v>
      </c>
      <c r="B1129" s="3" t="inlineStr">
        <is>
          <t>all</t>
        </is>
      </c>
      <c r="C1129" s="3" t="inlineStr">
        <is>
          <t>ci</t>
        </is>
      </c>
      <c r="D1129" s="3" t="str">
        <f>IF($B1129="",""," | "&amp;$E1129&amp;" | "&amp;$F1129)</f>
        <v> | All sectors | </v>
      </c>
      <c r="E1129" s="3" t="str">
        <f>IFERROR(INDEX(SecLab,MATCH($B1129,SecKey,0)),"")</f>
        <v>All sectors</v>
      </c>
      <c r="F1129" s="3" t="str">
        <f>IFERROR(INDEX(FuelLab,MATCH($C1129,FuelKeyL,0)),"")</f>
        <v/>
      </c>
      <c r="G1129" s="3" t="inlineStr">
        <is>
          <t>.all.ci</t>
        </is>
      </c>
      <c r="I1129" s="3" t="inlineStr">
        <is>
          <t>co2.sec|mac|all</t>
        </is>
      </c>
      <c r="J1129" s="3" t="inlineStr">
        <is>
          <t>co2.sec.mac.tot</t>
        </is>
      </c>
    </row>
    <row r="1130">
      <c r="A1130" s="3" t="str">
        <f>$B1130&amp;"|"&amp;$C1130</f>
        <v>all|gdp</v>
      </c>
      <c r="B1130" s="3" t="inlineStr">
        <is>
          <t>all</t>
        </is>
      </c>
      <c r="C1130" s="3" t="inlineStr">
        <is>
          <t>gdp</t>
        </is>
      </c>
      <c r="D1130" s="3" t="str">
        <f>IF($B1130="",""," | "&amp;$E1130&amp;" | "&amp;$F1130)</f>
        <v> | All sectors | </v>
      </c>
      <c r="E1130" s="3" t="str">
        <f>IFERROR(INDEX(SecLab,MATCH($B1130,SecKey,0)),"")</f>
        <v>All sectors</v>
      </c>
      <c r="F1130" s="3" t="str">
        <f>IFERROR(INDEX(FuelLab,MATCH($C1130,FuelKeyL,0)),"")</f>
        <v/>
      </c>
      <c r="G1130" s="3" t="inlineStr">
        <is>
          <t>.all.gdp</t>
        </is>
      </c>
      <c r="I1130" s="3" t="inlineStr">
        <is>
          <t>co2.sec|cem|all</t>
        </is>
      </c>
      <c r="J1130" s="3" t="inlineStr">
        <is>
          <t>co2.sec.cem.tot</t>
        </is>
      </c>
    </row>
    <row r="1131">
      <c r="A1131" s="3" t="str">
        <f>$B1131&amp;"|"&amp;$C1131</f>
        <v>all|co2</v>
      </c>
      <c r="B1131" s="3" t="inlineStr">
        <is>
          <t>all</t>
        </is>
      </c>
      <c r="C1131" s="3" t="inlineStr">
        <is>
          <t>co2</t>
        </is>
      </c>
      <c r="D1131" s="3" t="str">
        <f>IF($B1131="",""," | "&amp;$E1131&amp;" | "&amp;$F1131)</f>
        <v> | All sectors | CO2</v>
      </c>
      <c r="E1131" s="3" t="str">
        <f>IFERROR(INDEX(SecLab,MATCH($B1131,SecKey,0)),"")</f>
        <v>All sectors</v>
      </c>
      <c r="F1131" s="3" t="str">
        <f>IFERROR(INDEX(FuelLab,MATCH($C1131,FuelKeyL,0)),"")</f>
        <v>CO2</v>
      </c>
      <c r="G1131" s="3" t="inlineStr">
        <is>
          <t>.all.co2</t>
        </is>
      </c>
      <c r="I1131" s="3" t="inlineStr">
        <is>
          <t>co2.sec|omn|all</t>
        </is>
      </c>
      <c r="J1131" s="3" t="inlineStr">
        <is>
          <t>co2.sec.omn.tot</t>
        </is>
      </c>
    </row>
    <row r="1132">
      <c r="A1132" s="3" t="str">
        <f>$B1132&amp;"|"&amp;$C1132</f>
        <v>all|chk</v>
      </c>
      <c r="B1132" s="3" t="inlineStr">
        <is>
          <t>all</t>
        </is>
      </c>
      <c r="C1132" s="3" t="inlineStr">
        <is>
          <t>chk</t>
        </is>
      </c>
      <c r="D1132" s="3" t="str">
        <f>IF($B1132="",""," | "&amp;$E1132&amp;" | "&amp;$F1132)</f>
        <v> | All sectors | </v>
      </c>
      <c r="E1132" s="3" t="str">
        <f>IFERROR(INDEX(SecLab,MATCH($B1132,SecKey,0)),"")</f>
        <v>All sectors</v>
      </c>
      <c r="F1132" s="3" t="str">
        <f>IFERROR(INDEX(FuelLab,MATCH($C1132,FuelKeyL,0)),"")</f>
        <v/>
      </c>
      <c r="G1132" s="3" t="inlineStr">
        <is>
          <t>.all.chk</t>
        </is>
      </c>
      <c r="I1132" s="3" t="inlineStr">
        <is>
          <t>co2.sec|cst|all</t>
        </is>
      </c>
      <c r="J1132" s="3" t="inlineStr">
        <is>
          <t>co2.sec.cst.tot</t>
        </is>
      </c>
    </row>
    <row r="1133">
      <c r="A1133" s="3" t="str">
        <f>$B1133&amp;"|"&amp;$C1133</f>
        <v>agr|all</v>
      </c>
      <c r="B1133" s="3" t="inlineStr">
        <is>
          <t>agr</t>
        </is>
      </c>
      <c r="C1133" s="3" t="inlineStr">
        <is>
          <t>all</t>
        </is>
      </c>
      <c r="D1133" s="3" t="str">
        <f>IF($B1133="",""," | "&amp;$E1133&amp;" | "&amp;$F1133)</f>
        <v> | Agriculture | All fuels</v>
      </c>
      <c r="E1133" s="3" t="str">
        <f>IFERROR(INDEX(SecLab,MATCH($B1133,SecKey,0)),"")</f>
        <v>Agriculture</v>
      </c>
      <c r="F1133" s="3" t="str">
        <f>IFERROR(INDEX(FuelLab,MATCH($C1133,FuelKeyL,0)),"")</f>
        <v>All fuels</v>
      </c>
      <c r="G1133" s="3" t="inlineStr">
        <is>
          <t>.agr.all</t>
        </is>
      </c>
      <c r="I1133" s="3" t="inlineStr">
        <is>
          <t>co2.sec|ftr|all</t>
        </is>
      </c>
      <c r="J1133" s="3" t="inlineStr">
        <is>
          <t>co2.sec.ftr.tot</t>
        </is>
      </c>
    </row>
    <row r="1134">
      <c r="A1134" s="3" t="str">
        <f>$B1134&amp;"|"&amp;$C1134</f>
        <v>wst|all</v>
      </c>
      <c r="B1134" s="3" t="inlineStr">
        <is>
          <t>wst</t>
        </is>
      </c>
      <c r="C1134" s="3" t="inlineStr">
        <is>
          <t>all</t>
        </is>
      </c>
      <c r="D1134" s="3" t="str">
        <f>IF($B1134="",""," | "&amp;$E1134&amp;" | "&amp;$F1134)</f>
        <v> | Waste | All fuels</v>
      </c>
      <c r="E1134" s="3" t="str">
        <f>IFERROR(INDEX(SecLab,MATCH($B1134,SecKey,0)),"")</f>
        <v>Waste</v>
      </c>
      <c r="F1134" s="3" t="str">
        <f>IFERROR(INDEX(FuelLab,MATCH($C1134,FuelKeyL,0)),"")</f>
        <v>All fuels</v>
      </c>
      <c r="G1134" s="3" t="inlineStr">
        <is>
          <t>.wst.all</t>
        </is>
      </c>
      <c r="I1134" s="3" t="inlineStr">
        <is>
          <t>co2.sec|oen|all</t>
        </is>
      </c>
      <c r="J1134" s="3" t="inlineStr">
        <is>
          <t>co2.sec.oen.tot</t>
        </is>
      </c>
    </row>
    <row r="1135">
      <c r="A1135" s="3" t="str">
        <f>$B1135&amp;"|"&amp;$C1135</f>
        <v>oth|all</v>
      </c>
      <c r="B1135" s="3" t="inlineStr">
        <is>
          <t>oth</t>
        </is>
      </c>
      <c r="C1135" s="3" t="inlineStr">
        <is>
          <t>all</t>
        </is>
      </c>
      <c r="D1135" s="3" t="str">
        <f>IF($B1135="",""," | "&amp;$E1135&amp;" | "&amp;$F1135)</f>
        <v> | Other | All fuels</v>
      </c>
      <c r="E1135" s="3" t="str">
        <f>IFERROR(INDEX(SecLab,MATCH($B1135,SecKey,0)),"")</f>
        <v>Other</v>
      </c>
      <c r="F1135" s="3" t="str">
        <f>IFERROR(INDEX(FuelLab,MATCH($C1135,FuelKeyL,0)),"")</f>
        <v>All fuels</v>
      </c>
      <c r="G1135" s="3" t="inlineStr">
        <is>
          <t>.oth.all</t>
        </is>
      </c>
      <c r="I1135" s="3" t="inlineStr">
        <is>
          <t>bco2.chk|all|all</t>
        </is>
      </c>
      <c r="J1135" s="3" t="inlineStr">
        <is>
          <t>bco2.chk.tot.tot</t>
        </is>
      </c>
    </row>
    <row r="1136">
      <c r="A1136" s="3" t="str">
        <f>$B1136&amp;"|"&amp;$C1136</f>
        <v>all|og</v>
      </c>
      <c r="B1136" s="3" t="inlineStr">
        <is>
          <t>all</t>
        </is>
      </c>
      <c r="C1136" s="3" t="inlineStr">
        <is>
          <t>og</t>
        </is>
      </c>
      <c r="D1136" s="3" t="str">
        <f>IF($B1136="",""," | "&amp;$E1136&amp;" | "&amp;$F1136)</f>
        <v> | All sectors | Oil and gas extraction</v>
      </c>
      <c r="E1136" s="3" t="str">
        <f>IFERROR(INDEX(SecLab,MATCH($B1136,SecKey,0)),"")</f>
        <v>All sectors</v>
      </c>
      <c r="F1136" s="3" t="str">
        <f>IFERROR(INDEX(FuelLab,MATCH($C1136,FuelKeyL,0)),"")</f>
        <v>Oil and gas extraction</v>
      </c>
      <c r="G1136" s="3" t="inlineStr">
        <is>
          <t>.all.og</t>
        </is>
      </c>
      <c r="I1136" s="3" t="inlineStr">
        <is>
          <t>co2|all|all</t>
        </is>
      </c>
      <c r="J1136" s="3" t="inlineStr">
        <is>
          <t>co2.tot.tot</t>
        </is>
      </c>
    </row>
    <row r="1137">
      <c r="A1137" s="3" t="str">
        <f>$B1137&amp;"|"&amp;$C1137</f>
        <v>all|dg</v>
      </c>
      <c r="B1137" s="3" t="inlineStr">
        <is>
          <t>all</t>
        </is>
      </c>
      <c r="C1137" s="3" t="inlineStr">
        <is>
          <t>dg</t>
        </is>
      </c>
      <c r="D1137" s="3" t="str">
        <f>IF($B1137="",""," | "&amp;$E1137&amp;" | "&amp;$F1137)</f>
        <v> | All sectors | Downstream gas</v>
      </c>
      <c r="E1137" s="3" t="str">
        <f>IFERROR(INDEX(SecLab,MATCH($B1137,SecKey,0)),"")</f>
        <v>All sectors</v>
      </c>
      <c r="F1137" s="3" t="str">
        <f>IFERROR(INDEX(FuelLab,MATCH($C1137,FuelKeyL,0)),"")</f>
        <v>Downstream gas</v>
      </c>
      <c r="G1137" s="3" t="inlineStr">
        <is>
          <t>.all.dg</t>
        </is>
      </c>
      <c r="I1137" s="3" t="inlineStr">
        <is>
          <t>ch4|pow|coa</t>
        </is>
      </c>
      <c r="J1137" s="3" t="inlineStr">
        <is>
          <t>em.pow.coa.ch4</t>
        </is>
      </c>
    </row>
    <row r="1138">
      <c r="A1138" s="3" t="str">
        <f>$B1138&amp;"|"&amp;$C1138</f>
        <v>all|cm</v>
      </c>
      <c r="B1138" s="3" t="inlineStr">
        <is>
          <t>all</t>
        </is>
      </c>
      <c r="C1138" s="3" t="inlineStr">
        <is>
          <t>cm</t>
        </is>
      </c>
      <c r="D1138" s="3" t="str">
        <f>IF($B1138="",""," | "&amp;$E1138&amp;" | "&amp;$F1138)</f>
        <v> | All sectors | Coal mining</v>
      </c>
      <c r="E1138" s="3" t="str">
        <f>IFERROR(INDEX(SecLab,MATCH($B1138,SecKey,0)),"")</f>
        <v>All sectors</v>
      </c>
      <c r="F1138" s="3" t="str">
        <f>IFERROR(INDEX(FuelLab,MATCH($C1138,FuelKeyL,0)),"")</f>
        <v>Coal mining</v>
      </c>
      <c r="G1138" s="3" t="inlineStr">
        <is>
          <t>.all.cm</t>
        </is>
      </c>
      <c r="I1138" s="3" t="inlineStr">
        <is>
          <t>ch4|pow|nga</t>
        </is>
      </c>
      <c r="J1138" s="3" t="inlineStr">
        <is>
          <t>em.pow.nga.ch4</t>
        </is>
      </c>
    </row>
    <row r="1139">
      <c r="A1139" s="3" t="str">
        <f>$B1139&amp;"|"&amp;$C1139</f>
        <v>all|bm</v>
      </c>
      <c r="B1139" s="3" t="inlineStr">
        <is>
          <t>all</t>
        </is>
      </c>
      <c r="C1139" s="3" t="inlineStr">
        <is>
          <t>bm</t>
        </is>
      </c>
      <c r="D1139" s="3" t="str">
        <f>IF($B1139="",""," | "&amp;$E1139&amp;" | "&amp;$F1139)</f>
        <v> | All sectors | Biomass use</v>
      </c>
      <c r="E1139" s="3" t="str">
        <f>IFERROR(INDEX(SecLab,MATCH($B1139,SecKey,0)),"")</f>
        <v>All sectors</v>
      </c>
      <c r="F1139" s="3" t="str">
        <f>IFERROR(INDEX(FuelLab,MATCH($C1139,FuelKeyL,0)),"")</f>
        <v>Biomass use</v>
      </c>
      <c r="G1139" s="3" t="inlineStr">
        <is>
          <t>.all.bm</t>
        </is>
      </c>
      <c r="I1139" s="3" t="inlineStr">
        <is>
          <t>ch4|pow|oop</t>
        </is>
      </c>
      <c r="J1139" s="3" t="inlineStr">
        <is>
          <t>em.pow.oop.ch4</t>
        </is>
      </c>
    </row>
    <row r="1140">
      <c r="A1140" s="3" t="str">
        <f>$B1140&amp;"|"&amp;$C1140</f>
        <v>all|liv</v>
      </c>
      <c r="B1140" s="3" t="inlineStr">
        <is>
          <t>all</t>
        </is>
      </c>
      <c r="C1140" s="3" t="inlineStr">
        <is>
          <t>liv</t>
        </is>
      </c>
      <c r="D1140" s="3" t="str">
        <f>IF($B1140="",""," | "&amp;$E1140&amp;" | "&amp;$F1140)</f>
        <v> | All sectors | Livestock</v>
      </c>
      <c r="E1140" s="3" t="str">
        <f>IFERROR(INDEX(SecLab,MATCH($B1140,SecKey,0)),"")</f>
        <v>All sectors</v>
      </c>
      <c r="F1140" s="3" t="str">
        <f>IFERROR(INDEX(FuelLab,MATCH($C1140,FuelKeyL,0)),"")</f>
        <v>Livestock</v>
      </c>
      <c r="G1140" s="3" t="inlineStr">
        <is>
          <t>.all.liv</t>
        </is>
      </c>
      <c r="I1140" s="3" t="inlineStr">
        <is>
          <t>ch4|pow|bio</t>
        </is>
      </c>
      <c r="J1140" s="3" t="inlineStr">
        <is>
          <t>em.pow.bio.ch4</t>
        </is>
      </c>
    </row>
    <row r="1141">
      <c r="A1141" s="3" t="str">
        <f>$B1141&amp;"|"&amp;$C1141</f>
        <v>all|ric</v>
      </c>
      <c r="B1141" s="3" t="inlineStr">
        <is>
          <t>all</t>
        </is>
      </c>
      <c r="C1141" s="3" t="inlineStr">
        <is>
          <t>ric</t>
        </is>
      </c>
      <c r="D1141" s="3" t="str">
        <f>IF($B1141="",""," | "&amp;$E1141&amp;" | "&amp;$F1141)</f>
        <v> | All sectors | Rice</v>
      </c>
      <c r="E1141" s="3" t="str">
        <f>IFERROR(INDEX(SecLab,MATCH($B1141,SecKey,0)),"")</f>
        <v>All sectors</v>
      </c>
      <c r="F1141" s="3" t="str">
        <f>IFERROR(INDEX(FuelLab,MATCH($C1141,FuelKeyL,0)),"")</f>
        <v>Rice</v>
      </c>
      <c r="G1141" s="3" t="inlineStr">
        <is>
          <t>.all.ric</t>
        </is>
      </c>
      <c r="I1141" s="3" t="inlineStr">
        <is>
          <t>ch4.c|tra|all</t>
        </is>
      </c>
      <c r="J1141" s="3" t="inlineStr">
        <is>
          <t>ch4.c.tra.tot</t>
        </is>
      </c>
    </row>
    <row r="1142">
      <c r="A1142" s="3" t="str">
        <f>$B1142&amp;"|"&amp;$C1142</f>
        <v>all|wst</v>
      </c>
      <c r="B1142" s="3" t="inlineStr">
        <is>
          <t>all</t>
        </is>
      </c>
      <c r="C1142" s="3" t="inlineStr">
        <is>
          <t>wst</t>
        </is>
      </c>
      <c r="D1142" s="3" t="str">
        <f>IF($B1142="",""," | "&amp;$E1142&amp;" | "&amp;$F1142)</f>
        <v> | All sectors | Waste</v>
      </c>
      <c r="E1142" s="3" t="str">
        <f>IFERROR(INDEX(SecLab,MATCH($B1142,SecKey,0)),"")</f>
        <v>All sectors</v>
      </c>
      <c r="F1142" s="3" t="str">
        <f>IFERROR(INDEX(FuelLab,MATCH($C1142,FuelKeyL,0)),"")</f>
        <v>Waste</v>
      </c>
      <c r="G1142" s="3" t="inlineStr">
        <is>
          <t>.all.wst</t>
        </is>
      </c>
      <c r="I1142" s="3" t="inlineStr">
        <is>
          <t>ch4.c|bld|all</t>
        </is>
      </c>
      <c r="J1142" s="3" t="inlineStr">
        <is>
          <t>ch4.c.bld.tot</t>
        </is>
      </c>
    </row>
    <row r="1143">
      <c r="A1143" s="3" t="str">
        <f>$B1143&amp;"|"&amp;$C1143</f>
        <v>enr|ch4</v>
      </c>
      <c r="B1143" s="3" t="inlineStr">
        <is>
          <t>enr</t>
        </is>
      </c>
      <c r="C1143" s="3" t="inlineStr">
        <is>
          <t>ch4</t>
        </is>
      </c>
      <c r="D1143" s="3" t="str">
        <f>IF($B1143="",""," | "&amp;$E1143&amp;" | "&amp;$F1143)</f>
        <v> | Energy | CH4</v>
      </c>
      <c r="E1143" s="3" t="str">
        <f>IFERROR(INDEX(SecLab,MATCH($B1143,SecKey,0)),"")</f>
        <v>Energy</v>
      </c>
      <c r="F1143" s="3" t="str">
        <f>IFERROR(INDEX(FuelLab,MATCH($C1143,FuelKeyL,0)),"")</f>
        <v>CH4</v>
      </c>
      <c r="G1143" s="3" t="inlineStr">
        <is>
          <t>.enr.ch4</t>
        </is>
      </c>
      <c r="I1143" s="3" t="inlineStr">
        <is>
          <t>ch4.c|ind|all</t>
        </is>
      </c>
      <c r="J1143" s="3" t="inlineStr">
        <is>
          <t>ch4.c.ind.tot</t>
        </is>
      </c>
    </row>
    <row r="1144">
      <c r="A1144" s="3" t="str">
        <f>$B1144&amp;"|"&amp;$C1144</f>
        <v>enr|co2</v>
      </c>
      <c r="B1144" s="3" t="inlineStr">
        <is>
          <t>enr</t>
        </is>
      </c>
      <c r="C1144" s="3" t="inlineStr">
        <is>
          <t>co2</t>
        </is>
      </c>
      <c r="D1144" s="3" t="str">
        <f>IF($B1144="",""," | "&amp;$E1144&amp;" | "&amp;$F1144)</f>
        <v> | Energy | CO2</v>
      </c>
      <c r="E1144" s="3" t="str">
        <f>IFERROR(INDEX(SecLab,MATCH($B1144,SecKey,0)),"")</f>
        <v>Energy</v>
      </c>
      <c r="F1144" s="3" t="str">
        <f>IFERROR(INDEX(FuelLab,MATCH($C1144,FuelKeyL,0)),"")</f>
        <v>CO2</v>
      </c>
      <c r="G1144" s="3" t="inlineStr">
        <is>
          <t>.enr.co2</t>
        </is>
      </c>
      <c r="I1144" s="3" t="inlineStr">
        <is>
          <t>ch4.c|oen|all</t>
        </is>
      </c>
      <c r="J1144" s="3" t="inlineStr">
        <is>
          <t>ch4.c.oen.tot</t>
        </is>
      </c>
    </row>
    <row r="1145">
      <c r="A1145" s="3" t="str">
        <f>$B1145&amp;"|"&amp;$C1145</f>
        <v>enr|n2o</v>
      </c>
      <c r="B1145" s="3" t="inlineStr">
        <is>
          <t>enr</t>
        </is>
      </c>
      <c r="C1145" s="3" t="inlineStr">
        <is>
          <t>n2o</t>
        </is>
      </c>
      <c r="D1145" s="3" t="str">
        <f>IF($B1145="",""," | "&amp;$E1145&amp;" | "&amp;$F1145)</f>
        <v> | Energy | N2O</v>
      </c>
      <c r="E1145" s="3" t="str">
        <f>IFERROR(INDEX(SecLab,MATCH($B1145,SecKey,0)),"")</f>
        <v>Energy</v>
      </c>
      <c r="F1145" s="3" t="str">
        <f>IFERROR(INDEX(FuelLab,MATCH($C1145,FuelKeyL,0)),"")</f>
        <v>N2O</v>
      </c>
      <c r="G1145" s="3" t="inlineStr">
        <is>
          <t>.enr.n2o</t>
        </is>
      </c>
      <c r="I1145" s="3" t="inlineStr">
        <is>
          <t>ch4.c|pow|all</t>
        </is>
      </c>
      <c r="J1145" s="3" t="inlineStr">
        <is>
          <t>ch4.c.pow.tot</t>
        </is>
      </c>
    </row>
    <row r="1146">
      <c r="A1146" s="3" t="str">
        <f>$B1146&amp;"|"&amp;$C1146</f>
        <v>enr|fga</v>
      </c>
      <c r="B1146" s="3" t="inlineStr">
        <is>
          <t>enr</t>
        </is>
      </c>
      <c r="C1146" s="3" t="inlineStr">
        <is>
          <t>fga</t>
        </is>
      </c>
      <c r="D1146" s="3" t="str">
        <f>IF($B1146="",""," | "&amp;$E1146&amp;" | "&amp;$F1146)</f>
        <v> | Energy | F-gases</v>
      </c>
      <c r="E1146" s="3" t="str">
        <f>IFERROR(INDEX(SecLab,MATCH($B1146,SecKey,0)),"")</f>
        <v>Energy</v>
      </c>
      <c r="F1146" s="3" t="str">
        <f>IFERROR(INDEX(FuelLab,MATCH($C1146,FuelKeyL,0)),"")</f>
        <v>F-gases</v>
      </c>
      <c r="G1146" s="3" t="inlineStr">
        <is>
          <t>.enr.fga</t>
        </is>
      </c>
      <c r="I1146" s="3" t="inlineStr">
        <is>
          <t>ch4.c|all|all</t>
        </is>
      </c>
      <c r="J1146" s="3" t="inlineStr">
        <is>
          <t>ch4.c.tot.tot</t>
        </is>
      </c>
    </row>
    <row r="1147">
      <c r="A1147" s="3" t="str">
        <f>$B1147&amp;"|"&amp;$C1147</f>
        <v>ipr|co2</v>
      </c>
      <c r="B1147" s="3" t="inlineStr">
        <is>
          <t>ipr</t>
        </is>
      </c>
      <c r="C1147" s="3" t="inlineStr">
        <is>
          <t>co2</t>
        </is>
      </c>
      <c r="D1147" s="3" t="str">
        <f>IF($B1147="",""," | "&amp;$E1147&amp;" | "&amp;$F1147)</f>
        <v> | Industrial processes | CO2</v>
      </c>
      <c r="E1147" s="3" t="str">
        <f>IFERROR(INDEX(SecLab,MATCH($B1147,SecKey,0)),"")</f>
        <v>Industrial processes</v>
      </c>
      <c r="F1147" s="3" t="str">
        <f>IFERROR(INDEX(FuelLab,MATCH($C1147,FuelKeyL,0)),"")</f>
        <v>CO2</v>
      </c>
      <c r="G1147" s="3" t="inlineStr">
        <is>
          <t>.ipr.co2</t>
        </is>
      </c>
      <c r="I1147" s="3" t="inlineStr">
        <is>
          <t>ch4.sup|all|all</t>
        </is>
      </c>
      <c r="J1147" s="3" t="inlineStr">
        <is>
          <t>ch4.sup.tot.tot</t>
        </is>
      </c>
    </row>
    <row r="1148">
      <c r="A1148" s="3" t="str">
        <f>$B1148&amp;"|"&amp;$C1148</f>
        <v>ipr|ch4</v>
      </c>
      <c r="B1148" s="3" t="inlineStr">
        <is>
          <t>ipr</t>
        </is>
      </c>
      <c r="C1148" s="3" t="inlineStr">
        <is>
          <t>ch4</t>
        </is>
      </c>
      <c r="D1148" s="3" t="str">
        <f>IF($B1148="",""," | "&amp;$E1148&amp;" | "&amp;$F1148)</f>
        <v> | Industrial processes | CH4</v>
      </c>
      <c r="E1148" s="3" t="str">
        <f>IFERROR(INDEX(SecLab,MATCH($B1148,SecKey,0)),"")</f>
        <v>Industrial processes</v>
      </c>
      <c r="F1148" s="3" t="str">
        <f>IFERROR(INDEX(FuelLab,MATCH($C1148,FuelKeyL,0)),"")</f>
        <v>CH4</v>
      </c>
      <c r="G1148" s="3" t="inlineStr">
        <is>
          <t>.ipr.ch4</t>
        </is>
      </c>
      <c r="I1148" s="3" t="inlineStr">
        <is>
          <t>ghg|all|co2</t>
        </is>
      </c>
      <c r="J1148" s="3" t="inlineStr">
        <is>
          <t>co2.tot</t>
        </is>
      </c>
    </row>
    <row r="1149">
      <c r="A1149" s="3" t="str">
        <f>$B1149&amp;"|"&amp;$C1149</f>
        <v>ipr|n2o</v>
      </c>
      <c r="B1149" s="3" t="inlineStr">
        <is>
          <t>ipr</t>
        </is>
      </c>
      <c r="C1149" s="3" t="inlineStr">
        <is>
          <t>n2o</t>
        </is>
      </c>
      <c r="D1149" s="3" t="str">
        <f>IF($B1149="",""," | "&amp;$E1149&amp;" | "&amp;$F1149)</f>
        <v> | Industrial processes | N2O</v>
      </c>
      <c r="E1149" s="3" t="str">
        <f>IFERROR(INDEX(SecLab,MATCH($B1149,SecKey,0)),"")</f>
        <v>Industrial processes</v>
      </c>
      <c r="F1149" s="3" t="str">
        <f>IFERROR(INDEX(FuelLab,MATCH($C1149,FuelKeyL,0)),"")</f>
        <v>N2O</v>
      </c>
      <c r="G1149" s="3" t="inlineStr">
        <is>
          <t>.ipr.n2o</t>
        </is>
      </c>
      <c r="I1149" s="3" t="inlineStr">
        <is>
          <t>ghg|all|ch4</t>
        </is>
      </c>
      <c r="J1149" s="3" t="inlineStr">
        <is>
          <t>ch4.tot</t>
        </is>
      </c>
    </row>
    <row r="1150">
      <c r="A1150" s="3" t="str">
        <f>$B1150&amp;"|"&amp;$C1150</f>
        <v>ipr|fga</v>
      </c>
      <c r="B1150" s="3" t="inlineStr">
        <is>
          <t>ipr</t>
        </is>
      </c>
      <c r="C1150" s="3" t="inlineStr">
        <is>
          <t>fga</t>
        </is>
      </c>
      <c r="D1150" s="3" t="str">
        <f>IF($B1150="",""," | "&amp;$E1150&amp;" | "&amp;$F1150)</f>
        <v> | Industrial processes | F-gases</v>
      </c>
      <c r="E1150" s="3" t="str">
        <f>IFERROR(INDEX(SecLab,MATCH($B1150,SecKey,0)),"")</f>
        <v>Industrial processes</v>
      </c>
      <c r="F1150" s="3" t="str">
        <f>IFERROR(INDEX(FuelLab,MATCH($C1150,FuelKeyL,0)),"")</f>
        <v>F-gases</v>
      </c>
      <c r="G1150" s="3" t="inlineStr">
        <is>
          <t>.ipr.fga</t>
        </is>
      </c>
      <c r="I1150" s="3" t="inlineStr">
        <is>
          <t>ghg|all|n2o</t>
        </is>
      </c>
      <c r="J1150" s="3" t="inlineStr">
        <is>
          <t>n2o.tot</t>
        </is>
      </c>
    </row>
    <row r="1151">
      <c r="A1151" s="3" t="str">
        <f>$B1151&amp;"|"&amp;$C1151</f>
        <v>agr|co2</v>
      </c>
      <c r="B1151" s="3" t="inlineStr">
        <is>
          <t>agr</t>
        </is>
      </c>
      <c r="C1151" s="3" t="inlineStr">
        <is>
          <t>co2</t>
        </is>
      </c>
      <c r="D1151" s="3" t="str">
        <f>IF($B1151="",""," | "&amp;$E1151&amp;" | "&amp;$F1151)</f>
        <v> | Agriculture | CO2</v>
      </c>
      <c r="E1151" s="3" t="str">
        <f>IFERROR(INDEX(SecLab,MATCH($B1151,SecKey,0)),"")</f>
        <v>Agriculture</v>
      </c>
      <c r="F1151" s="3" t="str">
        <f>IFERROR(INDEX(FuelLab,MATCH($C1151,FuelKeyL,0)),"")</f>
        <v>CO2</v>
      </c>
      <c r="G1151" s="3" t="inlineStr">
        <is>
          <t>.agr.co2</t>
        </is>
      </c>
      <c r="I1151" s="3" t="inlineStr">
        <is>
          <t>ghg|all|fga</t>
        </is>
      </c>
      <c r="J1151" s="3" t="inlineStr">
        <is>
          <t>fga.tot</t>
        </is>
      </c>
    </row>
    <row r="1152">
      <c r="A1152" s="3" t="str">
        <f>$B1152&amp;"|"&amp;$C1152</f>
        <v>agr|ch4</v>
      </c>
      <c r="B1152" s="3" t="inlineStr">
        <is>
          <t>agr</t>
        </is>
      </c>
      <c r="C1152" s="3" t="inlineStr">
        <is>
          <t>ch4</t>
        </is>
      </c>
      <c r="D1152" s="3" t="str">
        <f>IF($B1152="",""," | "&amp;$E1152&amp;" | "&amp;$F1152)</f>
        <v> | Agriculture | CH4</v>
      </c>
      <c r="E1152" s="3" t="str">
        <f>IFERROR(INDEX(SecLab,MATCH($B1152,SecKey,0)),"")</f>
        <v>Agriculture</v>
      </c>
      <c r="F1152" s="3" t="str">
        <f>IFERROR(INDEX(FuelLab,MATCH($C1152,FuelKeyL,0)),"")</f>
        <v>CH4</v>
      </c>
      <c r="G1152" s="3" t="inlineStr">
        <is>
          <t>.agr.ch4</t>
        </is>
      </c>
      <c r="I1152" s="3" t="inlineStr">
        <is>
          <t>ghg|enr|all</t>
        </is>
      </c>
      <c r="J1152" s="3" t="inlineStr">
        <is>
          <t>ghg.enr.tot</t>
        </is>
      </c>
    </row>
    <row r="1153">
      <c r="A1153" s="3" t="str">
        <f>$B1153&amp;"|"&amp;$C1153</f>
        <v>agr|n2o</v>
      </c>
      <c r="B1153" s="3" t="inlineStr">
        <is>
          <t>agr</t>
        </is>
      </c>
      <c r="C1153" s="3" t="inlineStr">
        <is>
          <t>n2o</t>
        </is>
      </c>
      <c r="D1153" s="3" t="str">
        <f>IF($B1153="",""," | "&amp;$E1153&amp;" | "&amp;$F1153)</f>
        <v> | Agriculture | N2O</v>
      </c>
      <c r="E1153" s="3" t="str">
        <f>IFERROR(INDEX(SecLab,MATCH($B1153,SecKey,0)),"")</f>
        <v>Agriculture</v>
      </c>
      <c r="F1153" s="3" t="str">
        <f>IFERROR(INDEX(FuelLab,MATCH($C1153,FuelKeyL,0)),"")</f>
        <v>N2O</v>
      </c>
      <c r="G1153" s="3" t="inlineStr">
        <is>
          <t>.agr.n2o</t>
        </is>
      </c>
      <c r="I1153" s="3" t="inlineStr">
        <is>
          <t>ghg|ipr|all</t>
        </is>
      </c>
      <c r="J1153" s="3" t="inlineStr">
        <is>
          <t>ghg.ipr.tot</t>
        </is>
      </c>
    </row>
    <row r="1154">
      <c r="A1154" s="3" t="str">
        <f>$B1154&amp;"|"&amp;$C1154</f>
        <v>agr|fga</v>
      </c>
      <c r="B1154" s="3" t="inlineStr">
        <is>
          <t>agr</t>
        </is>
      </c>
      <c r="C1154" s="3" t="inlineStr">
        <is>
          <t>fga</t>
        </is>
      </c>
      <c r="D1154" s="3" t="str">
        <f>IF($B1154="",""," | "&amp;$E1154&amp;" | "&amp;$F1154)</f>
        <v> | Agriculture | F-gases</v>
      </c>
      <c r="E1154" s="3" t="str">
        <f>IFERROR(INDEX(SecLab,MATCH($B1154,SecKey,0)),"")</f>
        <v>Agriculture</v>
      </c>
      <c r="F1154" s="3" t="str">
        <f>IFERROR(INDEX(FuelLab,MATCH($C1154,FuelKeyL,0)),"")</f>
        <v>F-gases</v>
      </c>
      <c r="G1154" s="3" t="inlineStr">
        <is>
          <t>.agr.fga</t>
        </is>
      </c>
      <c r="I1154" s="3" t="inlineStr">
        <is>
          <t>ghg|agr|all</t>
        </is>
      </c>
      <c r="J1154" s="3" t="inlineStr">
        <is>
          <t>ghg.agr.tot</t>
        </is>
      </c>
    </row>
    <row r="1155">
      <c r="A1155" s="3" t="str">
        <f>$B1155&amp;"|"&amp;$C1155</f>
        <v>lucf|co2</v>
      </c>
      <c r="B1155" s="3" t="inlineStr">
        <is>
          <t>lucf</t>
        </is>
      </c>
      <c r="C1155" s="3" t="inlineStr">
        <is>
          <t>co2</t>
        </is>
      </c>
      <c r="D1155" s="3" t="str">
        <f>IF($B1155="",""," | "&amp;$E1155&amp;" | "&amp;$F1155)</f>
        <v> | LULUCF | CO2</v>
      </c>
      <c r="E1155" s="3" t="str">
        <f>IFERROR(INDEX(SecLab,MATCH($B1155,SecKey,0)),"")</f>
        <v>LULUCF</v>
      </c>
      <c r="F1155" s="3" t="str">
        <f>IFERROR(INDEX(FuelLab,MATCH($C1155,FuelKeyL,0)),"")</f>
        <v>CO2</v>
      </c>
      <c r="G1155" s="3" t="inlineStr">
        <is>
          <t>.lucf.co2</t>
        </is>
      </c>
      <c r="I1155" s="3" t="inlineStr">
        <is>
          <t>ghg|lucf|all</t>
        </is>
      </c>
      <c r="J1155" s="3" t="inlineStr">
        <is>
          <t>ghg.lucf.tot</t>
        </is>
      </c>
    </row>
    <row r="1156">
      <c r="A1156" s="3" t="str">
        <f>$B1156&amp;"|"&amp;$C1156</f>
        <v>lucf|ch4</v>
      </c>
      <c r="B1156" s="3" t="inlineStr">
        <is>
          <t>lucf</t>
        </is>
      </c>
      <c r="C1156" s="3" t="inlineStr">
        <is>
          <t>ch4</t>
        </is>
      </c>
      <c r="D1156" s="3" t="str">
        <f>IF($B1156="",""," | "&amp;$E1156&amp;" | "&amp;$F1156)</f>
        <v> | LULUCF | CH4</v>
      </c>
      <c r="E1156" s="3" t="str">
        <f>IFERROR(INDEX(SecLab,MATCH($B1156,SecKey,0)),"")</f>
        <v>LULUCF</v>
      </c>
      <c r="F1156" s="3" t="str">
        <f>IFERROR(INDEX(FuelLab,MATCH($C1156,FuelKeyL,0)),"")</f>
        <v>CH4</v>
      </c>
      <c r="G1156" s="3" t="inlineStr">
        <is>
          <t>.lucf.ch4</t>
        </is>
      </c>
      <c r="I1156" s="3" t="inlineStr">
        <is>
          <t>ghg|wst|all</t>
        </is>
      </c>
      <c r="J1156" s="3" t="inlineStr">
        <is>
          <t>ghg.wst.tot</t>
        </is>
      </c>
    </row>
    <row r="1157">
      <c r="A1157" s="3" t="str">
        <f>$B1157&amp;"|"&amp;$C1157</f>
        <v>lucf|n2o</v>
      </c>
      <c r="B1157" s="3" t="inlineStr">
        <is>
          <t>lucf</t>
        </is>
      </c>
      <c r="C1157" s="3" t="inlineStr">
        <is>
          <t>n2o</t>
        </is>
      </c>
      <c r="D1157" s="3" t="str">
        <f>IF($B1157="",""," | "&amp;$E1157&amp;" | "&amp;$F1157)</f>
        <v> | LULUCF | N2O</v>
      </c>
      <c r="E1157" s="3" t="str">
        <f>IFERROR(INDEX(SecLab,MATCH($B1157,SecKey,0)),"")</f>
        <v>LULUCF</v>
      </c>
      <c r="F1157" s="3" t="str">
        <f>IFERROR(INDEX(FuelLab,MATCH($C1157,FuelKeyL,0)),"")</f>
        <v>N2O</v>
      </c>
      <c r="G1157" s="3" t="inlineStr">
        <is>
          <t>.lucf.n2o</t>
        </is>
      </c>
      <c r="I1157" s="3" t="inlineStr">
        <is>
          <t>ghg|oth|all</t>
        </is>
      </c>
      <c r="J1157" s="3" t="inlineStr">
        <is>
          <t>ghg.oth.tot</t>
        </is>
      </c>
    </row>
    <row r="1158">
      <c r="A1158" s="3" t="str">
        <f>$B1158&amp;"|"&amp;$C1158</f>
        <v>lucf|fga</v>
      </c>
      <c r="B1158" s="3" t="inlineStr">
        <is>
          <t>lucf</t>
        </is>
      </c>
      <c r="C1158" s="3" t="inlineStr">
        <is>
          <t>fga</t>
        </is>
      </c>
      <c r="D1158" s="3" t="str">
        <f>IF($B1158="",""," | "&amp;$E1158&amp;" | "&amp;$F1158)</f>
        <v> | LULUCF | F-gases</v>
      </c>
      <c r="E1158" s="3" t="str">
        <f>IFERROR(INDEX(SecLab,MATCH($B1158,SecKey,0)),"")</f>
        <v>LULUCF</v>
      </c>
      <c r="F1158" s="3" t="str">
        <f>IFERROR(INDEX(FuelLab,MATCH($C1158,FuelKeyL,0)),"")</f>
        <v>F-gases</v>
      </c>
      <c r="G1158" s="3" t="inlineStr">
        <is>
          <t>.lucf.fga</t>
        </is>
      </c>
      <c r="I1158" s="3" t="inlineStr">
        <is>
          <t>ghg|all|all</t>
        </is>
      </c>
      <c r="J1158" s="3" t="inlineStr">
        <is>
          <t>ghg.tot.tot</t>
        </is>
      </c>
    </row>
    <row r="1159">
      <c r="A1159" s="3" t="str">
        <f>$B1159&amp;"|"&amp;$C1159</f>
        <v>wst|co2</v>
      </c>
      <c r="B1159" s="3" t="inlineStr">
        <is>
          <t>wst</t>
        </is>
      </c>
      <c r="C1159" s="3" t="inlineStr">
        <is>
          <t>co2</t>
        </is>
      </c>
      <c r="D1159" s="3" t="str">
        <f>IF($B1159="",""," | "&amp;$E1159&amp;" | "&amp;$F1159)</f>
        <v> | Waste | CO2</v>
      </c>
      <c r="E1159" s="3" t="str">
        <f>IFERROR(INDEX(SecLab,MATCH($B1159,SecKey,0)),"")</f>
        <v>Waste</v>
      </c>
      <c r="F1159" s="3" t="str">
        <f>IFERROR(INDEX(FuelLab,MATCH($C1159,FuelKeyL,0)),"")</f>
        <v>CO2</v>
      </c>
      <c r="G1159" s="3" t="inlineStr">
        <is>
          <t>.wst.co2</t>
        </is>
      </c>
      <c r="I1159" s="3" t="inlineStr">
        <is>
          <t>gdpg|all|all</t>
        </is>
      </c>
      <c r="J1159" s="3" t="inlineStr">
        <is>
          <t>gdp.pct.tot</t>
        </is>
      </c>
    </row>
    <row r="1160">
      <c r="A1160" s="3" t="str">
        <f>$B1160&amp;"|"&amp;$C1160</f>
        <v>wst|ch4</v>
      </c>
      <c r="B1160" s="3" t="inlineStr">
        <is>
          <t>wst</t>
        </is>
      </c>
      <c r="C1160" s="3" t="inlineStr">
        <is>
          <t>ch4</t>
        </is>
      </c>
      <c r="D1160" s="3" t="str">
        <f>IF($B1160="",""," | "&amp;$E1160&amp;" | "&amp;$F1160)</f>
        <v> | Waste | CH4</v>
      </c>
      <c r="E1160" s="3" t="str">
        <f>IFERROR(INDEX(SecLab,MATCH($B1160,SecKey,0)),"")</f>
        <v>Waste</v>
      </c>
      <c r="F1160" s="3" t="str">
        <f>IFERROR(INDEX(FuelLab,MATCH($C1160,FuelKeyL,0)),"")</f>
        <v>CH4</v>
      </c>
      <c r="G1160" s="3" t="inlineStr">
        <is>
          <t>.wst.ch4</t>
        </is>
      </c>
      <c r="I1160" s="3" t="inlineStr">
        <is>
          <t>xnim|all|all</t>
        </is>
      </c>
      <c r="J1160" s="3" t="inlineStr">
        <is>
          <t>xnim.tot.tot</t>
        </is>
      </c>
    </row>
    <row r="1161">
      <c r="A1161" s="3" t="str">
        <f>$B1161&amp;"|"&amp;$C1161</f>
        <v>wst|n2o</v>
      </c>
      <c r="B1161" s="3" t="inlineStr">
        <is>
          <t>wst</t>
        </is>
      </c>
      <c r="C1161" s="3" t="inlineStr">
        <is>
          <t>n2o</t>
        </is>
      </c>
      <c r="D1161" s="3" t="str">
        <f>IF($B1161="",""," | "&amp;$E1161&amp;" | "&amp;$F1161)</f>
        <v> | Waste | N2O</v>
      </c>
      <c r="E1161" s="3" t="str">
        <f>IFERROR(INDEX(SecLab,MATCH($B1161,SecKey,0)),"")</f>
        <v>Waste</v>
      </c>
      <c r="F1161" s="3" t="str">
        <f>IFERROR(INDEX(FuelLab,MATCH($C1161,FuelKeyL,0)),"")</f>
        <v>N2O</v>
      </c>
      <c r="G1161" s="3" t="inlineStr">
        <is>
          <t>.wst.n2o</t>
        </is>
      </c>
      <c r="I1161" s="3" t="inlineStr">
        <is>
          <t>xtb|all|all</t>
        </is>
      </c>
      <c r="J1161" s="3" t="inlineStr">
        <is>
          <t>xtb.tot.tot</t>
        </is>
      </c>
    </row>
    <row r="1162">
      <c r="A1162" s="3" t="str">
        <f>$B1162&amp;"|"&amp;$C1162</f>
        <v>wst|fga</v>
      </c>
      <c r="B1162" s="3" t="inlineStr">
        <is>
          <t>wst</t>
        </is>
      </c>
      <c r="C1162" s="3" t="inlineStr">
        <is>
          <t>fga</t>
        </is>
      </c>
      <c r="D1162" s="3" t="str">
        <f>IF($B1162="",""," | "&amp;$E1162&amp;" | "&amp;$F1162)</f>
        <v> | Waste | F-gases</v>
      </c>
      <c r="E1162" s="3" t="str">
        <f>IFERROR(INDEX(SecLab,MATCH($B1162,SecKey,0)),"")</f>
        <v>Waste</v>
      </c>
      <c r="F1162" s="3" t="str">
        <f>IFERROR(INDEX(FuelLab,MATCH($C1162,FuelKeyL,0)),"")</f>
        <v>F-gases</v>
      </c>
      <c r="G1162" s="3" t="inlineStr">
        <is>
          <t>.wst.fga</t>
        </is>
      </c>
      <c r="I1162" s="3" t="inlineStr">
        <is>
          <t>gdp.eff|all|all</t>
        </is>
      </c>
      <c r="J1162" s="3" t="inlineStr">
        <is>
          <t>gdp.eff.tot.tot</t>
        </is>
      </c>
    </row>
    <row r="1163">
      <c r="A1163" s="3" t="str">
        <f>$B1163&amp;"|"&amp;$C1163</f>
        <v>oth|co2</v>
      </c>
      <c r="B1163" s="3" t="inlineStr">
        <is>
          <t>oth</t>
        </is>
      </c>
      <c r="C1163" s="3" t="inlineStr">
        <is>
          <t>co2</t>
        </is>
      </c>
      <c r="D1163" s="3" t="str">
        <f>IF($B1163="",""," | "&amp;$E1163&amp;" | "&amp;$F1163)</f>
        <v> | Other | CO2</v>
      </c>
      <c r="E1163" s="3" t="str">
        <f>IFERROR(INDEX(SecLab,MATCH($B1163,SecKey,0)),"")</f>
        <v>Other</v>
      </c>
      <c r="F1163" s="3" t="str">
        <f>IFERROR(INDEX(FuelLab,MATCH($C1163,FuelKeyL,0)),"")</f>
        <v>CO2</v>
      </c>
      <c r="G1163" s="3" t="inlineStr">
        <is>
          <t>.oth.co2</t>
        </is>
      </c>
      <c r="I1163" s="3" t="inlineStr">
        <is>
          <t>eff|all|all</t>
        </is>
      </c>
      <c r="J1163" s="3" t="inlineStr">
        <is>
          <t>eff.tot.tot</t>
        </is>
      </c>
    </row>
    <row r="1164">
      <c r="A1164" s="3" t="str">
        <f>$B1164&amp;"|"&amp;$C1164</f>
        <v>oth|ch4</v>
      </c>
      <c r="B1164" s="3" t="inlineStr">
        <is>
          <t>oth</t>
        </is>
      </c>
      <c r="C1164" s="3" t="inlineStr">
        <is>
          <t>ch4</t>
        </is>
      </c>
      <c r="D1164" s="3" t="str">
        <f>IF($B1164="",""," | "&amp;$E1164&amp;" | "&amp;$F1164)</f>
        <v> | Other | CH4</v>
      </c>
      <c r="E1164" s="3" t="str">
        <f>IFERROR(INDEX(SecLab,MATCH($B1164,SecKey,0)),"")</f>
        <v>Other</v>
      </c>
      <c r="F1164" s="3" t="str">
        <f>IFERROR(INDEX(FuelLab,MATCH($C1164,FuelKeyL,0)),"")</f>
        <v>CH4</v>
      </c>
      <c r="G1164" s="3" t="inlineStr">
        <is>
          <t>.oth.ch4</t>
        </is>
      </c>
      <c r="I1164" s="3" t="inlineStr">
        <is>
          <t>mfc|all|all</t>
        </is>
      </c>
      <c r="J1164" s="3" t="inlineStr">
        <is>
          <t>mfc.tot.tot</t>
        </is>
      </c>
    </row>
    <row r="1165">
      <c r="A1165" s="3" t="str">
        <f>$B1165&amp;"|"&amp;$C1165</f>
        <v>oth|n2o</v>
      </c>
      <c r="B1165" s="3" t="inlineStr">
        <is>
          <t>oth</t>
        </is>
      </c>
      <c r="C1165" s="3" t="inlineStr">
        <is>
          <t>n2o</t>
        </is>
      </c>
      <c r="D1165" s="3" t="str">
        <f>IF($B1165="",""," | "&amp;$E1165&amp;" | "&amp;$F1165)</f>
        <v> | Other | N2O</v>
      </c>
      <c r="E1165" s="3" t="str">
        <f>IFERROR(INDEX(SecLab,MATCH($B1165,SecKey,0)),"")</f>
        <v>Other</v>
      </c>
      <c r="F1165" s="3" t="str">
        <f>IFERROR(INDEX(FuelLab,MATCH($C1165,FuelKeyL,0)),"")</f>
        <v>N2O</v>
      </c>
      <c r="G1165" s="3" t="inlineStr">
        <is>
          <t>.oth.n2o</t>
        </is>
      </c>
      <c r="I1165" s="3" t="inlineStr">
        <is>
          <t>wel|all|pct</t>
        </is>
      </c>
      <c r="J1165" s="3" t="inlineStr">
        <is>
          <t>wel.pct.tot</t>
        </is>
      </c>
    </row>
    <row r="1166">
      <c r="A1166" s="3" t="str">
        <f>$B1166&amp;"|"&amp;$C1166</f>
        <v>oth|fga</v>
      </c>
      <c r="B1166" s="3" t="inlineStr">
        <is>
          <t>oth</t>
        </is>
      </c>
      <c r="C1166" s="3" t="inlineStr">
        <is>
          <t>fga</t>
        </is>
      </c>
      <c r="D1166" s="3" t="str">
        <f>IF($B1166="",""," | "&amp;$E1166&amp;" | "&amp;$F1166)</f>
        <v> | Other | F-gases</v>
      </c>
      <c r="E1166" s="3" t="str">
        <f>IFERROR(INDEX(SecLab,MATCH($B1166,SecKey,0)),"")</f>
        <v>Other</v>
      </c>
      <c r="F1166" s="3" t="str">
        <f>IFERROR(INDEX(FuelLab,MATCH($C1166,FuelKeyL,0)),"")</f>
        <v>F-gases</v>
      </c>
      <c r="G1166" s="3" t="inlineStr">
        <is>
          <t>.oth.fga</t>
        </is>
      </c>
      <c r="I1166" s="3" t="inlineStr">
        <is>
          <t>wel|all|cli</t>
        </is>
      </c>
      <c r="J1166" s="3" t="inlineStr">
        <is>
          <t>wel.cli.pct</t>
        </is>
      </c>
    </row>
    <row r="1167">
      <c r="A1167" s="3" t="str">
        <f>$B1167&amp;"|"&amp;$C1167</f>
        <v>all|ch4</v>
      </c>
      <c r="B1167" s="3" t="inlineStr">
        <is>
          <t>all</t>
        </is>
      </c>
      <c r="C1167" s="3" t="inlineStr">
        <is>
          <t>ch4</t>
        </is>
      </c>
      <c r="D1167" s="3" t="str">
        <f>IF($B1167="",""," | "&amp;$E1167&amp;" | "&amp;$F1167)</f>
        <v> | All sectors | CH4</v>
      </c>
      <c r="E1167" s="3" t="str">
        <f>IFERROR(INDEX(SecLab,MATCH($B1167,SecKey,0)),"")</f>
        <v>All sectors</v>
      </c>
      <c r="F1167" s="3" t="str">
        <f>IFERROR(INDEX(FuelLab,MATCH($C1167,FuelKeyL,0)),"")</f>
        <v>CH4</v>
      </c>
      <c r="G1167" s="3" t="inlineStr">
        <is>
          <t>.all.ch4</t>
        </is>
      </c>
      <c r="I1167" s="3" t="inlineStr">
        <is>
          <t>wel|all|eff</t>
        </is>
      </c>
      <c r="J1167" s="3" t="inlineStr">
        <is>
          <t>wel.eco.dwl.pct</t>
        </is>
      </c>
    </row>
    <row r="1168">
      <c r="A1168" s="3" t="str">
        <f>$B1168&amp;"|"&amp;$C1168</f>
        <v>all|n2o</v>
      </c>
      <c r="B1168" s="3" t="inlineStr">
        <is>
          <t>all</t>
        </is>
      </c>
      <c r="C1168" s="3" t="inlineStr">
        <is>
          <t>n2o</t>
        </is>
      </c>
      <c r="D1168" s="3" t="str">
        <f>IF($B1168="",""," | "&amp;$E1168&amp;" | "&amp;$F1168)</f>
        <v> | All sectors | N2O</v>
      </c>
      <c r="E1168" s="3" t="str">
        <f>IFERROR(INDEX(SecLab,MATCH($B1168,SecKey,0)),"")</f>
        <v>All sectors</v>
      </c>
      <c r="F1168" s="3" t="str">
        <f>IFERROR(INDEX(FuelLab,MATCH($C1168,FuelKeyL,0)),"")</f>
        <v>N2O</v>
      </c>
      <c r="G1168" s="3" t="inlineStr">
        <is>
          <t>.all.n2o</t>
        </is>
      </c>
      <c r="I1168" s="3" t="inlineStr">
        <is>
          <t>wel|all|usd</t>
        </is>
      </c>
      <c r="J1168" s="3" t="inlineStr">
        <is>
          <t>wel.tot</t>
        </is>
      </c>
    </row>
    <row r="1169">
      <c r="A1169" s="3" t="str">
        <f>$B1169&amp;"|"&amp;$C1169</f>
        <v>all|fga</v>
      </c>
      <c r="B1169" s="3" t="inlineStr">
        <is>
          <t>all</t>
        </is>
      </c>
      <c r="C1169" s="3" t="inlineStr">
        <is>
          <t>fga</t>
        </is>
      </c>
      <c r="D1169" s="3" t="str">
        <f>IF($B1169="",""," | "&amp;$E1169&amp;" | "&amp;$F1169)</f>
        <v> | All sectors | F-gases</v>
      </c>
      <c r="E1169" s="3" t="str">
        <f>IFERROR(INDEX(SecLab,MATCH($B1169,SecKey,0)),"")</f>
        <v>All sectors</v>
      </c>
      <c r="F1169" s="3" t="str">
        <f>IFERROR(INDEX(FuelLab,MATCH($C1169,FuelKeyL,0)),"")</f>
        <v>F-gases</v>
      </c>
      <c r="G1169" s="3" t="inlineStr">
        <is>
          <t>.all.fga</t>
        </is>
      </c>
      <c r="I1169" s="3" t="inlineStr">
        <is>
          <t>ap|rod|pm2</t>
        </is>
      </c>
      <c r="J1169" s="3" t="inlineStr">
        <is>
          <t>em.rod.all.pm2</t>
        </is>
      </c>
    </row>
    <row r="1170">
      <c r="A1170" s="3" t="str">
        <f>$B1170&amp;"|"&amp;$C1170</f>
        <v>enr|all</v>
      </c>
      <c r="B1170" s="3" t="inlineStr">
        <is>
          <t>enr</t>
        </is>
      </c>
      <c r="C1170" s="3" t="inlineStr">
        <is>
          <t>all</t>
        </is>
      </c>
      <c r="D1170" s="3" t="str">
        <f>IF($B1170="",""," | "&amp;$E1170&amp;" | "&amp;$F1170)</f>
        <v> | Energy | All fuels</v>
      </c>
      <c r="E1170" s="3" t="str">
        <f>IFERROR(INDEX(SecLab,MATCH($B1170,SecKey,0)),"")</f>
        <v>Energy</v>
      </c>
      <c r="F1170" s="3" t="str">
        <f>IFERROR(INDEX(FuelLab,MATCH($C1170,FuelKeyL,0)),"")</f>
        <v>All fuels</v>
      </c>
      <c r="G1170" s="3" t="inlineStr">
        <is>
          <t>.enr.all</t>
        </is>
      </c>
      <c r="I1170" s="3" t="inlineStr">
        <is>
          <t>ap|ral|pm2</t>
        </is>
      </c>
      <c r="J1170" s="3" t="inlineStr">
        <is>
          <t>em.ral.all.pm2</t>
        </is>
      </c>
    </row>
    <row r="1171">
      <c r="A1171" s="3" t="str">
        <f>$B1171&amp;"|"&amp;$C1171</f>
        <v>ipr|all</v>
      </c>
      <c r="B1171" s="3" t="inlineStr">
        <is>
          <t>ipr</t>
        </is>
      </c>
      <c r="C1171" s="3" t="inlineStr">
        <is>
          <t>all</t>
        </is>
      </c>
      <c r="D1171" s="3" t="str">
        <f>IF($B1171="",""," | "&amp;$E1171&amp;" | "&amp;$F1171)</f>
        <v> | Industrial processes | All fuels</v>
      </c>
      <c r="E1171" s="3" t="str">
        <f>IFERROR(INDEX(SecLab,MATCH($B1171,SecKey,0)),"")</f>
        <v>Industrial processes</v>
      </c>
      <c r="F1171" s="3" t="str">
        <f>IFERROR(INDEX(FuelLab,MATCH($C1171,FuelKeyL,0)),"")</f>
        <v>All fuels</v>
      </c>
      <c r="G1171" s="3" t="inlineStr">
        <is>
          <t>.ipr.all</t>
        </is>
      </c>
      <c r="I1171" s="3" t="inlineStr">
        <is>
          <t>ap|avi|pm2</t>
        </is>
      </c>
      <c r="J1171" s="3" t="inlineStr">
        <is>
          <t>em.avi.all.pm2</t>
        </is>
      </c>
    </row>
    <row r="1172">
      <c r="A1172" s="3" t="str">
        <f>$B1172&amp;"|"&amp;$C1172</f>
        <v>lucf|all</v>
      </c>
      <c r="B1172" s="3" t="inlineStr">
        <is>
          <t>lucf</t>
        </is>
      </c>
      <c r="C1172" s="3" t="inlineStr">
        <is>
          <t>all</t>
        </is>
      </c>
      <c r="D1172" s="3" t="str">
        <f>IF($B1172="",""," | "&amp;$E1172&amp;" | "&amp;$F1172)</f>
        <v> | LULUCF | All fuels</v>
      </c>
      <c r="E1172" s="3" t="str">
        <f>IFERROR(INDEX(SecLab,MATCH($B1172,SecKey,0)),"")</f>
        <v>LULUCF</v>
      </c>
      <c r="F1172" s="3" t="str">
        <f>IFERROR(INDEX(FuelLab,MATCH($C1172,FuelKeyL,0)),"")</f>
        <v>All fuels</v>
      </c>
      <c r="G1172" s="3" t="inlineStr">
        <is>
          <t>.lucf.all</t>
        </is>
      </c>
      <c r="I1172" s="3" t="inlineStr">
        <is>
          <t>ap|nav|pm2</t>
        </is>
      </c>
      <c r="J1172" s="3" t="inlineStr">
        <is>
          <t>em.nav.all.pm2</t>
        </is>
      </c>
    </row>
    <row r="1173">
      <c r="A1173" s="3" t="str">
        <f>$B1173&amp;"|"&amp;$C1173</f>
        <v>all|ty1</v>
      </c>
      <c r="B1173" s="3" t="inlineStr">
        <is>
          <t>all</t>
        </is>
      </c>
      <c r="C1173" s="3" t="inlineStr">
        <is>
          <t>ty1</t>
        </is>
      </c>
      <c r="D1173" s="3" t="str">
        <f>IF($B1173="",""," | "&amp;$E1173&amp;" | "&amp;$F1173)</f>
        <v> | All sectors | </v>
      </c>
      <c r="E1173" s="3" t="str">
        <f>IFERROR(INDEX(SecLab,MATCH($B1173,SecKey,0)),"")</f>
        <v>All sectors</v>
      </c>
      <c r="F1173" s="3" t="str">
        <f>IFERROR(INDEX(FuelLab,MATCH($C1173,FuelKeyL,0)),"")</f>
        <v/>
      </c>
      <c r="G1173" s="3" t="inlineStr">
        <is>
          <t>.all.ty1</t>
        </is>
      </c>
      <c r="I1173" s="3" t="inlineStr">
        <is>
          <t>ap|res|pm2</t>
        </is>
      </c>
      <c r="J1173" s="3" t="inlineStr">
        <is>
          <t>em.res.all.pm2</t>
        </is>
      </c>
    </row>
    <row r="1174">
      <c r="A1174" s="3" t="str">
        <f>$B1174&amp;"|"&amp;$C1174</f>
        <v>all|ty2</v>
      </c>
      <c r="B1174" s="3" t="inlineStr">
        <is>
          <t>all</t>
        </is>
      </c>
      <c r="C1174" s="3" t="inlineStr">
        <is>
          <t>ty2</t>
        </is>
      </c>
      <c r="D1174" s="3" t="str">
        <f>IF($B1174="",""," | "&amp;$E1174&amp;" | "&amp;$F1174)</f>
        <v> | All sectors | </v>
      </c>
      <c r="E1174" s="3" t="str">
        <f>IFERROR(INDEX(SecLab,MATCH($B1174,SecKey,0)),"")</f>
        <v>All sectors</v>
      </c>
      <c r="F1174" s="3" t="str">
        <f>IFERROR(INDEX(FuelLab,MATCH($C1174,FuelKeyL,0)),"")</f>
        <v/>
      </c>
      <c r="G1174" s="3" t="inlineStr">
        <is>
          <t>.all.ty2</t>
        </is>
      </c>
      <c r="I1174" s="3" t="inlineStr">
        <is>
          <t>ap|foo|pm2</t>
        </is>
      </c>
      <c r="J1174" s="3" t="inlineStr">
        <is>
          <t>em.foo.all.pm2</t>
        </is>
      </c>
    </row>
    <row r="1175">
      <c r="A1175" s="3" t="str">
        <f>$B1175&amp;"|"&amp;$C1175</f>
        <v>all|u</v>
      </c>
      <c r="B1175" s="3" t="inlineStr">
        <is>
          <t>all</t>
        </is>
      </c>
      <c r="C1175" s="3" t="inlineStr">
        <is>
          <t>u</t>
        </is>
      </c>
      <c r="D1175" s="3" t="str">
        <f>IF($B1175="",""," | "&amp;$E1175&amp;" | "&amp;$F1175)</f>
        <v> | All sectors | </v>
      </c>
      <c r="E1175" s="3" t="str">
        <f>IFERROR(INDEX(SecLab,MATCH($B1175,SecKey,0)),"")</f>
        <v>All sectors</v>
      </c>
      <c r="F1175" s="3" t="str">
        <f>IFERROR(INDEX(FuelLab,MATCH($C1175,FuelKeyL,0)),"")</f>
        <v/>
      </c>
      <c r="G1175" s="3" t="inlineStr">
        <is>
          <t>.all.u</t>
        </is>
      </c>
      <c r="I1175" s="3" t="inlineStr">
        <is>
          <t>ap|srv|pm2</t>
        </is>
      </c>
      <c r="J1175" s="3" t="inlineStr">
        <is>
          <t>em.srv.all.pm2</t>
        </is>
      </c>
    </row>
    <row r="1176">
      <c r="A1176" s="3" t="str">
        <f>$B1176&amp;"|"&amp;$C1176</f>
        <v>all|c</v>
      </c>
      <c r="B1176" s="3" t="inlineStr">
        <is>
          <t>all</t>
        </is>
      </c>
      <c r="C1176" s="3" t="inlineStr">
        <is>
          <t>c</t>
        </is>
      </c>
      <c r="D1176" s="3" t="str">
        <f>IF($B1176="",""," | "&amp;$E1176&amp;" | "&amp;$F1176)</f>
        <v> | All sectors | </v>
      </c>
      <c r="E1176" s="3" t="str">
        <f>IFERROR(INDEX(SecLab,MATCH($B1176,SecKey,0)),"")</f>
        <v>All sectors</v>
      </c>
      <c r="F1176" s="3" t="str">
        <f>IFERROR(INDEX(FuelLab,MATCH($C1176,FuelKeyL,0)),"")</f>
        <v/>
      </c>
      <c r="G1176" s="3" t="inlineStr">
        <is>
          <t>.all.c</t>
        </is>
      </c>
      <c r="I1176" s="3" t="inlineStr">
        <is>
          <t>ap|mch|pm2</t>
        </is>
      </c>
      <c r="J1176" s="3" t="inlineStr">
        <is>
          <t>em.mch.all.pm2</t>
        </is>
      </c>
    </row>
    <row r="1177">
      <c r="A1177" s="3" t="str">
        <f>$B1177&amp;"|"&amp;$C1177</f>
        <v>all|ref</v>
      </c>
      <c r="B1177" s="3" t="inlineStr">
        <is>
          <t>all</t>
        </is>
      </c>
      <c r="C1177" s="3" t="inlineStr">
        <is>
          <t>ref</t>
        </is>
      </c>
      <c r="D1177" s="3" t="str">
        <f>IF($B1177="",""," | "&amp;$E1177&amp;" | "&amp;$F1177)</f>
        <v> | All sectors | </v>
      </c>
      <c r="E1177" s="3" t="str">
        <f>IFERROR(INDEX(SecLab,MATCH($B1177,SecKey,0)),"")</f>
        <v>All sectors</v>
      </c>
      <c r="F1177" s="3" t="str">
        <f>IFERROR(INDEX(FuelLab,MATCH($C1177,FuelKeyL,0)),"")</f>
        <v/>
      </c>
      <c r="G1177" s="3" t="inlineStr">
        <is>
          <t>.all.ref</t>
        </is>
      </c>
      <c r="I1177" s="3" t="inlineStr">
        <is>
          <t>ap|irn|pm2</t>
        </is>
      </c>
      <c r="J1177" s="3" t="inlineStr">
        <is>
          <t>em.irn.all.pm2</t>
        </is>
      </c>
    </row>
    <row r="1178">
      <c r="A1178" s="3" t="str">
        <f>$B1178&amp;"|"&amp;$C1178</f>
        <v>all|ty</v>
      </c>
      <c r="B1178" s="3" t="inlineStr">
        <is>
          <t>all</t>
        </is>
      </c>
      <c r="C1178" s="3" t="inlineStr">
        <is>
          <t>ty</t>
        </is>
      </c>
      <c r="D1178" s="3" t="str">
        <f>IF($B1178="",""," | "&amp;$E1178&amp;" | "&amp;$F1178)</f>
        <v> | All sectors | </v>
      </c>
      <c r="E1178" s="3" t="str">
        <f>IFERROR(INDEX(SecLab,MATCH($B1178,SecKey,0)),"")</f>
        <v>All sectors</v>
      </c>
      <c r="F1178" s="3" t="str">
        <f>IFERROR(INDEX(FuelLab,MATCH($C1178,FuelKeyL,0)),"")</f>
        <v/>
      </c>
      <c r="G1178" s="3" t="inlineStr">
        <is>
          <t>.all.ty</t>
        </is>
      </c>
      <c r="I1178" s="3" t="inlineStr">
        <is>
          <t>ap|nfm|pm2</t>
        </is>
      </c>
      <c r="J1178" s="3" t="inlineStr">
        <is>
          <t>em.nfm.all.pm2</t>
        </is>
      </c>
    </row>
    <row r="1179">
      <c r="A1179" s="3" t="str">
        <f>$B1179&amp;"|"&amp;$C1179</f>
        <v>all|a</v>
      </c>
      <c r="B1179" s="3" t="inlineStr">
        <is>
          <t>all</t>
        </is>
      </c>
      <c r="C1179" s="3" t="inlineStr">
        <is>
          <t>a</t>
        </is>
      </c>
      <c r="D1179" s="3" t="str">
        <f>IF($B1179="",""," | "&amp;$E1179&amp;" | "&amp;$F1179)</f>
        <v> | All sectors | </v>
      </c>
      <c r="E1179" s="3" t="str">
        <f>IFERROR(INDEX(SecLab,MATCH($B1179,SecKey,0)),"")</f>
        <v>All sectors</v>
      </c>
      <c r="F1179" s="3" t="str">
        <f>IFERROR(INDEX(FuelLab,MATCH($C1179,FuelKeyL,0)),"")</f>
        <v/>
      </c>
      <c r="G1179" s="3" t="inlineStr">
        <is>
          <t>.all.a</t>
        </is>
      </c>
      <c r="I1179" s="3" t="inlineStr">
        <is>
          <t>ap|mac|pm2</t>
        </is>
      </c>
      <c r="J1179" s="3" t="inlineStr">
        <is>
          <t>em.mac.all.pm2</t>
        </is>
      </c>
    </row>
    <row r="1180">
      <c r="A1180" s="3" t="str">
        <f>$B1180&amp;"|"&amp;$C1180</f>
        <v>all|sel</v>
      </c>
      <c r="B1180" s="3" t="inlineStr">
        <is>
          <t>all</t>
        </is>
      </c>
      <c r="C1180" s="3" t="inlineStr">
        <is>
          <t>sel</t>
        </is>
      </c>
      <c r="D1180" s="3" t="str">
        <f>IF($B1180="",""," | "&amp;$E1180&amp;" | "&amp;$F1180)</f>
        <v> | All sectors | </v>
      </c>
      <c r="E1180" s="3" t="str">
        <f>IFERROR(INDEX(SecLab,MATCH($B1180,SecKey,0)),"")</f>
        <v>All sectors</v>
      </c>
      <c r="F1180" s="3" t="str">
        <f>IFERROR(INDEX(FuelLab,MATCH($C1180,FuelKeyL,0)),"")</f>
        <v/>
      </c>
      <c r="G1180" s="3" t="inlineStr">
        <is>
          <t>.all.sel</t>
        </is>
      </c>
      <c r="I1180" s="3" t="inlineStr">
        <is>
          <t>ap|cem|pm2</t>
        </is>
      </c>
      <c r="J1180" s="3" t="inlineStr">
        <is>
          <t>em.cem.all.pm2</t>
        </is>
      </c>
    </row>
    <row r="1181">
      <c r="A1181" s="3" t="str">
        <f>$B1181&amp;"|"&amp;$C1181</f>
        <v>all|l1</v>
      </c>
      <c r="B1181" s="3" t="inlineStr">
        <is>
          <t>all</t>
        </is>
      </c>
      <c r="C1181" s="3" t="inlineStr">
        <is>
          <t>l1</t>
        </is>
      </c>
      <c r="D1181" s="3" t="str">
        <f>IF($B1181="",""," | "&amp;$E1181&amp;" | "&amp;$F1181)</f>
        <v> | All sectors | 1 years back</v>
      </c>
      <c r="E1181" s="3" t="str">
        <f>IFERROR(INDEX(SecLab,MATCH($B1181,SecKey,0)),"")</f>
        <v>All sectors</v>
      </c>
      <c r="F1181" s="3" t="str">
        <f>IFERROR(INDEX(FuelLab,MATCH($C1181,FuelKeyL,0)),"")</f>
        <v>1 years back</v>
      </c>
      <c r="G1181" s="3" t="inlineStr">
        <is>
          <t>.all.l1</t>
        </is>
      </c>
      <c r="I1181" s="3" t="inlineStr">
        <is>
          <t>ap|omn|pm2</t>
        </is>
      </c>
      <c r="J1181" s="3" t="inlineStr">
        <is>
          <t>em.omn.all.pm2</t>
        </is>
      </c>
    </row>
    <row r="1182">
      <c r="A1182" s="3" t="str">
        <f>$B1182&amp;"|"&amp;$C1182</f>
        <v>all|l2</v>
      </c>
      <c r="B1182" s="3" t="inlineStr">
        <is>
          <t>all</t>
        </is>
      </c>
      <c r="C1182" s="3" t="inlineStr">
        <is>
          <t>l2</t>
        </is>
      </c>
      <c r="D1182" s="3" t="str">
        <f>IF($B1182="",""," | "&amp;$E1182&amp;" | "&amp;$F1182)</f>
        <v> | All sectors | 2 years back</v>
      </c>
      <c r="E1182" s="3" t="str">
        <f>IFERROR(INDEX(SecLab,MATCH($B1182,SecKey,0)),"")</f>
        <v>All sectors</v>
      </c>
      <c r="F1182" s="3" t="str">
        <f>IFERROR(INDEX(FuelLab,MATCH($C1182,FuelKeyL,0)),"")</f>
        <v>2 years back</v>
      </c>
      <c r="G1182" s="3" t="inlineStr">
        <is>
          <t>.all.l2</t>
        </is>
      </c>
      <c r="I1182" s="3" t="inlineStr">
        <is>
          <t>ap|cst|pm2</t>
        </is>
      </c>
      <c r="J1182" s="3" t="inlineStr">
        <is>
          <t>em.cst.all.pm2</t>
        </is>
      </c>
    </row>
    <row r="1183">
      <c r="A1183" s="3" t="str">
        <f>$B1183&amp;"|"&amp;$C1183</f>
        <v>all|l3</v>
      </c>
      <c r="B1183" s="3" t="inlineStr">
        <is>
          <t>all</t>
        </is>
      </c>
      <c r="C1183" s="3" t="inlineStr">
        <is>
          <t>l3</t>
        </is>
      </c>
      <c r="D1183" s="3" t="str">
        <f>IF($B1183="",""," | "&amp;$E1183&amp;" | "&amp;$F1183)</f>
        <v> | All sectors | 3 years back</v>
      </c>
      <c r="E1183" s="3" t="str">
        <f>IFERROR(INDEX(SecLab,MATCH($B1183,SecKey,0)),"")</f>
        <v>All sectors</v>
      </c>
      <c r="F1183" s="3" t="str">
        <f>IFERROR(INDEX(FuelLab,MATCH($C1183,FuelKeyL,0)),"")</f>
        <v>3 years back</v>
      </c>
      <c r="G1183" s="3" t="inlineStr">
        <is>
          <t>.all.l3</t>
        </is>
      </c>
      <c r="I1183" s="3" t="inlineStr">
        <is>
          <t>ap|ftr|pm2</t>
        </is>
      </c>
      <c r="J1183" s="3" t="inlineStr">
        <is>
          <t>em.ftr.all.pm2</t>
        </is>
      </c>
    </row>
    <row r="1184">
      <c r="A1184" s="3" t="str">
        <f>$B1184&amp;"|"&amp;$C1184</f>
        <v>all|l4</v>
      </c>
      <c r="B1184" s="3" t="inlineStr">
        <is>
          <t>all</t>
        </is>
      </c>
      <c r="C1184" s="3" t="inlineStr">
        <is>
          <t>l4</t>
        </is>
      </c>
      <c r="D1184" s="3" t="str">
        <f>IF($B1184="",""," | "&amp;$E1184&amp;" | "&amp;$F1184)</f>
        <v> | All sectors | 4 years back</v>
      </c>
      <c r="E1184" s="3" t="str">
        <f>IFERROR(INDEX(SecLab,MATCH($B1184,SecKey,0)),"")</f>
        <v>All sectors</v>
      </c>
      <c r="F1184" s="3" t="str">
        <f>IFERROR(INDEX(FuelLab,MATCH($C1184,FuelKeyL,0)),"")</f>
        <v>4 years back</v>
      </c>
      <c r="G1184" s="3" t="inlineStr">
        <is>
          <t>.all.l4</t>
        </is>
      </c>
      <c r="I1184" s="3" t="inlineStr">
        <is>
          <t>ap|oen|pm2</t>
        </is>
      </c>
      <c r="J1184" s="3" t="inlineStr">
        <is>
          <t>em.oen.all.pm2</t>
        </is>
      </c>
    </row>
    <row r="1185">
      <c r="A1185" s="3" t="str">
        <f>$B1185&amp;"|"&amp;$C1185</f>
        <v>all|l5</v>
      </c>
      <c r="B1185" s="3" t="inlineStr">
        <is>
          <t>all</t>
        </is>
      </c>
      <c r="C1185" s="3" t="inlineStr">
        <is>
          <t>l5</t>
        </is>
      </c>
      <c r="D1185" s="3" t="str">
        <f>IF($B1185="",""," | "&amp;$E1185&amp;" | "&amp;$F1185)</f>
        <v> | All sectors | 5 years back</v>
      </c>
      <c r="E1185" s="3" t="str">
        <f>IFERROR(INDEX(SecLab,MATCH($B1185,SecKey,0)),"")</f>
        <v>All sectors</v>
      </c>
      <c r="F1185" s="3" t="str">
        <f>IFERROR(INDEX(FuelLab,MATCH($C1185,FuelKeyL,0)),"")</f>
        <v>5 years back</v>
      </c>
      <c r="G1185" s="3" t="inlineStr">
        <is>
          <t>.all.l5</t>
        </is>
      </c>
      <c r="I1185" s="3" t="inlineStr">
        <is>
          <t>ap|pow|pm2</t>
        </is>
      </c>
      <c r="J1185" s="3" t="inlineStr">
        <is>
          <t>em.pow.all.pm2</t>
        </is>
      </c>
    </row>
    <row r="1186">
      <c r="A1186" s="3" t="str">
        <f>$B1186&amp;"|"&amp;$C1186</f>
        <v>all|l6</v>
      </c>
      <c r="B1186" s="3" t="inlineStr">
        <is>
          <t>all</t>
        </is>
      </c>
      <c r="C1186" s="3" t="inlineStr">
        <is>
          <t>l6</t>
        </is>
      </c>
      <c r="D1186" s="3" t="str">
        <f>IF($B1186="",""," | "&amp;$E1186&amp;" | "&amp;$F1186)</f>
        <v> | All sectors | 6 years back</v>
      </c>
      <c r="E1186" s="3" t="str">
        <f>IFERROR(INDEX(SecLab,MATCH($B1186,SecKey,0)),"")</f>
        <v>All sectors</v>
      </c>
      <c r="F1186" s="3" t="str">
        <f>IFERROR(INDEX(FuelLab,MATCH($C1186,FuelKeyL,0)),"")</f>
        <v>6 years back</v>
      </c>
      <c r="G1186" s="3" t="inlineStr">
        <is>
          <t>.all.l6</t>
        </is>
      </c>
      <c r="I1186" s="3" t="inlineStr">
        <is>
          <t>ap|tra|pm2</t>
        </is>
      </c>
      <c r="J1186" s="3" t="inlineStr">
        <is>
          <t>em.tra.all.pm2</t>
        </is>
      </c>
    </row>
    <row r="1187">
      <c r="A1187" s="3" t="str">
        <f>$B1187&amp;"|"&amp;$C1187</f>
        <v>all|l7</v>
      </c>
      <c r="B1187" s="3" t="inlineStr">
        <is>
          <t>all</t>
        </is>
      </c>
      <c r="C1187" s="3" t="inlineStr">
        <is>
          <t>l7</t>
        </is>
      </c>
      <c r="D1187" s="3" t="str">
        <f>IF($B1187="",""," | "&amp;$E1187&amp;" | "&amp;$F1187)</f>
        <v> | All sectors | 7 years back</v>
      </c>
      <c r="E1187" s="3" t="str">
        <f>IFERROR(INDEX(SecLab,MATCH($B1187,SecKey,0)),"")</f>
        <v>All sectors</v>
      </c>
      <c r="F1187" s="3" t="str">
        <f>IFERROR(INDEX(FuelLab,MATCH($C1187,FuelKeyL,0)),"")</f>
        <v>7 years back</v>
      </c>
      <c r="G1187" s="3" t="inlineStr">
        <is>
          <t>.all.l7</t>
        </is>
      </c>
      <c r="I1187" s="3" t="inlineStr">
        <is>
          <t>ap|bld|pm2</t>
        </is>
      </c>
      <c r="J1187" s="3" t="inlineStr">
        <is>
          <t>em.bld.all.pm2</t>
        </is>
      </c>
    </row>
    <row r="1188">
      <c r="A1188" s="3" t="str">
        <f>$B1188&amp;"|"&amp;$C1188</f>
        <v>all|l8</v>
      </c>
      <c r="B1188" s="3" t="inlineStr">
        <is>
          <t>all</t>
        </is>
      </c>
      <c r="C1188" s="3" t="inlineStr">
        <is>
          <t>l8</t>
        </is>
      </c>
      <c r="D1188" s="3" t="str">
        <f>IF($B1188="",""," | "&amp;$E1188&amp;" | "&amp;$F1188)</f>
        <v> | All sectors | 8 years back</v>
      </c>
      <c r="E1188" s="3" t="str">
        <f>IFERROR(INDEX(SecLab,MATCH($B1188,SecKey,0)),"")</f>
        <v>All sectors</v>
      </c>
      <c r="F1188" s="3" t="str">
        <f>IFERROR(INDEX(FuelLab,MATCH($C1188,FuelKeyL,0)),"")</f>
        <v>8 years back</v>
      </c>
      <c r="G1188" s="3" t="inlineStr">
        <is>
          <t>.all.l8</t>
        </is>
      </c>
      <c r="I1188" s="3" t="inlineStr">
        <is>
          <t>ap|ind|pm2</t>
        </is>
      </c>
      <c r="J1188" s="3" t="inlineStr">
        <is>
          <t>em.ind.all.pm2</t>
        </is>
      </c>
    </row>
    <row r="1189">
      <c r="A1189" s="3" t="str">
        <f>$B1189&amp;"|"&amp;$C1189</f>
        <v>all|l9</v>
      </c>
      <c r="B1189" s="3" t="inlineStr">
        <is>
          <t>all</t>
        </is>
      </c>
      <c r="C1189" s="3" t="inlineStr">
        <is>
          <t>l9</t>
        </is>
      </c>
      <c r="D1189" s="3" t="str">
        <f>IF($B1189="",""," | "&amp;$E1189&amp;" | "&amp;$F1189)</f>
        <v> | All sectors | 9 years back</v>
      </c>
      <c r="E1189" s="3" t="str">
        <f>IFERROR(INDEX(SecLab,MATCH($B1189,SecKey,0)),"")</f>
        <v>All sectors</v>
      </c>
      <c r="F1189" s="3" t="str">
        <f>IFERROR(INDEX(FuelLab,MATCH($C1189,FuelKeyL,0)),"")</f>
        <v>9 years back</v>
      </c>
      <c r="G1189" s="3" t="inlineStr">
        <is>
          <t>.all.l9</t>
        </is>
      </c>
      <c r="I1189" s="3" t="inlineStr">
        <is>
          <t>ap|fod|pm2</t>
        </is>
      </c>
      <c r="J1189" s="3" t="inlineStr">
        <is>
          <t>em.fod.all.pm2</t>
        </is>
      </c>
    </row>
    <row r="1190">
      <c r="A1190" s="3" t="str">
        <f>$B1190&amp;"|"&amp;$C1190</f>
        <v>all|l10</v>
      </c>
      <c r="B1190" s="3" t="inlineStr">
        <is>
          <t>all</t>
        </is>
      </c>
      <c r="C1190" s="3" t="inlineStr">
        <is>
          <t>l10</t>
        </is>
      </c>
      <c r="D1190" s="3" t="str">
        <f>IF($B1190="",""," | "&amp;$E1190&amp;" | "&amp;$F1190)</f>
        <v> | All sectors | 10 years back</v>
      </c>
      <c r="E1190" s="3" t="str">
        <f>IFERROR(INDEX(SecLab,MATCH($B1190,SecKey,0)),"")</f>
        <v>All sectors</v>
      </c>
      <c r="F1190" s="3" t="str">
        <f>IFERROR(INDEX(FuelLab,MATCH($C1190,FuelKeyL,0)),"")</f>
        <v>10 years back</v>
      </c>
      <c r="G1190" s="3" t="inlineStr">
        <is>
          <t>.all.l10</t>
        </is>
      </c>
      <c r="I1190" s="3" t="inlineStr">
        <is>
          <t>ap|fag|pm2</t>
        </is>
      </c>
      <c r="J1190" s="3" t="inlineStr">
        <is>
          <t>em.fag.all.pm2</t>
        </is>
      </c>
    </row>
    <row r="1191">
      <c r="A1191" s="3" t="str">
        <f>$B1191&amp;"|"&amp;$C1191</f>
        <v>all|l11</v>
      </c>
      <c r="B1191" s="3" t="inlineStr">
        <is>
          <t>all</t>
        </is>
      </c>
      <c r="C1191" s="3" t="inlineStr">
        <is>
          <t>l11</t>
        </is>
      </c>
      <c r="D1191" s="3" t="str">
        <f>IF($B1191="",""," | "&amp;$E1191&amp;" | "&amp;$F1191)</f>
        <v> | All sectors | 11 years back</v>
      </c>
      <c r="E1191" s="3" t="str">
        <f>IFERROR(INDEX(SecLab,MATCH($B1191,SecKey,0)),"")</f>
        <v>All sectors</v>
      </c>
      <c r="F1191" s="3" t="str">
        <f>IFERROR(INDEX(FuelLab,MATCH($C1191,FuelKeyL,0)),"")</f>
        <v>11 years back</v>
      </c>
      <c r="G1191" s="3" t="inlineStr">
        <is>
          <t>.all.l11</t>
        </is>
      </c>
      <c r="I1191" s="3" t="inlineStr">
        <is>
          <t>ap|rod|nox</t>
        </is>
      </c>
      <c r="J1191" s="3" t="inlineStr">
        <is>
          <t>em.rod.all.nox</t>
        </is>
      </c>
    </row>
    <row r="1192">
      <c r="A1192" s="3" t="str">
        <f>$B1192&amp;"|"&amp;$C1192</f>
        <v>all|l12</v>
      </c>
      <c r="B1192" s="3" t="inlineStr">
        <is>
          <t>all</t>
        </is>
      </c>
      <c r="C1192" s="3" t="inlineStr">
        <is>
          <t>l12</t>
        </is>
      </c>
      <c r="D1192" s="3" t="str">
        <f>IF($B1192="",""," | "&amp;$E1192&amp;" | "&amp;$F1192)</f>
        <v> | All sectors | 12 years back</v>
      </c>
      <c r="E1192" s="3" t="str">
        <f>IFERROR(INDEX(SecLab,MATCH($B1192,SecKey,0)),"")</f>
        <v>All sectors</v>
      </c>
      <c r="F1192" s="3" t="str">
        <f>IFERROR(INDEX(FuelLab,MATCH($C1192,FuelKeyL,0)),"")</f>
        <v>12 years back</v>
      </c>
      <c r="G1192" s="3" t="inlineStr">
        <is>
          <t>.all.l12</t>
        </is>
      </c>
      <c r="I1192" s="3" t="inlineStr">
        <is>
          <t>ap|ral|nox</t>
        </is>
      </c>
      <c r="J1192" s="3" t="inlineStr">
        <is>
          <t>em.ral.all.nox</t>
        </is>
      </c>
    </row>
    <row r="1193">
      <c r="A1193" s="3" t="str">
        <f>$B1193&amp;"|"&amp;$C1193</f>
        <v>all|l13</v>
      </c>
      <c r="B1193" s="3" t="inlineStr">
        <is>
          <t>all</t>
        </is>
      </c>
      <c r="C1193" s="3" t="inlineStr">
        <is>
          <t>l13</t>
        </is>
      </c>
      <c r="D1193" s="3" t="str">
        <f>IF($B1193="",""," | "&amp;$E1193&amp;" | "&amp;$F1193)</f>
        <v> | All sectors | 13 years back</v>
      </c>
      <c r="E1193" s="3" t="str">
        <f>IFERROR(INDEX(SecLab,MATCH($B1193,SecKey,0)),"")</f>
        <v>All sectors</v>
      </c>
      <c r="F1193" s="3" t="str">
        <f>IFERROR(INDEX(FuelLab,MATCH($C1193,FuelKeyL,0)),"")</f>
        <v>13 years back</v>
      </c>
      <c r="G1193" s="3" t="inlineStr">
        <is>
          <t>.all.l13</t>
        </is>
      </c>
      <c r="I1193" s="3" t="inlineStr">
        <is>
          <t>ap|avi|nox</t>
        </is>
      </c>
      <c r="J1193" s="3" t="inlineStr">
        <is>
          <t>em.avi.all.nox</t>
        </is>
      </c>
    </row>
    <row r="1194">
      <c r="A1194" s="3" t="str">
        <f>$B1194&amp;"|"&amp;$C1194</f>
        <v>all|l14</v>
      </c>
      <c r="B1194" s="3" t="inlineStr">
        <is>
          <t>all</t>
        </is>
      </c>
      <c r="C1194" s="3" t="inlineStr">
        <is>
          <t>l14</t>
        </is>
      </c>
      <c r="D1194" s="3" t="str">
        <f>IF($B1194="",""," | "&amp;$E1194&amp;" | "&amp;$F1194)</f>
        <v> | All sectors | 14 years back</v>
      </c>
      <c r="E1194" s="3" t="str">
        <f>IFERROR(INDEX(SecLab,MATCH($B1194,SecKey,0)),"")</f>
        <v>All sectors</v>
      </c>
      <c r="F1194" s="3" t="str">
        <f>IFERROR(INDEX(FuelLab,MATCH($C1194,FuelKeyL,0)),"")</f>
        <v>14 years back</v>
      </c>
      <c r="G1194" s="3" t="inlineStr">
        <is>
          <t>.all.l14</t>
        </is>
      </c>
      <c r="I1194" s="3" t="inlineStr">
        <is>
          <t>ap|nav|nox</t>
        </is>
      </c>
      <c r="J1194" s="3" t="inlineStr">
        <is>
          <t>em.nav.all.nox</t>
        </is>
      </c>
    </row>
    <row r="1195">
      <c r="A1195" s="3" t="str">
        <f>$B1195&amp;"|"&amp;$C1195</f>
        <v>all|l15</v>
      </c>
      <c r="B1195" s="3" t="inlineStr">
        <is>
          <t>all</t>
        </is>
      </c>
      <c r="C1195" s="3" t="inlineStr">
        <is>
          <t>l15</t>
        </is>
      </c>
      <c r="D1195" s="3" t="str">
        <f>IF($B1195="",""," | "&amp;$E1195&amp;" | "&amp;$F1195)</f>
        <v> | All sectors | 15 years back</v>
      </c>
      <c r="E1195" s="3" t="str">
        <f>IFERROR(INDEX(SecLab,MATCH($B1195,SecKey,0)),"")</f>
        <v>All sectors</v>
      </c>
      <c r="F1195" s="3" t="str">
        <f>IFERROR(INDEX(FuelLab,MATCH($C1195,FuelKeyL,0)),"")</f>
        <v>15 years back</v>
      </c>
      <c r="G1195" s="3" t="inlineStr">
        <is>
          <t>.all.l15</t>
        </is>
      </c>
      <c r="I1195" s="3" t="inlineStr">
        <is>
          <t>ap|res|nox</t>
        </is>
      </c>
      <c r="J1195" s="3" t="inlineStr">
        <is>
          <t>em.res.all.nox</t>
        </is>
      </c>
    </row>
    <row r="1196">
      <c r="A1196" s="3" t="str">
        <f>$B1196&amp;"|"&amp;$C1196</f>
        <v>all|l16</v>
      </c>
      <c r="B1196" s="3" t="inlineStr">
        <is>
          <t>all</t>
        </is>
      </c>
      <c r="C1196" s="3" t="inlineStr">
        <is>
          <t>l16</t>
        </is>
      </c>
      <c r="D1196" s="3" t="str">
        <f>IF($B1196="",""," | "&amp;$E1196&amp;" | "&amp;$F1196)</f>
        <v> | All sectors | 16 years back</v>
      </c>
      <c r="E1196" s="3" t="str">
        <f>IFERROR(INDEX(SecLab,MATCH($B1196,SecKey,0)),"")</f>
        <v>All sectors</v>
      </c>
      <c r="F1196" s="3" t="str">
        <f>IFERROR(INDEX(FuelLab,MATCH($C1196,FuelKeyL,0)),"")</f>
        <v>16 years back</v>
      </c>
      <c r="G1196" s="3" t="inlineStr">
        <is>
          <t>.all.l16</t>
        </is>
      </c>
      <c r="I1196" s="3" t="inlineStr">
        <is>
          <t>ap|foo|nox</t>
        </is>
      </c>
      <c r="J1196" s="3" t="inlineStr">
        <is>
          <t>em.foo.all.nox</t>
        </is>
      </c>
    </row>
    <row r="1197">
      <c r="A1197" s="3" t="str">
        <f>$B1197&amp;"|"&amp;$C1197</f>
        <v>all|l17</v>
      </c>
      <c r="B1197" s="3" t="inlineStr">
        <is>
          <t>all</t>
        </is>
      </c>
      <c r="C1197" s="3" t="inlineStr">
        <is>
          <t>l17</t>
        </is>
      </c>
      <c r="D1197" s="3" t="str">
        <f>IF($B1197="",""," | "&amp;$E1197&amp;" | "&amp;$F1197)</f>
        <v> | All sectors | 17 years back</v>
      </c>
      <c r="E1197" s="3" t="str">
        <f>IFERROR(INDEX(SecLab,MATCH($B1197,SecKey,0)),"")</f>
        <v>All sectors</v>
      </c>
      <c r="F1197" s="3" t="str">
        <f>IFERROR(INDEX(FuelLab,MATCH($C1197,FuelKeyL,0)),"")</f>
        <v>17 years back</v>
      </c>
      <c r="G1197" s="3" t="inlineStr">
        <is>
          <t>.all.l17</t>
        </is>
      </c>
      <c r="I1197" s="3" t="inlineStr">
        <is>
          <t>ap|srv|nox</t>
        </is>
      </c>
      <c r="J1197" s="3" t="inlineStr">
        <is>
          <t>em.srv.all.nox</t>
        </is>
      </c>
    </row>
    <row r="1198">
      <c r="A1198" s="3" t="str">
        <f>$B1198&amp;"|"&amp;$C1198</f>
        <v>all|l18</v>
      </c>
      <c r="B1198" s="3" t="inlineStr">
        <is>
          <t>all</t>
        </is>
      </c>
      <c r="C1198" s="3" t="inlineStr">
        <is>
          <t>l18</t>
        </is>
      </c>
      <c r="D1198" s="3" t="str">
        <f>IF($B1198="",""," | "&amp;$E1198&amp;" | "&amp;$F1198)</f>
        <v> | All sectors | 18 years back</v>
      </c>
      <c r="E1198" s="3" t="str">
        <f>IFERROR(INDEX(SecLab,MATCH($B1198,SecKey,0)),"")</f>
        <v>All sectors</v>
      </c>
      <c r="F1198" s="3" t="str">
        <f>IFERROR(INDEX(FuelLab,MATCH($C1198,FuelKeyL,0)),"")</f>
        <v>18 years back</v>
      </c>
      <c r="G1198" s="3" t="inlineStr">
        <is>
          <t>.all.l18</t>
        </is>
      </c>
      <c r="I1198" s="3" t="inlineStr">
        <is>
          <t>ap|mch|nox</t>
        </is>
      </c>
      <c r="J1198" s="3" t="inlineStr">
        <is>
          <t>em.mch.all.nox</t>
        </is>
      </c>
    </row>
    <row r="1199">
      <c r="A1199" s="3" t="str">
        <f>$B1199&amp;"|"&amp;$C1199</f>
        <v>all|l19</v>
      </c>
      <c r="B1199" s="3" t="inlineStr">
        <is>
          <t>all</t>
        </is>
      </c>
      <c r="C1199" s="3" t="inlineStr">
        <is>
          <t>l19</t>
        </is>
      </c>
      <c r="D1199" s="3" t="str">
        <f>IF($B1199="",""," | "&amp;$E1199&amp;" | "&amp;$F1199)</f>
        <v> | All sectors | 19 years back</v>
      </c>
      <c r="E1199" s="3" t="str">
        <f>IFERROR(INDEX(SecLab,MATCH($B1199,SecKey,0)),"")</f>
        <v>All sectors</v>
      </c>
      <c r="F1199" s="3" t="str">
        <f>IFERROR(INDEX(FuelLab,MATCH($C1199,FuelKeyL,0)),"")</f>
        <v>19 years back</v>
      </c>
      <c r="G1199" s="3" t="inlineStr">
        <is>
          <t>.all.l19</t>
        </is>
      </c>
      <c r="I1199" s="3" t="inlineStr">
        <is>
          <t>ap|irn|nox</t>
        </is>
      </c>
      <c r="J1199" s="3" t="inlineStr">
        <is>
          <t>em.irn.all.nox</t>
        </is>
      </c>
    </row>
    <row r="1200">
      <c r="A1200" s="3" t="str">
        <f>$B1200&amp;"|"&amp;$C1200</f>
        <v>all|pit</v>
      </c>
      <c r="B1200" s="3" t="inlineStr">
        <is>
          <t>all</t>
        </is>
      </c>
      <c r="C1200" s="3" t="inlineStr">
        <is>
          <t>pit</t>
        </is>
      </c>
      <c r="D1200" s="3" t="str">
        <f>IF($B1200="",""," | "&amp;$E1200&amp;" | "&amp;$F1200)</f>
        <v> | All sectors | Labour tax cuts</v>
      </c>
      <c r="E1200" s="3" t="str">
        <f>IFERROR(INDEX(SecLab,MATCH($B1200,SecKey,0)),"")</f>
        <v>All sectors</v>
      </c>
      <c r="F1200" s="3" t="str">
        <f>IFERROR(INDEX(FuelLab,MATCH($C1200,FuelKeyL,0)),"")</f>
        <v>Labour tax cuts</v>
      </c>
      <c r="G1200" s="3" t="inlineStr">
        <is>
          <t>.all.pit</t>
        </is>
      </c>
      <c r="I1200" s="3" t="inlineStr">
        <is>
          <t>ap|nfm|nox</t>
        </is>
      </c>
      <c r="J1200" s="3" t="inlineStr">
        <is>
          <t>em.nfm.all.nox</t>
        </is>
      </c>
    </row>
    <row r="1201">
      <c r="A1201" s="3" t="str">
        <f>$B1201&amp;"|"&amp;$C1201</f>
        <v>all|cit</v>
      </c>
      <c r="B1201" s="3" t="inlineStr">
        <is>
          <t>all</t>
        </is>
      </c>
      <c r="C1201" s="3" t="inlineStr">
        <is>
          <t>cit</t>
        </is>
      </c>
      <c r="D1201" s="3" t="str">
        <f>IF($B1201="",""," | "&amp;$E1201&amp;" | "&amp;$F1201)</f>
        <v> | All sectors | Corporate tax cuts</v>
      </c>
      <c r="E1201" s="3" t="str">
        <f>IFERROR(INDEX(SecLab,MATCH($B1201,SecKey,0)),"")</f>
        <v>All sectors</v>
      </c>
      <c r="F1201" s="3" t="str">
        <f>IFERROR(INDEX(FuelLab,MATCH($C1201,FuelKeyL,0)),"")</f>
        <v>Corporate tax cuts</v>
      </c>
      <c r="G1201" s="3" t="inlineStr">
        <is>
          <t>.all.cit</t>
        </is>
      </c>
      <c r="I1201" s="3" t="inlineStr">
        <is>
          <t>ap|mac|nox</t>
        </is>
      </c>
      <c r="J1201" s="3" t="inlineStr">
        <is>
          <t>em.mac.all.nox</t>
        </is>
      </c>
    </row>
    <row r="1202">
      <c r="A1202" s="3" t="str">
        <f>$B1202&amp;"|"&amp;$C1202</f>
        <v>all|capt</v>
      </c>
      <c r="B1202" s="3" t="inlineStr">
        <is>
          <t>all</t>
        </is>
      </c>
      <c r="C1202" s="3" t="inlineStr">
        <is>
          <t>capt</t>
        </is>
      </c>
      <c r="D1202" s="3" t="str">
        <f>IF($B1202="",""," | "&amp;$E1202&amp;" | "&amp;$F1202)</f>
        <v> | All sectors | Public investment</v>
      </c>
      <c r="E1202" s="3" t="str">
        <f>IFERROR(INDEX(SecLab,MATCH($B1202,SecKey,0)),"")</f>
        <v>All sectors</v>
      </c>
      <c r="F1202" s="3" t="str">
        <f>IFERROR(INDEX(FuelLab,MATCH($C1202,FuelKeyL,0)),"")</f>
        <v>Public investment</v>
      </c>
      <c r="G1202" s="3" t="inlineStr">
        <is>
          <t>.all.capt</t>
        </is>
      </c>
      <c r="I1202" s="3" t="inlineStr">
        <is>
          <t>ap|cem|nox</t>
        </is>
      </c>
      <c r="J1202" s="3" t="inlineStr">
        <is>
          <t>em.cem.all.nox</t>
        </is>
      </c>
    </row>
    <row r="1203">
      <c r="A1203" s="3" t="str">
        <f>$B1203&amp;"|"&amp;$C1203</f>
        <v>all|gnfs</v>
      </c>
      <c r="B1203" s="3" t="inlineStr">
        <is>
          <t>all</t>
        </is>
      </c>
      <c r="C1203" s="3" t="inlineStr">
        <is>
          <t>gnfs</t>
        </is>
      </c>
      <c r="D1203" s="3" t="str">
        <f>IF($B1203="",""," | "&amp;$E1203&amp;" | "&amp;$F1203)</f>
        <v> | All sectors | Current spending</v>
      </c>
      <c r="E1203" s="3" t="str">
        <f>IFERROR(INDEX(SecLab,MATCH($B1203,SecKey,0)),"")</f>
        <v>All sectors</v>
      </c>
      <c r="F1203" s="3" t="str">
        <f>IFERROR(INDEX(FuelLab,MATCH($C1203,FuelKeyL,0)),"")</f>
        <v>Current spending</v>
      </c>
      <c r="G1203" s="3" t="inlineStr">
        <is>
          <t>.all.gnfs</t>
        </is>
      </c>
      <c r="I1203" s="3" t="inlineStr">
        <is>
          <t>ap|omn|nox</t>
        </is>
      </c>
      <c r="J1203" s="3" t="inlineStr">
        <is>
          <t>em.omn.all.nox</t>
        </is>
      </c>
    </row>
    <row r="1204">
      <c r="A1204" s="3" t="str">
        <f>$B1204&amp;"|"&amp;$C1204</f>
        <v>all|trns</v>
      </c>
      <c r="B1204" s="3" t="inlineStr">
        <is>
          <t>all</t>
        </is>
      </c>
      <c r="C1204" s="3" t="inlineStr">
        <is>
          <t>trns</t>
        </is>
      </c>
      <c r="D1204" s="3" t="str">
        <f>IF($B1204="",""," | "&amp;$E1204&amp;" | "&amp;$F1204)</f>
        <v> | All sectors | Targeted transfers</v>
      </c>
      <c r="E1204" s="3" t="str">
        <f>IFERROR(INDEX(SecLab,MATCH($B1204,SecKey,0)),"")</f>
        <v>All sectors</v>
      </c>
      <c r="F1204" s="3" t="str">
        <f>IFERROR(INDEX(FuelLab,MATCH($C1204,FuelKeyL,0)),"")</f>
        <v>Targeted transfers</v>
      </c>
      <c r="G1204" s="3" t="inlineStr">
        <is>
          <t>.all.trns</t>
        </is>
      </c>
      <c r="I1204" s="3" t="inlineStr">
        <is>
          <t>ap|cst|nox</t>
        </is>
      </c>
      <c r="J1204" s="3" t="inlineStr">
        <is>
          <t>em.cst.all.nox</t>
        </is>
      </c>
    </row>
    <row r="1205">
      <c r="A1205" s="3" t="str">
        <f>$B1205&amp;"|"&amp;$C1205</f>
        <v>grp|oil</v>
      </c>
      <c r="B1205" s="3" t="inlineStr">
        <is>
          <t>grp</t>
        </is>
      </c>
      <c r="C1205" s="3" t="inlineStr">
        <is>
          <t>oil</t>
        </is>
      </c>
      <c r="D1205" s="3" t="str">
        <f>IF($B1205="",""," | "&amp;$E1205&amp;" | "&amp;$F1205)</f>
        <v> |  | Crude oil</v>
      </c>
      <c r="E1205" s="3" t="str">
        <f>IFERROR(INDEX(SecLab,MATCH($B1205,SecKey,0)),"")</f>
        <v/>
      </c>
      <c r="F1205" s="3" t="str">
        <f>IFERROR(INDEX(FuelLab,MATCH($C1205,FuelKeyL,0)),"")</f>
        <v>Crude oil</v>
      </c>
      <c r="G1205" s="3" t="inlineStr">
        <is>
          <t>.grp.oil</t>
        </is>
      </c>
      <c r="I1205" s="3" t="inlineStr">
        <is>
          <t>ap|ftr|nox</t>
        </is>
      </c>
      <c r="J1205" s="3" t="inlineStr">
        <is>
          <t>em.ftr.all.nox</t>
        </is>
      </c>
    </row>
    <row r="1206">
      <c r="A1206" s="3" t="str">
        <f>$B1206&amp;"|"&amp;$C1206</f>
        <v>grp|nga</v>
      </c>
      <c r="B1206" s="3" t="inlineStr">
        <is>
          <t>grp</t>
        </is>
      </c>
      <c r="C1206" s="3" t="inlineStr">
        <is>
          <t>nga</t>
        </is>
      </c>
      <c r="D1206" s="3" t="str">
        <f>IF($B1206="",""," | "&amp;$E1206&amp;" | "&amp;$F1206)</f>
        <v> |  | Natural gas</v>
      </c>
      <c r="E1206" s="3" t="str">
        <f>IFERROR(INDEX(SecLab,MATCH($B1206,SecKey,0)),"")</f>
        <v/>
      </c>
      <c r="F1206" s="3" t="str">
        <f>IFERROR(INDEX(FuelLab,MATCH($C1206,FuelKeyL,0)),"")</f>
        <v>Natural gas</v>
      </c>
      <c r="G1206" s="3" t="inlineStr">
        <is>
          <t>.grp.nga</t>
        </is>
      </c>
      <c r="I1206" s="3" t="inlineStr">
        <is>
          <t>ap|oen|nox</t>
        </is>
      </c>
      <c r="J1206" s="3" t="inlineStr">
        <is>
          <t>em.oen.all.nox</t>
        </is>
      </c>
    </row>
    <row r="1207">
      <c r="A1207" s="3" t="str">
        <f>$B1207&amp;"|"&amp;$C1207</f>
        <v>grp|coa</v>
      </c>
      <c r="B1207" s="3" t="inlineStr">
        <is>
          <t>grp</t>
        </is>
      </c>
      <c r="C1207" s="3" t="inlineStr">
        <is>
          <t>coa</t>
        </is>
      </c>
      <c r="D1207" s="3" t="str">
        <f>IF($B1207="",""," | "&amp;$E1207&amp;" | "&amp;$F1207)</f>
        <v> |  | Coal</v>
      </c>
      <c r="E1207" s="3" t="str">
        <f>IFERROR(INDEX(SecLab,MATCH($B1207,SecKey,0)),"")</f>
        <v/>
      </c>
      <c r="F1207" s="3" t="str">
        <f>IFERROR(INDEX(FuelLab,MATCH($C1207,FuelKeyL,0)),"")</f>
        <v>Coal</v>
      </c>
      <c r="G1207" s="3" t="inlineStr">
        <is>
          <t>.grp.coa</t>
        </is>
      </c>
      <c r="I1207" s="3" t="inlineStr">
        <is>
          <t>ap|pow|nox</t>
        </is>
      </c>
      <c r="J1207" s="3" t="inlineStr">
        <is>
          <t>em.pow.all.nox</t>
        </is>
      </c>
    </row>
    <row r="1208">
      <c r="A1208" s="3" t="str">
        <f>$B1208&amp;"|"&amp;$C1208</f>
        <v>ind|oop</v>
      </c>
      <c r="B1208" s="3" t="inlineStr">
        <is>
          <t>ind</t>
        </is>
      </c>
      <c r="C1208" s="3" t="inlineStr">
        <is>
          <t>oop</t>
        </is>
      </c>
      <c r="D1208" s="3" t="str">
        <f>IF($B1208="",""," | "&amp;$E1208&amp;" | "&amp;$F1208)</f>
        <v> | Industry | Other oil products</v>
      </c>
      <c r="E1208" s="3" t="str">
        <f>IFERROR(INDEX(SecLab,MATCH($B1208,SecKey,0)),"")</f>
        <v>Industry</v>
      </c>
      <c r="F1208" s="3" t="str">
        <f>IFERROR(INDEX(FuelLab,MATCH($C1208,FuelKeyL,0)),"")</f>
        <v>Other oil products</v>
      </c>
      <c r="G1208" s="3" t="inlineStr">
        <is>
          <t>.ind.oop</t>
        </is>
      </c>
      <c r="I1208" s="3" t="inlineStr">
        <is>
          <t>ap|tra|nox</t>
        </is>
      </c>
      <c r="J1208" s="3" t="inlineStr">
        <is>
          <t>em.tra.all.nox</t>
        </is>
      </c>
    </row>
    <row r="1209">
      <c r="A1209" s="3" t="str">
        <f>$B1209&amp;"|"&amp;$C1209</f>
        <v>tra|coa</v>
      </c>
      <c r="B1209" s="3" t="inlineStr">
        <is>
          <t>tra</t>
        </is>
      </c>
      <c r="C1209" s="3" t="inlineStr">
        <is>
          <t>coa</t>
        </is>
      </c>
      <c r="D1209" s="3" t="str">
        <f>IF($B1209="",""," | "&amp;$E1209&amp;" | "&amp;$F1209)</f>
        <v> | Transport | Coal</v>
      </c>
      <c r="E1209" s="3" t="str">
        <f>IFERROR(INDEX(SecLab,MATCH($B1209,SecKey,0)),"")</f>
        <v>Transport</v>
      </c>
      <c r="F1209" s="3" t="str">
        <f>IFERROR(INDEX(FuelLab,MATCH($C1209,FuelKeyL,0)),"")</f>
        <v>Coal</v>
      </c>
      <c r="G1209" s="3" t="inlineStr">
        <is>
          <t>.tra.coa</t>
        </is>
      </c>
      <c r="I1209" s="3" t="inlineStr">
        <is>
          <t>ap|bld|nox</t>
        </is>
      </c>
      <c r="J1209" s="3" t="inlineStr">
        <is>
          <t>em.bld.all.nox</t>
        </is>
      </c>
    </row>
    <row r="1210">
      <c r="A1210" s="3" t="str">
        <f>$B1210&amp;"|"&amp;$C1210</f>
        <v>tra|nga</v>
      </c>
      <c r="B1210" s="3" t="inlineStr">
        <is>
          <t>tra</t>
        </is>
      </c>
      <c r="C1210" s="3" t="inlineStr">
        <is>
          <t>nga</t>
        </is>
      </c>
      <c r="D1210" s="3" t="str">
        <f>IF($B1210="",""," | "&amp;$E1210&amp;" | "&amp;$F1210)</f>
        <v> | Transport | Natural gas</v>
      </c>
      <c r="E1210" s="3" t="str">
        <f>IFERROR(INDEX(SecLab,MATCH($B1210,SecKey,0)),"")</f>
        <v>Transport</v>
      </c>
      <c r="F1210" s="3" t="str">
        <f>IFERROR(INDEX(FuelLab,MATCH($C1210,FuelKeyL,0)),"")</f>
        <v>Natural gas</v>
      </c>
      <c r="G1210" s="3" t="inlineStr">
        <is>
          <t>.tra.nga</t>
        </is>
      </c>
      <c r="I1210" s="3" t="inlineStr">
        <is>
          <t>ap|ind|nox</t>
        </is>
      </c>
      <c r="J1210" s="3" t="inlineStr">
        <is>
          <t>em.ind.all.nox</t>
        </is>
      </c>
    </row>
    <row r="1211">
      <c r="A1211" s="3" t="str">
        <f>$B1211&amp;"|"&amp;$C1211</f>
        <v>tra|gso</v>
      </c>
      <c r="B1211" s="3" t="inlineStr">
        <is>
          <t>tra</t>
        </is>
      </c>
      <c r="C1211" s="3" t="inlineStr">
        <is>
          <t>gso</t>
        </is>
      </c>
      <c r="D1211" s="3" t="str">
        <f>IF($B1211="",""," | "&amp;$E1211&amp;" | "&amp;$F1211)</f>
        <v> | Transport | Gasoline</v>
      </c>
      <c r="E1211" s="3" t="str">
        <f>IFERROR(INDEX(SecLab,MATCH($B1211,SecKey,0)),"")</f>
        <v>Transport</v>
      </c>
      <c r="F1211" s="3" t="str">
        <f>IFERROR(INDEX(FuelLab,MATCH($C1211,FuelKeyL,0)),"")</f>
        <v>Gasoline</v>
      </c>
      <c r="G1211" s="3" t="inlineStr">
        <is>
          <t>.tra.gso</t>
        </is>
      </c>
      <c r="I1211" s="3" t="inlineStr">
        <is>
          <t>ap|fod|nox</t>
        </is>
      </c>
      <c r="J1211" s="3" t="inlineStr">
        <is>
          <t>em.fod.all.nox</t>
        </is>
      </c>
    </row>
    <row r="1212">
      <c r="A1212" s="3" t="str">
        <f>$B1212&amp;"|"&amp;$C1212</f>
        <v>tra|die</v>
      </c>
      <c r="B1212" s="3" t="inlineStr">
        <is>
          <t>tra</t>
        </is>
      </c>
      <c r="C1212" s="3" t="inlineStr">
        <is>
          <t>die</t>
        </is>
      </c>
      <c r="D1212" s="3" t="str">
        <f>IF($B1212="",""," | "&amp;$E1212&amp;" | "&amp;$F1212)</f>
        <v> | Transport | Diesel</v>
      </c>
      <c r="E1212" s="3" t="str">
        <f>IFERROR(INDEX(SecLab,MATCH($B1212,SecKey,0)),"")</f>
        <v>Transport</v>
      </c>
      <c r="F1212" s="3" t="str">
        <f>IFERROR(INDEX(FuelLab,MATCH($C1212,FuelKeyL,0)),"")</f>
        <v>Diesel</v>
      </c>
      <c r="G1212" s="3" t="inlineStr">
        <is>
          <t>.tra.die</t>
        </is>
      </c>
      <c r="I1212" s="3" t="inlineStr">
        <is>
          <t>ap|fag|nox</t>
        </is>
      </c>
      <c r="J1212" s="3" t="inlineStr">
        <is>
          <t>em.fag.all.nox</t>
        </is>
      </c>
    </row>
    <row r="1213">
      <c r="A1213" s="3" t="str">
        <f>$B1213&amp;"|"&amp;$C1213</f>
        <v>tra|lpg</v>
      </c>
      <c r="B1213" s="3" t="inlineStr">
        <is>
          <t>tra</t>
        </is>
      </c>
      <c r="C1213" s="3" t="inlineStr">
        <is>
          <t>lpg</t>
        </is>
      </c>
      <c r="D1213" s="3" t="str">
        <f>IF($B1213="",""," | "&amp;$E1213&amp;" | "&amp;$F1213)</f>
        <v> | Transport | LPG</v>
      </c>
      <c r="E1213" s="3" t="str">
        <f>IFERROR(INDEX(SecLab,MATCH($B1213,SecKey,0)),"")</f>
        <v>Transport</v>
      </c>
      <c r="F1213" s="3" t="str">
        <f>IFERROR(INDEX(FuelLab,MATCH($C1213,FuelKeyL,0)),"")</f>
        <v>LPG</v>
      </c>
      <c r="G1213" s="3" t="inlineStr">
        <is>
          <t>.tra.lpg</t>
        </is>
      </c>
      <c r="I1213" s="3" t="inlineStr">
        <is>
          <t>ap|rod|so2</t>
        </is>
      </c>
      <c r="J1213" s="3" t="inlineStr">
        <is>
          <t>em.rod.all.so2</t>
        </is>
      </c>
    </row>
    <row r="1214">
      <c r="A1214" s="3" t="str">
        <f>$B1214&amp;"|"&amp;$C1214</f>
        <v>tra|ker</v>
      </c>
      <c r="B1214" s="3" t="inlineStr">
        <is>
          <t>tra</t>
        </is>
      </c>
      <c r="C1214" s="3" t="inlineStr">
        <is>
          <t>ker</t>
        </is>
      </c>
      <c r="D1214" s="3" t="str">
        <f>IF($B1214="",""," | "&amp;$E1214&amp;" | "&amp;$F1214)</f>
        <v> | Transport | Kerosene</v>
      </c>
      <c r="E1214" s="3" t="str">
        <f>IFERROR(INDEX(SecLab,MATCH($B1214,SecKey,0)),"")</f>
        <v>Transport</v>
      </c>
      <c r="F1214" s="3" t="str">
        <f>IFERROR(INDEX(FuelLab,MATCH($C1214,FuelKeyL,0)),"")</f>
        <v>Kerosene</v>
      </c>
      <c r="G1214" s="3" t="inlineStr">
        <is>
          <t>.tra.ker</t>
        </is>
      </c>
      <c r="I1214" s="3" t="inlineStr">
        <is>
          <t>ap|ral|so2</t>
        </is>
      </c>
      <c r="J1214" s="3" t="inlineStr">
        <is>
          <t>em.ral.all.so2</t>
        </is>
      </c>
    </row>
    <row r="1215">
      <c r="A1215" s="3" t="str">
        <f>$B1215&amp;"|"&amp;$C1215</f>
        <v>tra|oop</v>
      </c>
      <c r="B1215" s="3" t="inlineStr">
        <is>
          <t>tra</t>
        </is>
      </c>
      <c r="C1215" s="3" t="inlineStr">
        <is>
          <t>oop</t>
        </is>
      </c>
      <c r="D1215" s="3" t="str">
        <f>IF($B1215="",""," | "&amp;$E1215&amp;" | "&amp;$F1215)</f>
        <v> | Transport | Other oil products</v>
      </c>
      <c r="E1215" s="3" t="str">
        <f>IFERROR(INDEX(SecLab,MATCH($B1215,SecKey,0)),"")</f>
        <v>Transport</v>
      </c>
      <c r="F1215" s="3" t="str">
        <f>IFERROR(INDEX(FuelLab,MATCH($C1215,FuelKeyL,0)),"")</f>
        <v>Other oil products</v>
      </c>
      <c r="G1215" s="3" t="inlineStr">
        <is>
          <t>.tra.oop</t>
        </is>
      </c>
      <c r="I1215" s="3" t="inlineStr">
        <is>
          <t>ap|avi|so2</t>
        </is>
      </c>
      <c r="J1215" s="3" t="inlineStr">
        <is>
          <t>em.avi.all.so2</t>
        </is>
      </c>
    </row>
    <row r="1216">
      <c r="A1216" s="3" t="str">
        <f>$B1216&amp;"|"&amp;$C1216</f>
        <v>bld|coa</v>
      </c>
      <c r="B1216" s="3" t="inlineStr">
        <is>
          <t>bld</t>
        </is>
      </c>
      <c r="C1216" s="3" t="inlineStr">
        <is>
          <t>coa</t>
        </is>
      </c>
      <c r="D1216" s="3" t="str">
        <f>IF($B1216="",""," | "&amp;$E1216&amp;" | "&amp;$F1216)</f>
        <v> | Buildings | Coal</v>
      </c>
      <c r="E1216" s="3" t="str">
        <f>IFERROR(INDEX(SecLab,MATCH($B1216,SecKey,0)),"")</f>
        <v>Buildings</v>
      </c>
      <c r="F1216" s="3" t="str">
        <f>IFERROR(INDEX(FuelLab,MATCH($C1216,FuelKeyL,0)),"")</f>
        <v>Coal</v>
      </c>
      <c r="G1216" s="3" t="inlineStr">
        <is>
          <t>.bld.coa</t>
        </is>
      </c>
      <c r="I1216" s="3" t="inlineStr">
        <is>
          <t>ap|nav|so2</t>
        </is>
      </c>
      <c r="J1216" s="3" t="inlineStr">
        <is>
          <t>em.nav.all.so2</t>
        </is>
      </c>
    </row>
    <row r="1217">
      <c r="A1217" s="3" t="str">
        <f>$B1217&amp;"|"&amp;$C1217</f>
        <v>bld|nga</v>
      </c>
      <c r="B1217" s="3" t="inlineStr">
        <is>
          <t>bld</t>
        </is>
      </c>
      <c r="C1217" s="3" t="inlineStr">
        <is>
          <t>nga</t>
        </is>
      </c>
      <c r="D1217" s="3" t="str">
        <f>IF($B1217="",""," | "&amp;$E1217&amp;" | "&amp;$F1217)</f>
        <v> | Buildings | Natural gas</v>
      </c>
      <c r="E1217" s="3" t="str">
        <f>IFERROR(INDEX(SecLab,MATCH($B1217,SecKey,0)),"")</f>
        <v>Buildings</v>
      </c>
      <c r="F1217" s="3" t="str">
        <f>IFERROR(INDEX(FuelLab,MATCH($C1217,FuelKeyL,0)),"")</f>
        <v>Natural gas</v>
      </c>
      <c r="G1217" s="3" t="inlineStr">
        <is>
          <t>.bld.nga</t>
        </is>
      </c>
      <c r="I1217" s="3" t="inlineStr">
        <is>
          <t>ap|res|so2</t>
        </is>
      </c>
      <c r="J1217" s="3" t="inlineStr">
        <is>
          <t>em.res.all.so2</t>
        </is>
      </c>
    </row>
    <row r="1218">
      <c r="A1218" s="3" t="str">
        <f>$B1218&amp;"|"&amp;$C1218</f>
        <v>bld|gso</v>
      </c>
      <c r="B1218" s="3" t="inlineStr">
        <is>
          <t>bld</t>
        </is>
      </c>
      <c r="C1218" s="3" t="inlineStr">
        <is>
          <t>gso</t>
        </is>
      </c>
      <c r="D1218" s="3" t="str">
        <f>IF($B1218="",""," | "&amp;$E1218&amp;" | "&amp;$F1218)</f>
        <v> | Buildings | Gasoline</v>
      </c>
      <c r="E1218" s="3" t="str">
        <f>IFERROR(INDEX(SecLab,MATCH($B1218,SecKey,0)),"")</f>
        <v>Buildings</v>
      </c>
      <c r="F1218" s="3" t="str">
        <f>IFERROR(INDEX(FuelLab,MATCH($C1218,FuelKeyL,0)),"")</f>
        <v>Gasoline</v>
      </c>
      <c r="G1218" s="3" t="inlineStr">
        <is>
          <t>.bld.gso</t>
        </is>
      </c>
      <c r="I1218" s="3" t="inlineStr">
        <is>
          <t>ap|foo|so2</t>
        </is>
      </c>
      <c r="J1218" s="3" t="inlineStr">
        <is>
          <t>em.foo.all.so2</t>
        </is>
      </c>
    </row>
    <row r="1219">
      <c r="A1219" s="3" t="str">
        <f>$B1219&amp;"|"&amp;$C1219</f>
        <v>bld|die</v>
      </c>
      <c r="B1219" s="3" t="inlineStr">
        <is>
          <t>bld</t>
        </is>
      </c>
      <c r="C1219" s="3" t="inlineStr">
        <is>
          <t>die</t>
        </is>
      </c>
      <c r="D1219" s="3" t="str">
        <f>IF($B1219="",""," | "&amp;$E1219&amp;" | "&amp;$F1219)</f>
        <v> | Buildings | Diesel</v>
      </c>
      <c r="E1219" s="3" t="str">
        <f>IFERROR(INDEX(SecLab,MATCH($B1219,SecKey,0)),"")</f>
        <v>Buildings</v>
      </c>
      <c r="F1219" s="3" t="str">
        <f>IFERROR(INDEX(FuelLab,MATCH($C1219,FuelKeyL,0)),"")</f>
        <v>Diesel</v>
      </c>
      <c r="G1219" s="3" t="inlineStr">
        <is>
          <t>.bld.die</t>
        </is>
      </c>
      <c r="I1219" s="3" t="inlineStr">
        <is>
          <t>ap|srv|so2</t>
        </is>
      </c>
      <c r="J1219" s="3" t="inlineStr">
        <is>
          <t>em.srv.all.so2</t>
        </is>
      </c>
    </row>
    <row r="1220">
      <c r="A1220" s="3" t="str">
        <f>$B1220&amp;"|"&amp;$C1220</f>
        <v>bld|lpg</v>
      </c>
      <c r="B1220" s="3" t="inlineStr">
        <is>
          <t>bld</t>
        </is>
      </c>
      <c r="C1220" s="3" t="inlineStr">
        <is>
          <t>lpg</t>
        </is>
      </c>
      <c r="D1220" s="3" t="str">
        <f>IF($B1220="",""," | "&amp;$E1220&amp;" | "&amp;$F1220)</f>
        <v> | Buildings | LPG</v>
      </c>
      <c r="E1220" s="3" t="str">
        <f>IFERROR(INDEX(SecLab,MATCH($B1220,SecKey,0)),"")</f>
        <v>Buildings</v>
      </c>
      <c r="F1220" s="3" t="str">
        <f>IFERROR(INDEX(FuelLab,MATCH($C1220,FuelKeyL,0)),"")</f>
        <v>LPG</v>
      </c>
      <c r="G1220" s="3" t="inlineStr">
        <is>
          <t>.bld.lpg</t>
        </is>
      </c>
      <c r="I1220" s="3" t="inlineStr">
        <is>
          <t>ap|mch|so2</t>
        </is>
      </c>
      <c r="J1220" s="3" t="inlineStr">
        <is>
          <t>em.mch.all.so2</t>
        </is>
      </c>
    </row>
    <row r="1221">
      <c r="A1221" s="3" t="str">
        <f>$B1221&amp;"|"&amp;$C1221</f>
        <v>bld|ker</v>
      </c>
      <c r="B1221" s="3" t="inlineStr">
        <is>
          <t>bld</t>
        </is>
      </c>
      <c r="C1221" s="3" t="inlineStr">
        <is>
          <t>ker</t>
        </is>
      </c>
      <c r="D1221" s="3" t="str">
        <f>IF($B1221="",""," | "&amp;$E1221&amp;" | "&amp;$F1221)</f>
        <v> | Buildings | Kerosene</v>
      </c>
      <c r="E1221" s="3" t="str">
        <f>IFERROR(INDEX(SecLab,MATCH($B1221,SecKey,0)),"")</f>
        <v>Buildings</v>
      </c>
      <c r="F1221" s="3" t="str">
        <f>IFERROR(INDEX(FuelLab,MATCH($C1221,FuelKeyL,0)),"")</f>
        <v>Kerosene</v>
      </c>
      <c r="G1221" s="3" t="inlineStr">
        <is>
          <t>.bld.ker</t>
        </is>
      </c>
      <c r="I1221" s="3" t="inlineStr">
        <is>
          <t>ap|irn|so2</t>
        </is>
      </c>
      <c r="J1221" s="3" t="inlineStr">
        <is>
          <t>em.irn.all.so2</t>
        </is>
      </c>
    </row>
    <row r="1222">
      <c r="A1222" s="3" t="str">
        <f>$B1222&amp;"|"&amp;$C1222</f>
        <v>bld|oop</v>
      </c>
      <c r="B1222" s="3" t="inlineStr">
        <is>
          <t>bld</t>
        </is>
      </c>
      <c r="C1222" s="3" t="inlineStr">
        <is>
          <t>oop</t>
        </is>
      </c>
      <c r="D1222" s="3" t="str">
        <f>IF($B1222="",""," | "&amp;$E1222&amp;" | "&amp;$F1222)</f>
        <v> | Buildings | Other oil products</v>
      </c>
      <c r="E1222" s="3" t="str">
        <f>IFERROR(INDEX(SecLab,MATCH($B1222,SecKey,0)),"")</f>
        <v>Buildings</v>
      </c>
      <c r="F1222" s="3" t="str">
        <f>IFERROR(INDEX(FuelLab,MATCH($C1222,FuelKeyL,0)),"")</f>
        <v>Other oil products</v>
      </c>
      <c r="G1222" s="3" t="inlineStr">
        <is>
          <t>.bld.oop</t>
        </is>
      </c>
      <c r="I1222" s="3" t="inlineStr">
        <is>
          <t>ap|nfm|so2</t>
        </is>
      </c>
      <c r="J1222" s="3" t="inlineStr">
        <is>
          <t>em.nfm.all.so2</t>
        </is>
      </c>
    </row>
    <row r="1223">
      <c r="A1223" s="3" t="str">
        <f>$B1223&amp;"|"&amp;$C1223</f>
        <v>ind|gso</v>
      </c>
      <c r="B1223" s="3" t="inlineStr">
        <is>
          <t>ind</t>
        </is>
      </c>
      <c r="C1223" s="3" t="inlineStr">
        <is>
          <t>gso</t>
        </is>
      </c>
      <c r="D1223" s="3" t="str">
        <f>IF($B1223="",""," | "&amp;$E1223&amp;" | "&amp;$F1223)</f>
        <v> | Industry | Gasoline</v>
      </c>
      <c r="E1223" s="3" t="str">
        <f>IFERROR(INDEX(SecLab,MATCH($B1223,SecKey,0)),"")</f>
        <v>Industry</v>
      </c>
      <c r="F1223" s="3" t="str">
        <f>IFERROR(INDEX(FuelLab,MATCH($C1223,FuelKeyL,0)),"")</f>
        <v>Gasoline</v>
      </c>
      <c r="G1223" s="3" t="inlineStr">
        <is>
          <t>.ind.gso</t>
        </is>
      </c>
      <c r="I1223" s="3" t="inlineStr">
        <is>
          <t>ap|mac|so2</t>
        </is>
      </c>
      <c r="J1223" s="3" t="inlineStr">
        <is>
          <t>em.mac.all.so2</t>
        </is>
      </c>
    </row>
    <row r="1224">
      <c r="A1224" s="3" t="str">
        <f>$B1224&amp;"|"&amp;$C1224</f>
        <v>ind|die</v>
      </c>
      <c r="B1224" s="3" t="inlineStr">
        <is>
          <t>ind</t>
        </is>
      </c>
      <c r="C1224" s="3" t="inlineStr">
        <is>
          <t>die</t>
        </is>
      </c>
      <c r="D1224" s="3" t="str">
        <f>IF($B1224="",""," | "&amp;$E1224&amp;" | "&amp;$F1224)</f>
        <v> | Industry | Diesel</v>
      </c>
      <c r="E1224" s="3" t="str">
        <f>IFERROR(INDEX(SecLab,MATCH($B1224,SecKey,0)),"")</f>
        <v>Industry</v>
      </c>
      <c r="F1224" s="3" t="str">
        <f>IFERROR(INDEX(FuelLab,MATCH($C1224,FuelKeyL,0)),"")</f>
        <v>Diesel</v>
      </c>
      <c r="G1224" s="3" t="inlineStr">
        <is>
          <t>.ind.die</t>
        </is>
      </c>
      <c r="I1224" s="3" t="inlineStr">
        <is>
          <t>ap|cem|so2</t>
        </is>
      </c>
      <c r="J1224" s="3" t="inlineStr">
        <is>
          <t>em.cem.all.so2</t>
        </is>
      </c>
    </row>
    <row r="1225">
      <c r="A1225" s="3" t="str">
        <f>$B1225&amp;"|"&amp;$C1225</f>
        <v>ind|lpg</v>
      </c>
      <c r="B1225" s="3" t="inlineStr">
        <is>
          <t>ind</t>
        </is>
      </c>
      <c r="C1225" s="3" t="inlineStr">
        <is>
          <t>lpg</t>
        </is>
      </c>
      <c r="D1225" s="3" t="str">
        <f>IF($B1225="",""," | "&amp;$E1225&amp;" | "&amp;$F1225)</f>
        <v> | Industry | LPG</v>
      </c>
      <c r="E1225" s="3" t="str">
        <f>IFERROR(INDEX(SecLab,MATCH($B1225,SecKey,0)),"")</f>
        <v>Industry</v>
      </c>
      <c r="F1225" s="3" t="str">
        <f>IFERROR(INDEX(FuelLab,MATCH($C1225,FuelKeyL,0)),"")</f>
        <v>LPG</v>
      </c>
      <c r="G1225" s="3" t="inlineStr">
        <is>
          <t>.ind.lpg</t>
        </is>
      </c>
      <c r="I1225" s="3" t="inlineStr">
        <is>
          <t>ap|omn|so2</t>
        </is>
      </c>
      <c r="J1225" s="3" t="inlineStr">
        <is>
          <t>em.omn.all.so2</t>
        </is>
      </c>
    </row>
    <row r="1226">
      <c r="A1226" s="3" t="str">
        <f>$B1226&amp;"|"&amp;$C1226</f>
        <v>ind|ker</v>
      </c>
      <c r="B1226" s="3" t="inlineStr">
        <is>
          <t>ind</t>
        </is>
      </c>
      <c r="C1226" s="3" t="inlineStr">
        <is>
          <t>ker</t>
        </is>
      </c>
      <c r="D1226" s="3" t="str">
        <f>IF($B1226="",""," | "&amp;$E1226&amp;" | "&amp;$F1226)</f>
        <v> | Industry | Kerosene</v>
      </c>
      <c r="E1226" s="3" t="str">
        <f>IFERROR(INDEX(SecLab,MATCH($B1226,SecKey,0)),"")</f>
        <v>Industry</v>
      </c>
      <c r="F1226" s="3" t="str">
        <f>IFERROR(INDEX(FuelLab,MATCH($C1226,FuelKeyL,0)),"")</f>
        <v>Kerosene</v>
      </c>
      <c r="G1226" s="3" t="inlineStr">
        <is>
          <t>.ind.ker</t>
        </is>
      </c>
      <c r="I1226" s="3" t="inlineStr">
        <is>
          <t>ap|cst|so2</t>
        </is>
      </c>
      <c r="J1226" s="3" t="inlineStr">
        <is>
          <t>em.cst.all.so2</t>
        </is>
      </c>
    </row>
    <row r="1227">
      <c r="A1227" s="3" t="str">
        <f>$B1227&amp;"|"&amp;$C1227</f>
        <v>cpp|</v>
      </c>
      <c r="B1227" s="3" t="inlineStr">
        <is>
          <t>cpp</t>
        </is>
      </c>
      <c r="C1227" s="3" t="inlineStr"/>
      <c r="D1227" s="3" t="str">
        <f>IF($B1227="",""," | "&amp;$E1227&amp;" | "&amp;$F1227)</f>
        <v> | Coal power plants | </v>
      </c>
      <c r="E1227" s="3" t="str">
        <f>IFERROR(INDEX(SecLab,MATCH($B1227,SecKey,0)),"")</f>
        <v>Coal power plants</v>
      </c>
      <c r="F1227" s="3" t="str">
        <f>IFERROR(INDEX(FuelLab,MATCH($C1227,FuelKeyL,0)),"")</f>
        <v/>
      </c>
      <c r="G1227" s="3" t="inlineStr">
        <is>
          <t>.cpp</t>
        </is>
      </c>
      <c r="I1227" s="3" t="inlineStr">
        <is>
          <t>ap|ftr|so2</t>
        </is>
      </c>
      <c r="J1227" s="3" t="inlineStr">
        <is>
          <t>em.ftr.all.so2</t>
        </is>
      </c>
    </row>
    <row r="1228">
      <c r="A1228" s="3" t="str">
        <f>$B1228&amp;"|"&amp;$C1228</f>
        <v>gpp|</v>
      </c>
      <c r="B1228" s="3" t="inlineStr">
        <is>
          <t>gpp</t>
        </is>
      </c>
      <c r="C1228" s="3" t="inlineStr"/>
      <c r="D1228" s="3" t="str">
        <f>IF($B1228="",""," | "&amp;$E1228&amp;" | "&amp;$F1228)</f>
        <v> | Gas power plants | </v>
      </c>
      <c r="E1228" s="3" t="str">
        <f>IFERROR(INDEX(SecLab,MATCH($B1228,SecKey,0)),"")</f>
        <v>Gas power plants</v>
      </c>
      <c r="F1228" s="3" t="str">
        <f>IFERROR(INDEX(FuelLab,MATCH($C1228,FuelKeyL,0)),"")</f>
        <v/>
      </c>
      <c r="G1228" s="3" t="inlineStr">
        <is>
          <t>.gpp</t>
        </is>
      </c>
      <c r="I1228" s="3" t="inlineStr">
        <is>
          <t>ap|oen|so2</t>
        </is>
      </c>
      <c r="J1228" s="3" t="inlineStr">
        <is>
          <t>em.oen.all.so2</t>
        </is>
      </c>
    </row>
    <row r="1229">
      <c r="A1229" s="3" t="str">
        <f>$B1229&amp;"|"&amp;$C1229</f>
        <v>opp|</v>
      </c>
      <c r="B1229" s="3" t="inlineStr">
        <is>
          <t>opp</t>
        </is>
      </c>
      <c r="C1229" s="3" t="inlineStr"/>
      <c r="D1229" s="3" t="str">
        <f>IF($B1229="",""," | "&amp;$E1229&amp;" | "&amp;$F1229)</f>
        <v> | Other power plants | </v>
      </c>
      <c r="E1229" s="3" t="str">
        <f>IFERROR(INDEX(SecLab,MATCH($B1229,SecKey,0)),"")</f>
        <v>Other power plants</v>
      </c>
      <c r="F1229" s="3" t="str">
        <f>IFERROR(INDEX(FuelLab,MATCH($C1229,FuelKeyL,0)),"")</f>
        <v/>
      </c>
      <c r="G1229" s="3" t="inlineStr">
        <is>
          <t>.opp</t>
        </is>
      </c>
      <c r="I1229" s="3" t="inlineStr">
        <is>
          <t>ap|pow|so2</t>
        </is>
      </c>
      <c r="J1229" s="3" t="inlineStr">
        <is>
          <t>em.pow.all.so2</t>
        </is>
      </c>
    </row>
    <row r="1230">
      <c r="A1230" s="3" t="str">
        <f>$B1230&amp;"|"&amp;$C1230</f>
        <v>rod|</v>
      </c>
      <c r="B1230" s="3" t="inlineStr">
        <is>
          <t>rod</t>
        </is>
      </c>
      <c r="C1230" s="3" t="inlineStr"/>
      <c r="D1230" s="3" t="str">
        <f>IF($B1230="",""," | "&amp;$E1230&amp;" | "&amp;$F1230)</f>
        <v> | Road | </v>
      </c>
      <c r="E1230" s="3" t="str">
        <f>IFERROR(INDEX(SecLab,MATCH($B1230,SecKey,0)),"")</f>
        <v>Road</v>
      </c>
      <c r="F1230" s="3" t="str">
        <f>IFERROR(INDEX(FuelLab,MATCH($C1230,FuelKeyL,0)),"")</f>
        <v/>
      </c>
      <c r="G1230" s="3" t="inlineStr">
        <is>
          <t>.rod</t>
        </is>
      </c>
      <c r="I1230" s="3" t="inlineStr">
        <is>
          <t>ap|tra|so2</t>
        </is>
      </c>
      <c r="J1230" s="3" t="inlineStr">
        <is>
          <t>em.tra.all.so2</t>
        </is>
      </c>
    </row>
    <row r="1231">
      <c r="A1231" s="3" t="str">
        <f>$B1231&amp;"|"&amp;$C1231</f>
        <v>gro|</v>
      </c>
      <c r="B1231" s="3" t="inlineStr">
        <is>
          <t>gro</t>
        </is>
      </c>
      <c r="C1231" s="3" t="inlineStr"/>
      <c r="D1231" s="3" t="str">
        <f>IF($B1231="",""," | "&amp;$E1231&amp;" | "&amp;$F1231)</f>
        <v> | Ground level other | </v>
      </c>
      <c r="E1231" s="3" t="str">
        <f>IFERROR(INDEX(SecLab,MATCH($B1231,SecKey,0)),"")</f>
        <v>Ground level other</v>
      </c>
      <c r="F1231" s="3" t="str">
        <f>IFERROR(INDEX(FuelLab,MATCH($C1231,FuelKeyL,0)),"")</f>
        <v/>
      </c>
      <c r="G1231" s="3" t="inlineStr">
        <is>
          <t>.gro</t>
        </is>
      </c>
      <c r="I1231" s="3" t="inlineStr">
        <is>
          <t>ap|bld|so2</t>
        </is>
      </c>
      <c r="J1231" s="3" t="inlineStr">
        <is>
          <t>em.bld.all.so2</t>
        </is>
      </c>
    </row>
    <row r="1232">
      <c r="A1232" s="3" t="str">
        <f>$B1232&amp;"|"&amp;$C1232</f>
        <v>oth|</v>
      </c>
      <c r="B1232" s="3" t="inlineStr">
        <is>
          <t>oth</t>
        </is>
      </c>
      <c r="C1232" s="3" t="inlineStr"/>
      <c r="D1232" s="3" t="str">
        <f>IF($B1232="",""," | "&amp;$E1232&amp;" | "&amp;$F1232)</f>
        <v> | Other | </v>
      </c>
      <c r="E1232" s="3" t="str">
        <f>IFERROR(INDEX(SecLab,MATCH($B1232,SecKey,0)),"")</f>
        <v>Other</v>
      </c>
      <c r="F1232" s="3" t="str">
        <f>IFERROR(INDEX(FuelLab,MATCH($C1232,FuelKeyL,0)),"")</f>
        <v/>
      </c>
      <c r="G1232" s="3" t="inlineStr">
        <is>
          <t>.oth</t>
        </is>
      </c>
      <c r="I1232" s="3" t="inlineStr">
        <is>
          <t>ap|ind|so2</t>
        </is>
      </c>
      <c r="J1232" s="3" t="inlineStr">
        <is>
          <t>em.ind.all.so2</t>
        </is>
      </c>
    </row>
    <row r="1233">
      <c r="A1233" s="3" t="str">
        <f>$B1233&amp;"|"&amp;$C1233</f>
        <v>foo|</v>
      </c>
      <c r="B1233" s="3" t="inlineStr">
        <is>
          <t>foo</t>
        </is>
      </c>
      <c r="C1233" s="3" t="inlineStr"/>
      <c r="D1233" s="3" t="str">
        <f>IF($B1233="",""," | "&amp;$E1233&amp;" | "&amp;$F1233)</f>
        <v> | Food &amp; forestry | </v>
      </c>
      <c r="E1233" s="3" t="str">
        <f>IFERROR(INDEX(SecLab,MATCH($B1233,SecKey,0)),"")</f>
        <v>Food &amp; forestry</v>
      </c>
      <c r="F1233" s="3" t="str">
        <f>IFERROR(INDEX(FuelLab,MATCH($C1233,FuelKeyL,0)),"")</f>
        <v/>
      </c>
      <c r="G1233" s="3" t="inlineStr">
        <is>
          <t>.foo</t>
        </is>
      </c>
      <c r="I1233" s="3" t="inlineStr">
        <is>
          <t>ap|fod|so2</t>
        </is>
      </c>
      <c r="J1233" s="3" t="inlineStr">
        <is>
          <t>em.fod.all.so2</t>
        </is>
      </c>
    </row>
    <row r="1234">
      <c r="A1234" s="3" t="str">
        <f>$B1234&amp;"|"&amp;$C1234</f>
        <v>mod|</v>
      </c>
      <c r="B1234" s="3" t="inlineStr">
        <is>
          <t>mod</t>
        </is>
      </c>
      <c r="C1234" s="3" t="inlineStr"/>
      <c r="D1234" s="3" t="str">
        <f>IF($B1234="",""," | "&amp;$E1234&amp;" | "&amp;$F1234)</f>
        <v> |  | </v>
      </c>
      <c r="E1234" s="3" t="str">
        <f>IFERROR(INDEX(SecLab,MATCH($B1234,SecKey,0)),"")</f>
        <v/>
      </c>
      <c r="F1234" s="3" t="str">
        <f>IFERROR(INDEX(FuelLab,MATCH($C1234,FuelKeyL,0)),"")</f>
        <v/>
      </c>
      <c r="G1234" s="3" t="inlineStr">
        <is>
          <t>.mod</t>
        </is>
      </c>
      <c r="I1234" s="3" t="inlineStr">
        <is>
          <t>ap|fag|so2</t>
        </is>
      </c>
      <c r="J1234" s="3" t="inlineStr">
        <is>
          <t>em.fag.all.so2</t>
        </is>
      </c>
    </row>
    <row r="1235">
      <c r="A1235" s="3" t="str">
        <f>$B1235&amp;"|"&amp;$C1235</f>
        <v>oth|coa</v>
      </c>
      <c r="B1235" s="3" t="inlineStr">
        <is>
          <t>oth</t>
        </is>
      </c>
      <c r="C1235" s="3" t="inlineStr">
        <is>
          <t>coa</t>
        </is>
      </c>
      <c r="D1235" s="3" t="str">
        <f>IF($B1235="",""," | "&amp;$E1235&amp;" | "&amp;$F1235)</f>
        <v> | Other | Coal</v>
      </c>
      <c r="E1235" s="3" t="str">
        <f>IFERROR(INDEX(SecLab,MATCH($B1235,SecKey,0)),"")</f>
        <v>Other</v>
      </c>
      <c r="F1235" s="3" t="str">
        <f>IFERROR(INDEX(FuelLab,MATCH($C1235,FuelKeyL,0)),"")</f>
        <v>Coal</v>
      </c>
      <c r="G1235" s="3" t="inlineStr">
        <is>
          <t>.oth.coa</t>
        </is>
      </c>
      <c r="I1235" s="3" t="inlineStr">
        <is>
          <t>ap|rod|voc</t>
        </is>
      </c>
      <c r="J1235" s="3" t="inlineStr">
        <is>
          <t>em.rod.all.voc</t>
        </is>
      </c>
    </row>
    <row r="1236">
      <c r="A1236" s="3" t="str">
        <f>$B1236&amp;"|"&amp;$C1236</f>
        <v>oth|nga</v>
      </c>
      <c r="B1236" s="3" t="inlineStr">
        <is>
          <t>oth</t>
        </is>
      </c>
      <c r="C1236" s="3" t="inlineStr">
        <is>
          <t>nga</t>
        </is>
      </c>
      <c r="D1236" s="3" t="str">
        <f>IF($B1236="",""," | "&amp;$E1236&amp;" | "&amp;$F1236)</f>
        <v> | Other | Natural gas</v>
      </c>
      <c r="E1236" s="3" t="str">
        <f>IFERROR(INDEX(SecLab,MATCH($B1236,SecKey,0)),"")</f>
        <v>Other</v>
      </c>
      <c r="F1236" s="3" t="str">
        <f>IFERROR(INDEX(FuelLab,MATCH($C1236,FuelKeyL,0)),"")</f>
        <v>Natural gas</v>
      </c>
      <c r="G1236" s="3" t="inlineStr">
        <is>
          <t>.oth.nga</t>
        </is>
      </c>
      <c r="I1236" s="3" t="inlineStr">
        <is>
          <t>ap|ral|voc</t>
        </is>
      </c>
      <c r="J1236" s="3" t="inlineStr">
        <is>
          <t>em.ral.all.voc</t>
        </is>
      </c>
    </row>
    <row r="1237">
      <c r="A1237" s="3" t="str">
        <f>$B1237&amp;"|"&amp;$C1237</f>
        <v>oth|odo</v>
      </c>
      <c r="B1237" s="3" t="inlineStr">
        <is>
          <t>oth</t>
        </is>
      </c>
      <c r="C1237" s="3" t="inlineStr">
        <is>
          <t>odo</t>
        </is>
      </c>
      <c r="D1237" s="3" t="str">
        <f>IF($B1237="",""," | "&amp;$E1237&amp;" | "&amp;$F1237)</f>
        <v> | Other | </v>
      </c>
      <c r="E1237" s="3" t="str">
        <f>IFERROR(INDEX(SecLab,MATCH($B1237,SecKey,0)),"")</f>
        <v>Other</v>
      </c>
      <c r="F1237" s="3" t="str">
        <f>IFERROR(INDEX(FuelLab,MATCH($C1237,FuelKeyL,0)),"")</f>
        <v/>
      </c>
      <c r="G1237" s="3" t="inlineStr">
        <is>
          <t>.oth.odo</t>
        </is>
      </c>
      <c r="I1237" s="3" t="inlineStr">
        <is>
          <t>ap|avi|voc</t>
        </is>
      </c>
      <c r="J1237" s="3" t="inlineStr">
        <is>
          <t>em.avi.all.voc</t>
        </is>
      </c>
    </row>
    <row r="1238">
      <c r="A1238" s="3" t="str">
        <f>$B1238&amp;"|"&amp;$C1238</f>
        <v>avg|oop</v>
      </c>
      <c r="B1238" s="3" t="inlineStr">
        <is>
          <t>avg</t>
        </is>
      </c>
      <c r="C1238" s="3" t="inlineStr">
        <is>
          <t>oop</t>
        </is>
      </c>
      <c r="D1238" s="3" t="str">
        <f>IF($B1238="",""," | "&amp;$E1238&amp;" | "&amp;$F1238)</f>
        <v> |  | Other oil products</v>
      </c>
      <c r="E1238" s="3" t="str">
        <f>IFERROR(INDEX(SecLab,MATCH($B1238,SecKey,0)),"")</f>
        <v/>
      </c>
      <c r="F1238" s="3" t="str">
        <f>IFERROR(INDEX(FuelLab,MATCH($C1238,FuelKeyL,0)),"")</f>
        <v>Other oil products</v>
      </c>
      <c r="G1238" s="3" t="inlineStr">
        <is>
          <t>.avg.oop</t>
        </is>
      </c>
      <c r="I1238" s="3" t="inlineStr">
        <is>
          <t>ap|nav|voc</t>
        </is>
      </c>
      <c r="J1238" s="3" t="inlineStr">
        <is>
          <t>em.nav.all.voc</t>
        </is>
      </c>
    </row>
    <row r="1239">
      <c r="A1239" s="3" t="str">
        <f>$B1239&amp;"|"&amp;$C1239</f>
        <v>air|usd</v>
      </c>
      <c r="B1239" s="3" t="inlineStr">
        <is>
          <t>air</t>
        </is>
      </c>
      <c r="C1239" s="3" t="inlineStr">
        <is>
          <t>usd</t>
        </is>
      </c>
      <c r="D1239" s="3" t="str">
        <f>IF($B1239="",""," | "&amp;$E1239&amp;" | "&amp;$F1239)</f>
        <v> |  | </v>
      </c>
      <c r="E1239" s="3" t="str">
        <f>IFERROR(INDEX(SecLab,MATCH($B1239,SecKey,0)),"")</f>
        <v/>
      </c>
      <c r="F1239" s="3" t="str">
        <f>IFERROR(INDEX(FuelLab,MATCH($C1239,FuelKeyL,0)),"")</f>
        <v/>
      </c>
      <c r="G1239" s="3" t="inlineStr">
        <is>
          <t>.air.usd</t>
        </is>
      </c>
      <c r="I1239" s="3" t="inlineStr">
        <is>
          <t>ap|res|voc</t>
        </is>
      </c>
      <c r="J1239" s="3" t="inlineStr">
        <is>
          <t>em.res.all.voc</t>
        </is>
      </c>
    </row>
    <row r="1240">
      <c r="A1240" s="3" t="str">
        <f>$B1240&amp;"|"&amp;$C1240</f>
        <v>aci|usd</v>
      </c>
      <c r="B1240" s="3" t="inlineStr">
        <is>
          <t>aci</t>
        </is>
      </c>
      <c r="C1240" s="3" t="inlineStr">
        <is>
          <t>usd</t>
        </is>
      </c>
      <c r="D1240" s="3" t="str">
        <f>IF($B1240="",""," | "&amp;$E1240&amp;" | "&amp;$F1240)</f>
        <v> |  | </v>
      </c>
      <c r="E1240" s="3" t="str">
        <f>IFERROR(INDEX(SecLab,MATCH($B1240,SecKey,0)),"")</f>
        <v/>
      </c>
      <c r="F1240" s="3" t="str">
        <f>IFERROR(INDEX(FuelLab,MATCH($C1240,FuelKeyL,0)),"")</f>
        <v/>
      </c>
      <c r="G1240" s="3" t="inlineStr">
        <is>
          <t>.aci.usd</t>
        </is>
      </c>
      <c r="I1240" s="3" t="inlineStr">
        <is>
          <t>ap|foo|voc</t>
        </is>
      </c>
      <c r="J1240" s="3" t="inlineStr">
        <is>
          <t>em.foo.all.voc</t>
        </is>
      </c>
    </row>
    <row r="1241">
      <c r="A1241" s="3" t="str">
        <f>$B1241&amp;"|"&amp;$C1241</f>
        <v>con|usd</v>
      </c>
      <c r="B1241" s="3" t="inlineStr">
        <is>
          <t>con</t>
        </is>
      </c>
      <c r="C1241" s="3" t="inlineStr">
        <is>
          <t>usd</t>
        </is>
      </c>
      <c r="D1241" s="3" t="str">
        <f>IF($B1241="",""," | "&amp;$E1241&amp;" | "&amp;$F1241)</f>
        <v> |  | </v>
      </c>
      <c r="E1241" s="3" t="str">
        <f>IFERROR(INDEX(SecLab,MATCH($B1241,SecKey,0)),"")</f>
        <v/>
      </c>
      <c r="F1241" s="3" t="str">
        <f>IFERROR(INDEX(FuelLab,MATCH($C1241,FuelKeyL,0)),"")</f>
        <v/>
      </c>
      <c r="G1241" s="3" t="inlineStr">
        <is>
          <t>.con.usd</t>
        </is>
      </c>
      <c r="I1241" s="3" t="inlineStr">
        <is>
          <t>ap|srv|voc</t>
        </is>
      </c>
      <c r="J1241" s="3" t="inlineStr">
        <is>
          <t>em.srv.all.voc</t>
        </is>
      </c>
    </row>
    <row r="1242">
      <c r="A1242" s="3" t="str">
        <f>$B1242&amp;"|"&amp;$C1242</f>
        <v>dmg|usd</v>
      </c>
      <c r="B1242" s="3" t="inlineStr">
        <is>
          <t>dmg</t>
        </is>
      </c>
      <c r="C1242" s="3" t="inlineStr">
        <is>
          <t>usd</t>
        </is>
      </c>
      <c r="D1242" s="3" t="str">
        <f>IF($B1242="",""," | "&amp;$E1242&amp;" | "&amp;$F1242)</f>
        <v> |  | </v>
      </c>
      <c r="E1242" s="3" t="str">
        <f>IFERROR(INDEX(SecLab,MATCH($B1242,SecKey,0)),"")</f>
        <v/>
      </c>
      <c r="F1242" s="3" t="str">
        <f>IFERROR(INDEX(FuelLab,MATCH($C1242,FuelKeyL,0)),"")</f>
        <v/>
      </c>
      <c r="G1242" s="3" t="inlineStr">
        <is>
          <t>.dmg.usd</t>
        </is>
      </c>
      <c r="I1242" s="3" t="inlineStr">
        <is>
          <t>ap|mch|voc</t>
        </is>
      </c>
      <c r="J1242" s="3" t="inlineStr">
        <is>
          <t>em.mch.all.voc</t>
        </is>
      </c>
    </row>
    <row r="1243">
      <c r="A1243" s="3" t="str">
        <f>$B1243&amp;"|"&amp;$C1243</f>
        <v>all|pct</v>
      </c>
      <c r="B1243" s="3" t="inlineStr">
        <is>
          <t>all</t>
        </is>
      </c>
      <c r="C1243" s="3" t="inlineStr">
        <is>
          <t>pct</t>
        </is>
      </c>
      <c r="D1243" s="3" t="str">
        <f>IF($B1243="",""," | "&amp;$E1243&amp;" | "&amp;$F1243)</f>
        <v> | All sectors | </v>
      </c>
      <c r="E1243" s="3" t="str">
        <f>IFERROR(INDEX(SecLab,MATCH($B1243,SecKey,0)),"")</f>
        <v>All sectors</v>
      </c>
      <c r="F1243" s="3" t="str">
        <f>IFERROR(INDEX(FuelLab,MATCH($C1243,FuelKeyL,0)),"")</f>
        <v/>
      </c>
      <c r="G1243" s="3" t="inlineStr">
        <is>
          <t>.all.pct</t>
        </is>
      </c>
      <c r="I1243" s="3" t="inlineStr">
        <is>
          <t>ap|irn|voc</t>
        </is>
      </c>
      <c r="J1243" s="3" t="inlineStr">
        <is>
          <t>em.irn.all.voc</t>
        </is>
      </c>
    </row>
    <row r="1244">
      <c r="A1244" s="3" t="str">
        <f>$B1244&amp;"|"&amp;$C1244</f>
        <v>all|cli</v>
      </c>
      <c r="B1244" s="3" t="inlineStr">
        <is>
          <t>all</t>
        </is>
      </c>
      <c r="C1244" s="3" t="inlineStr">
        <is>
          <t>cli</t>
        </is>
      </c>
      <c r="D1244" s="3" t="str">
        <f>IF($B1244="",""," | "&amp;$E1244&amp;" | "&amp;$F1244)</f>
        <v> | All sectors | </v>
      </c>
      <c r="E1244" s="3" t="str">
        <f>IFERROR(INDEX(SecLab,MATCH($B1244,SecKey,0)),"")</f>
        <v>All sectors</v>
      </c>
      <c r="F1244" s="3" t="str">
        <f>IFERROR(INDEX(FuelLab,MATCH($C1244,FuelKeyL,0)),"")</f>
        <v/>
      </c>
      <c r="G1244" s="3" t="inlineStr">
        <is>
          <t>.all.cli</t>
        </is>
      </c>
      <c r="I1244" s="3" t="inlineStr">
        <is>
          <t>ap|nfm|voc</t>
        </is>
      </c>
      <c r="J1244" s="3" t="inlineStr">
        <is>
          <t>em.nfm.all.voc</t>
        </is>
      </c>
    </row>
    <row r="1245">
      <c r="A1245" s="3" t="str">
        <f>$B1245&amp;"|"&amp;$C1245</f>
        <v>air|pct</v>
      </c>
      <c r="B1245" s="3" t="inlineStr">
        <is>
          <t>air</t>
        </is>
      </c>
      <c r="C1245" s="3" t="inlineStr">
        <is>
          <t>pct</t>
        </is>
      </c>
      <c r="D1245" s="3" t="str">
        <f>IF($B1245="",""," | "&amp;$E1245&amp;" | "&amp;$F1245)</f>
        <v> |  | </v>
      </c>
      <c r="E1245" s="3" t="str">
        <f>IFERROR(INDEX(SecLab,MATCH($B1245,SecKey,0)),"")</f>
        <v/>
      </c>
      <c r="F1245" s="3" t="str">
        <f>IFERROR(INDEX(FuelLab,MATCH($C1245,FuelKeyL,0)),"")</f>
        <v/>
      </c>
      <c r="G1245" s="3" t="inlineStr">
        <is>
          <t>.air.pct</t>
        </is>
      </c>
      <c r="I1245" s="3" t="inlineStr">
        <is>
          <t>ap|mac|voc</t>
        </is>
      </c>
      <c r="J1245" s="3" t="inlineStr">
        <is>
          <t>em.mac.all.voc</t>
        </is>
      </c>
    </row>
    <row r="1246">
      <c r="A1246" s="3" t="str">
        <f>$B1246&amp;"|"&amp;$C1246</f>
        <v>rod|pct</v>
      </c>
      <c r="B1246" s="3" t="inlineStr">
        <is>
          <t>rod</t>
        </is>
      </c>
      <c r="C1246" s="3" t="inlineStr">
        <is>
          <t>pct</t>
        </is>
      </c>
      <c r="D1246" s="3" t="str">
        <f>IF($B1246="",""," | "&amp;$E1246&amp;" | "&amp;$F1246)</f>
        <v> | Road | </v>
      </c>
      <c r="E1246" s="3" t="str">
        <f>IFERROR(INDEX(SecLab,MATCH($B1246,SecKey,0)),"")</f>
        <v>Road</v>
      </c>
      <c r="F1246" s="3" t="str">
        <f>IFERROR(INDEX(FuelLab,MATCH($C1246,FuelKeyL,0)),"")</f>
        <v/>
      </c>
      <c r="G1246" s="3" t="inlineStr">
        <is>
          <t>.rod.pct</t>
        </is>
      </c>
      <c r="I1246" s="3" t="inlineStr">
        <is>
          <t>ap|cem|voc</t>
        </is>
      </c>
      <c r="J1246" s="3" t="inlineStr">
        <is>
          <t>em.cem.all.voc</t>
        </is>
      </c>
    </row>
    <row r="1247">
      <c r="A1247" s="3" t="str">
        <f>$B1247&amp;"|"&amp;$C1247</f>
        <v>all|eff</v>
      </c>
      <c r="B1247" s="3" t="inlineStr">
        <is>
          <t>all</t>
        </is>
      </c>
      <c r="C1247" s="3" t="inlineStr">
        <is>
          <t>eff</t>
        </is>
      </c>
      <c r="D1247" s="3" t="str">
        <f>IF($B1247="",""," | "&amp;$E1247&amp;" | "&amp;$F1247)</f>
        <v> | All sectors | </v>
      </c>
      <c r="E1247" s="3" t="str">
        <f>IFERROR(INDEX(SecLab,MATCH($B1247,SecKey,0)),"")</f>
        <v>All sectors</v>
      </c>
      <c r="F1247" s="3" t="str">
        <f>IFERROR(INDEX(FuelLab,MATCH($C1247,FuelKeyL,0)),"")</f>
        <v/>
      </c>
      <c r="G1247" s="3" t="inlineStr">
        <is>
          <t>.all.eff</t>
        </is>
      </c>
      <c r="I1247" s="3" t="inlineStr">
        <is>
          <t>ap|omn|voc</t>
        </is>
      </c>
      <c r="J1247" s="3" t="inlineStr">
        <is>
          <t>em.omn.all.voc</t>
        </is>
      </c>
    </row>
    <row r="1248">
      <c r="A1248" s="3" t="str">
        <f>$B1248&amp;"|"&amp;$C1248</f>
        <v>rd|gso</v>
      </c>
      <c r="B1248" s="3" t="inlineStr">
        <is>
          <t>rd</t>
        </is>
      </c>
      <c r="C1248" s="3" t="inlineStr">
        <is>
          <t>gso</t>
        </is>
      </c>
      <c r="D1248" s="3" t="str">
        <f>IF($B1248="",""," | "&amp;$E1248&amp;" | "&amp;$F1248)</f>
        <v> |  | Gasoline</v>
      </c>
      <c r="E1248" s="3" t="str">
        <f>IFERROR(INDEX(SecLab,MATCH($B1248,SecKey,0)),"")</f>
        <v/>
      </c>
      <c r="F1248" s="3" t="str">
        <f>IFERROR(INDEX(FuelLab,MATCH($C1248,FuelKeyL,0)),"")</f>
        <v>Gasoline</v>
      </c>
      <c r="G1248" s="3" t="inlineStr">
        <is>
          <t>.rd.gso</t>
        </is>
      </c>
      <c r="I1248" s="3" t="inlineStr">
        <is>
          <t>ap|cst|voc</t>
        </is>
      </c>
      <c r="J1248" s="3" t="inlineStr">
        <is>
          <t>em.cst.all.voc</t>
        </is>
      </c>
    </row>
    <row r="1249">
      <c r="A1249" s="3" t="str">
        <f>$B1249&amp;"|"&amp;$C1249</f>
        <v>rd|die</v>
      </c>
      <c r="B1249" s="3" t="inlineStr">
        <is>
          <t>rd</t>
        </is>
      </c>
      <c r="C1249" s="3" t="inlineStr">
        <is>
          <t>die</t>
        </is>
      </c>
      <c r="D1249" s="3" t="str">
        <f>IF($B1249="",""," | "&amp;$E1249&amp;" | "&amp;$F1249)</f>
        <v> |  | Diesel</v>
      </c>
      <c r="E1249" s="3" t="str">
        <f>IFERROR(INDEX(SecLab,MATCH($B1249,SecKey,0)),"")</f>
        <v/>
      </c>
      <c r="F1249" s="3" t="str">
        <f>IFERROR(INDEX(FuelLab,MATCH($C1249,FuelKeyL,0)),"")</f>
        <v>Diesel</v>
      </c>
      <c r="G1249" s="3" t="inlineStr">
        <is>
          <t>.rd.die</t>
        </is>
      </c>
      <c r="I1249" s="3" t="inlineStr">
        <is>
          <t>ap|ftr|voc</t>
        </is>
      </c>
      <c r="J1249" s="3" t="inlineStr">
        <is>
          <t>em.ftr.all.voc</t>
        </is>
      </c>
    </row>
    <row r="1250">
      <c r="A1250" s="3" t="str">
        <f>$B1250&amp;"|"&amp;$C1250</f>
        <v>oth|gso</v>
      </c>
      <c r="B1250" s="3" t="inlineStr">
        <is>
          <t>oth</t>
        </is>
      </c>
      <c r="C1250" s="3" t="inlineStr">
        <is>
          <t>gso</t>
        </is>
      </c>
      <c r="D1250" s="3" t="str">
        <f>IF($B1250="",""," | "&amp;$E1250&amp;" | "&amp;$F1250)</f>
        <v> | Other | Gasoline</v>
      </c>
      <c r="E1250" s="3" t="str">
        <f>IFERROR(INDEX(SecLab,MATCH($B1250,SecKey,0)),"")</f>
        <v>Other</v>
      </c>
      <c r="F1250" s="3" t="str">
        <f>IFERROR(INDEX(FuelLab,MATCH($C1250,FuelKeyL,0)),"")</f>
        <v>Gasoline</v>
      </c>
      <c r="G1250" s="3" t="inlineStr">
        <is>
          <t>.oth.gso</t>
        </is>
      </c>
      <c r="I1250" s="3" t="inlineStr">
        <is>
          <t>ap|oen|voc</t>
        </is>
      </c>
      <c r="J1250" s="3" t="inlineStr">
        <is>
          <t>em.oen.all.voc</t>
        </is>
      </c>
    </row>
    <row r="1251">
      <c r="A1251" s="3" t="str">
        <f>$B1251&amp;"|"&amp;$C1251</f>
        <v>oth|die</v>
      </c>
      <c r="B1251" s="3" t="inlineStr">
        <is>
          <t>oth</t>
        </is>
      </c>
      <c r="C1251" s="3" t="inlineStr">
        <is>
          <t>die</t>
        </is>
      </c>
      <c r="D1251" s="3" t="str">
        <f>IF($B1251="",""," | "&amp;$E1251&amp;" | "&amp;$F1251)</f>
        <v> | Other | Diesel</v>
      </c>
      <c r="E1251" s="3" t="str">
        <f>IFERROR(INDEX(SecLab,MATCH($B1251,SecKey,0)),"")</f>
        <v>Other</v>
      </c>
      <c r="F1251" s="3" t="str">
        <f>IFERROR(INDEX(FuelLab,MATCH($C1251,FuelKeyL,0)),"")</f>
        <v>Diesel</v>
      </c>
      <c r="G1251" s="3" t="inlineStr">
        <is>
          <t>.oth.die</t>
        </is>
      </c>
      <c r="I1251" s="3" t="inlineStr">
        <is>
          <t>ap|pow|voc</t>
        </is>
      </c>
      <c r="J1251" s="3" t="inlineStr">
        <is>
          <t>em.pow.all.voc</t>
        </is>
      </c>
    </row>
    <row r="1252">
      <c r="A1252" s="3" t="str">
        <f>$B1252&amp;"|"&amp;$C1252</f>
        <v>tot|</v>
      </c>
      <c r="B1252" s="3" t="inlineStr">
        <is>
          <t>tot</t>
        </is>
      </c>
      <c r="C1252" s="3" t="inlineStr"/>
      <c r="D1252" s="3" t="str">
        <f>IF($B1252="",""," | "&amp;$E1252&amp;" | "&amp;$F1252)</f>
        <v> |  | </v>
      </c>
      <c r="E1252" s="3" t="str">
        <f>IFERROR(INDEX(SecLab,MATCH($B1252,SecKey,0)),"")</f>
        <v/>
      </c>
      <c r="F1252" s="3" t="str">
        <f>IFERROR(INDEX(FuelLab,MATCH($C1252,FuelKeyL,0)),"")</f>
        <v/>
      </c>
      <c r="G1252" s="3" t="inlineStr">
        <is>
          <t>.tot</t>
        </is>
      </c>
      <c r="I1252" s="3" t="inlineStr">
        <is>
          <t>ap|tra|voc</t>
        </is>
      </c>
      <c r="J1252" s="3" t="inlineStr">
        <is>
          <t>em.tra.all.voc</t>
        </is>
      </c>
    </row>
    <row r="1253">
      <c r="A1253" s="3" t="str">
        <f>$B1253&amp;"|"&amp;$C1253</f>
        <v>oth|ecy</v>
      </c>
      <c r="B1253" s="3" t="inlineStr">
        <is>
          <t>oth</t>
        </is>
      </c>
      <c r="C1253" s="3" t="inlineStr">
        <is>
          <t>ecy</t>
        </is>
      </c>
      <c r="D1253" s="3" t="str">
        <f>IF($B1253="",""," | "&amp;$E1253&amp;" | "&amp;$F1253)</f>
        <v> | Other | Electricity</v>
      </c>
      <c r="E1253" s="3" t="str">
        <f>IFERROR(INDEX(SecLab,MATCH($B1253,SecKey,0)),"")</f>
        <v>Other</v>
      </c>
      <c r="F1253" s="3" t="str">
        <f>IFERROR(INDEX(FuelLab,MATCH($C1253,FuelKeyL,0)),"")</f>
        <v>Electricity</v>
      </c>
      <c r="G1253" s="3" t="inlineStr">
        <is>
          <t>.oth.ecy</t>
        </is>
      </c>
      <c r="I1253" s="3" t="inlineStr">
        <is>
          <t>ap|bld|voc</t>
        </is>
      </c>
      <c r="J1253" s="3" t="inlineStr">
        <is>
          <t>em.bld.all.voc</t>
        </is>
      </c>
    </row>
    <row r="1254">
      <c r="A1254" s="3" t="str">
        <f>$B1254&amp;"|"&amp;$C1254</f>
        <v>avg|</v>
      </c>
      <c r="B1254" s="3" t="inlineStr">
        <is>
          <t>avg</t>
        </is>
      </c>
      <c r="C1254" s="3" t="inlineStr"/>
      <c r="D1254" s="3" t="str">
        <f>IF($B1254="",""," | "&amp;$E1254&amp;" | "&amp;$F1254)</f>
        <v> |  | </v>
      </c>
      <c r="E1254" s="3" t="str">
        <f>IFERROR(INDEX(SecLab,MATCH($B1254,SecKey,0)),"")</f>
        <v/>
      </c>
      <c r="F1254" s="3" t="str">
        <f>IFERROR(INDEX(FuelLab,MATCH($C1254,FuelKeyL,0)),"")</f>
        <v/>
      </c>
      <c r="G1254" s="3" t="inlineStr">
        <is>
          <t>.avg</t>
        </is>
      </c>
      <c r="I1254" s="3" t="inlineStr">
        <is>
          <t>ap|ind|voc</t>
        </is>
      </c>
      <c r="J1254" s="3" t="inlineStr">
        <is>
          <t>em.ind.all.voc</t>
        </is>
      </c>
    </row>
    <row r="1255">
      <c r="A1255" s="3" t="str">
        <f>$B1255&amp;"|"&amp;$C1255</f>
        <v>rod|pm2</v>
      </c>
      <c r="B1255" s="3" t="inlineStr">
        <is>
          <t>rod</t>
        </is>
      </c>
      <c r="C1255" s="3" t="inlineStr">
        <is>
          <t>pm2</t>
        </is>
      </c>
      <c r="D1255" s="3" t="str">
        <f>IF($B1255="",""," | "&amp;$E1255&amp;" | "&amp;$F1255)</f>
        <v> | Road | PM2.5</v>
      </c>
      <c r="E1255" s="3" t="str">
        <f>IFERROR(INDEX(SecLab,MATCH($B1255,SecKey,0)),"")</f>
        <v>Road</v>
      </c>
      <c r="F1255" s="3" t="str">
        <f>IFERROR(INDEX(FuelLab,MATCH($C1255,FuelKeyL,0)),"")</f>
        <v>PM2.5</v>
      </c>
      <c r="G1255" s="3" t="inlineStr">
        <is>
          <t>.rod.pm2</t>
        </is>
      </c>
      <c r="I1255" s="3" t="inlineStr">
        <is>
          <t>ap|fod|voc</t>
        </is>
      </c>
      <c r="J1255" s="3" t="inlineStr">
        <is>
          <t>em.fod.all.voc</t>
        </is>
      </c>
    </row>
    <row r="1256">
      <c r="A1256" s="3" t="str">
        <f>$B1256&amp;"|"&amp;$C1256</f>
        <v>ral|pm2</v>
      </c>
      <c r="B1256" s="3" t="inlineStr">
        <is>
          <t>ral</t>
        </is>
      </c>
      <c r="C1256" s="3" t="inlineStr">
        <is>
          <t>pm2</t>
        </is>
      </c>
      <c r="D1256" s="3" t="str">
        <f>IF($B1256="",""," | "&amp;$E1256&amp;" | "&amp;$F1256)</f>
        <v> | Rail | PM2.5</v>
      </c>
      <c r="E1256" s="3" t="str">
        <f>IFERROR(INDEX(SecLab,MATCH($B1256,SecKey,0)),"")</f>
        <v>Rail</v>
      </c>
      <c r="F1256" s="3" t="str">
        <f>IFERROR(INDEX(FuelLab,MATCH($C1256,FuelKeyL,0)),"")</f>
        <v>PM2.5</v>
      </c>
      <c r="G1256" s="3" t="inlineStr">
        <is>
          <t>.ral.pm2</t>
        </is>
      </c>
      <c r="I1256" s="3" t="inlineStr">
        <is>
          <t>ap|fag|voc</t>
        </is>
      </c>
      <c r="J1256" s="3" t="inlineStr">
        <is>
          <t>em.fag.all.voc</t>
        </is>
      </c>
    </row>
    <row r="1257">
      <c r="A1257" s="3" t="str">
        <f>$B1257&amp;"|"&amp;$C1257</f>
        <v>avi|pm2</v>
      </c>
      <c r="B1257" s="3" t="inlineStr">
        <is>
          <t>avi</t>
        </is>
      </c>
      <c r="C1257" s="3" t="inlineStr">
        <is>
          <t>pm2</t>
        </is>
      </c>
      <c r="D1257" s="3" t="str">
        <f>IF($B1257="",""," | "&amp;$E1257&amp;" | "&amp;$F1257)</f>
        <v> | Domestic aviation | PM2.5</v>
      </c>
      <c r="E1257" s="3" t="str">
        <f>IFERROR(INDEX(SecLab,MATCH($B1257,SecKey,0)),"")</f>
        <v>Domestic aviation</v>
      </c>
      <c r="F1257" s="3" t="str">
        <f>IFERROR(INDEX(FuelLab,MATCH($C1257,FuelKeyL,0)),"")</f>
        <v>PM2.5</v>
      </c>
      <c r="G1257" s="3" t="inlineStr">
        <is>
          <t>.avi.pm2</t>
        </is>
      </c>
      <c r="I1257" s="3" t="inlineStr">
        <is>
          <t>ap|rod|bc</t>
        </is>
      </c>
      <c r="J1257" s="3" t="inlineStr">
        <is>
          <t>em.rod.all.bc</t>
        </is>
      </c>
    </row>
    <row r="1258">
      <c r="A1258" s="3" t="str">
        <f>$B1258&amp;"|"&amp;$C1258</f>
        <v>nav|pm2</v>
      </c>
      <c r="B1258" s="3" t="inlineStr">
        <is>
          <t>nav</t>
        </is>
      </c>
      <c r="C1258" s="3" t="inlineStr">
        <is>
          <t>pm2</t>
        </is>
      </c>
      <c r="D1258" s="3" t="str">
        <f>IF($B1258="",""," | "&amp;$E1258&amp;" | "&amp;$F1258)</f>
        <v> | Domestic navigation | PM2.5</v>
      </c>
      <c r="E1258" s="3" t="str">
        <f>IFERROR(INDEX(SecLab,MATCH($B1258,SecKey,0)),"")</f>
        <v>Domestic navigation</v>
      </c>
      <c r="F1258" s="3" t="str">
        <f>IFERROR(INDEX(FuelLab,MATCH($C1258,FuelKeyL,0)),"")</f>
        <v>PM2.5</v>
      </c>
      <c r="G1258" s="3" t="inlineStr">
        <is>
          <t>.nav.pm2</t>
        </is>
      </c>
      <c r="I1258" s="3" t="inlineStr">
        <is>
          <t>ap|ral|bc</t>
        </is>
      </c>
      <c r="J1258" s="3" t="inlineStr">
        <is>
          <t>em.ral.all.bc</t>
        </is>
      </c>
    </row>
    <row r="1259">
      <c r="A1259" s="3" t="str">
        <f>$B1259&amp;"|"&amp;$C1259</f>
        <v>res|pm2</v>
      </c>
      <c r="B1259" s="3" t="inlineStr">
        <is>
          <t>res</t>
        </is>
      </c>
      <c r="C1259" s="3" t="inlineStr">
        <is>
          <t>pm2</t>
        </is>
      </c>
      <c r="D1259" s="3" t="str">
        <f>IF($B1259="",""," | "&amp;$E1259&amp;" | "&amp;$F1259)</f>
        <v> | Residential | PM2.5</v>
      </c>
      <c r="E1259" s="3" t="str">
        <f>IFERROR(INDEX(SecLab,MATCH($B1259,SecKey,0)),"")</f>
        <v>Residential</v>
      </c>
      <c r="F1259" s="3" t="str">
        <f>IFERROR(INDEX(FuelLab,MATCH($C1259,FuelKeyL,0)),"")</f>
        <v>PM2.5</v>
      </c>
      <c r="G1259" s="3" t="inlineStr">
        <is>
          <t>.res.pm2</t>
        </is>
      </c>
      <c r="I1259" s="3" t="inlineStr">
        <is>
          <t>ap|avi|bc</t>
        </is>
      </c>
      <c r="J1259" s="3" t="inlineStr">
        <is>
          <t>em.avi.all.bc</t>
        </is>
      </c>
    </row>
    <row r="1260">
      <c r="A1260" s="3" t="str">
        <f>$B1260&amp;"|"&amp;$C1260</f>
        <v>foo|pm2</v>
      </c>
      <c r="B1260" s="3" t="inlineStr">
        <is>
          <t>foo</t>
        </is>
      </c>
      <c r="C1260" s="3" t="inlineStr">
        <is>
          <t>pm2</t>
        </is>
      </c>
      <c r="D1260" s="3" t="str">
        <f>IF($B1260="",""," | "&amp;$E1260&amp;" | "&amp;$F1260)</f>
        <v> | Food &amp; forestry | PM2.5</v>
      </c>
      <c r="E1260" s="3" t="str">
        <f>IFERROR(INDEX(SecLab,MATCH($B1260,SecKey,0)),"")</f>
        <v>Food &amp; forestry</v>
      </c>
      <c r="F1260" s="3" t="str">
        <f>IFERROR(INDEX(FuelLab,MATCH($C1260,FuelKeyL,0)),"")</f>
        <v>PM2.5</v>
      </c>
      <c r="G1260" s="3" t="inlineStr">
        <is>
          <t>.foo.pm2</t>
        </is>
      </c>
      <c r="I1260" s="3" t="inlineStr">
        <is>
          <t>ap|nav|bc</t>
        </is>
      </c>
      <c r="J1260" s="3" t="inlineStr">
        <is>
          <t>em.nav.all.bc</t>
        </is>
      </c>
    </row>
    <row r="1261">
      <c r="A1261" s="3" t="str">
        <f>$B1261&amp;"|"&amp;$C1261</f>
        <v>srv|pm2</v>
      </c>
      <c r="B1261" s="3" t="inlineStr">
        <is>
          <t>srv</t>
        </is>
      </c>
      <c r="C1261" s="3" t="inlineStr">
        <is>
          <t>pm2</t>
        </is>
      </c>
      <c r="D1261" s="3" t="str">
        <f>IF($B1261="",""," | "&amp;$E1261&amp;" | "&amp;$F1261)</f>
        <v> | Services (public &amp; private) | PM2.5</v>
      </c>
      <c r="E1261" s="3" t="str">
        <f>IFERROR(INDEX(SecLab,MATCH($B1261,SecKey,0)),"")</f>
        <v>Services (public &amp; private)</v>
      </c>
      <c r="F1261" s="3" t="str">
        <f>IFERROR(INDEX(FuelLab,MATCH($C1261,FuelKeyL,0)),"")</f>
        <v>PM2.5</v>
      </c>
      <c r="G1261" s="3" t="inlineStr">
        <is>
          <t>.srv.pm2</t>
        </is>
      </c>
      <c r="I1261" s="3" t="inlineStr">
        <is>
          <t>ap|res|bc</t>
        </is>
      </c>
      <c r="J1261" s="3" t="inlineStr">
        <is>
          <t>em.res.all.bc</t>
        </is>
      </c>
    </row>
    <row r="1262">
      <c r="A1262" s="3" t="str">
        <f>$B1262&amp;"|"&amp;$C1262</f>
        <v>mch|pm2</v>
      </c>
      <c r="B1262" s="3" t="inlineStr">
        <is>
          <t>mch</t>
        </is>
      </c>
      <c r="C1262" s="3" t="inlineStr">
        <is>
          <t>pm2</t>
        </is>
      </c>
      <c r="D1262" s="3" t="str">
        <f>IF($B1262="",""," | "&amp;$E1262&amp;" | "&amp;$F1262)</f>
        <v> | Mining &amp; chemicals | PM2.5</v>
      </c>
      <c r="E1262" s="3" t="str">
        <f>IFERROR(INDEX(SecLab,MATCH($B1262,SecKey,0)),"")</f>
        <v>Mining &amp; chemicals</v>
      </c>
      <c r="F1262" s="3" t="str">
        <f>IFERROR(INDEX(FuelLab,MATCH($C1262,FuelKeyL,0)),"")</f>
        <v>PM2.5</v>
      </c>
      <c r="G1262" s="3" t="inlineStr">
        <is>
          <t>.mch.pm2</t>
        </is>
      </c>
      <c r="I1262" s="3" t="inlineStr">
        <is>
          <t>ap|foo|bc</t>
        </is>
      </c>
      <c r="J1262" s="3" t="inlineStr">
        <is>
          <t>em.foo.all.bc</t>
        </is>
      </c>
    </row>
    <row r="1263">
      <c r="A1263" s="3" t="str">
        <f>$B1263&amp;"|"&amp;$C1263</f>
        <v>irn|pm2</v>
      </c>
      <c r="B1263" s="3" t="inlineStr">
        <is>
          <t>irn</t>
        </is>
      </c>
      <c r="C1263" s="3" t="inlineStr">
        <is>
          <t>pm2</t>
        </is>
      </c>
      <c r="D1263" s="3" t="str">
        <f>IF($B1263="",""," | "&amp;$E1263&amp;" | "&amp;$F1263)</f>
        <v> | Iron &amp; steel | PM2.5</v>
      </c>
      <c r="E1263" s="3" t="str">
        <f>IFERROR(INDEX(SecLab,MATCH($B1263,SecKey,0)),"")</f>
        <v>Iron &amp; steel</v>
      </c>
      <c r="F1263" s="3" t="str">
        <f>IFERROR(INDEX(FuelLab,MATCH($C1263,FuelKeyL,0)),"")</f>
        <v>PM2.5</v>
      </c>
      <c r="G1263" s="3" t="inlineStr">
        <is>
          <t>.irn.pm2</t>
        </is>
      </c>
      <c r="I1263" s="3" t="inlineStr">
        <is>
          <t>ap|srv|bc</t>
        </is>
      </c>
      <c r="J1263" s="3" t="inlineStr">
        <is>
          <t>em.srv.all.bc</t>
        </is>
      </c>
    </row>
    <row r="1264">
      <c r="A1264" s="3" t="str">
        <f>$B1264&amp;"|"&amp;$C1264</f>
        <v>nfm|pm2</v>
      </c>
      <c r="B1264" s="3" t="inlineStr">
        <is>
          <t>nfm</t>
        </is>
      </c>
      <c r="C1264" s="3" t="inlineStr">
        <is>
          <t>pm2</t>
        </is>
      </c>
      <c r="D1264" s="3" t="str">
        <f>IF($B1264="",""," | "&amp;$E1264&amp;" | "&amp;$F1264)</f>
        <v> | Other metals | PM2.5</v>
      </c>
      <c r="E1264" s="3" t="str">
        <f>IFERROR(INDEX(SecLab,MATCH($B1264,SecKey,0)),"")</f>
        <v>Other metals</v>
      </c>
      <c r="F1264" s="3" t="str">
        <f>IFERROR(INDEX(FuelLab,MATCH($C1264,FuelKeyL,0)),"")</f>
        <v>PM2.5</v>
      </c>
      <c r="G1264" s="3" t="inlineStr">
        <is>
          <t>.nfm.pm2</t>
        </is>
      </c>
      <c r="I1264" s="3" t="inlineStr">
        <is>
          <t>ap|mch|bc</t>
        </is>
      </c>
      <c r="J1264" s="3" t="inlineStr">
        <is>
          <t>em.mch.all.bc</t>
        </is>
      </c>
    </row>
    <row r="1265">
      <c r="A1265" s="3" t="str">
        <f>$B1265&amp;"|"&amp;$C1265</f>
        <v>mac|pm2</v>
      </c>
      <c r="B1265" s="3" t="inlineStr">
        <is>
          <t>mac</t>
        </is>
      </c>
      <c r="C1265" s="3" t="inlineStr">
        <is>
          <t>pm2</t>
        </is>
      </c>
      <c r="D1265" s="3" t="str">
        <f>IF($B1265="",""," | "&amp;$E1265&amp;" | "&amp;$F1265)</f>
        <v> | Machinery | PM2.5</v>
      </c>
      <c r="E1265" s="3" t="str">
        <f>IFERROR(INDEX(SecLab,MATCH($B1265,SecKey,0)),"")</f>
        <v>Machinery</v>
      </c>
      <c r="F1265" s="3" t="str">
        <f>IFERROR(INDEX(FuelLab,MATCH($C1265,FuelKeyL,0)),"")</f>
        <v>PM2.5</v>
      </c>
      <c r="G1265" s="3" t="inlineStr">
        <is>
          <t>.mac.pm2</t>
        </is>
      </c>
      <c r="I1265" s="3" t="inlineStr">
        <is>
          <t>ap|irn|bc</t>
        </is>
      </c>
      <c r="J1265" s="3" t="inlineStr">
        <is>
          <t>em.irn.all.bc</t>
        </is>
      </c>
    </row>
    <row r="1266">
      <c r="A1266" s="3" t="str">
        <f>$B1266&amp;"|"&amp;$C1266</f>
        <v>cem|pm2</v>
      </c>
      <c r="B1266" s="3" t="inlineStr">
        <is>
          <t>cem</t>
        </is>
      </c>
      <c r="C1266" s="3" t="inlineStr">
        <is>
          <t>pm2</t>
        </is>
      </c>
      <c r="D1266" s="3" t="str">
        <f>IF($B1266="",""," | "&amp;$E1266&amp;" | "&amp;$F1266)</f>
        <v> | Cement | PM2.5</v>
      </c>
      <c r="E1266" s="3" t="str">
        <f>IFERROR(INDEX(SecLab,MATCH($B1266,SecKey,0)),"")</f>
        <v>Cement</v>
      </c>
      <c r="F1266" s="3" t="str">
        <f>IFERROR(INDEX(FuelLab,MATCH($C1266,FuelKeyL,0)),"")</f>
        <v>PM2.5</v>
      </c>
      <c r="G1266" s="3" t="inlineStr">
        <is>
          <t>.cem.pm2</t>
        </is>
      </c>
      <c r="I1266" s="3" t="inlineStr">
        <is>
          <t>ap|nfm|bc</t>
        </is>
      </c>
      <c r="J1266" s="3" t="inlineStr">
        <is>
          <t>em.nfm.all.bc</t>
        </is>
      </c>
    </row>
    <row r="1267">
      <c r="A1267" s="3" t="str">
        <f>$B1267&amp;"|"&amp;$C1267</f>
        <v>omn|pm2</v>
      </c>
      <c r="B1267" s="3" t="inlineStr">
        <is>
          <t>omn</t>
        </is>
      </c>
      <c r="C1267" s="3" t="inlineStr">
        <is>
          <t>pm2</t>
        </is>
      </c>
      <c r="D1267" s="3" t="str">
        <f>IF($B1267="",""," | "&amp;$E1267&amp;" | "&amp;$F1267)</f>
        <v> | Other manufacturing | PM2.5</v>
      </c>
      <c r="E1267" s="3" t="str">
        <f>IFERROR(INDEX(SecLab,MATCH($B1267,SecKey,0)),"")</f>
        <v>Other manufacturing</v>
      </c>
      <c r="F1267" s="3" t="str">
        <f>IFERROR(INDEX(FuelLab,MATCH($C1267,FuelKeyL,0)),"")</f>
        <v>PM2.5</v>
      </c>
      <c r="G1267" s="3" t="inlineStr">
        <is>
          <t>.omn.pm2</t>
        </is>
      </c>
      <c r="I1267" s="3" t="inlineStr">
        <is>
          <t>ap|mac|bc</t>
        </is>
      </c>
      <c r="J1267" s="3" t="inlineStr">
        <is>
          <t>em.mac.all.bc</t>
        </is>
      </c>
    </row>
    <row r="1268">
      <c r="A1268" s="3" t="str">
        <f>$B1268&amp;"|"&amp;$C1268</f>
        <v>cst|pm2</v>
      </c>
      <c r="B1268" s="3" t="inlineStr">
        <is>
          <t>cst</t>
        </is>
      </c>
      <c r="C1268" s="3" t="inlineStr">
        <is>
          <t>pm2</t>
        </is>
      </c>
      <c r="D1268" s="3" t="str">
        <f>IF($B1268="",""," | "&amp;$E1268&amp;" | "&amp;$F1268)</f>
        <v> | Construction | PM2.5</v>
      </c>
      <c r="E1268" s="3" t="str">
        <f>IFERROR(INDEX(SecLab,MATCH($B1268,SecKey,0)),"")</f>
        <v>Construction</v>
      </c>
      <c r="F1268" s="3" t="str">
        <f>IFERROR(INDEX(FuelLab,MATCH($C1268,FuelKeyL,0)),"")</f>
        <v>PM2.5</v>
      </c>
      <c r="G1268" s="3" t="inlineStr">
        <is>
          <t>.cst.pm2</t>
        </is>
      </c>
      <c r="I1268" s="3" t="inlineStr">
        <is>
          <t>ap|cem|bc</t>
        </is>
      </c>
      <c r="J1268" s="3" t="inlineStr">
        <is>
          <t>em.cem.all.bc</t>
        </is>
      </c>
    </row>
    <row r="1269">
      <c r="A1269" s="3" t="str">
        <f>$B1269&amp;"|"&amp;$C1269</f>
        <v>ftr|pm2</v>
      </c>
      <c r="B1269" s="3" t="inlineStr">
        <is>
          <t>ftr</t>
        </is>
      </c>
      <c r="C1269" s="3" t="inlineStr">
        <is>
          <t>pm2</t>
        </is>
      </c>
      <c r="D1269" s="3" t="str">
        <f>IF($B1269="",""," | "&amp;$E1269&amp;" | "&amp;$F1269)</f>
        <v> | Fuel transformation | PM2.5</v>
      </c>
      <c r="E1269" s="3" t="str">
        <f>IFERROR(INDEX(SecLab,MATCH($B1269,SecKey,0)),"")</f>
        <v>Fuel transformation</v>
      </c>
      <c r="F1269" s="3" t="str">
        <f>IFERROR(INDEX(FuelLab,MATCH($C1269,FuelKeyL,0)),"")</f>
        <v>PM2.5</v>
      </c>
      <c r="G1269" s="3" t="inlineStr">
        <is>
          <t>.ftr.pm2</t>
        </is>
      </c>
      <c r="I1269" s="3" t="inlineStr">
        <is>
          <t>ap|omn|bc</t>
        </is>
      </c>
      <c r="J1269" s="3" t="inlineStr">
        <is>
          <t>em.omn.all.bc</t>
        </is>
      </c>
    </row>
    <row r="1270">
      <c r="A1270" s="3" t="str">
        <f>$B1270&amp;"|"&amp;$C1270</f>
        <v>oen|pm2</v>
      </c>
      <c r="B1270" s="3" t="inlineStr">
        <is>
          <t>oen</t>
        </is>
      </c>
      <c r="C1270" s="3" t="inlineStr">
        <is>
          <t>pm2</t>
        </is>
      </c>
      <c r="D1270" s="3" t="str">
        <f>IF($B1270="",""," | "&amp;$E1270&amp;" | "&amp;$F1270)</f>
        <v> | Other energy use | PM2.5</v>
      </c>
      <c r="E1270" s="3" t="str">
        <f>IFERROR(INDEX(SecLab,MATCH($B1270,SecKey,0)),"")</f>
        <v>Other energy use</v>
      </c>
      <c r="F1270" s="3" t="str">
        <f>IFERROR(INDEX(FuelLab,MATCH($C1270,FuelKeyL,0)),"")</f>
        <v>PM2.5</v>
      </c>
      <c r="G1270" s="3" t="inlineStr">
        <is>
          <t>.oen.pm2</t>
        </is>
      </c>
      <c r="I1270" s="3" t="inlineStr">
        <is>
          <t>ap|cst|bc</t>
        </is>
      </c>
      <c r="J1270" s="3" t="inlineStr">
        <is>
          <t>em.cst.all.bc</t>
        </is>
      </c>
    </row>
    <row r="1271">
      <c r="A1271" s="3" t="str">
        <f>$B1271&amp;"|"&amp;$C1271</f>
        <v>pow|pm2</v>
      </c>
      <c r="B1271" s="3" t="inlineStr">
        <is>
          <t>pow</t>
        </is>
      </c>
      <c r="C1271" s="3" t="inlineStr">
        <is>
          <t>pm2</t>
        </is>
      </c>
      <c r="D1271" s="3" t="str">
        <f>IF($B1271="",""," | "&amp;$E1271&amp;" | "&amp;$F1271)</f>
        <v> | Power | PM2.5</v>
      </c>
      <c r="E1271" s="3" t="str">
        <f>IFERROR(INDEX(SecLab,MATCH($B1271,SecKey,0)),"")</f>
        <v>Power</v>
      </c>
      <c r="F1271" s="3" t="str">
        <f>IFERROR(INDEX(FuelLab,MATCH($C1271,FuelKeyL,0)),"")</f>
        <v>PM2.5</v>
      </c>
      <c r="G1271" s="3" t="inlineStr">
        <is>
          <t>.pow.pm2</t>
        </is>
      </c>
      <c r="I1271" s="3" t="inlineStr">
        <is>
          <t>ap|ftr|bc</t>
        </is>
      </c>
      <c r="J1271" s="3" t="inlineStr">
        <is>
          <t>em.ftr.all.bc</t>
        </is>
      </c>
    </row>
    <row r="1272">
      <c r="A1272" s="3" t="str">
        <f>$B1272&amp;"|"&amp;$C1272</f>
        <v>tra|pm2</v>
      </c>
      <c r="B1272" s="3" t="inlineStr">
        <is>
          <t>tra</t>
        </is>
      </c>
      <c r="C1272" s="3" t="inlineStr">
        <is>
          <t>pm2</t>
        </is>
      </c>
      <c r="D1272" s="3" t="str">
        <f>IF($B1272="",""," | "&amp;$E1272&amp;" | "&amp;$F1272)</f>
        <v> | Transport | PM2.5</v>
      </c>
      <c r="E1272" s="3" t="str">
        <f>IFERROR(INDEX(SecLab,MATCH($B1272,SecKey,0)),"")</f>
        <v>Transport</v>
      </c>
      <c r="F1272" s="3" t="str">
        <f>IFERROR(INDEX(FuelLab,MATCH($C1272,FuelKeyL,0)),"")</f>
        <v>PM2.5</v>
      </c>
      <c r="G1272" s="3" t="inlineStr">
        <is>
          <t>.tra.pm2</t>
        </is>
      </c>
      <c r="I1272" s="3" t="inlineStr">
        <is>
          <t>ap|oen|bc</t>
        </is>
      </c>
      <c r="J1272" s="3" t="inlineStr">
        <is>
          <t>em.oen.all.bc</t>
        </is>
      </c>
    </row>
    <row r="1273">
      <c r="A1273" s="3" t="str">
        <f>$B1273&amp;"|"&amp;$C1273</f>
        <v>bld|pm2</v>
      </c>
      <c r="B1273" s="3" t="inlineStr">
        <is>
          <t>bld</t>
        </is>
      </c>
      <c r="C1273" s="3" t="inlineStr">
        <is>
          <t>pm2</t>
        </is>
      </c>
      <c r="D1273" s="3" t="str">
        <f>IF($B1273="",""," | "&amp;$E1273&amp;" | "&amp;$F1273)</f>
        <v> | Buildings | PM2.5</v>
      </c>
      <c r="E1273" s="3" t="str">
        <f>IFERROR(INDEX(SecLab,MATCH($B1273,SecKey,0)),"")</f>
        <v>Buildings</v>
      </c>
      <c r="F1273" s="3" t="str">
        <f>IFERROR(INDEX(FuelLab,MATCH($C1273,FuelKeyL,0)),"")</f>
        <v>PM2.5</v>
      </c>
      <c r="G1273" s="3" t="inlineStr">
        <is>
          <t>.bld.pm2</t>
        </is>
      </c>
      <c r="I1273" s="3" t="inlineStr">
        <is>
          <t>ap|pow|bc</t>
        </is>
      </c>
      <c r="J1273" s="3" t="inlineStr">
        <is>
          <t>em.pow.all.bc</t>
        </is>
      </c>
    </row>
    <row r="1274">
      <c r="A1274" s="3" t="str">
        <f>$B1274&amp;"|"&amp;$C1274</f>
        <v>ind|pm2</v>
      </c>
      <c r="B1274" s="3" t="inlineStr">
        <is>
          <t>ind</t>
        </is>
      </c>
      <c r="C1274" s="3" t="inlineStr">
        <is>
          <t>pm2</t>
        </is>
      </c>
      <c r="D1274" s="3" t="str">
        <f>IF($B1274="",""," | "&amp;$E1274&amp;" | "&amp;$F1274)</f>
        <v> | Industry | PM2.5</v>
      </c>
      <c r="E1274" s="3" t="str">
        <f>IFERROR(INDEX(SecLab,MATCH($B1274,SecKey,0)),"")</f>
        <v>Industry</v>
      </c>
      <c r="F1274" s="3" t="str">
        <f>IFERROR(INDEX(FuelLab,MATCH($C1274,FuelKeyL,0)),"")</f>
        <v>PM2.5</v>
      </c>
      <c r="G1274" s="3" t="inlineStr">
        <is>
          <t>.ind.pm2</t>
        </is>
      </c>
      <c r="I1274" s="3" t="inlineStr">
        <is>
          <t>ap|tra|bc</t>
        </is>
      </c>
      <c r="J1274" s="3" t="inlineStr">
        <is>
          <t>em.tra.all.bc</t>
        </is>
      </c>
    </row>
    <row r="1275">
      <c r="A1275" s="3" t="str">
        <f>$B1275&amp;"|"&amp;$C1275</f>
        <v>fod|pm2</v>
      </c>
      <c r="B1275" s="3" t="inlineStr">
        <is>
          <t>fod</t>
        </is>
      </c>
      <c r="C1275" s="3" t="inlineStr">
        <is>
          <t>pm2</t>
        </is>
      </c>
      <c r="D1275" s="3" t="str">
        <f>IF($B1275="",""," | "&amp;$E1275&amp;" | "&amp;$F1275)</f>
        <v> | of which food | PM2.5</v>
      </c>
      <c r="E1275" s="3" t="str">
        <f>IFERROR(INDEX(SecLab,MATCH($B1275,SecKey,0)),"")</f>
        <v>of which food</v>
      </c>
      <c r="F1275" s="3" t="str">
        <f>IFERROR(INDEX(FuelLab,MATCH($C1275,FuelKeyL,0)),"")</f>
        <v>PM2.5</v>
      </c>
      <c r="G1275" s="3" t="inlineStr">
        <is>
          <t>.fod.pm2</t>
        </is>
      </c>
      <c r="I1275" s="3" t="inlineStr">
        <is>
          <t>ap|bld|bc</t>
        </is>
      </c>
      <c r="J1275" s="3" t="inlineStr">
        <is>
          <t>em.bld.all.bc</t>
        </is>
      </c>
    </row>
    <row r="1276">
      <c r="A1276" s="3" t="str">
        <f>$B1276&amp;"|"&amp;$C1276</f>
        <v>fag|pm2</v>
      </c>
      <c r="B1276" s="3" t="inlineStr">
        <is>
          <t>fag</t>
        </is>
      </c>
      <c r="C1276" s="3" t="inlineStr">
        <is>
          <t>pm2</t>
        </is>
      </c>
      <c r="D1276" s="3" t="str">
        <f>IF($B1276="",""," | "&amp;$E1276&amp;" | "&amp;$F1276)</f>
        <v> | of which forestry and agriculture | PM2.5</v>
      </c>
      <c r="E1276" s="3" t="str">
        <f>IFERROR(INDEX(SecLab,MATCH($B1276,SecKey,0)),"")</f>
        <v>of which forestry and agriculture</v>
      </c>
      <c r="F1276" s="3" t="str">
        <f>IFERROR(INDEX(FuelLab,MATCH($C1276,FuelKeyL,0)),"")</f>
        <v>PM2.5</v>
      </c>
      <c r="G1276" s="3" t="inlineStr">
        <is>
          <t>.fag.pm2</t>
        </is>
      </c>
      <c r="I1276" s="3" t="inlineStr">
        <is>
          <t>ap|ind|bc</t>
        </is>
      </c>
      <c r="J1276" s="3" t="inlineStr">
        <is>
          <t>em.ind.all.bc</t>
        </is>
      </c>
    </row>
    <row r="1277">
      <c r="A1277" s="3" t="str">
        <f>$B1277&amp;"|"&amp;$C1277</f>
        <v>rod|nox</v>
      </c>
      <c r="B1277" s="3" t="inlineStr">
        <is>
          <t>rod</t>
        </is>
      </c>
      <c r="C1277" s="3" t="inlineStr">
        <is>
          <t>nox</t>
        </is>
      </c>
      <c r="D1277" s="3" t="str">
        <f>IF($B1277="",""," | "&amp;$E1277&amp;" | "&amp;$F1277)</f>
        <v> | Road | NOx</v>
      </c>
      <c r="E1277" s="3" t="str">
        <f>IFERROR(INDEX(SecLab,MATCH($B1277,SecKey,0)),"")</f>
        <v>Road</v>
      </c>
      <c r="F1277" s="3" t="str">
        <f>IFERROR(INDEX(FuelLab,MATCH($C1277,FuelKeyL,0)),"")</f>
        <v>NOx</v>
      </c>
      <c r="G1277" s="3" t="inlineStr">
        <is>
          <t>.rod.nox</t>
        </is>
      </c>
      <c r="I1277" s="3" t="inlineStr">
        <is>
          <t>ap|fod|bc</t>
        </is>
      </c>
      <c r="J1277" s="3" t="inlineStr">
        <is>
          <t>em.fod.all.bc</t>
        </is>
      </c>
    </row>
    <row r="1278">
      <c r="A1278" s="3" t="str">
        <f>$B1278&amp;"|"&amp;$C1278</f>
        <v>ral|nox</v>
      </c>
      <c r="B1278" s="3" t="inlineStr">
        <is>
          <t>ral</t>
        </is>
      </c>
      <c r="C1278" s="3" t="inlineStr">
        <is>
          <t>nox</t>
        </is>
      </c>
      <c r="D1278" s="3" t="str">
        <f>IF($B1278="",""," | "&amp;$E1278&amp;" | "&amp;$F1278)</f>
        <v> | Rail | NOx</v>
      </c>
      <c r="E1278" s="3" t="str">
        <f>IFERROR(INDEX(SecLab,MATCH($B1278,SecKey,0)),"")</f>
        <v>Rail</v>
      </c>
      <c r="F1278" s="3" t="str">
        <f>IFERROR(INDEX(FuelLab,MATCH($C1278,FuelKeyL,0)),"")</f>
        <v>NOx</v>
      </c>
      <c r="G1278" s="3" t="inlineStr">
        <is>
          <t>.ral.nox</t>
        </is>
      </c>
      <c r="I1278" s="3" t="inlineStr">
        <is>
          <t>ap|fag|bc</t>
        </is>
      </c>
      <c r="J1278" s="3" t="inlineStr">
        <is>
          <t>em.fag.all.bc</t>
        </is>
      </c>
    </row>
    <row r="1279">
      <c r="A1279" s="3" t="str">
        <f>$B1279&amp;"|"&amp;$C1279</f>
        <v>avi|nox</v>
      </c>
      <c r="B1279" s="3" t="inlineStr">
        <is>
          <t>avi</t>
        </is>
      </c>
      <c r="C1279" s="3" t="inlineStr">
        <is>
          <t>nox</t>
        </is>
      </c>
      <c r="D1279" s="3" t="str">
        <f>IF($B1279="",""," | "&amp;$E1279&amp;" | "&amp;$F1279)</f>
        <v> | Domestic aviation | NOx</v>
      </c>
      <c r="E1279" s="3" t="str">
        <f>IFERROR(INDEX(SecLab,MATCH($B1279,SecKey,0)),"")</f>
        <v>Domestic aviation</v>
      </c>
      <c r="F1279" s="3" t="str">
        <f>IFERROR(INDEX(FuelLab,MATCH($C1279,FuelKeyL,0)),"")</f>
        <v>NOx</v>
      </c>
      <c r="G1279" s="3" t="inlineStr">
        <is>
          <t>.avi.nox</t>
        </is>
      </c>
      <c r="I1279" s="3" t="inlineStr">
        <is>
          <t>ap|rod|oc</t>
        </is>
      </c>
      <c r="J1279" s="3" t="inlineStr">
        <is>
          <t>em.rod.all.oc</t>
        </is>
      </c>
    </row>
    <row r="1280">
      <c r="A1280" s="3" t="str">
        <f>$B1280&amp;"|"&amp;$C1280</f>
        <v>nav|nox</v>
      </c>
      <c r="B1280" s="3" t="inlineStr">
        <is>
          <t>nav</t>
        </is>
      </c>
      <c r="C1280" s="3" t="inlineStr">
        <is>
          <t>nox</t>
        </is>
      </c>
      <c r="D1280" s="3" t="str">
        <f>IF($B1280="",""," | "&amp;$E1280&amp;" | "&amp;$F1280)</f>
        <v> | Domestic navigation | NOx</v>
      </c>
      <c r="E1280" s="3" t="str">
        <f>IFERROR(INDEX(SecLab,MATCH($B1280,SecKey,0)),"")</f>
        <v>Domestic navigation</v>
      </c>
      <c r="F1280" s="3" t="str">
        <f>IFERROR(INDEX(FuelLab,MATCH($C1280,FuelKeyL,0)),"")</f>
        <v>NOx</v>
      </c>
      <c r="G1280" s="3" t="inlineStr">
        <is>
          <t>.nav.nox</t>
        </is>
      </c>
      <c r="I1280" s="3" t="inlineStr">
        <is>
          <t>ap|ral|oc</t>
        </is>
      </c>
      <c r="J1280" s="3" t="inlineStr">
        <is>
          <t>em.ral.all.oc</t>
        </is>
      </c>
    </row>
    <row r="1281">
      <c r="A1281" s="3" t="str">
        <f>$B1281&amp;"|"&amp;$C1281</f>
        <v>res|nox</v>
      </c>
      <c r="B1281" s="3" t="inlineStr">
        <is>
          <t>res</t>
        </is>
      </c>
      <c r="C1281" s="3" t="inlineStr">
        <is>
          <t>nox</t>
        </is>
      </c>
      <c r="D1281" s="3" t="str">
        <f>IF($B1281="",""," | "&amp;$E1281&amp;" | "&amp;$F1281)</f>
        <v> | Residential | NOx</v>
      </c>
      <c r="E1281" s="3" t="str">
        <f>IFERROR(INDEX(SecLab,MATCH($B1281,SecKey,0)),"")</f>
        <v>Residential</v>
      </c>
      <c r="F1281" s="3" t="str">
        <f>IFERROR(INDEX(FuelLab,MATCH($C1281,FuelKeyL,0)),"")</f>
        <v>NOx</v>
      </c>
      <c r="G1281" s="3" t="inlineStr">
        <is>
          <t>.res.nox</t>
        </is>
      </c>
      <c r="I1281" s="3" t="inlineStr">
        <is>
          <t>ap|avi|oc</t>
        </is>
      </c>
      <c r="J1281" s="3" t="inlineStr">
        <is>
          <t>em.avi.all.oc</t>
        </is>
      </c>
    </row>
    <row r="1282">
      <c r="A1282" s="3" t="str">
        <f>$B1282&amp;"|"&amp;$C1282</f>
        <v>foo|nox</v>
      </c>
      <c r="B1282" s="3" t="inlineStr">
        <is>
          <t>foo</t>
        </is>
      </c>
      <c r="C1282" s="3" t="inlineStr">
        <is>
          <t>nox</t>
        </is>
      </c>
      <c r="D1282" s="3" t="str">
        <f>IF($B1282="",""," | "&amp;$E1282&amp;" | "&amp;$F1282)</f>
        <v> | Food &amp; forestry | NOx</v>
      </c>
      <c r="E1282" s="3" t="str">
        <f>IFERROR(INDEX(SecLab,MATCH($B1282,SecKey,0)),"")</f>
        <v>Food &amp; forestry</v>
      </c>
      <c r="F1282" s="3" t="str">
        <f>IFERROR(INDEX(FuelLab,MATCH($C1282,FuelKeyL,0)),"")</f>
        <v>NOx</v>
      </c>
      <c r="G1282" s="3" t="inlineStr">
        <is>
          <t>.foo.nox</t>
        </is>
      </c>
      <c r="I1282" s="3" t="inlineStr">
        <is>
          <t>ap|nav|oc</t>
        </is>
      </c>
      <c r="J1282" s="3" t="inlineStr">
        <is>
          <t>em.nav.all.oc</t>
        </is>
      </c>
    </row>
    <row r="1283">
      <c r="A1283" s="3" t="str">
        <f>$B1283&amp;"|"&amp;$C1283</f>
        <v>srv|nox</v>
      </c>
      <c r="B1283" s="3" t="inlineStr">
        <is>
          <t>srv</t>
        </is>
      </c>
      <c r="C1283" s="3" t="inlineStr">
        <is>
          <t>nox</t>
        </is>
      </c>
      <c r="D1283" s="3" t="str">
        <f>IF($B1283="",""," | "&amp;$E1283&amp;" | "&amp;$F1283)</f>
        <v> | Services (public &amp; private) | NOx</v>
      </c>
      <c r="E1283" s="3" t="str">
        <f>IFERROR(INDEX(SecLab,MATCH($B1283,SecKey,0)),"")</f>
        <v>Services (public &amp; private)</v>
      </c>
      <c r="F1283" s="3" t="str">
        <f>IFERROR(INDEX(FuelLab,MATCH($C1283,FuelKeyL,0)),"")</f>
        <v>NOx</v>
      </c>
      <c r="G1283" s="3" t="inlineStr">
        <is>
          <t>.srv.nox</t>
        </is>
      </c>
      <c r="I1283" s="3" t="inlineStr">
        <is>
          <t>ap|res|oc</t>
        </is>
      </c>
      <c r="J1283" s="3" t="inlineStr">
        <is>
          <t>em.res.all.oc</t>
        </is>
      </c>
    </row>
    <row r="1284">
      <c r="A1284" s="3" t="str">
        <f>$B1284&amp;"|"&amp;$C1284</f>
        <v>mch|nox</v>
      </c>
      <c r="B1284" s="3" t="inlineStr">
        <is>
          <t>mch</t>
        </is>
      </c>
      <c r="C1284" s="3" t="inlineStr">
        <is>
          <t>nox</t>
        </is>
      </c>
      <c r="D1284" s="3" t="str">
        <f>IF($B1284="",""," | "&amp;$E1284&amp;" | "&amp;$F1284)</f>
        <v> | Mining &amp; chemicals | NOx</v>
      </c>
      <c r="E1284" s="3" t="str">
        <f>IFERROR(INDEX(SecLab,MATCH($B1284,SecKey,0)),"")</f>
        <v>Mining &amp; chemicals</v>
      </c>
      <c r="F1284" s="3" t="str">
        <f>IFERROR(INDEX(FuelLab,MATCH($C1284,FuelKeyL,0)),"")</f>
        <v>NOx</v>
      </c>
      <c r="G1284" s="3" t="inlineStr">
        <is>
          <t>.mch.nox</t>
        </is>
      </c>
      <c r="I1284" s="3" t="inlineStr">
        <is>
          <t>ap|foo|oc</t>
        </is>
      </c>
      <c r="J1284" s="3" t="inlineStr">
        <is>
          <t>em.foo.all.oc</t>
        </is>
      </c>
    </row>
    <row r="1285">
      <c r="A1285" s="3" t="str">
        <f>$B1285&amp;"|"&amp;$C1285</f>
        <v>irn|nox</v>
      </c>
      <c r="B1285" s="3" t="inlineStr">
        <is>
          <t>irn</t>
        </is>
      </c>
      <c r="C1285" s="3" t="inlineStr">
        <is>
          <t>nox</t>
        </is>
      </c>
      <c r="D1285" s="3" t="str">
        <f>IF($B1285="",""," | "&amp;$E1285&amp;" | "&amp;$F1285)</f>
        <v> | Iron &amp; steel | NOx</v>
      </c>
      <c r="E1285" s="3" t="str">
        <f>IFERROR(INDEX(SecLab,MATCH($B1285,SecKey,0)),"")</f>
        <v>Iron &amp; steel</v>
      </c>
      <c r="F1285" s="3" t="str">
        <f>IFERROR(INDEX(FuelLab,MATCH($C1285,FuelKeyL,0)),"")</f>
        <v>NOx</v>
      </c>
      <c r="G1285" s="3" t="inlineStr">
        <is>
          <t>.irn.nox</t>
        </is>
      </c>
      <c r="I1285" s="3" t="inlineStr">
        <is>
          <t>ap|srv|oc</t>
        </is>
      </c>
      <c r="J1285" s="3" t="inlineStr">
        <is>
          <t>em.srv.all.oc</t>
        </is>
      </c>
    </row>
    <row r="1286">
      <c r="A1286" s="3" t="str">
        <f>$B1286&amp;"|"&amp;$C1286</f>
        <v>nfm|nox</v>
      </c>
      <c r="B1286" s="3" t="inlineStr">
        <is>
          <t>nfm</t>
        </is>
      </c>
      <c r="C1286" s="3" t="inlineStr">
        <is>
          <t>nox</t>
        </is>
      </c>
      <c r="D1286" s="3" t="str">
        <f>IF($B1286="",""," | "&amp;$E1286&amp;" | "&amp;$F1286)</f>
        <v> | Other metals | NOx</v>
      </c>
      <c r="E1286" s="3" t="str">
        <f>IFERROR(INDEX(SecLab,MATCH($B1286,SecKey,0)),"")</f>
        <v>Other metals</v>
      </c>
      <c r="F1286" s="3" t="str">
        <f>IFERROR(INDEX(FuelLab,MATCH($C1286,FuelKeyL,0)),"")</f>
        <v>NOx</v>
      </c>
      <c r="G1286" s="3" t="inlineStr">
        <is>
          <t>.nfm.nox</t>
        </is>
      </c>
      <c r="I1286" s="3" t="inlineStr">
        <is>
          <t>ap|mch|oc</t>
        </is>
      </c>
      <c r="J1286" s="3" t="inlineStr">
        <is>
          <t>em.mch.all.oc</t>
        </is>
      </c>
    </row>
    <row r="1287">
      <c r="A1287" s="3" t="str">
        <f>$B1287&amp;"|"&amp;$C1287</f>
        <v>mac|nox</v>
      </c>
      <c r="B1287" s="3" t="inlineStr">
        <is>
          <t>mac</t>
        </is>
      </c>
      <c r="C1287" s="3" t="inlineStr">
        <is>
          <t>nox</t>
        </is>
      </c>
      <c r="D1287" s="3" t="str">
        <f>IF($B1287="",""," | "&amp;$E1287&amp;" | "&amp;$F1287)</f>
        <v> | Machinery | NOx</v>
      </c>
      <c r="E1287" s="3" t="str">
        <f>IFERROR(INDEX(SecLab,MATCH($B1287,SecKey,0)),"")</f>
        <v>Machinery</v>
      </c>
      <c r="F1287" s="3" t="str">
        <f>IFERROR(INDEX(FuelLab,MATCH($C1287,FuelKeyL,0)),"")</f>
        <v>NOx</v>
      </c>
      <c r="G1287" s="3" t="inlineStr">
        <is>
          <t>.mac.nox</t>
        </is>
      </c>
      <c r="I1287" s="3" t="inlineStr">
        <is>
          <t>ap|irn|oc</t>
        </is>
      </c>
      <c r="J1287" s="3" t="inlineStr">
        <is>
          <t>em.irn.all.oc</t>
        </is>
      </c>
    </row>
    <row r="1288">
      <c r="A1288" s="3" t="str">
        <f>$B1288&amp;"|"&amp;$C1288</f>
        <v>cem|nox</v>
      </c>
      <c r="B1288" s="3" t="inlineStr">
        <is>
          <t>cem</t>
        </is>
      </c>
      <c r="C1288" s="3" t="inlineStr">
        <is>
          <t>nox</t>
        </is>
      </c>
      <c r="D1288" s="3" t="str">
        <f>IF($B1288="",""," | "&amp;$E1288&amp;" | "&amp;$F1288)</f>
        <v> | Cement | NOx</v>
      </c>
      <c r="E1288" s="3" t="str">
        <f>IFERROR(INDEX(SecLab,MATCH($B1288,SecKey,0)),"")</f>
        <v>Cement</v>
      </c>
      <c r="F1288" s="3" t="str">
        <f>IFERROR(INDEX(FuelLab,MATCH($C1288,FuelKeyL,0)),"")</f>
        <v>NOx</v>
      </c>
      <c r="G1288" s="3" t="inlineStr">
        <is>
          <t>.cem.nox</t>
        </is>
      </c>
      <c r="I1288" s="3" t="inlineStr">
        <is>
          <t>ap|nfm|oc</t>
        </is>
      </c>
      <c r="J1288" s="3" t="inlineStr">
        <is>
          <t>em.nfm.all.oc</t>
        </is>
      </c>
    </row>
    <row r="1289">
      <c r="A1289" s="3" t="str">
        <f>$B1289&amp;"|"&amp;$C1289</f>
        <v>omn|nox</v>
      </c>
      <c r="B1289" s="3" t="inlineStr">
        <is>
          <t>omn</t>
        </is>
      </c>
      <c r="C1289" s="3" t="inlineStr">
        <is>
          <t>nox</t>
        </is>
      </c>
      <c r="D1289" s="3" t="str">
        <f>IF($B1289="",""," | "&amp;$E1289&amp;" | "&amp;$F1289)</f>
        <v> | Other manufacturing | NOx</v>
      </c>
      <c r="E1289" s="3" t="str">
        <f>IFERROR(INDEX(SecLab,MATCH($B1289,SecKey,0)),"")</f>
        <v>Other manufacturing</v>
      </c>
      <c r="F1289" s="3" t="str">
        <f>IFERROR(INDEX(FuelLab,MATCH($C1289,FuelKeyL,0)),"")</f>
        <v>NOx</v>
      </c>
      <c r="G1289" s="3" t="inlineStr">
        <is>
          <t>.omn.nox</t>
        </is>
      </c>
      <c r="I1289" s="3" t="inlineStr">
        <is>
          <t>ap|mac|oc</t>
        </is>
      </c>
      <c r="J1289" s="3" t="inlineStr">
        <is>
          <t>em.mac.all.oc</t>
        </is>
      </c>
    </row>
    <row r="1290">
      <c r="A1290" s="3" t="str">
        <f>$B1290&amp;"|"&amp;$C1290</f>
        <v>cst|nox</v>
      </c>
      <c r="B1290" s="3" t="inlineStr">
        <is>
          <t>cst</t>
        </is>
      </c>
      <c r="C1290" s="3" t="inlineStr">
        <is>
          <t>nox</t>
        </is>
      </c>
      <c r="D1290" s="3" t="str">
        <f>IF($B1290="",""," | "&amp;$E1290&amp;" | "&amp;$F1290)</f>
        <v> | Construction | NOx</v>
      </c>
      <c r="E1290" s="3" t="str">
        <f>IFERROR(INDEX(SecLab,MATCH($B1290,SecKey,0)),"")</f>
        <v>Construction</v>
      </c>
      <c r="F1290" s="3" t="str">
        <f>IFERROR(INDEX(FuelLab,MATCH($C1290,FuelKeyL,0)),"")</f>
        <v>NOx</v>
      </c>
      <c r="G1290" s="3" t="inlineStr">
        <is>
          <t>.cst.nox</t>
        </is>
      </c>
      <c r="I1290" s="3" t="inlineStr">
        <is>
          <t>ap|cem|oc</t>
        </is>
      </c>
      <c r="J1290" s="3" t="inlineStr">
        <is>
          <t>em.cem.all.oc</t>
        </is>
      </c>
    </row>
    <row r="1291">
      <c r="A1291" s="3" t="str">
        <f>$B1291&amp;"|"&amp;$C1291</f>
        <v>ftr|nox</v>
      </c>
      <c r="B1291" s="3" t="inlineStr">
        <is>
          <t>ftr</t>
        </is>
      </c>
      <c r="C1291" s="3" t="inlineStr">
        <is>
          <t>nox</t>
        </is>
      </c>
      <c r="D1291" s="3" t="str">
        <f>IF($B1291="",""," | "&amp;$E1291&amp;" | "&amp;$F1291)</f>
        <v> | Fuel transformation | NOx</v>
      </c>
      <c r="E1291" s="3" t="str">
        <f>IFERROR(INDEX(SecLab,MATCH($B1291,SecKey,0)),"")</f>
        <v>Fuel transformation</v>
      </c>
      <c r="F1291" s="3" t="str">
        <f>IFERROR(INDEX(FuelLab,MATCH($C1291,FuelKeyL,0)),"")</f>
        <v>NOx</v>
      </c>
      <c r="G1291" s="3" t="inlineStr">
        <is>
          <t>.ftr.nox</t>
        </is>
      </c>
      <c r="I1291" s="3" t="inlineStr">
        <is>
          <t>ap|omn|oc</t>
        </is>
      </c>
      <c r="J1291" s="3" t="inlineStr">
        <is>
          <t>em.omn.all.oc</t>
        </is>
      </c>
    </row>
    <row r="1292">
      <c r="A1292" s="3" t="str">
        <f>$B1292&amp;"|"&amp;$C1292</f>
        <v>oen|nox</v>
      </c>
      <c r="B1292" s="3" t="inlineStr">
        <is>
          <t>oen</t>
        </is>
      </c>
      <c r="C1292" s="3" t="inlineStr">
        <is>
          <t>nox</t>
        </is>
      </c>
      <c r="D1292" s="3" t="str">
        <f>IF($B1292="",""," | "&amp;$E1292&amp;" | "&amp;$F1292)</f>
        <v> | Other energy use | NOx</v>
      </c>
      <c r="E1292" s="3" t="str">
        <f>IFERROR(INDEX(SecLab,MATCH($B1292,SecKey,0)),"")</f>
        <v>Other energy use</v>
      </c>
      <c r="F1292" s="3" t="str">
        <f>IFERROR(INDEX(FuelLab,MATCH($C1292,FuelKeyL,0)),"")</f>
        <v>NOx</v>
      </c>
      <c r="G1292" s="3" t="inlineStr">
        <is>
          <t>.oen.nox</t>
        </is>
      </c>
      <c r="I1292" s="3" t="inlineStr">
        <is>
          <t>ap|cst|oc</t>
        </is>
      </c>
      <c r="J1292" s="3" t="inlineStr">
        <is>
          <t>em.cst.all.oc</t>
        </is>
      </c>
    </row>
    <row r="1293">
      <c r="A1293" s="3" t="str">
        <f>$B1293&amp;"|"&amp;$C1293</f>
        <v>pow|nox</v>
      </c>
      <c r="B1293" s="3" t="inlineStr">
        <is>
          <t>pow</t>
        </is>
      </c>
      <c r="C1293" s="3" t="inlineStr">
        <is>
          <t>nox</t>
        </is>
      </c>
      <c r="D1293" s="3" t="str">
        <f>IF($B1293="",""," | "&amp;$E1293&amp;" | "&amp;$F1293)</f>
        <v> | Power | NOx</v>
      </c>
      <c r="E1293" s="3" t="str">
        <f>IFERROR(INDEX(SecLab,MATCH($B1293,SecKey,0)),"")</f>
        <v>Power</v>
      </c>
      <c r="F1293" s="3" t="str">
        <f>IFERROR(INDEX(FuelLab,MATCH($C1293,FuelKeyL,0)),"")</f>
        <v>NOx</v>
      </c>
      <c r="G1293" s="3" t="inlineStr">
        <is>
          <t>.pow.nox</t>
        </is>
      </c>
      <c r="I1293" s="3" t="inlineStr">
        <is>
          <t>ap|ftr|oc</t>
        </is>
      </c>
      <c r="J1293" s="3" t="inlineStr">
        <is>
          <t>em.ftr.all.oc</t>
        </is>
      </c>
    </row>
    <row r="1294">
      <c r="A1294" s="3" t="str">
        <f>$B1294&amp;"|"&amp;$C1294</f>
        <v>tra|nox</v>
      </c>
      <c r="B1294" s="3" t="inlineStr">
        <is>
          <t>tra</t>
        </is>
      </c>
      <c r="C1294" s="3" t="inlineStr">
        <is>
          <t>nox</t>
        </is>
      </c>
      <c r="D1294" s="3" t="str">
        <f>IF($B1294="",""," | "&amp;$E1294&amp;" | "&amp;$F1294)</f>
        <v> | Transport | NOx</v>
      </c>
      <c r="E1294" s="3" t="str">
        <f>IFERROR(INDEX(SecLab,MATCH($B1294,SecKey,0)),"")</f>
        <v>Transport</v>
      </c>
      <c r="F1294" s="3" t="str">
        <f>IFERROR(INDEX(FuelLab,MATCH($C1294,FuelKeyL,0)),"")</f>
        <v>NOx</v>
      </c>
      <c r="G1294" s="3" t="inlineStr">
        <is>
          <t>.tra.nox</t>
        </is>
      </c>
      <c r="I1294" s="3" t="inlineStr">
        <is>
          <t>ap|oen|oc</t>
        </is>
      </c>
      <c r="J1294" s="3" t="inlineStr">
        <is>
          <t>em.oen.all.oc</t>
        </is>
      </c>
    </row>
    <row r="1295">
      <c r="A1295" s="3" t="str">
        <f>$B1295&amp;"|"&amp;$C1295</f>
        <v>bld|nox</v>
      </c>
      <c r="B1295" s="3" t="inlineStr">
        <is>
          <t>bld</t>
        </is>
      </c>
      <c r="C1295" s="3" t="inlineStr">
        <is>
          <t>nox</t>
        </is>
      </c>
      <c r="D1295" s="3" t="str">
        <f>IF($B1295="",""," | "&amp;$E1295&amp;" | "&amp;$F1295)</f>
        <v> | Buildings | NOx</v>
      </c>
      <c r="E1295" s="3" t="str">
        <f>IFERROR(INDEX(SecLab,MATCH($B1295,SecKey,0)),"")</f>
        <v>Buildings</v>
      </c>
      <c r="F1295" s="3" t="str">
        <f>IFERROR(INDEX(FuelLab,MATCH($C1295,FuelKeyL,0)),"")</f>
        <v>NOx</v>
      </c>
      <c r="G1295" s="3" t="inlineStr">
        <is>
          <t>.bld.nox</t>
        </is>
      </c>
      <c r="I1295" s="3" t="inlineStr">
        <is>
          <t>ap|pow|oc</t>
        </is>
      </c>
      <c r="J1295" s="3" t="inlineStr">
        <is>
          <t>em.pow.all.oc</t>
        </is>
      </c>
    </row>
    <row r="1296">
      <c r="A1296" s="3" t="str">
        <f>$B1296&amp;"|"&amp;$C1296</f>
        <v>ind|nox</v>
      </c>
      <c r="B1296" s="3" t="inlineStr">
        <is>
          <t>ind</t>
        </is>
      </c>
      <c r="C1296" s="3" t="inlineStr">
        <is>
          <t>nox</t>
        </is>
      </c>
      <c r="D1296" s="3" t="str">
        <f>IF($B1296="",""," | "&amp;$E1296&amp;" | "&amp;$F1296)</f>
        <v> | Industry | NOx</v>
      </c>
      <c r="E1296" s="3" t="str">
        <f>IFERROR(INDEX(SecLab,MATCH($B1296,SecKey,0)),"")</f>
        <v>Industry</v>
      </c>
      <c r="F1296" s="3" t="str">
        <f>IFERROR(INDEX(FuelLab,MATCH($C1296,FuelKeyL,0)),"")</f>
        <v>NOx</v>
      </c>
      <c r="G1296" s="3" t="inlineStr">
        <is>
          <t>.ind.nox</t>
        </is>
      </c>
      <c r="I1296" s="3" t="inlineStr">
        <is>
          <t>ap|tra|oc</t>
        </is>
      </c>
      <c r="J1296" s="3" t="inlineStr">
        <is>
          <t>em.tra.all.oc</t>
        </is>
      </c>
    </row>
    <row r="1297">
      <c r="A1297" s="3" t="str">
        <f>$B1297&amp;"|"&amp;$C1297</f>
        <v>fod|nox</v>
      </c>
      <c r="B1297" s="3" t="inlineStr">
        <is>
          <t>fod</t>
        </is>
      </c>
      <c r="C1297" s="3" t="inlineStr">
        <is>
          <t>nox</t>
        </is>
      </c>
      <c r="D1297" s="3" t="str">
        <f>IF($B1297="",""," | "&amp;$E1297&amp;" | "&amp;$F1297)</f>
        <v> | of which food | NOx</v>
      </c>
      <c r="E1297" s="3" t="str">
        <f>IFERROR(INDEX(SecLab,MATCH($B1297,SecKey,0)),"")</f>
        <v>of which food</v>
      </c>
      <c r="F1297" s="3" t="str">
        <f>IFERROR(INDEX(FuelLab,MATCH($C1297,FuelKeyL,0)),"")</f>
        <v>NOx</v>
      </c>
      <c r="G1297" s="3" t="inlineStr">
        <is>
          <t>.fod.nox</t>
        </is>
      </c>
      <c r="I1297" s="3" t="inlineStr">
        <is>
          <t>ap|bld|oc</t>
        </is>
      </c>
      <c r="J1297" s="3" t="inlineStr">
        <is>
          <t>em.bld.all.oc</t>
        </is>
      </c>
    </row>
    <row r="1298">
      <c r="A1298" s="3" t="str">
        <f>$B1298&amp;"|"&amp;$C1298</f>
        <v>fag|nox</v>
      </c>
      <c r="B1298" s="3" t="inlineStr">
        <is>
          <t>fag</t>
        </is>
      </c>
      <c r="C1298" s="3" t="inlineStr">
        <is>
          <t>nox</t>
        </is>
      </c>
      <c r="D1298" s="3" t="str">
        <f>IF($B1298="",""," | "&amp;$E1298&amp;" | "&amp;$F1298)</f>
        <v> | of which forestry and agriculture | NOx</v>
      </c>
      <c r="E1298" s="3" t="str">
        <f>IFERROR(INDEX(SecLab,MATCH($B1298,SecKey,0)),"")</f>
        <v>of which forestry and agriculture</v>
      </c>
      <c r="F1298" s="3" t="str">
        <f>IFERROR(INDEX(FuelLab,MATCH($C1298,FuelKeyL,0)),"")</f>
        <v>NOx</v>
      </c>
      <c r="G1298" s="3" t="inlineStr">
        <is>
          <t>.fag.nox</t>
        </is>
      </c>
      <c r="I1298" s="3" t="inlineStr">
        <is>
          <t>ap|ind|oc</t>
        </is>
      </c>
      <c r="J1298" s="3" t="inlineStr">
        <is>
          <t>em.ind.all.oc</t>
        </is>
      </c>
    </row>
    <row r="1299">
      <c r="A1299" s="3" t="str">
        <f>$B1299&amp;"|"&amp;$C1299</f>
        <v>rod|so2</v>
      </c>
      <c r="B1299" s="3" t="inlineStr">
        <is>
          <t>rod</t>
        </is>
      </c>
      <c r="C1299" s="3" t="inlineStr">
        <is>
          <t>so2</t>
        </is>
      </c>
      <c r="D1299" s="3" t="str">
        <f>IF($B1299="",""," | "&amp;$E1299&amp;" | "&amp;$F1299)</f>
        <v> | Road | SO2</v>
      </c>
      <c r="E1299" s="3" t="str">
        <f>IFERROR(INDEX(SecLab,MATCH($B1299,SecKey,0)),"")</f>
        <v>Road</v>
      </c>
      <c r="F1299" s="3" t="str">
        <f>IFERROR(INDEX(FuelLab,MATCH($C1299,FuelKeyL,0)),"")</f>
        <v>SO2</v>
      </c>
      <c r="G1299" s="3" t="inlineStr">
        <is>
          <t>.rod.so2</t>
        </is>
      </c>
      <c r="I1299" s="3" t="inlineStr">
        <is>
          <t>ap|fod|oc</t>
        </is>
      </c>
      <c r="J1299" s="3" t="inlineStr">
        <is>
          <t>em.fod.all.oc</t>
        </is>
      </c>
    </row>
    <row r="1300">
      <c r="A1300" s="3" t="str">
        <f>$B1300&amp;"|"&amp;$C1300</f>
        <v>ral|so2</v>
      </c>
      <c r="B1300" s="3" t="inlineStr">
        <is>
          <t>ral</t>
        </is>
      </c>
      <c r="C1300" s="3" t="inlineStr">
        <is>
          <t>so2</t>
        </is>
      </c>
      <c r="D1300" s="3" t="str">
        <f>IF($B1300="",""," | "&amp;$E1300&amp;" | "&amp;$F1300)</f>
        <v> | Rail | SO2</v>
      </c>
      <c r="E1300" s="3" t="str">
        <f>IFERROR(INDEX(SecLab,MATCH($B1300,SecKey,0)),"")</f>
        <v>Rail</v>
      </c>
      <c r="F1300" s="3" t="str">
        <f>IFERROR(INDEX(FuelLab,MATCH($C1300,FuelKeyL,0)),"")</f>
        <v>SO2</v>
      </c>
      <c r="G1300" s="3" t="inlineStr">
        <is>
          <t>.ral.so2</t>
        </is>
      </c>
      <c r="I1300" s="3" t="inlineStr">
        <is>
          <t>ap|fag|oc</t>
        </is>
      </c>
      <c r="J1300" s="3" t="inlineStr">
        <is>
          <t>em.fag.all.oc</t>
        </is>
      </c>
    </row>
    <row r="1301">
      <c r="A1301" s="3" t="str">
        <f>$B1301&amp;"|"&amp;$C1301</f>
        <v>avi|so2</v>
      </c>
      <c r="B1301" s="3" t="inlineStr">
        <is>
          <t>avi</t>
        </is>
      </c>
      <c r="C1301" s="3" t="inlineStr">
        <is>
          <t>so2</t>
        </is>
      </c>
      <c r="D1301" s="3" t="str">
        <f>IF($B1301="",""," | "&amp;$E1301&amp;" | "&amp;$F1301)</f>
        <v> | Domestic aviation | SO2</v>
      </c>
      <c r="E1301" s="3" t="str">
        <f>IFERROR(INDEX(SecLab,MATCH($B1301,SecKey,0)),"")</f>
        <v>Domestic aviation</v>
      </c>
      <c r="F1301" s="3" t="str">
        <f>IFERROR(INDEX(FuelLab,MATCH($C1301,FuelKeyL,0)),"")</f>
        <v>SO2</v>
      </c>
      <c r="G1301" s="3" t="inlineStr">
        <is>
          <t>.avi.so2</t>
        </is>
      </c>
      <c r="I1301" s="3" t="inlineStr">
        <is>
          <t>ap|rod|co</t>
        </is>
      </c>
      <c r="J1301" s="3" t="inlineStr">
        <is>
          <t>em.rod.all.co</t>
        </is>
      </c>
    </row>
    <row r="1302">
      <c r="A1302" s="3" t="str">
        <f>$B1302&amp;"|"&amp;$C1302</f>
        <v>nav|so2</v>
      </c>
      <c r="B1302" s="3" t="inlineStr">
        <is>
          <t>nav</t>
        </is>
      </c>
      <c r="C1302" s="3" t="inlineStr">
        <is>
          <t>so2</t>
        </is>
      </c>
      <c r="D1302" s="3" t="str">
        <f>IF($B1302="",""," | "&amp;$E1302&amp;" | "&amp;$F1302)</f>
        <v> | Domestic navigation | SO2</v>
      </c>
      <c r="E1302" s="3" t="str">
        <f>IFERROR(INDEX(SecLab,MATCH($B1302,SecKey,0)),"")</f>
        <v>Domestic navigation</v>
      </c>
      <c r="F1302" s="3" t="str">
        <f>IFERROR(INDEX(FuelLab,MATCH($C1302,FuelKeyL,0)),"")</f>
        <v>SO2</v>
      </c>
      <c r="G1302" s="3" t="inlineStr">
        <is>
          <t>.nav.so2</t>
        </is>
      </c>
      <c r="I1302" s="3" t="inlineStr">
        <is>
          <t>ap|ral|co</t>
        </is>
      </c>
      <c r="J1302" s="3" t="inlineStr">
        <is>
          <t>em.ral.all.co</t>
        </is>
      </c>
    </row>
    <row r="1303">
      <c r="A1303" s="3" t="str">
        <f>$B1303&amp;"|"&amp;$C1303</f>
        <v>res|so2</v>
      </c>
      <c r="B1303" s="3" t="inlineStr">
        <is>
          <t>res</t>
        </is>
      </c>
      <c r="C1303" s="3" t="inlineStr">
        <is>
          <t>so2</t>
        </is>
      </c>
      <c r="D1303" s="3" t="str">
        <f>IF($B1303="",""," | "&amp;$E1303&amp;" | "&amp;$F1303)</f>
        <v> | Residential | SO2</v>
      </c>
      <c r="E1303" s="3" t="str">
        <f>IFERROR(INDEX(SecLab,MATCH($B1303,SecKey,0)),"")</f>
        <v>Residential</v>
      </c>
      <c r="F1303" s="3" t="str">
        <f>IFERROR(INDEX(FuelLab,MATCH($C1303,FuelKeyL,0)),"")</f>
        <v>SO2</v>
      </c>
      <c r="G1303" s="3" t="inlineStr">
        <is>
          <t>.res.so2</t>
        </is>
      </c>
      <c r="I1303" s="3" t="inlineStr">
        <is>
          <t>ap|avi|co</t>
        </is>
      </c>
      <c r="J1303" s="3" t="inlineStr">
        <is>
          <t>em.avi.all.co</t>
        </is>
      </c>
    </row>
    <row r="1304">
      <c r="A1304" s="3" t="str">
        <f>$B1304&amp;"|"&amp;$C1304</f>
        <v>foo|so2</v>
      </c>
      <c r="B1304" s="3" t="inlineStr">
        <is>
          <t>foo</t>
        </is>
      </c>
      <c r="C1304" s="3" t="inlineStr">
        <is>
          <t>so2</t>
        </is>
      </c>
      <c r="D1304" s="3" t="str">
        <f>IF($B1304="",""," | "&amp;$E1304&amp;" | "&amp;$F1304)</f>
        <v> | Food &amp; forestry | SO2</v>
      </c>
      <c r="E1304" s="3" t="str">
        <f>IFERROR(INDEX(SecLab,MATCH($B1304,SecKey,0)),"")</f>
        <v>Food &amp; forestry</v>
      </c>
      <c r="F1304" s="3" t="str">
        <f>IFERROR(INDEX(FuelLab,MATCH($C1304,FuelKeyL,0)),"")</f>
        <v>SO2</v>
      </c>
      <c r="G1304" s="3" t="inlineStr">
        <is>
          <t>.foo.so2</t>
        </is>
      </c>
      <c r="I1304" s="3" t="inlineStr">
        <is>
          <t>ap|nav|co</t>
        </is>
      </c>
      <c r="J1304" s="3" t="inlineStr">
        <is>
          <t>em.nav.all.co</t>
        </is>
      </c>
    </row>
    <row r="1305">
      <c r="A1305" s="3" t="str">
        <f>$B1305&amp;"|"&amp;$C1305</f>
        <v>srv|so2</v>
      </c>
      <c r="B1305" s="3" t="inlineStr">
        <is>
          <t>srv</t>
        </is>
      </c>
      <c r="C1305" s="3" t="inlineStr">
        <is>
          <t>so2</t>
        </is>
      </c>
      <c r="D1305" s="3" t="str">
        <f>IF($B1305="",""," | "&amp;$E1305&amp;" | "&amp;$F1305)</f>
        <v> | Services (public &amp; private) | SO2</v>
      </c>
      <c r="E1305" s="3" t="str">
        <f>IFERROR(INDEX(SecLab,MATCH($B1305,SecKey,0)),"")</f>
        <v>Services (public &amp; private)</v>
      </c>
      <c r="F1305" s="3" t="str">
        <f>IFERROR(INDEX(FuelLab,MATCH($C1305,FuelKeyL,0)),"")</f>
        <v>SO2</v>
      </c>
      <c r="G1305" s="3" t="inlineStr">
        <is>
          <t>.srv.so2</t>
        </is>
      </c>
      <c r="I1305" s="3" t="inlineStr">
        <is>
          <t>ap|res|co</t>
        </is>
      </c>
      <c r="J1305" s="3" t="inlineStr">
        <is>
          <t>em.res.all.co</t>
        </is>
      </c>
    </row>
    <row r="1306">
      <c r="A1306" s="3" t="str">
        <f>$B1306&amp;"|"&amp;$C1306</f>
        <v>mch|so2</v>
      </c>
      <c r="B1306" s="3" t="inlineStr">
        <is>
          <t>mch</t>
        </is>
      </c>
      <c r="C1306" s="3" t="inlineStr">
        <is>
          <t>so2</t>
        </is>
      </c>
      <c r="D1306" s="3" t="str">
        <f>IF($B1306="",""," | "&amp;$E1306&amp;" | "&amp;$F1306)</f>
        <v> | Mining &amp; chemicals | SO2</v>
      </c>
      <c r="E1306" s="3" t="str">
        <f>IFERROR(INDEX(SecLab,MATCH($B1306,SecKey,0)),"")</f>
        <v>Mining &amp; chemicals</v>
      </c>
      <c r="F1306" s="3" t="str">
        <f>IFERROR(INDEX(FuelLab,MATCH($C1306,FuelKeyL,0)),"")</f>
        <v>SO2</v>
      </c>
      <c r="G1306" s="3" t="inlineStr">
        <is>
          <t>.mch.so2</t>
        </is>
      </c>
      <c r="I1306" s="3" t="inlineStr">
        <is>
          <t>ap|foo|co</t>
        </is>
      </c>
      <c r="J1306" s="3" t="inlineStr">
        <is>
          <t>em.foo.all.co</t>
        </is>
      </c>
    </row>
    <row r="1307">
      <c r="A1307" s="3" t="str">
        <f>$B1307&amp;"|"&amp;$C1307</f>
        <v>irn|so2</v>
      </c>
      <c r="B1307" s="3" t="inlineStr">
        <is>
          <t>irn</t>
        </is>
      </c>
      <c r="C1307" s="3" t="inlineStr">
        <is>
          <t>so2</t>
        </is>
      </c>
      <c r="D1307" s="3" t="str">
        <f>IF($B1307="",""," | "&amp;$E1307&amp;" | "&amp;$F1307)</f>
        <v> | Iron &amp; steel | SO2</v>
      </c>
      <c r="E1307" s="3" t="str">
        <f>IFERROR(INDEX(SecLab,MATCH($B1307,SecKey,0)),"")</f>
        <v>Iron &amp; steel</v>
      </c>
      <c r="F1307" s="3" t="str">
        <f>IFERROR(INDEX(FuelLab,MATCH($C1307,FuelKeyL,0)),"")</f>
        <v>SO2</v>
      </c>
      <c r="G1307" s="3" t="inlineStr">
        <is>
          <t>.irn.so2</t>
        </is>
      </c>
      <c r="I1307" s="3" t="inlineStr">
        <is>
          <t>ap|srv|co</t>
        </is>
      </c>
      <c r="J1307" s="3" t="inlineStr">
        <is>
          <t>em.srv.all.co</t>
        </is>
      </c>
    </row>
    <row r="1308">
      <c r="A1308" s="3" t="str">
        <f>$B1308&amp;"|"&amp;$C1308</f>
        <v>nfm|so2</v>
      </c>
      <c r="B1308" s="3" t="inlineStr">
        <is>
          <t>nfm</t>
        </is>
      </c>
      <c r="C1308" s="3" t="inlineStr">
        <is>
          <t>so2</t>
        </is>
      </c>
      <c r="D1308" s="3" t="str">
        <f>IF($B1308="",""," | "&amp;$E1308&amp;" | "&amp;$F1308)</f>
        <v> | Other metals | SO2</v>
      </c>
      <c r="E1308" s="3" t="str">
        <f>IFERROR(INDEX(SecLab,MATCH($B1308,SecKey,0)),"")</f>
        <v>Other metals</v>
      </c>
      <c r="F1308" s="3" t="str">
        <f>IFERROR(INDEX(FuelLab,MATCH($C1308,FuelKeyL,0)),"")</f>
        <v>SO2</v>
      </c>
      <c r="G1308" s="3" t="inlineStr">
        <is>
          <t>.nfm.so2</t>
        </is>
      </c>
      <c r="I1308" s="3" t="inlineStr">
        <is>
          <t>ap|mch|co</t>
        </is>
      </c>
      <c r="J1308" s="3" t="inlineStr">
        <is>
          <t>em.mch.all.co</t>
        </is>
      </c>
    </row>
    <row r="1309">
      <c r="A1309" s="3" t="str">
        <f>$B1309&amp;"|"&amp;$C1309</f>
        <v>mac|so2</v>
      </c>
      <c r="B1309" s="3" t="inlineStr">
        <is>
          <t>mac</t>
        </is>
      </c>
      <c r="C1309" s="3" t="inlineStr">
        <is>
          <t>so2</t>
        </is>
      </c>
      <c r="D1309" s="3" t="str">
        <f>IF($B1309="",""," | "&amp;$E1309&amp;" | "&amp;$F1309)</f>
        <v> | Machinery | SO2</v>
      </c>
      <c r="E1309" s="3" t="str">
        <f>IFERROR(INDEX(SecLab,MATCH($B1309,SecKey,0)),"")</f>
        <v>Machinery</v>
      </c>
      <c r="F1309" s="3" t="str">
        <f>IFERROR(INDEX(FuelLab,MATCH($C1309,FuelKeyL,0)),"")</f>
        <v>SO2</v>
      </c>
      <c r="G1309" s="3" t="inlineStr">
        <is>
          <t>.mac.so2</t>
        </is>
      </c>
      <c r="I1309" s="3" t="inlineStr">
        <is>
          <t>ap|irn|co</t>
        </is>
      </c>
      <c r="J1309" s="3" t="inlineStr">
        <is>
          <t>em.irn.all.co</t>
        </is>
      </c>
    </row>
    <row r="1310">
      <c r="A1310" s="3" t="str">
        <f>$B1310&amp;"|"&amp;$C1310</f>
        <v>cem|so2</v>
      </c>
      <c r="B1310" s="3" t="inlineStr">
        <is>
          <t>cem</t>
        </is>
      </c>
      <c r="C1310" s="3" t="inlineStr">
        <is>
          <t>so2</t>
        </is>
      </c>
      <c r="D1310" s="3" t="str">
        <f>IF($B1310="",""," | "&amp;$E1310&amp;" | "&amp;$F1310)</f>
        <v> | Cement | SO2</v>
      </c>
      <c r="E1310" s="3" t="str">
        <f>IFERROR(INDEX(SecLab,MATCH($B1310,SecKey,0)),"")</f>
        <v>Cement</v>
      </c>
      <c r="F1310" s="3" t="str">
        <f>IFERROR(INDEX(FuelLab,MATCH($C1310,FuelKeyL,0)),"")</f>
        <v>SO2</v>
      </c>
      <c r="G1310" s="3" t="inlineStr">
        <is>
          <t>.cem.so2</t>
        </is>
      </c>
      <c r="I1310" s="3" t="inlineStr">
        <is>
          <t>ap|nfm|co</t>
        </is>
      </c>
      <c r="J1310" s="3" t="inlineStr">
        <is>
          <t>em.nfm.all.co</t>
        </is>
      </c>
    </row>
    <row r="1311">
      <c r="A1311" s="3" t="str">
        <f>$B1311&amp;"|"&amp;$C1311</f>
        <v>omn|so2</v>
      </c>
      <c r="B1311" s="3" t="inlineStr">
        <is>
          <t>omn</t>
        </is>
      </c>
      <c r="C1311" s="3" t="inlineStr">
        <is>
          <t>so2</t>
        </is>
      </c>
      <c r="D1311" s="3" t="str">
        <f>IF($B1311="",""," | "&amp;$E1311&amp;" | "&amp;$F1311)</f>
        <v> | Other manufacturing | SO2</v>
      </c>
      <c r="E1311" s="3" t="str">
        <f>IFERROR(INDEX(SecLab,MATCH($B1311,SecKey,0)),"")</f>
        <v>Other manufacturing</v>
      </c>
      <c r="F1311" s="3" t="str">
        <f>IFERROR(INDEX(FuelLab,MATCH($C1311,FuelKeyL,0)),"")</f>
        <v>SO2</v>
      </c>
      <c r="G1311" s="3" t="inlineStr">
        <is>
          <t>.omn.so2</t>
        </is>
      </c>
      <c r="I1311" s="3" t="inlineStr">
        <is>
          <t>ap|mac|co</t>
        </is>
      </c>
      <c r="J1311" s="3" t="inlineStr">
        <is>
          <t>em.mac.all.co</t>
        </is>
      </c>
    </row>
    <row r="1312">
      <c r="A1312" s="3" t="str">
        <f>$B1312&amp;"|"&amp;$C1312</f>
        <v>cst|so2</v>
      </c>
      <c r="B1312" s="3" t="inlineStr">
        <is>
          <t>cst</t>
        </is>
      </c>
      <c r="C1312" s="3" t="inlineStr">
        <is>
          <t>so2</t>
        </is>
      </c>
      <c r="D1312" s="3" t="str">
        <f>IF($B1312="",""," | "&amp;$E1312&amp;" | "&amp;$F1312)</f>
        <v> | Construction | SO2</v>
      </c>
      <c r="E1312" s="3" t="str">
        <f>IFERROR(INDEX(SecLab,MATCH($B1312,SecKey,0)),"")</f>
        <v>Construction</v>
      </c>
      <c r="F1312" s="3" t="str">
        <f>IFERROR(INDEX(FuelLab,MATCH($C1312,FuelKeyL,0)),"")</f>
        <v>SO2</v>
      </c>
      <c r="G1312" s="3" t="inlineStr">
        <is>
          <t>.cst.so2</t>
        </is>
      </c>
      <c r="I1312" s="3" t="inlineStr">
        <is>
          <t>ap|cem|co</t>
        </is>
      </c>
      <c r="J1312" s="3" t="inlineStr">
        <is>
          <t>em.cem.all.co</t>
        </is>
      </c>
    </row>
    <row r="1313">
      <c r="A1313" s="3" t="str">
        <f>$B1313&amp;"|"&amp;$C1313</f>
        <v>ftr|so2</v>
      </c>
      <c r="B1313" s="3" t="inlineStr">
        <is>
          <t>ftr</t>
        </is>
      </c>
      <c r="C1313" s="3" t="inlineStr">
        <is>
          <t>so2</t>
        </is>
      </c>
      <c r="D1313" s="3" t="str">
        <f>IF($B1313="",""," | "&amp;$E1313&amp;" | "&amp;$F1313)</f>
        <v> | Fuel transformation | SO2</v>
      </c>
      <c r="E1313" s="3" t="str">
        <f>IFERROR(INDEX(SecLab,MATCH($B1313,SecKey,0)),"")</f>
        <v>Fuel transformation</v>
      </c>
      <c r="F1313" s="3" t="str">
        <f>IFERROR(INDEX(FuelLab,MATCH($C1313,FuelKeyL,0)),"")</f>
        <v>SO2</v>
      </c>
      <c r="G1313" s="3" t="inlineStr">
        <is>
          <t>.ftr.so2</t>
        </is>
      </c>
      <c r="I1313" s="3" t="inlineStr">
        <is>
          <t>ap|omn|co</t>
        </is>
      </c>
      <c r="J1313" s="3" t="inlineStr">
        <is>
          <t>em.omn.all.co</t>
        </is>
      </c>
    </row>
    <row r="1314">
      <c r="A1314" s="3" t="str">
        <f>$B1314&amp;"|"&amp;$C1314</f>
        <v>oen|so2</v>
      </c>
      <c r="B1314" s="3" t="inlineStr">
        <is>
          <t>oen</t>
        </is>
      </c>
      <c r="C1314" s="3" t="inlineStr">
        <is>
          <t>so2</t>
        </is>
      </c>
      <c r="D1314" s="3" t="str">
        <f>IF($B1314="",""," | "&amp;$E1314&amp;" | "&amp;$F1314)</f>
        <v> | Other energy use | SO2</v>
      </c>
      <c r="E1314" s="3" t="str">
        <f>IFERROR(INDEX(SecLab,MATCH($B1314,SecKey,0)),"")</f>
        <v>Other energy use</v>
      </c>
      <c r="F1314" s="3" t="str">
        <f>IFERROR(INDEX(FuelLab,MATCH($C1314,FuelKeyL,0)),"")</f>
        <v>SO2</v>
      </c>
      <c r="G1314" s="3" t="inlineStr">
        <is>
          <t>.oen.so2</t>
        </is>
      </c>
      <c r="I1314" s="3" t="inlineStr">
        <is>
          <t>ap|cst|co</t>
        </is>
      </c>
      <c r="J1314" s="3" t="inlineStr">
        <is>
          <t>em.cst.all.co</t>
        </is>
      </c>
    </row>
    <row r="1315">
      <c r="A1315" s="3" t="str">
        <f>$B1315&amp;"|"&amp;$C1315</f>
        <v>pow|so2</v>
      </c>
      <c r="B1315" s="3" t="inlineStr">
        <is>
          <t>pow</t>
        </is>
      </c>
      <c r="C1315" s="3" t="inlineStr">
        <is>
          <t>so2</t>
        </is>
      </c>
      <c r="D1315" s="3" t="str">
        <f>IF($B1315="",""," | "&amp;$E1315&amp;" | "&amp;$F1315)</f>
        <v> | Power | SO2</v>
      </c>
      <c r="E1315" s="3" t="str">
        <f>IFERROR(INDEX(SecLab,MATCH($B1315,SecKey,0)),"")</f>
        <v>Power</v>
      </c>
      <c r="F1315" s="3" t="str">
        <f>IFERROR(INDEX(FuelLab,MATCH($C1315,FuelKeyL,0)),"")</f>
        <v>SO2</v>
      </c>
      <c r="G1315" s="3" t="inlineStr">
        <is>
          <t>.pow.so2</t>
        </is>
      </c>
      <c r="I1315" s="3" t="inlineStr">
        <is>
          <t>ap|ftr|co</t>
        </is>
      </c>
      <c r="J1315" s="3" t="inlineStr">
        <is>
          <t>em.ftr.all.co</t>
        </is>
      </c>
    </row>
    <row r="1316">
      <c r="A1316" s="3" t="str">
        <f>$B1316&amp;"|"&amp;$C1316</f>
        <v>tra|so2</v>
      </c>
      <c r="B1316" s="3" t="inlineStr">
        <is>
          <t>tra</t>
        </is>
      </c>
      <c r="C1316" s="3" t="inlineStr">
        <is>
          <t>so2</t>
        </is>
      </c>
      <c r="D1316" s="3" t="str">
        <f>IF($B1316="",""," | "&amp;$E1316&amp;" | "&amp;$F1316)</f>
        <v> | Transport | SO2</v>
      </c>
      <c r="E1316" s="3" t="str">
        <f>IFERROR(INDEX(SecLab,MATCH($B1316,SecKey,0)),"")</f>
        <v>Transport</v>
      </c>
      <c r="F1316" s="3" t="str">
        <f>IFERROR(INDEX(FuelLab,MATCH($C1316,FuelKeyL,0)),"")</f>
        <v>SO2</v>
      </c>
      <c r="G1316" s="3" t="inlineStr">
        <is>
          <t>.tra.so2</t>
        </is>
      </c>
      <c r="I1316" s="3" t="inlineStr">
        <is>
          <t>ap|oen|co</t>
        </is>
      </c>
      <c r="J1316" s="3" t="inlineStr">
        <is>
          <t>em.oen.all.co</t>
        </is>
      </c>
    </row>
    <row r="1317">
      <c r="A1317" s="3" t="str">
        <f>$B1317&amp;"|"&amp;$C1317</f>
        <v>bld|so2</v>
      </c>
      <c r="B1317" s="3" t="inlineStr">
        <is>
          <t>bld</t>
        </is>
      </c>
      <c r="C1317" s="3" t="inlineStr">
        <is>
          <t>so2</t>
        </is>
      </c>
      <c r="D1317" s="3" t="str">
        <f>IF($B1317="",""," | "&amp;$E1317&amp;" | "&amp;$F1317)</f>
        <v> | Buildings | SO2</v>
      </c>
      <c r="E1317" s="3" t="str">
        <f>IFERROR(INDEX(SecLab,MATCH($B1317,SecKey,0)),"")</f>
        <v>Buildings</v>
      </c>
      <c r="F1317" s="3" t="str">
        <f>IFERROR(INDEX(FuelLab,MATCH($C1317,FuelKeyL,0)),"")</f>
        <v>SO2</v>
      </c>
      <c r="G1317" s="3" t="inlineStr">
        <is>
          <t>.bld.so2</t>
        </is>
      </c>
      <c r="I1317" s="3" t="inlineStr">
        <is>
          <t>ap|pow|co</t>
        </is>
      </c>
      <c r="J1317" s="3" t="inlineStr">
        <is>
          <t>em.pow.all.co</t>
        </is>
      </c>
    </row>
    <row r="1318">
      <c r="A1318" s="3" t="str">
        <f>$B1318&amp;"|"&amp;$C1318</f>
        <v>ind|so2</v>
      </c>
      <c r="B1318" s="3" t="inlineStr">
        <is>
          <t>ind</t>
        </is>
      </c>
      <c r="C1318" s="3" t="inlineStr">
        <is>
          <t>so2</t>
        </is>
      </c>
      <c r="D1318" s="3" t="str">
        <f>IF($B1318="",""," | "&amp;$E1318&amp;" | "&amp;$F1318)</f>
        <v> | Industry | SO2</v>
      </c>
      <c r="E1318" s="3" t="str">
        <f>IFERROR(INDEX(SecLab,MATCH($B1318,SecKey,0)),"")</f>
        <v>Industry</v>
      </c>
      <c r="F1318" s="3" t="str">
        <f>IFERROR(INDEX(FuelLab,MATCH($C1318,FuelKeyL,0)),"")</f>
        <v>SO2</v>
      </c>
      <c r="G1318" s="3" t="inlineStr">
        <is>
          <t>.ind.so2</t>
        </is>
      </c>
      <c r="I1318" s="3" t="inlineStr">
        <is>
          <t>ap|tra|co</t>
        </is>
      </c>
      <c r="J1318" s="3" t="inlineStr">
        <is>
          <t>em.tra.all.co</t>
        </is>
      </c>
    </row>
    <row r="1319">
      <c r="A1319" s="3" t="str">
        <f>$B1319&amp;"|"&amp;$C1319</f>
        <v>fod|so2</v>
      </c>
      <c r="B1319" s="3" t="inlineStr">
        <is>
          <t>fod</t>
        </is>
      </c>
      <c r="C1319" s="3" t="inlineStr">
        <is>
          <t>so2</t>
        </is>
      </c>
      <c r="D1319" s="3" t="str">
        <f>IF($B1319="",""," | "&amp;$E1319&amp;" | "&amp;$F1319)</f>
        <v> | of which food | SO2</v>
      </c>
      <c r="E1319" s="3" t="str">
        <f>IFERROR(INDEX(SecLab,MATCH($B1319,SecKey,0)),"")</f>
        <v>of which food</v>
      </c>
      <c r="F1319" s="3" t="str">
        <f>IFERROR(INDEX(FuelLab,MATCH($C1319,FuelKeyL,0)),"")</f>
        <v>SO2</v>
      </c>
      <c r="G1319" s="3" t="inlineStr">
        <is>
          <t>.fod.so2</t>
        </is>
      </c>
      <c r="I1319" s="3" t="inlineStr">
        <is>
          <t>ap|bld|co</t>
        </is>
      </c>
      <c r="J1319" s="3" t="inlineStr">
        <is>
          <t>em.bld.all.co</t>
        </is>
      </c>
    </row>
    <row r="1320">
      <c r="A1320" s="3" t="str">
        <f>$B1320&amp;"|"&amp;$C1320</f>
        <v>fag|so2</v>
      </c>
      <c r="B1320" s="3" t="inlineStr">
        <is>
          <t>fag</t>
        </is>
      </c>
      <c r="C1320" s="3" t="inlineStr">
        <is>
          <t>so2</t>
        </is>
      </c>
      <c r="D1320" s="3" t="str">
        <f>IF($B1320="",""," | "&amp;$E1320&amp;" | "&amp;$F1320)</f>
        <v> | of which forestry and agriculture | SO2</v>
      </c>
      <c r="E1320" s="3" t="str">
        <f>IFERROR(INDEX(SecLab,MATCH($B1320,SecKey,0)),"")</f>
        <v>of which forestry and agriculture</v>
      </c>
      <c r="F1320" s="3" t="str">
        <f>IFERROR(INDEX(FuelLab,MATCH($C1320,FuelKeyL,0)),"")</f>
        <v>SO2</v>
      </c>
      <c r="G1320" s="3" t="inlineStr">
        <is>
          <t>.fag.so2</t>
        </is>
      </c>
      <c r="I1320" s="3" t="inlineStr">
        <is>
          <t>ap|ind|co</t>
        </is>
      </c>
      <c r="J1320" s="3" t="inlineStr">
        <is>
          <t>em.ind.all.co</t>
        </is>
      </c>
    </row>
    <row r="1321">
      <c r="A1321" s="3" t="str">
        <f>$B1321&amp;"|"&amp;$C1321</f>
        <v>rod|voc</v>
      </c>
      <c r="B1321" s="3" t="inlineStr">
        <is>
          <t>rod</t>
        </is>
      </c>
      <c r="C1321" s="3" t="inlineStr">
        <is>
          <t>voc</t>
        </is>
      </c>
      <c r="D1321" s="3" t="str">
        <f>IF($B1321="",""," | "&amp;$E1321&amp;" | "&amp;$F1321)</f>
        <v> | Road | VOC</v>
      </c>
      <c r="E1321" s="3" t="str">
        <f>IFERROR(INDEX(SecLab,MATCH($B1321,SecKey,0)),"")</f>
        <v>Road</v>
      </c>
      <c r="F1321" s="3" t="str">
        <f>IFERROR(INDEX(FuelLab,MATCH($C1321,FuelKeyL,0)),"")</f>
        <v>VOC</v>
      </c>
      <c r="G1321" s="3" t="inlineStr">
        <is>
          <t>.rod.voc</t>
        </is>
      </c>
      <c r="I1321" s="3" t="inlineStr">
        <is>
          <t>ap|fod|co</t>
        </is>
      </c>
      <c r="J1321" s="3" t="inlineStr">
        <is>
          <t>em.fod.all.co</t>
        </is>
      </c>
    </row>
    <row r="1322">
      <c r="A1322" s="3" t="str">
        <f>$B1322&amp;"|"&amp;$C1322</f>
        <v>ral|voc</v>
      </c>
      <c r="B1322" s="3" t="inlineStr">
        <is>
          <t>ral</t>
        </is>
      </c>
      <c r="C1322" s="3" t="inlineStr">
        <is>
          <t>voc</t>
        </is>
      </c>
      <c r="D1322" s="3" t="str">
        <f>IF($B1322="",""," | "&amp;$E1322&amp;" | "&amp;$F1322)</f>
        <v> | Rail | VOC</v>
      </c>
      <c r="E1322" s="3" t="str">
        <f>IFERROR(INDEX(SecLab,MATCH($B1322,SecKey,0)),"")</f>
        <v>Rail</v>
      </c>
      <c r="F1322" s="3" t="str">
        <f>IFERROR(INDEX(FuelLab,MATCH($C1322,FuelKeyL,0)),"")</f>
        <v>VOC</v>
      </c>
      <c r="G1322" s="3" t="inlineStr">
        <is>
          <t>.ral.voc</t>
        </is>
      </c>
      <c r="I1322" s="3" t="inlineStr">
        <is>
          <t>ap|fag|co</t>
        </is>
      </c>
      <c r="J1322" s="3" t="inlineStr">
        <is>
          <t>em.fag.all.co</t>
        </is>
      </c>
    </row>
    <row r="1323">
      <c r="A1323" s="3" t="str">
        <f>$B1323&amp;"|"&amp;$C1323</f>
        <v>avi|voc</v>
      </c>
      <c r="B1323" s="3" t="inlineStr">
        <is>
          <t>avi</t>
        </is>
      </c>
      <c r="C1323" s="3" t="inlineStr">
        <is>
          <t>voc</t>
        </is>
      </c>
      <c r="D1323" s="3" t="str">
        <f>IF($B1323="",""," | "&amp;$E1323&amp;" | "&amp;$F1323)</f>
        <v> | Domestic aviation | VOC</v>
      </c>
      <c r="E1323" s="3" t="str">
        <f>IFERROR(INDEX(SecLab,MATCH($B1323,SecKey,0)),"")</f>
        <v>Domestic aviation</v>
      </c>
      <c r="F1323" s="3" t="str">
        <f>IFERROR(INDEX(FuelLab,MATCH($C1323,FuelKeyL,0)),"")</f>
        <v>VOC</v>
      </c>
      <c r="G1323" s="3" t="inlineStr">
        <is>
          <t>.avi.voc</t>
        </is>
      </c>
      <c r="I1323" s="3" t="inlineStr">
        <is>
          <t>ap|all|nox</t>
        </is>
      </c>
      <c r="J1323" s="3" t="inlineStr">
        <is>
          <t>em.tot.nox</t>
        </is>
      </c>
    </row>
    <row r="1324">
      <c r="A1324" s="3" t="str">
        <f>$B1324&amp;"|"&amp;$C1324</f>
        <v>nav|voc</v>
      </c>
      <c r="B1324" s="3" t="inlineStr">
        <is>
          <t>nav</t>
        </is>
      </c>
      <c r="C1324" s="3" t="inlineStr">
        <is>
          <t>voc</t>
        </is>
      </c>
      <c r="D1324" s="3" t="str">
        <f>IF($B1324="",""," | "&amp;$E1324&amp;" | "&amp;$F1324)</f>
        <v> | Domestic navigation | VOC</v>
      </c>
      <c r="E1324" s="3" t="str">
        <f>IFERROR(INDEX(SecLab,MATCH($B1324,SecKey,0)),"")</f>
        <v>Domestic navigation</v>
      </c>
      <c r="F1324" s="3" t="str">
        <f>IFERROR(INDEX(FuelLab,MATCH($C1324,FuelKeyL,0)),"")</f>
        <v>VOC</v>
      </c>
      <c r="G1324" s="3" t="inlineStr">
        <is>
          <t>.nav.voc</t>
        </is>
      </c>
      <c r="I1324" s="3" t="inlineStr">
        <is>
          <t>ap|all|so2</t>
        </is>
      </c>
      <c r="J1324" s="3" t="inlineStr">
        <is>
          <t>em.tot.so2</t>
        </is>
      </c>
    </row>
    <row r="1325">
      <c r="A1325" s="3" t="str">
        <f>$B1325&amp;"|"&amp;$C1325</f>
        <v>res|voc</v>
      </c>
      <c r="B1325" s="3" t="inlineStr">
        <is>
          <t>res</t>
        </is>
      </c>
      <c r="C1325" s="3" t="inlineStr">
        <is>
          <t>voc</t>
        </is>
      </c>
      <c r="D1325" s="3" t="str">
        <f>IF($B1325="",""," | "&amp;$E1325&amp;" | "&amp;$F1325)</f>
        <v> | Residential | VOC</v>
      </c>
      <c r="E1325" s="3" t="str">
        <f>IFERROR(INDEX(SecLab,MATCH($B1325,SecKey,0)),"")</f>
        <v>Residential</v>
      </c>
      <c r="F1325" s="3" t="str">
        <f>IFERROR(INDEX(FuelLab,MATCH($C1325,FuelKeyL,0)),"")</f>
        <v>VOC</v>
      </c>
      <c r="G1325" s="3" t="inlineStr">
        <is>
          <t>.res.voc</t>
        </is>
      </c>
      <c r="I1325" s="3" t="inlineStr">
        <is>
          <t>ap|all|voc</t>
        </is>
      </c>
      <c r="J1325" s="3" t="inlineStr">
        <is>
          <t>em.tot.voc</t>
        </is>
      </c>
    </row>
    <row r="1326">
      <c r="A1326" s="3" t="str">
        <f>$B1326&amp;"|"&amp;$C1326</f>
        <v>foo|voc</v>
      </c>
      <c r="B1326" s="3" t="inlineStr">
        <is>
          <t>foo</t>
        </is>
      </c>
      <c r="C1326" s="3" t="inlineStr">
        <is>
          <t>voc</t>
        </is>
      </c>
      <c r="D1326" s="3" t="str">
        <f>IF($B1326="",""," | "&amp;$E1326&amp;" | "&amp;$F1326)</f>
        <v> | Food &amp; forestry | VOC</v>
      </c>
      <c r="E1326" s="3" t="str">
        <f>IFERROR(INDEX(SecLab,MATCH($B1326,SecKey,0)),"")</f>
        <v>Food &amp; forestry</v>
      </c>
      <c r="F1326" s="3" t="str">
        <f>IFERROR(INDEX(FuelLab,MATCH($C1326,FuelKeyL,0)),"")</f>
        <v>VOC</v>
      </c>
      <c r="G1326" s="3" t="inlineStr">
        <is>
          <t>.foo.voc</t>
        </is>
      </c>
      <c r="I1326" s="3" t="inlineStr">
        <is>
          <t>ap|all|bc</t>
        </is>
      </c>
      <c r="J1326" s="3" t="inlineStr">
        <is>
          <t>em.tot.bc</t>
        </is>
      </c>
    </row>
    <row r="1327">
      <c r="A1327" s="3" t="str">
        <f>$B1327&amp;"|"&amp;$C1327</f>
        <v>srv|voc</v>
      </c>
      <c r="B1327" s="3" t="inlineStr">
        <is>
          <t>srv</t>
        </is>
      </c>
      <c r="C1327" s="3" t="inlineStr">
        <is>
          <t>voc</t>
        </is>
      </c>
      <c r="D1327" s="3" t="str">
        <f>IF($B1327="",""," | "&amp;$E1327&amp;" | "&amp;$F1327)</f>
        <v> | Services (public &amp; private) | VOC</v>
      </c>
      <c r="E1327" s="3" t="str">
        <f>IFERROR(INDEX(SecLab,MATCH($B1327,SecKey,0)),"")</f>
        <v>Services (public &amp; private)</v>
      </c>
      <c r="F1327" s="3" t="str">
        <f>IFERROR(INDEX(FuelLab,MATCH($C1327,FuelKeyL,0)),"")</f>
        <v>VOC</v>
      </c>
      <c r="G1327" s="3" t="inlineStr">
        <is>
          <t>.srv.voc</t>
        </is>
      </c>
      <c r="I1327" s="3" t="inlineStr">
        <is>
          <t>ap|all|oc</t>
        </is>
      </c>
      <c r="J1327" s="3" t="inlineStr">
        <is>
          <t>em.tot.oc</t>
        </is>
      </c>
    </row>
    <row r="1328">
      <c r="A1328" s="3" t="str">
        <f>$B1328&amp;"|"&amp;$C1328</f>
        <v>mch|voc</v>
      </c>
      <c r="B1328" s="3" t="inlineStr">
        <is>
          <t>mch</t>
        </is>
      </c>
      <c r="C1328" s="3" t="inlineStr">
        <is>
          <t>voc</t>
        </is>
      </c>
      <c r="D1328" s="3" t="str">
        <f>IF($B1328="",""," | "&amp;$E1328&amp;" | "&amp;$F1328)</f>
        <v> | Mining &amp; chemicals | VOC</v>
      </c>
      <c r="E1328" s="3" t="str">
        <f>IFERROR(INDEX(SecLab,MATCH($B1328,SecKey,0)),"")</f>
        <v>Mining &amp; chemicals</v>
      </c>
      <c r="F1328" s="3" t="str">
        <f>IFERROR(INDEX(FuelLab,MATCH($C1328,FuelKeyL,0)),"")</f>
        <v>VOC</v>
      </c>
      <c r="G1328" s="3" t="inlineStr">
        <is>
          <t>.mch.voc</t>
        </is>
      </c>
      <c r="I1328" s="3" t="inlineStr">
        <is>
          <t>ap|all|co</t>
        </is>
      </c>
      <c r="J1328" s="3" t="inlineStr">
        <is>
          <t>em.tot.co</t>
        </is>
      </c>
    </row>
    <row r="1329">
      <c r="A1329" s="3" t="str">
        <f>$B1329&amp;"|"&amp;$C1329</f>
        <v>irn|voc</v>
      </c>
      <c r="B1329" s="3" t="inlineStr">
        <is>
          <t>irn</t>
        </is>
      </c>
      <c r="C1329" s="3" t="inlineStr">
        <is>
          <t>voc</t>
        </is>
      </c>
      <c r="D1329" s="3" t="str">
        <f>IF($B1329="",""," | "&amp;$E1329&amp;" | "&amp;$F1329)</f>
        <v> | Iron &amp; steel | VOC</v>
      </c>
      <c r="E1329" s="3" t="str">
        <f>IFERROR(INDEX(SecLab,MATCH($B1329,SecKey,0)),"")</f>
        <v>Iron &amp; steel</v>
      </c>
      <c r="F1329" s="3" t="str">
        <f>IFERROR(INDEX(FuelLab,MATCH($C1329,FuelKeyL,0)),"")</f>
        <v>VOC</v>
      </c>
      <c r="G1329" s="3" t="inlineStr">
        <is>
          <t>.irn.voc</t>
        </is>
      </c>
      <c r="I1329" s="3" t="inlineStr">
        <is>
          <t>apf|all|bc</t>
        </is>
      </c>
      <c r="J1329" s="3" t="inlineStr">
        <is>
          <t>bc.tot</t>
        </is>
      </c>
    </row>
    <row r="1330">
      <c r="A1330" s="3" t="str">
        <f>$B1330&amp;"|"&amp;$C1330</f>
        <v>nfm|voc</v>
      </c>
      <c r="B1330" s="3" t="inlineStr">
        <is>
          <t>nfm</t>
        </is>
      </c>
      <c r="C1330" s="3" t="inlineStr">
        <is>
          <t>voc</t>
        </is>
      </c>
      <c r="D1330" s="3" t="str">
        <f>IF($B1330="",""," | "&amp;$E1330&amp;" | "&amp;$F1330)</f>
        <v> | Other metals | VOC</v>
      </c>
      <c r="E1330" s="3" t="str">
        <f>IFERROR(INDEX(SecLab,MATCH($B1330,SecKey,0)),"")</f>
        <v>Other metals</v>
      </c>
      <c r="F1330" s="3" t="str">
        <f>IFERROR(INDEX(FuelLab,MATCH($C1330,FuelKeyL,0)),"")</f>
        <v>VOC</v>
      </c>
      <c r="G1330" s="3" t="inlineStr">
        <is>
          <t>.nfm.voc</t>
        </is>
      </c>
      <c r="I1330" s="3" t="inlineStr">
        <is>
          <t>apf|all|oc</t>
        </is>
      </c>
      <c r="J1330" s="3" t="inlineStr">
        <is>
          <t>oc.tot</t>
        </is>
      </c>
    </row>
    <row r="1331">
      <c r="A1331" s="3" t="str">
        <f>$B1331&amp;"|"&amp;$C1331</f>
        <v>mac|voc</v>
      </c>
      <c r="B1331" s="3" t="inlineStr">
        <is>
          <t>mac</t>
        </is>
      </c>
      <c r="C1331" s="3" t="inlineStr">
        <is>
          <t>voc</t>
        </is>
      </c>
      <c r="D1331" s="3" t="str">
        <f>IF($B1331="",""," | "&amp;$E1331&amp;" | "&amp;$F1331)</f>
        <v> | Machinery | VOC</v>
      </c>
      <c r="E1331" s="3" t="str">
        <f>IFERROR(INDEX(SecLab,MATCH($B1331,SecKey,0)),"")</f>
        <v>Machinery</v>
      </c>
      <c r="F1331" s="3" t="str">
        <f>IFERROR(INDEX(FuelLab,MATCH($C1331,FuelKeyL,0)),"")</f>
        <v>VOC</v>
      </c>
      <c r="G1331" s="3" t="inlineStr">
        <is>
          <t>.mac.voc</t>
        </is>
      </c>
      <c r="I1331" s="3" t="inlineStr">
        <is>
          <t>apf|all|nox</t>
        </is>
      </c>
      <c r="J1331" s="3" t="inlineStr">
        <is>
          <t>nox.tot</t>
        </is>
      </c>
    </row>
    <row r="1332">
      <c r="A1332" s="3" t="str">
        <f>$B1332&amp;"|"&amp;$C1332</f>
        <v>cem|voc</v>
      </c>
      <c r="B1332" s="3" t="inlineStr">
        <is>
          <t>cem</t>
        </is>
      </c>
      <c r="C1332" s="3" t="inlineStr">
        <is>
          <t>voc</t>
        </is>
      </c>
      <c r="D1332" s="3" t="str">
        <f>IF($B1332="",""," | "&amp;$E1332&amp;" | "&amp;$F1332)</f>
        <v> | Cement | VOC</v>
      </c>
      <c r="E1332" s="3" t="str">
        <f>IFERROR(INDEX(SecLab,MATCH($B1332,SecKey,0)),"")</f>
        <v>Cement</v>
      </c>
      <c r="F1332" s="3" t="str">
        <f>IFERROR(INDEX(FuelLab,MATCH($C1332,FuelKeyL,0)),"")</f>
        <v>VOC</v>
      </c>
      <c r="G1332" s="3" t="inlineStr">
        <is>
          <t>.cem.voc</t>
        </is>
      </c>
      <c r="I1332" s="3" t="inlineStr">
        <is>
          <t>apf|all|so2</t>
        </is>
      </c>
      <c r="J1332" s="3" t="inlineStr">
        <is>
          <t>so2.tot</t>
        </is>
      </c>
    </row>
    <row r="1333">
      <c r="A1333" s="3" t="str">
        <f>$B1333&amp;"|"&amp;$C1333</f>
        <v>omn|voc</v>
      </c>
      <c r="B1333" s="3" t="inlineStr">
        <is>
          <t>omn</t>
        </is>
      </c>
      <c r="C1333" s="3" t="inlineStr">
        <is>
          <t>voc</t>
        </is>
      </c>
      <c r="D1333" s="3" t="str">
        <f>IF($B1333="",""," | "&amp;$E1333&amp;" | "&amp;$F1333)</f>
        <v> | Other manufacturing | VOC</v>
      </c>
      <c r="E1333" s="3" t="str">
        <f>IFERROR(INDEX(SecLab,MATCH($B1333,SecKey,0)),"")</f>
        <v>Other manufacturing</v>
      </c>
      <c r="F1333" s="3" t="str">
        <f>IFERROR(INDEX(FuelLab,MATCH($C1333,FuelKeyL,0)),"")</f>
        <v>VOC</v>
      </c>
      <c r="G1333" s="3" t="inlineStr">
        <is>
          <t>.omn.voc</t>
        </is>
      </c>
      <c r="I1333" s="3" t="inlineStr">
        <is>
          <t>apf|all|voc</t>
        </is>
      </c>
      <c r="J1333" s="3" t="inlineStr">
        <is>
          <t>voc.tot</t>
        </is>
      </c>
    </row>
    <row r="1334">
      <c r="A1334" s="3" t="str">
        <f>$B1334&amp;"|"&amp;$C1334</f>
        <v>cst|voc</v>
      </c>
      <c r="B1334" s="3" t="inlineStr">
        <is>
          <t>cst</t>
        </is>
      </c>
      <c r="C1334" s="3" t="inlineStr">
        <is>
          <t>voc</t>
        </is>
      </c>
      <c r="D1334" s="3" t="str">
        <f>IF($B1334="",""," | "&amp;$E1334&amp;" | "&amp;$F1334)</f>
        <v> | Construction | VOC</v>
      </c>
      <c r="E1334" s="3" t="str">
        <f>IFERROR(INDEX(SecLab,MATCH($B1334,SecKey,0)),"")</f>
        <v>Construction</v>
      </c>
      <c r="F1334" s="3" t="str">
        <f>IFERROR(INDEX(FuelLab,MATCH($C1334,FuelKeyL,0)),"")</f>
        <v>VOC</v>
      </c>
      <c r="G1334" s="3" t="inlineStr">
        <is>
          <t>.cst.voc</t>
        </is>
      </c>
      <c r="I1334" s="3" t="inlineStr">
        <is>
          <t>apf|all|co</t>
        </is>
      </c>
      <c r="J1334" s="3" t="inlineStr">
        <is>
          <t>co.tot</t>
        </is>
      </c>
    </row>
    <row r="1335">
      <c r="A1335" s="3" t="str">
        <f>$B1335&amp;"|"&amp;$C1335</f>
        <v>ftr|voc</v>
      </c>
      <c r="B1335" s="3" t="inlineStr">
        <is>
          <t>ftr</t>
        </is>
      </c>
      <c r="C1335" s="3" t="inlineStr">
        <is>
          <t>voc</t>
        </is>
      </c>
      <c r="D1335" s="3" t="str">
        <f>IF($B1335="",""," | "&amp;$E1335&amp;" | "&amp;$F1335)</f>
        <v> | Fuel transformation | VOC</v>
      </c>
      <c r="E1335" s="3" t="str">
        <f>IFERROR(INDEX(SecLab,MATCH($B1335,SecKey,0)),"")</f>
        <v>Fuel transformation</v>
      </c>
      <c r="F1335" s="3" t="str">
        <f>IFERROR(INDEX(FuelLab,MATCH($C1335,FuelKeyL,0)),"")</f>
        <v>VOC</v>
      </c>
      <c r="G1335" s="3" t="inlineStr">
        <is>
          <t>.ftr.voc</t>
        </is>
      </c>
      <c r="I1335" s="3" t="inlineStr">
        <is>
          <t>apf|all|all</t>
        </is>
      </c>
      <c r="J1335" s="3" t="inlineStr">
        <is>
          <t>apf.tot.tot</t>
        </is>
      </c>
    </row>
    <row r="1336">
      <c r="A1336" s="3" t="str">
        <f>$B1336&amp;"|"&amp;$C1336</f>
        <v>oen|voc</v>
      </c>
      <c r="B1336" s="3" t="inlineStr">
        <is>
          <t>oen</t>
        </is>
      </c>
      <c r="C1336" s="3" t="inlineStr">
        <is>
          <t>voc</t>
        </is>
      </c>
      <c r="D1336" s="3" t="str">
        <f>IF($B1336="",""," | "&amp;$E1336&amp;" | "&amp;$F1336)</f>
        <v> | Other energy use | VOC</v>
      </c>
      <c r="E1336" s="3" t="str">
        <f>IFERROR(INDEX(SecLab,MATCH($B1336,SecKey,0)),"")</f>
        <v>Other energy use</v>
      </c>
      <c r="F1336" s="3" t="str">
        <f>IFERROR(INDEX(FuelLab,MATCH($C1336,FuelKeyL,0)),"")</f>
        <v>VOC</v>
      </c>
      <c r="G1336" s="3" t="inlineStr">
        <is>
          <t>.oen.voc</t>
        </is>
      </c>
      <c r="I1336" s="3" t="inlineStr">
        <is>
          <t>aps|all|nox</t>
        </is>
      </c>
      <c r="J1336" s="3" t="inlineStr">
        <is>
          <t>aps.all.nox</t>
        </is>
      </c>
    </row>
    <row r="1337">
      <c r="A1337" s="3" t="str">
        <f>$B1337&amp;"|"&amp;$C1337</f>
        <v>pow|voc</v>
      </c>
      <c r="B1337" s="3" t="inlineStr">
        <is>
          <t>pow</t>
        </is>
      </c>
      <c r="C1337" s="3" t="inlineStr">
        <is>
          <t>voc</t>
        </is>
      </c>
      <c r="D1337" s="3" t="str">
        <f>IF($B1337="",""," | "&amp;$E1337&amp;" | "&amp;$F1337)</f>
        <v> | Power | VOC</v>
      </c>
      <c r="E1337" s="3" t="str">
        <f>IFERROR(INDEX(SecLab,MATCH($B1337,SecKey,0)),"")</f>
        <v>Power</v>
      </c>
      <c r="F1337" s="3" t="str">
        <f>IFERROR(INDEX(FuelLab,MATCH($C1337,FuelKeyL,0)),"")</f>
        <v>VOC</v>
      </c>
      <c r="G1337" s="3" t="inlineStr">
        <is>
          <t>.pow.voc</t>
        </is>
      </c>
      <c r="I1337" s="3" t="inlineStr">
        <is>
          <t>aps|all|so2</t>
        </is>
      </c>
      <c r="J1337" s="3" t="inlineStr">
        <is>
          <t>aps.all.so2</t>
        </is>
      </c>
    </row>
    <row r="1338">
      <c r="A1338" s="3" t="str">
        <f>$B1338&amp;"|"&amp;$C1338</f>
        <v>tra|voc</v>
      </c>
      <c r="B1338" s="3" t="inlineStr">
        <is>
          <t>tra</t>
        </is>
      </c>
      <c r="C1338" s="3" t="inlineStr">
        <is>
          <t>voc</t>
        </is>
      </c>
      <c r="D1338" s="3" t="str">
        <f>IF($B1338="",""," | "&amp;$E1338&amp;" | "&amp;$F1338)</f>
        <v> | Transport | VOC</v>
      </c>
      <c r="E1338" s="3" t="str">
        <f>IFERROR(INDEX(SecLab,MATCH($B1338,SecKey,0)),"")</f>
        <v>Transport</v>
      </c>
      <c r="F1338" s="3" t="str">
        <f>IFERROR(INDEX(FuelLab,MATCH($C1338,FuelKeyL,0)),"")</f>
        <v>VOC</v>
      </c>
      <c r="G1338" s="3" t="inlineStr">
        <is>
          <t>.tra.voc</t>
        </is>
      </c>
      <c r="I1338" s="3" t="inlineStr">
        <is>
          <t>aps|all|bc</t>
        </is>
      </c>
      <c r="J1338" s="3" t="inlineStr">
        <is>
          <t>aps.all.bc</t>
        </is>
      </c>
    </row>
    <row r="1339">
      <c r="A1339" s="3" t="str">
        <f>$B1339&amp;"|"&amp;$C1339</f>
        <v>bld|voc</v>
      </c>
      <c r="B1339" s="3" t="inlineStr">
        <is>
          <t>bld</t>
        </is>
      </c>
      <c r="C1339" s="3" t="inlineStr">
        <is>
          <t>voc</t>
        </is>
      </c>
      <c r="D1339" s="3" t="str">
        <f>IF($B1339="",""," | "&amp;$E1339&amp;" | "&amp;$F1339)</f>
        <v> | Buildings | VOC</v>
      </c>
      <c r="E1339" s="3" t="str">
        <f>IFERROR(INDEX(SecLab,MATCH($B1339,SecKey,0)),"")</f>
        <v>Buildings</v>
      </c>
      <c r="F1339" s="3" t="str">
        <f>IFERROR(INDEX(FuelLab,MATCH($C1339,FuelKeyL,0)),"")</f>
        <v>VOC</v>
      </c>
      <c r="G1339" s="3" t="inlineStr">
        <is>
          <t>.bld.voc</t>
        </is>
      </c>
      <c r="I1339" s="3" t="inlineStr">
        <is>
          <t>aps|all|pom</t>
        </is>
      </c>
      <c r="J1339" s="3" t="inlineStr">
        <is>
          <t>aps.all.pom</t>
        </is>
      </c>
    </row>
    <row r="1340">
      <c r="A1340" s="3" t="str">
        <f>$B1340&amp;"|"&amp;$C1340</f>
        <v>ind|voc</v>
      </c>
      <c r="B1340" s="3" t="inlineStr">
        <is>
          <t>ind</t>
        </is>
      </c>
      <c r="C1340" s="3" t="inlineStr">
        <is>
          <t>voc</t>
        </is>
      </c>
      <c r="D1340" s="3" t="str">
        <f>IF($B1340="",""," | "&amp;$E1340&amp;" | "&amp;$F1340)</f>
        <v> | Industry | VOC</v>
      </c>
      <c r="E1340" s="3" t="str">
        <f>IFERROR(INDEX(SecLab,MATCH($B1340,SecKey,0)),"")</f>
        <v>Industry</v>
      </c>
      <c r="F1340" s="3" t="str">
        <f>IFERROR(INDEX(FuelLab,MATCH($C1340,FuelKeyL,0)),"")</f>
        <v>VOC</v>
      </c>
      <c r="G1340" s="3" t="inlineStr">
        <is>
          <t>.ind.voc</t>
        </is>
      </c>
      <c r="I1340" s="3" t="inlineStr">
        <is>
          <t>aps|all|opm</t>
        </is>
      </c>
      <c r="J1340" s="3" t="inlineStr">
        <is>
          <t>aps.all.opm</t>
        </is>
      </c>
    </row>
    <row r="1341">
      <c r="A1341" s="3" t="str">
        <f>$B1341&amp;"|"&amp;$C1341</f>
        <v>fod|voc</v>
      </c>
      <c r="B1341" s="3" t="inlineStr">
        <is>
          <t>fod</t>
        </is>
      </c>
      <c r="C1341" s="3" t="inlineStr">
        <is>
          <t>voc</t>
        </is>
      </c>
      <c r="D1341" s="3" t="str">
        <f>IF($B1341="",""," | "&amp;$E1341&amp;" | "&amp;$F1341)</f>
        <v> | of which food | VOC</v>
      </c>
      <c r="E1341" s="3" t="str">
        <f>IFERROR(INDEX(SecLab,MATCH($B1341,SecKey,0)),"")</f>
        <v>of which food</v>
      </c>
      <c r="F1341" s="3" t="str">
        <f>IFERROR(INDEX(FuelLab,MATCH($C1341,FuelKeyL,0)),"")</f>
        <v>VOC</v>
      </c>
      <c r="G1341" s="3" t="inlineStr">
        <is>
          <t>.fod.voc</t>
        </is>
      </c>
      <c r="I1341" s="3" t="inlineStr">
        <is>
          <t>aps|all|voc</t>
        </is>
      </c>
      <c r="J1341" s="3" t="inlineStr">
        <is>
          <t>aps.all.voc</t>
        </is>
      </c>
    </row>
    <row r="1342">
      <c r="A1342" s="3" t="str">
        <f>$B1342&amp;"|"&amp;$C1342</f>
        <v>fag|voc</v>
      </c>
      <c r="B1342" s="3" t="inlineStr">
        <is>
          <t>fag</t>
        </is>
      </c>
      <c r="C1342" s="3" t="inlineStr">
        <is>
          <t>voc</t>
        </is>
      </c>
      <c r="D1342" s="3" t="str">
        <f>IF($B1342="",""," | "&amp;$E1342&amp;" | "&amp;$F1342)</f>
        <v> | of which forestry and agriculture | VOC</v>
      </c>
      <c r="E1342" s="3" t="str">
        <f>IFERROR(INDEX(SecLab,MATCH($B1342,SecKey,0)),"")</f>
        <v>of which forestry and agriculture</v>
      </c>
      <c r="F1342" s="3" t="str">
        <f>IFERROR(INDEX(FuelLab,MATCH($C1342,FuelKeyL,0)),"")</f>
        <v>VOC</v>
      </c>
      <c r="G1342" s="3" t="inlineStr">
        <is>
          <t>.fag.voc</t>
        </is>
      </c>
      <c r="I1342" s="3" t="inlineStr">
        <is>
          <t>aps|all|ch4</t>
        </is>
      </c>
      <c r="J1342" s="3" t="inlineStr">
        <is>
          <t>aps.all.ch4</t>
        </is>
      </c>
    </row>
    <row r="1343">
      <c r="A1343" s="3" t="str">
        <f>$B1343&amp;"|"&amp;$C1343</f>
        <v>rod|bc</v>
      </c>
      <c r="B1343" s="3" t="inlineStr">
        <is>
          <t>rod</t>
        </is>
      </c>
      <c r="C1343" s="3" t="inlineStr">
        <is>
          <t>bc</t>
        </is>
      </c>
      <c r="D1343" s="3" t="str">
        <f>IF($B1343="",""," | "&amp;$E1343&amp;" | "&amp;$F1343)</f>
        <v> | Road | Black carbon</v>
      </c>
      <c r="E1343" s="3" t="str">
        <f>IFERROR(INDEX(SecLab,MATCH($B1343,SecKey,0)),"")</f>
        <v>Road</v>
      </c>
      <c r="F1343" s="3" t="str">
        <f>IFERROR(INDEX(FuelLab,MATCH($C1343,FuelKeyL,0)),"")</f>
        <v>Black carbon</v>
      </c>
      <c r="G1343" s="3" t="inlineStr">
        <is>
          <t>.rod.bc</t>
        </is>
      </c>
      <c r="I1343" s="3" t="inlineStr">
        <is>
          <t>aps|all|co</t>
        </is>
      </c>
      <c r="J1343" s="3" t="inlineStr">
        <is>
          <t>aps.all.co</t>
        </is>
      </c>
    </row>
    <row r="1344">
      <c r="A1344" s="3" t="str">
        <f>$B1344&amp;"|"&amp;$C1344</f>
        <v>ral|bc</v>
      </c>
      <c r="B1344" s="3" t="inlineStr">
        <is>
          <t>ral</t>
        </is>
      </c>
      <c r="C1344" s="3" t="inlineStr">
        <is>
          <t>bc</t>
        </is>
      </c>
      <c r="D1344" s="3" t="str">
        <f>IF($B1344="",""," | "&amp;$E1344&amp;" | "&amp;$F1344)</f>
        <v> | Rail | Black carbon</v>
      </c>
      <c r="E1344" s="3" t="str">
        <f>IFERROR(INDEX(SecLab,MATCH($B1344,SecKey,0)),"")</f>
        <v>Rail</v>
      </c>
      <c r="F1344" s="3" t="str">
        <f>IFERROR(INDEX(FuelLab,MATCH($C1344,FuelKeyL,0)),"")</f>
        <v>Black carbon</v>
      </c>
      <c r="G1344" s="3" t="inlineStr">
        <is>
          <t>.ral.bc</t>
        </is>
      </c>
      <c r="I1344" s="3" t="inlineStr">
        <is>
          <t>aps|all|pm2</t>
        </is>
      </c>
      <c r="J1344" s="3" t="inlineStr">
        <is>
          <t>aps.all.pm2</t>
        </is>
      </c>
    </row>
    <row r="1345">
      <c r="A1345" s="3" t="str">
        <f>$B1345&amp;"|"&amp;$C1345</f>
        <v>avi|bc</v>
      </c>
      <c r="B1345" s="3" t="inlineStr">
        <is>
          <t>avi</t>
        </is>
      </c>
      <c r="C1345" s="3" t="inlineStr">
        <is>
          <t>bc</t>
        </is>
      </c>
      <c r="D1345" s="3" t="str">
        <f>IF($B1345="",""," | "&amp;$E1345&amp;" | "&amp;$F1345)</f>
        <v> | Domestic aviation | Black carbon</v>
      </c>
      <c r="E1345" s="3" t="str">
        <f>IFERROR(INDEX(SecLab,MATCH($B1345,SecKey,0)),"")</f>
        <v>Domestic aviation</v>
      </c>
      <c r="F1345" s="3" t="str">
        <f>IFERROR(INDEX(FuelLab,MATCH($C1345,FuelKeyL,0)),"")</f>
        <v>Black carbon</v>
      </c>
      <c r="G1345" s="3" t="inlineStr">
        <is>
          <t>.avi.bc</t>
        </is>
      </c>
      <c r="I1345" s="3" t="inlineStr">
        <is>
          <t>aps|all|oc</t>
        </is>
      </c>
      <c r="J1345" s="3" t="inlineStr">
        <is>
          <t>aps.all.oc</t>
        </is>
      </c>
    </row>
    <row r="1346">
      <c r="A1346" s="3" t="str">
        <f>$B1346&amp;"|"&amp;$C1346</f>
        <v>nav|bc</v>
      </c>
      <c r="B1346" s="3" t="inlineStr">
        <is>
          <t>nav</t>
        </is>
      </c>
      <c r="C1346" s="3" t="inlineStr">
        <is>
          <t>bc</t>
        </is>
      </c>
      <c r="D1346" s="3" t="str">
        <f>IF($B1346="",""," | "&amp;$E1346&amp;" | "&amp;$F1346)</f>
        <v> | Domestic navigation | Black carbon</v>
      </c>
      <c r="E1346" s="3" t="str">
        <f>IFERROR(INDEX(SecLab,MATCH($B1346,SecKey,0)),"")</f>
        <v>Domestic navigation</v>
      </c>
      <c r="F1346" s="3" t="str">
        <f>IFERROR(INDEX(FuelLab,MATCH($C1346,FuelKeyL,0)),"")</f>
        <v>Black carbon</v>
      </c>
      <c r="G1346" s="3" t="inlineStr">
        <is>
          <t>.nav.bc</t>
        </is>
      </c>
      <c r="I1346" s="3" t="inlineStr">
        <is>
          <t>ap|all|pm2</t>
        </is>
      </c>
      <c r="J1346" s="3" t="inlineStr">
        <is>
          <t>em.tot.pm2</t>
        </is>
      </c>
    </row>
    <row r="1347">
      <c r="A1347" s="3" t="str">
        <f>$B1347&amp;"|"&amp;$C1347</f>
        <v>res|bc</v>
      </c>
      <c r="B1347" s="3" t="inlineStr">
        <is>
          <t>res</t>
        </is>
      </c>
      <c r="C1347" s="3" t="inlineStr">
        <is>
          <t>bc</t>
        </is>
      </c>
      <c r="D1347" s="3" t="str">
        <f>IF($B1347="",""," | "&amp;$E1347&amp;" | "&amp;$F1347)</f>
        <v> | Residential | Black carbon</v>
      </c>
      <c r="E1347" s="3" t="str">
        <f>IFERROR(INDEX(SecLab,MATCH($B1347,SecKey,0)),"")</f>
        <v>Residential</v>
      </c>
      <c r="F1347" s="3" t="str">
        <f>IFERROR(INDEX(FuelLab,MATCH($C1347,FuelKeyL,0)),"")</f>
        <v>Black carbon</v>
      </c>
      <c r="G1347" s="3" t="inlineStr">
        <is>
          <t>.res.bc</t>
        </is>
      </c>
    </row>
    <row r="1348">
      <c r="A1348" s="3" t="str">
        <f>$B1348&amp;"|"&amp;$C1348</f>
        <v>foo|bc</v>
      </c>
      <c r="B1348" s="3" t="inlineStr">
        <is>
          <t>foo</t>
        </is>
      </c>
      <c r="C1348" s="3" t="inlineStr">
        <is>
          <t>bc</t>
        </is>
      </c>
      <c r="D1348" s="3" t="str">
        <f>IF($B1348="",""," | "&amp;$E1348&amp;" | "&amp;$F1348)</f>
        <v> | Food &amp; forestry | Black carbon</v>
      </c>
      <c r="E1348" s="3" t="str">
        <f>IFERROR(INDEX(SecLab,MATCH($B1348,SecKey,0)),"")</f>
        <v>Food &amp; forestry</v>
      </c>
      <c r="F1348" s="3" t="str">
        <f>IFERROR(INDEX(FuelLab,MATCH($C1348,FuelKeyL,0)),"")</f>
        <v>Black carbon</v>
      </c>
      <c r="G1348" s="3" t="inlineStr">
        <is>
          <t>.foo.bc</t>
        </is>
      </c>
    </row>
    <row r="1349">
      <c r="A1349" s="3" t="str">
        <f>$B1349&amp;"|"&amp;$C1349</f>
        <v>srv|bc</v>
      </c>
      <c r="B1349" s="3" t="inlineStr">
        <is>
          <t>srv</t>
        </is>
      </c>
      <c r="C1349" s="3" t="inlineStr">
        <is>
          <t>bc</t>
        </is>
      </c>
      <c r="D1349" s="3" t="str">
        <f>IF($B1349="",""," | "&amp;$E1349&amp;" | "&amp;$F1349)</f>
        <v> | Services (public &amp; private) | Black carbon</v>
      </c>
      <c r="E1349" s="3" t="str">
        <f>IFERROR(INDEX(SecLab,MATCH($B1349,SecKey,0)),"")</f>
        <v>Services (public &amp; private)</v>
      </c>
      <c r="F1349" s="3" t="str">
        <f>IFERROR(INDEX(FuelLab,MATCH($C1349,FuelKeyL,0)),"")</f>
        <v>Black carbon</v>
      </c>
      <c r="G1349" s="3" t="inlineStr">
        <is>
          <t>.srv.bc</t>
        </is>
      </c>
    </row>
    <row r="1350">
      <c r="A1350" s="3" t="str">
        <f>$B1350&amp;"|"&amp;$C1350</f>
        <v>mch|bc</v>
      </c>
      <c r="B1350" s="3" t="inlineStr">
        <is>
          <t>mch</t>
        </is>
      </c>
      <c r="C1350" s="3" t="inlineStr">
        <is>
          <t>bc</t>
        </is>
      </c>
      <c r="D1350" s="3" t="str">
        <f>IF($B1350="",""," | "&amp;$E1350&amp;" | "&amp;$F1350)</f>
        <v> | Mining &amp; chemicals | Black carbon</v>
      </c>
      <c r="E1350" s="3" t="str">
        <f>IFERROR(INDEX(SecLab,MATCH($B1350,SecKey,0)),"")</f>
        <v>Mining &amp; chemicals</v>
      </c>
      <c r="F1350" s="3" t="str">
        <f>IFERROR(INDEX(FuelLab,MATCH($C1350,FuelKeyL,0)),"")</f>
        <v>Black carbon</v>
      </c>
      <c r="G1350" s="3" t="inlineStr">
        <is>
          <t>.mch.bc</t>
        </is>
      </c>
    </row>
    <row r="1351">
      <c r="A1351" s="3" t="str">
        <f>$B1351&amp;"|"&amp;$C1351</f>
        <v>irn|bc</v>
      </c>
      <c r="B1351" s="3" t="inlineStr">
        <is>
          <t>irn</t>
        </is>
      </c>
      <c r="C1351" s="3" t="inlineStr">
        <is>
          <t>bc</t>
        </is>
      </c>
      <c r="D1351" s="3" t="str">
        <f>IF($B1351="",""," | "&amp;$E1351&amp;" | "&amp;$F1351)</f>
        <v> | Iron &amp; steel | Black carbon</v>
      </c>
      <c r="E1351" s="3" t="str">
        <f>IFERROR(INDEX(SecLab,MATCH($B1351,SecKey,0)),"")</f>
        <v>Iron &amp; steel</v>
      </c>
      <c r="F1351" s="3" t="str">
        <f>IFERROR(INDEX(FuelLab,MATCH($C1351,FuelKeyL,0)),"")</f>
        <v>Black carbon</v>
      </c>
      <c r="G1351" s="3" t="inlineStr">
        <is>
          <t>.irn.bc</t>
        </is>
      </c>
    </row>
    <row r="1352">
      <c r="A1352" s="3" t="str">
        <f>$B1352&amp;"|"&amp;$C1352</f>
        <v>nfm|bc</v>
      </c>
      <c r="B1352" s="3" t="inlineStr">
        <is>
          <t>nfm</t>
        </is>
      </c>
      <c r="C1352" s="3" t="inlineStr">
        <is>
          <t>bc</t>
        </is>
      </c>
      <c r="D1352" s="3" t="str">
        <f>IF($B1352="",""," | "&amp;$E1352&amp;" | "&amp;$F1352)</f>
        <v> | Other metals | Black carbon</v>
      </c>
      <c r="E1352" s="3" t="str">
        <f>IFERROR(INDEX(SecLab,MATCH($B1352,SecKey,0)),"")</f>
        <v>Other metals</v>
      </c>
      <c r="F1352" s="3" t="str">
        <f>IFERROR(INDEX(FuelLab,MATCH($C1352,FuelKeyL,0)),"")</f>
        <v>Black carbon</v>
      </c>
      <c r="G1352" s="3" t="inlineStr">
        <is>
          <t>.nfm.bc</t>
        </is>
      </c>
    </row>
    <row r="1353">
      <c r="A1353" s="3" t="str">
        <f>$B1353&amp;"|"&amp;$C1353</f>
        <v>mac|bc</v>
      </c>
      <c r="B1353" s="3" t="inlineStr">
        <is>
          <t>mac</t>
        </is>
      </c>
      <c r="C1353" s="3" t="inlineStr">
        <is>
          <t>bc</t>
        </is>
      </c>
      <c r="D1353" s="3" t="str">
        <f>IF($B1353="",""," | "&amp;$E1353&amp;" | "&amp;$F1353)</f>
        <v> | Machinery | Black carbon</v>
      </c>
      <c r="E1353" s="3" t="str">
        <f>IFERROR(INDEX(SecLab,MATCH($B1353,SecKey,0)),"")</f>
        <v>Machinery</v>
      </c>
      <c r="F1353" s="3" t="str">
        <f>IFERROR(INDEX(FuelLab,MATCH($C1353,FuelKeyL,0)),"")</f>
        <v>Black carbon</v>
      </c>
      <c r="G1353" s="3" t="inlineStr">
        <is>
          <t>.mac.bc</t>
        </is>
      </c>
    </row>
    <row r="1354">
      <c r="A1354" s="3" t="str">
        <f>$B1354&amp;"|"&amp;$C1354</f>
        <v>cem|bc</v>
      </c>
      <c r="B1354" s="3" t="inlineStr">
        <is>
          <t>cem</t>
        </is>
      </c>
      <c r="C1354" s="3" t="inlineStr">
        <is>
          <t>bc</t>
        </is>
      </c>
      <c r="D1354" s="3" t="str">
        <f>IF($B1354="",""," | "&amp;$E1354&amp;" | "&amp;$F1354)</f>
        <v> | Cement | Black carbon</v>
      </c>
      <c r="E1354" s="3" t="str">
        <f>IFERROR(INDEX(SecLab,MATCH($B1354,SecKey,0)),"")</f>
        <v>Cement</v>
      </c>
      <c r="F1354" s="3" t="str">
        <f>IFERROR(INDEX(FuelLab,MATCH($C1354,FuelKeyL,0)),"")</f>
        <v>Black carbon</v>
      </c>
      <c r="G1354" s="3" t="inlineStr">
        <is>
          <t>.cem.bc</t>
        </is>
      </c>
    </row>
    <row r="1355">
      <c r="A1355" s="3" t="str">
        <f>$B1355&amp;"|"&amp;$C1355</f>
        <v>omn|bc</v>
      </c>
      <c r="B1355" s="3" t="inlineStr">
        <is>
          <t>omn</t>
        </is>
      </c>
      <c r="C1355" s="3" t="inlineStr">
        <is>
          <t>bc</t>
        </is>
      </c>
      <c r="D1355" s="3" t="str">
        <f>IF($B1355="",""," | "&amp;$E1355&amp;" | "&amp;$F1355)</f>
        <v> | Other manufacturing | Black carbon</v>
      </c>
      <c r="E1355" s="3" t="str">
        <f>IFERROR(INDEX(SecLab,MATCH($B1355,SecKey,0)),"")</f>
        <v>Other manufacturing</v>
      </c>
      <c r="F1355" s="3" t="str">
        <f>IFERROR(INDEX(FuelLab,MATCH($C1355,FuelKeyL,0)),"")</f>
        <v>Black carbon</v>
      </c>
      <c r="G1355" s="3" t="inlineStr">
        <is>
          <t>.omn.bc</t>
        </is>
      </c>
    </row>
    <row r="1356">
      <c r="A1356" s="3" t="str">
        <f>$B1356&amp;"|"&amp;$C1356</f>
        <v>cst|bc</v>
      </c>
      <c r="B1356" s="3" t="inlineStr">
        <is>
          <t>cst</t>
        </is>
      </c>
      <c r="C1356" s="3" t="inlineStr">
        <is>
          <t>bc</t>
        </is>
      </c>
      <c r="D1356" s="3" t="str">
        <f>IF($B1356="",""," | "&amp;$E1356&amp;" | "&amp;$F1356)</f>
        <v> | Construction | Black carbon</v>
      </c>
      <c r="E1356" s="3" t="str">
        <f>IFERROR(INDEX(SecLab,MATCH($B1356,SecKey,0)),"")</f>
        <v>Construction</v>
      </c>
      <c r="F1356" s="3" t="str">
        <f>IFERROR(INDEX(FuelLab,MATCH($C1356,FuelKeyL,0)),"")</f>
        <v>Black carbon</v>
      </c>
      <c r="G1356" s="3" t="inlineStr">
        <is>
          <t>.cst.bc</t>
        </is>
      </c>
    </row>
    <row r="1357">
      <c r="A1357" s="3" t="str">
        <f>$B1357&amp;"|"&amp;$C1357</f>
        <v>ftr|bc</v>
      </c>
      <c r="B1357" s="3" t="inlineStr">
        <is>
          <t>ftr</t>
        </is>
      </c>
      <c r="C1357" s="3" t="inlineStr">
        <is>
          <t>bc</t>
        </is>
      </c>
      <c r="D1357" s="3" t="str">
        <f>IF($B1357="",""," | "&amp;$E1357&amp;" | "&amp;$F1357)</f>
        <v> | Fuel transformation | Black carbon</v>
      </c>
      <c r="E1357" s="3" t="str">
        <f>IFERROR(INDEX(SecLab,MATCH($B1357,SecKey,0)),"")</f>
        <v>Fuel transformation</v>
      </c>
      <c r="F1357" s="3" t="str">
        <f>IFERROR(INDEX(FuelLab,MATCH($C1357,FuelKeyL,0)),"")</f>
        <v>Black carbon</v>
      </c>
      <c r="G1357" s="3" t="inlineStr">
        <is>
          <t>.ftr.bc</t>
        </is>
      </c>
    </row>
    <row r="1358">
      <c r="A1358" s="3" t="str">
        <f>$B1358&amp;"|"&amp;$C1358</f>
        <v>oen|bc</v>
      </c>
      <c r="B1358" s="3" t="inlineStr">
        <is>
          <t>oen</t>
        </is>
      </c>
      <c r="C1358" s="3" t="inlineStr">
        <is>
          <t>bc</t>
        </is>
      </c>
      <c r="D1358" s="3" t="str">
        <f>IF($B1358="",""," | "&amp;$E1358&amp;" | "&amp;$F1358)</f>
        <v> | Other energy use | Black carbon</v>
      </c>
      <c r="E1358" s="3" t="str">
        <f>IFERROR(INDEX(SecLab,MATCH($B1358,SecKey,0)),"")</f>
        <v>Other energy use</v>
      </c>
      <c r="F1358" s="3" t="str">
        <f>IFERROR(INDEX(FuelLab,MATCH($C1358,FuelKeyL,0)),"")</f>
        <v>Black carbon</v>
      </c>
      <c r="G1358" s="3" t="inlineStr">
        <is>
          <t>.oen.bc</t>
        </is>
      </c>
    </row>
    <row r="1359">
      <c r="A1359" s="3" t="str">
        <f>$B1359&amp;"|"&amp;$C1359</f>
        <v>pow|bc</v>
      </c>
      <c r="B1359" s="3" t="inlineStr">
        <is>
          <t>pow</t>
        </is>
      </c>
      <c r="C1359" s="3" t="inlineStr">
        <is>
          <t>bc</t>
        </is>
      </c>
      <c r="D1359" s="3" t="str">
        <f>IF($B1359="",""," | "&amp;$E1359&amp;" | "&amp;$F1359)</f>
        <v> | Power | Black carbon</v>
      </c>
      <c r="E1359" s="3" t="str">
        <f>IFERROR(INDEX(SecLab,MATCH($B1359,SecKey,0)),"")</f>
        <v>Power</v>
      </c>
      <c r="F1359" s="3" t="str">
        <f>IFERROR(INDEX(FuelLab,MATCH($C1359,FuelKeyL,0)),"")</f>
        <v>Black carbon</v>
      </c>
      <c r="G1359" s="3" t="inlineStr">
        <is>
          <t>.pow.bc</t>
        </is>
      </c>
    </row>
    <row r="1360">
      <c r="A1360" s="3" t="str">
        <f>$B1360&amp;"|"&amp;$C1360</f>
        <v>tra|bc</v>
      </c>
      <c r="B1360" s="3" t="inlineStr">
        <is>
          <t>tra</t>
        </is>
      </c>
      <c r="C1360" s="3" t="inlineStr">
        <is>
          <t>bc</t>
        </is>
      </c>
      <c r="D1360" s="3" t="str">
        <f>IF($B1360="",""," | "&amp;$E1360&amp;" | "&amp;$F1360)</f>
        <v> | Transport | Black carbon</v>
      </c>
      <c r="E1360" s="3" t="str">
        <f>IFERROR(INDEX(SecLab,MATCH($B1360,SecKey,0)),"")</f>
        <v>Transport</v>
      </c>
      <c r="F1360" s="3" t="str">
        <f>IFERROR(INDEX(FuelLab,MATCH($C1360,FuelKeyL,0)),"")</f>
        <v>Black carbon</v>
      </c>
      <c r="G1360" s="3" t="inlineStr">
        <is>
          <t>.tra.bc</t>
        </is>
      </c>
    </row>
    <row r="1361">
      <c r="A1361" s="3" t="str">
        <f>$B1361&amp;"|"&amp;$C1361</f>
        <v>bld|bc</v>
      </c>
      <c r="B1361" s="3" t="inlineStr">
        <is>
          <t>bld</t>
        </is>
      </c>
      <c r="C1361" s="3" t="inlineStr">
        <is>
          <t>bc</t>
        </is>
      </c>
      <c r="D1361" s="3" t="str">
        <f>IF($B1361="",""," | "&amp;$E1361&amp;" | "&amp;$F1361)</f>
        <v> | Buildings | Black carbon</v>
      </c>
      <c r="E1361" s="3" t="str">
        <f>IFERROR(INDEX(SecLab,MATCH($B1361,SecKey,0)),"")</f>
        <v>Buildings</v>
      </c>
      <c r="F1361" s="3" t="str">
        <f>IFERROR(INDEX(FuelLab,MATCH($C1361,FuelKeyL,0)),"")</f>
        <v>Black carbon</v>
      </c>
      <c r="G1361" s="3" t="inlineStr">
        <is>
          <t>.bld.bc</t>
        </is>
      </c>
    </row>
    <row r="1362">
      <c r="A1362" s="3" t="str">
        <f>$B1362&amp;"|"&amp;$C1362</f>
        <v>ind|bc</v>
      </c>
      <c r="B1362" s="3" t="inlineStr">
        <is>
          <t>ind</t>
        </is>
      </c>
      <c r="C1362" s="3" t="inlineStr">
        <is>
          <t>bc</t>
        </is>
      </c>
      <c r="D1362" s="3" t="str">
        <f>IF($B1362="",""," | "&amp;$E1362&amp;" | "&amp;$F1362)</f>
        <v> | Industry | Black carbon</v>
      </c>
      <c r="E1362" s="3" t="str">
        <f>IFERROR(INDEX(SecLab,MATCH($B1362,SecKey,0)),"")</f>
        <v>Industry</v>
      </c>
      <c r="F1362" s="3" t="str">
        <f>IFERROR(INDEX(FuelLab,MATCH($C1362,FuelKeyL,0)),"")</f>
        <v>Black carbon</v>
      </c>
      <c r="G1362" s="3" t="inlineStr">
        <is>
          <t>.ind.bc</t>
        </is>
      </c>
    </row>
    <row r="1363">
      <c r="A1363" s="3" t="str">
        <f>$B1363&amp;"|"&amp;$C1363</f>
        <v>fod|bc</v>
      </c>
      <c r="B1363" s="3" t="inlineStr">
        <is>
          <t>fod</t>
        </is>
      </c>
      <c r="C1363" s="3" t="inlineStr">
        <is>
          <t>bc</t>
        </is>
      </c>
      <c r="D1363" s="3" t="str">
        <f>IF($B1363="",""," | "&amp;$E1363&amp;" | "&amp;$F1363)</f>
        <v> | of which food | Black carbon</v>
      </c>
      <c r="E1363" s="3" t="str">
        <f>IFERROR(INDEX(SecLab,MATCH($B1363,SecKey,0)),"")</f>
        <v>of which food</v>
      </c>
      <c r="F1363" s="3" t="str">
        <f>IFERROR(INDEX(FuelLab,MATCH($C1363,FuelKeyL,0)),"")</f>
        <v>Black carbon</v>
      </c>
      <c r="G1363" s="3" t="inlineStr">
        <is>
          <t>.fod.bc</t>
        </is>
      </c>
    </row>
    <row r="1364">
      <c r="A1364" s="3" t="str">
        <f>$B1364&amp;"|"&amp;$C1364</f>
        <v>fag|bc</v>
      </c>
      <c r="B1364" s="3" t="inlineStr">
        <is>
          <t>fag</t>
        </is>
      </c>
      <c r="C1364" s="3" t="inlineStr">
        <is>
          <t>bc</t>
        </is>
      </c>
      <c r="D1364" s="3" t="str">
        <f>IF($B1364="",""," | "&amp;$E1364&amp;" | "&amp;$F1364)</f>
        <v> | of which forestry and agriculture | Black carbon</v>
      </c>
      <c r="E1364" s="3" t="str">
        <f>IFERROR(INDEX(SecLab,MATCH($B1364,SecKey,0)),"")</f>
        <v>of which forestry and agriculture</v>
      </c>
      <c r="F1364" s="3" t="str">
        <f>IFERROR(INDEX(FuelLab,MATCH($C1364,FuelKeyL,0)),"")</f>
        <v>Black carbon</v>
      </c>
      <c r="G1364" s="3" t="inlineStr">
        <is>
          <t>.fag.bc</t>
        </is>
      </c>
    </row>
    <row r="1365">
      <c r="A1365" s="3" t="str">
        <f>$B1365&amp;"|"&amp;$C1365</f>
        <v>rod|oc</v>
      </c>
      <c r="B1365" s="3" t="inlineStr">
        <is>
          <t>rod</t>
        </is>
      </c>
      <c r="C1365" s="3" t="inlineStr">
        <is>
          <t>oc</t>
        </is>
      </c>
      <c r="D1365" s="3" t="str">
        <f>IF($B1365="",""," | "&amp;$E1365&amp;" | "&amp;$F1365)</f>
        <v> | Road | Organic carbon</v>
      </c>
      <c r="E1365" s="3" t="str">
        <f>IFERROR(INDEX(SecLab,MATCH($B1365,SecKey,0)),"")</f>
        <v>Road</v>
      </c>
      <c r="F1365" s="3" t="str">
        <f>IFERROR(INDEX(FuelLab,MATCH($C1365,FuelKeyL,0)),"")</f>
        <v>Organic carbon</v>
      </c>
      <c r="G1365" s="3" t="inlineStr">
        <is>
          <t>.rod.oc</t>
        </is>
      </c>
    </row>
    <row r="1366">
      <c r="A1366" s="3" t="str">
        <f>$B1366&amp;"|"&amp;$C1366</f>
        <v>ral|oc</v>
      </c>
      <c r="B1366" s="3" t="inlineStr">
        <is>
          <t>ral</t>
        </is>
      </c>
      <c r="C1366" s="3" t="inlineStr">
        <is>
          <t>oc</t>
        </is>
      </c>
      <c r="D1366" s="3" t="str">
        <f>IF($B1366="",""," | "&amp;$E1366&amp;" | "&amp;$F1366)</f>
        <v> | Rail | Organic carbon</v>
      </c>
      <c r="E1366" s="3" t="str">
        <f>IFERROR(INDEX(SecLab,MATCH($B1366,SecKey,0)),"")</f>
        <v>Rail</v>
      </c>
      <c r="F1366" s="3" t="str">
        <f>IFERROR(INDEX(FuelLab,MATCH($C1366,FuelKeyL,0)),"")</f>
        <v>Organic carbon</v>
      </c>
      <c r="G1366" s="3" t="inlineStr">
        <is>
          <t>.ral.oc</t>
        </is>
      </c>
    </row>
    <row r="1367">
      <c r="A1367" s="3" t="str">
        <f>$B1367&amp;"|"&amp;$C1367</f>
        <v>avi|oc</v>
      </c>
      <c r="B1367" s="3" t="inlineStr">
        <is>
          <t>avi</t>
        </is>
      </c>
      <c r="C1367" s="3" t="inlineStr">
        <is>
          <t>oc</t>
        </is>
      </c>
      <c r="D1367" s="3" t="str">
        <f>IF($B1367="",""," | "&amp;$E1367&amp;" | "&amp;$F1367)</f>
        <v> | Domestic aviation | Organic carbon</v>
      </c>
      <c r="E1367" s="3" t="str">
        <f>IFERROR(INDEX(SecLab,MATCH($B1367,SecKey,0)),"")</f>
        <v>Domestic aviation</v>
      </c>
      <c r="F1367" s="3" t="str">
        <f>IFERROR(INDEX(FuelLab,MATCH($C1367,FuelKeyL,0)),"")</f>
        <v>Organic carbon</v>
      </c>
      <c r="G1367" s="3" t="inlineStr">
        <is>
          <t>.avi.oc</t>
        </is>
      </c>
    </row>
    <row r="1368">
      <c r="A1368" s="3" t="str">
        <f>$B1368&amp;"|"&amp;$C1368</f>
        <v>nav|oc</v>
      </c>
      <c r="B1368" s="3" t="inlineStr">
        <is>
          <t>nav</t>
        </is>
      </c>
      <c r="C1368" s="3" t="inlineStr">
        <is>
          <t>oc</t>
        </is>
      </c>
      <c r="D1368" s="3" t="str">
        <f>IF($B1368="",""," | "&amp;$E1368&amp;" | "&amp;$F1368)</f>
        <v> | Domestic navigation | Organic carbon</v>
      </c>
      <c r="E1368" s="3" t="str">
        <f>IFERROR(INDEX(SecLab,MATCH($B1368,SecKey,0)),"")</f>
        <v>Domestic navigation</v>
      </c>
      <c r="F1368" s="3" t="str">
        <f>IFERROR(INDEX(FuelLab,MATCH($C1368,FuelKeyL,0)),"")</f>
        <v>Organic carbon</v>
      </c>
      <c r="G1368" s="3" t="inlineStr">
        <is>
          <t>.nav.oc</t>
        </is>
      </c>
    </row>
    <row r="1369">
      <c r="A1369" s="3" t="str">
        <f>$B1369&amp;"|"&amp;$C1369</f>
        <v>res|oc</v>
      </c>
      <c r="B1369" s="3" t="inlineStr">
        <is>
          <t>res</t>
        </is>
      </c>
      <c r="C1369" s="3" t="inlineStr">
        <is>
          <t>oc</t>
        </is>
      </c>
      <c r="D1369" s="3" t="str">
        <f>IF($B1369="",""," | "&amp;$E1369&amp;" | "&amp;$F1369)</f>
        <v> | Residential | Organic carbon</v>
      </c>
      <c r="E1369" s="3" t="str">
        <f>IFERROR(INDEX(SecLab,MATCH($B1369,SecKey,0)),"")</f>
        <v>Residential</v>
      </c>
      <c r="F1369" s="3" t="str">
        <f>IFERROR(INDEX(FuelLab,MATCH($C1369,FuelKeyL,0)),"")</f>
        <v>Organic carbon</v>
      </c>
      <c r="G1369" s="3" t="inlineStr">
        <is>
          <t>.res.oc</t>
        </is>
      </c>
    </row>
    <row r="1370">
      <c r="A1370" s="3" t="str">
        <f>$B1370&amp;"|"&amp;$C1370</f>
        <v>foo|oc</v>
      </c>
      <c r="B1370" s="3" t="inlineStr">
        <is>
          <t>foo</t>
        </is>
      </c>
      <c r="C1370" s="3" t="inlineStr">
        <is>
          <t>oc</t>
        </is>
      </c>
      <c r="D1370" s="3" t="str">
        <f>IF($B1370="",""," | "&amp;$E1370&amp;" | "&amp;$F1370)</f>
        <v> | Food &amp; forestry | Organic carbon</v>
      </c>
      <c r="E1370" s="3" t="str">
        <f>IFERROR(INDEX(SecLab,MATCH($B1370,SecKey,0)),"")</f>
        <v>Food &amp; forestry</v>
      </c>
      <c r="F1370" s="3" t="str">
        <f>IFERROR(INDEX(FuelLab,MATCH($C1370,FuelKeyL,0)),"")</f>
        <v>Organic carbon</v>
      </c>
      <c r="G1370" s="3" t="inlineStr">
        <is>
          <t>.foo.oc</t>
        </is>
      </c>
    </row>
    <row r="1371">
      <c r="A1371" s="3" t="str">
        <f>$B1371&amp;"|"&amp;$C1371</f>
        <v>srv|oc</v>
      </c>
      <c r="B1371" s="3" t="inlineStr">
        <is>
          <t>srv</t>
        </is>
      </c>
      <c r="C1371" s="3" t="inlineStr">
        <is>
          <t>oc</t>
        </is>
      </c>
      <c r="D1371" s="3" t="str">
        <f>IF($B1371="",""," | "&amp;$E1371&amp;" | "&amp;$F1371)</f>
        <v> | Services (public &amp; private) | Organic carbon</v>
      </c>
      <c r="E1371" s="3" t="str">
        <f>IFERROR(INDEX(SecLab,MATCH($B1371,SecKey,0)),"")</f>
        <v>Services (public &amp; private)</v>
      </c>
      <c r="F1371" s="3" t="str">
        <f>IFERROR(INDEX(FuelLab,MATCH($C1371,FuelKeyL,0)),"")</f>
        <v>Organic carbon</v>
      </c>
      <c r="G1371" s="3" t="inlineStr">
        <is>
          <t>.srv.oc</t>
        </is>
      </c>
    </row>
    <row r="1372">
      <c r="A1372" s="3" t="str">
        <f>$B1372&amp;"|"&amp;$C1372</f>
        <v>mch|oc</v>
      </c>
      <c r="B1372" s="3" t="inlineStr">
        <is>
          <t>mch</t>
        </is>
      </c>
      <c r="C1372" s="3" t="inlineStr">
        <is>
          <t>oc</t>
        </is>
      </c>
      <c r="D1372" s="3" t="str">
        <f>IF($B1372="",""," | "&amp;$E1372&amp;" | "&amp;$F1372)</f>
        <v> | Mining &amp; chemicals | Organic carbon</v>
      </c>
      <c r="E1372" s="3" t="str">
        <f>IFERROR(INDEX(SecLab,MATCH($B1372,SecKey,0)),"")</f>
        <v>Mining &amp; chemicals</v>
      </c>
      <c r="F1372" s="3" t="str">
        <f>IFERROR(INDEX(FuelLab,MATCH($C1372,FuelKeyL,0)),"")</f>
        <v>Organic carbon</v>
      </c>
      <c r="G1372" s="3" t="inlineStr">
        <is>
          <t>.mch.oc</t>
        </is>
      </c>
    </row>
    <row r="1373">
      <c r="A1373" s="3" t="str">
        <f>$B1373&amp;"|"&amp;$C1373</f>
        <v>irn|oc</v>
      </c>
      <c r="B1373" s="3" t="inlineStr">
        <is>
          <t>irn</t>
        </is>
      </c>
      <c r="C1373" s="3" t="inlineStr">
        <is>
          <t>oc</t>
        </is>
      </c>
      <c r="D1373" s="3" t="str">
        <f>IF($B1373="",""," | "&amp;$E1373&amp;" | "&amp;$F1373)</f>
        <v> | Iron &amp; steel | Organic carbon</v>
      </c>
      <c r="E1373" s="3" t="str">
        <f>IFERROR(INDEX(SecLab,MATCH($B1373,SecKey,0)),"")</f>
        <v>Iron &amp; steel</v>
      </c>
      <c r="F1373" s="3" t="str">
        <f>IFERROR(INDEX(FuelLab,MATCH($C1373,FuelKeyL,0)),"")</f>
        <v>Organic carbon</v>
      </c>
      <c r="G1373" s="3" t="inlineStr">
        <is>
          <t>.irn.oc</t>
        </is>
      </c>
    </row>
    <row r="1374">
      <c r="A1374" s="3" t="str">
        <f>$B1374&amp;"|"&amp;$C1374</f>
        <v>nfm|oc</v>
      </c>
      <c r="B1374" s="3" t="inlineStr">
        <is>
          <t>nfm</t>
        </is>
      </c>
      <c r="C1374" s="3" t="inlineStr">
        <is>
          <t>oc</t>
        </is>
      </c>
      <c r="D1374" s="3" t="str">
        <f>IF($B1374="",""," | "&amp;$E1374&amp;" | "&amp;$F1374)</f>
        <v> | Other metals | Organic carbon</v>
      </c>
      <c r="E1374" s="3" t="str">
        <f>IFERROR(INDEX(SecLab,MATCH($B1374,SecKey,0)),"")</f>
        <v>Other metals</v>
      </c>
      <c r="F1374" s="3" t="str">
        <f>IFERROR(INDEX(FuelLab,MATCH($C1374,FuelKeyL,0)),"")</f>
        <v>Organic carbon</v>
      </c>
      <c r="G1374" s="3" t="inlineStr">
        <is>
          <t>.nfm.oc</t>
        </is>
      </c>
    </row>
    <row r="1375">
      <c r="A1375" s="3" t="str">
        <f>$B1375&amp;"|"&amp;$C1375</f>
        <v>mac|oc</v>
      </c>
      <c r="B1375" s="3" t="inlineStr">
        <is>
          <t>mac</t>
        </is>
      </c>
      <c r="C1375" s="3" t="inlineStr">
        <is>
          <t>oc</t>
        </is>
      </c>
      <c r="D1375" s="3" t="str">
        <f>IF($B1375="",""," | "&amp;$E1375&amp;" | "&amp;$F1375)</f>
        <v> | Machinery | Organic carbon</v>
      </c>
      <c r="E1375" s="3" t="str">
        <f>IFERROR(INDEX(SecLab,MATCH($B1375,SecKey,0)),"")</f>
        <v>Machinery</v>
      </c>
      <c r="F1375" s="3" t="str">
        <f>IFERROR(INDEX(FuelLab,MATCH($C1375,FuelKeyL,0)),"")</f>
        <v>Organic carbon</v>
      </c>
      <c r="G1375" s="3" t="inlineStr">
        <is>
          <t>.mac.oc</t>
        </is>
      </c>
    </row>
    <row r="1376">
      <c r="A1376" s="3" t="str">
        <f>$B1376&amp;"|"&amp;$C1376</f>
        <v>cem|oc</v>
      </c>
      <c r="B1376" s="3" t="inlineStr">
        <is>
          <t>cem</t>
        </is>
      </c>
      <c r="C1376" s="3" t="inlineStr">
        <is>
          <t>oc</t>
        </is>
      </c>
      <c r="D1376" s="3" t="str">
        <f>IF($B1376="",""," | "&amp;$E1376&amp;" | "&amp;$F1376)</f>
        <v> | Cement | Organic carbon</v>
      </c>
      <c r="E1376" s="3" t="str">
        <f>IFERROR(INDEX(SecLab,MATCH($B1376,SecKey,0)),"")</f>
        <v>Cement</v>
      </c>
      <c r="F1376" s="3" t="str">
        <f>IFERROR(INDEX(FuelLab,MATCH($C1376,FuelKeyL,0)),"")</f>
        <v>Organic carbon</v>
      </c>
      <c r="G1376" s="3" t="inlineStr">
        <is>
          <t>.cem.oc</t>
        </is>
      </c>
    </row>
    <row r="1377">
      <c r="A1377" s="3" t="str">
        <f>$B1377&amp;"|"&amp;$C1377</f>
        <v>omn|oc</v>
      </c>
      <c r="B1377" s="3" t="inlineStr">
        <is>
          <t>omn</t>
        </is>
      </c>
      <c r="C1377" s="3" t="inlineStr">
        <is>
          <t>oc</t>
        </is>
      </c>
      <c r="D1377" s="3" t="str">
        <f>IF($B1377="",""," | "&amp;$E1377&amp;" | "&amp;$F1377)</f>
        <v> | Other manufacturing | Organic carbon</v>
      </c>
      <c r="E1377" s="3" t="str">
        <f>IFERROR(INDEX(SecLab,MATCH($B1377,SecKey,0)),"")</f>
        <v>Other manufacturing</v>
      </c>
      <c r="F1377" s="3" t="str">
        <f>IFERROR(INDEX(FuelLab,MATCH($C1377,FuelKeyL,0)),"")</f>
        <v>Organic carbon</v>
      </c>
      <c r="G1377" s="3" t="inlineStr">
        <is>
          <t>.omn.oc</t>
        </is>
      </c>
    </row>
    <row r="1378">
      <c r="A1378" s="3" t="str">
        <f>$B1378&amp;"|"&amp;$C1378</f>
        <v>cst|oc</v>
      </c>
      <c r="B1378" s="3" t="inlineStr">
        <is>
          <t>cst</t>
        </is>
      </c>
      <c r="C1378" s="3" t="inlineStr">
        <is>
          <t>oc</t>
        </is>
      </c>
      <c r="D1378" s="3" t="str">
        <f>IF($B1378="",""," | "&amp;$E1378&amp;" | "&amp;$F1378)</f>
        <v> | Construction | Organic carbon</v>
      </c>
      <c r="E1378" s="3" t="str">
        <f>IFERROR(INDEX(SecLab,MATCH($B1378,SecKey,0)),"")</f>
        <v>Construction</v>
      </c>
      <c r="F1378" s="3" t="str">
        <f>IFERROR(INDEX(FuelLab,MATCH($C1378,FuelKeyL,0)),"")</f>
        <v>Organic carbon</v>
      </c>
      <c r="G1378" s="3" t="inlineStr">
        <is>
          <t>.cst.oc</t>
        </is>
      </c>
    </row>
    <row r="1379">
      <c r="A1379" s="3" t="str">
        <f>$B1379&amp;"|"&amp;$C1379</f>
        <v>ftr|oc</v>
      </c>
      <c r="B1379" s="3" t="inlineStr">
        <is>
          <t>ftr</t>
        </is>
      </c>
      <c r="C1379" s="3" t="inlineStr">
        <is>
          <t>oc</t>
        </is>
      </c>
      <c r="D1379" s="3" t="str">
        <f>IF($B1379="",""," | "&amp;$E1379&amp;" | "&amp;$F1379)</f>
        <v> | Fuel transformation | Organic carbon</v>
      </c>
      <c r="E1379" s="3" t="str">
        <f>IFERROR(INDEX(SecLab,MATCH($B1379,SecKey,0)),"")</f>
        <v>Fuel transformation</v>
      </c>
      <c r="F1379" s="3" t="str">
        <f>IFERROR(INDEX(FuelLab,MATCH($C1379,FuelKeyL,0)),"")</f>
        <v>Organic carbon</v>
      </c>
      <c r="G1379" s="3" t="inlineStr">
        <is>
          <t>.ftr.oc</t>
        </is>
      </c>
    </row>
    <row r="1380">
      <c r="A1380" s="3" t="str">
        <f>$B1380&amp;"|"&amp;$C1380</f>
        <v>oen|oc</v>
      </c>
      <c r="B1380" s="3" t="inlineStr">
        <is>
          <t>oen</t>
        </is>
      </c>
      <c r="C1380" s="3" t="inlineStr">
        <is>
          <t>oc</t>
        </is>
      </c>
      <c r="D1380" s="3" t="str">
        <f>IF($B1380="",""," | "&amp;$E1380&amp;" | "&amp;$F1380)</f>
        <v> | Other energy use | Organic carbon</v>
      </c>
      <c r="E1380" s="3" t="str">
        <f>IFERROR(INDEX(SecLab,MATCH($B1380,SecKey,0)),"")</f>
        <v>Other energy use</v>
      </c>
      <c r="F1380" s="3" t="str">
        <f>IFERROR(INDEX(FuelLab,MATCH($C1380,FuelKeyL,0)),"")</f>
        <v>Organic carbon</v>
      </c>
      <c r="G1380" s="3" t="inlineStr">
        <is>
          <t>.oen.oc</t>
        </is>
      </c>
    </row>
    <row r="1381">
      <c r="A1381" s="3" t="str">
        <f>$B1381&amp;"|"&amp;$C1381</f>
        <v>pow|oc</v>
      </c>
      <c r="B1381" s="3" t="inlineStr">
        <is>
          <t>pow</t>
        </is>
      </c>
      <c r="C1381" s="3" t="inlineStr">
        <is>
          <t>oc</t>
        </is>
      </c>
      <c r="D1381" s="3" t="str">
        <f>IF($B1381="",""," | "&amp;$E1381&amp;" | "&amp;$F1381)</f>
        <v> | Power | Organic carbon</v>
      </c>
      <c r="E1381" s="3" t="str">
        <f>IFERROR(INDEX(SecLab,MATCH($B1381,SecKey,0)),"")</f>
        <v>Power</v>
      </c>
      <c r="F1381" s="3" t="str">
        <f>IFERROR(INDEX(FuelLab,MATCH($C1381,FuelKeyL,0)),"")</f>
        <v>Organic carbon</v>
      </c>
      <c r="G1381" s="3" t="inlineStr">
        <is>
          <t>.pow.oc</t>
        </is>
      </c>
    </row>
    <row r="1382">
      <c r="A1382" s="3" t="str">
        <f>$B1382&amp;"|"&amp;$C1382</f>
        <v>tra|oc</v>
      </c>
      <c r="B1382" s="3" t="inlineStr">
        <is>
          <t>tra</t>
        </is>
      </c>
      <c r="C1382" s="3" t="inlineStr">
        <is>
          <t>oc</t>
        </is>
      </c>
      <c r="D1382" s="3" t="str">
        <f>IF($B1382="",""," | "&amp;$E1382&amp;" | "&amp;$F1382)</f>
        <v> | Transport | Organic carbon</v>
      </c>
      <c r="E1382" s="3" t="str">
        <f>IFERROR(INDEX(SecLab,MATCH($B1382,SecKey,0)),"")</f>
        <v>Transport</v>
      </c>
      <c r="F1382" s="3" t="str">
        <f>IFERROR(INDEX(FuelLab,MATCH($C1382,FuelKeyL,0)),"")</f>
        <v>Organic carbon</v>
      </c>
      <c r="G1382" s="3" t="inlineStr">
        <is>
          <t>.tra.oc</t>
        </is>
      </c>
    </row>
    <row r="1383">
      <c r="A1383" s="3" t="str">
        <f>$B1383&amp;"|"&amp;$C1383</f>
        <v>bld|oc</v>
      </c>
      <c r="B1383" s="3" t="inlineStr">
        <is>
          <t>bld</t>
        </is>
      </c>
      <c r="C1383" s="3" t="inlineStr">
        <is>
          <t>oc</t>
        </is>
      </c>
      <c r="D1383" s="3" t="str">
        <f>IF($B1383="",""," | "&amp;$E1383&amp;" | "&amp;$F1383)</f>
        <v> | Buildings | Organic carbon</v>
      </c>
      <c r="E1383" s="3" t="str">
        <f>IFERROR(INDEX(SecLab,MATCH($B1383,SecKey,0)),"")</f>
        <v>Buildings</v>
      </c>
      <c r="F1383" s="3" t="str">
        <f>IFERROR(INDEX(FuelLab,MATCH($C1383,FuelKeyL,0)),"")</f>
        <v>Organic carbon</v>
      </c>
      <c r="G1383" s="3" t="inlineStr">
        <is>
          <t>.bld.oc</t>
        </is>
      </c>
    </row>
    <row r="1384">
      <c r="A1384" s="3" t="str">
        <f>$B1384&amp;"|"&amp;$C1384</f>
        <v>ind|oc</v>
      </c>
      <c r="B1384" s="3" t="inlineStr">
        <is>
          <t>ind</t>
        </is>
      </c>
      <c r="C1384" s="3" t="inlineStr">
        <is>
          <t>oc</t>
        </is>
      </c>
      <c r="D1384" s="3" t="str">
        <f>IF($B1384="",""," | "&amp;$E1384&amp;" | "&amp;$F1384)</f>
        <v> | Industry | Organic carbon</v>
      </c>
      <c r="E1384" s="3" t="str">
        <f>IFERROR(INDEX(SecLab,MATCH($B1384,SecKey,0)),"")</f>
        <v>Industry</v>
      </c>
      <c r="F1384" s="3" t="str">
        <f>IFERROR(INDEX(FuelLab,MATCH($C1384,FuelKeyL,0)),"")</f>
        <v>Organic carbon</v>
      </c>
      <c r="G1384" s="3" t="inlineStr">
        <is>
          <t>.ind.oc</t>
        </is>
      </c>
    </row>
    <row r="1385">
      <c r="A1385" s="3" t="str">
        <f>$B1385&amp;"|"&amp;$C1385</f>
        <v>fod|oc</v>
      </c>
      <c r="B1385" s="3" t="inlineStr">
        <is>
          <t>fod</t>
        </is>
      </c>
      <c r="C1385" s="3" t="inlineStr">
        <is>
          <t>oc</t>
        </is>
      </c>
      <c r="D1385" s="3" t="str">
        <f>IF($B1385="",""," | "&amp;$E1385&amp;" | "&amp;$F1385)</f>
        <v> | of which food | Organic carbon</v>
      </c>
      <c r="E1385" s="3" t="str">
        <f>IFERROR(INDEX(SecLab,MATCH($B1385,SecKey,0)),"")</f>
        <v>of which food</v>
      </c>
      <c r="F1385" s="3" t="str">
        <f>IFERROR(INDEX(FuelLab,MATCH($C1385,FuelKeyL,0)),"")</f>
        <v>Organic carbon</v>
      </c>
      <c r="G1385" s="3" t="inlineStr">
        <is>
          <t>.fod.oc</t>
        </is>
      </c>
    </row>
    <row r="1386">
      <c r="A1386" s="3" t="str">
        <f>$B1386&amp;"|"&amp;$C1386</f>
        <v>fag|oc</v>
      </c>
      <c r="B1386" s="3" t="inlineStr">
        <is>
          <t>fag</t>
        </is>
      </c>
      <c r="C1386" s="3" t="inlineStr">
        <is>
          <t>oc</t>
        </is>
      </c>
      <c r="D1386" s="3" t="str">
        <f>IF($B1386="",""," | "&amp;$E1386&amp;" | "&amp;$F1386)</f>
        <v> | of which forestry and agriculture | Organic carbon</v>
      </c>
      <c r="E1386" s="3" t="str">
        <f>IFERROR(INDEX(SecLab,MATCH($B1386,SecKey,0)),"")</f>
        <v>of which forestry and agriculture</v>
      </c>
      <c r="F1386" s="3" t="str">
        <f>IFERROR(INDEX(FuelLab,MATCH($C1386,FuelKeyL,0)),"")</f>
        <v>Organic carbon</v>
      </c>
      <c r="G1386" s="3" t="inlineStr">
        <is>
          <t>.fag.oc</t>
        </is>
      </c>
    </row>
    <row r="1387">
      <c r="A1387" s="3" t="str">
        <f>$B1387&amp;"|"&amp;$C1387</f>
        <v>rod|co</v>
      </c>
      <c r="B1387" s="3" t="inlineStr">
        <is>
          <t>rod</t>
        </is>
      </c>
      <c r="C1387" s="3" t="inlineStr">
        <is>
          <t>co</t>
        </is>
      </c>
      <c r="D1387" s="3" t="str">
        <f>IF($B1387="",""," | "&amp;$E1387&amp;" | "&amp;$F1387)</f>
        <v> | Road | CO</v>
      </c>
      <c r="E1387" s="3" t="str">
        <f>IFERROR(INDEX(SecLab,MATCH($B1387,SecKey,0)),"")</f>
        <v>Road</v>
      </c>
      <c r="F1387" s="3" t="str">
        <f>IFERROR(INDEX(FuelLab,MATCH($C1387,FuelKeyL,0)),"")</f>
        <v>CO</v>
      </c>
      <c r="G1387" s="3" t="inlineStr">
        <is>
          <t>.rod.co</t>
        </is>
      </c>
    </row>
    <row r="1388">
      <c r="A1388" s="3" t="str">
        <f>$B1388&amp;"|"&amp;$C1388</f>
        <v>ral|co</v>
      </c>
      <c r="B1388" s="3" t="inlineStr">
        <is>
          <t>ral</t>
        </is>
      </c>
      <c r="C1388" s="3" t="inlineStr">
        <is>
          <t>co</t>
        </is>
      </c>
      <c r="D1388" s="3" t="str">
        <f>IF($B1388="",""," | "&amp;$E1388&amp;" | "&amp;$F1388)</f>
        <v> | Rail | CO</v>
      </c>
      <c r="E1388" s="3" t="str">
        <f>IFERROR(INDEX(SecLab,MATCH($B1388,SecKey,0)),"")</f>
        <v>Rail</v>
      </c>
      <c r="F1388" s="3" t="str">
        <f>IFERROR(INDEX(FuelLab,MATCH($C1388,FuelKeyL,0)),"")</f>
        <v>CO</v>
      </c>
      <c r="G1388" s="3" t="inlineStr">
        <is>
          <t>.ral.co</t>
        </is>
      </c>
    </row>
    <row r="1389">
      <c r="A1389" s="3" t="str">
        <f>$B1389&amp;"|"&amp;$C1389</f>
        <v>avi|co</v>
      </c>
      <c r="B1389" s="3" t="inlineStr">
        <is>
          <t>avi</t>
        </is>
      </c>
      <c r="C1389" s="3" t="inlineStr">
        <is>
          <t>co</t>
        </is>
      </c>
      <c r="D1389" s="3" t="str">
        <f>IF($B1389="",""," | "&amp;$E1389&amp;" | "&amp;$F1389)</f>
        <v> | Domestic aviation | CO</v>
      </c>
      <c r="E1389" s="3" t="str">
        <f>IFERROR(INDEX(SecLab,MATCH($B1389,SecKey,0)),"")</f>
        <v>Domestic aviation</v>
      </c>
      <c r="F1389" s="3" t="str">
        <f>IFERROR(INDEX(FuelLab,MATCH($C1389,FuelKeyL,0)),"")</f>
        <v>CO</v>
      </c>
      <c r="G1389" s="3" t="inlineStr">
        <is>
          <t>.avi.co</t>
        </is>
      </c>
    </row>
    <row r="1390">
      <c r="A1390" s="3" t="str">
        <f>$B1390&amp;"|"&amp;$C1390</f>
        <v>nav|co</v>
      </c>
      <c r="B1390" s="3" t="inlineStr">
        <is>
          <t>nav</t>
        </is>
      </c>
      <c r="C1390" s="3" t="inlineStr">
        <is>
          <t>co</t>
        </is>
      </c>
      <c r="D1390" s="3" t="str">
        <f>IF($B1390="",""," | "&amp;$E1390&amp;" | "&amp;$F1390)</f>
        <v> | Domestic navigation | CO</v>
      </c>
      <c r="E1390" s="3" t="str">
        <f>IFERROR(INDEX(SecLab,MATCH($B1390,SecKey,0)),"")</f>
        <v>Domestic navigation</v>
      </c>
      <c r="F1390" s="3" t="str">
        <f>IFERROR(INDEX(FuelLab,MATCH($C1390,FuelKeyL,0)),"")</f>
        <v>CO</v>
      </c>
      <c r="G1390" s="3" t="inlineStr">
        <is>
          <t>.nav.co</t>
        </is>
      </c>
    </row>
    <row r="1391">
      <c r="A1391" s="3" t="str">
        <f>$B1391&amp;"|"&amp;$C1391</f>
        <v>res|co</v>
      </c>
      <c r="B1391" s="3" t="inlineStr">
        <is>
          <t>res</t>
        </is>
      </c>
      <c r="C1391" s="3" t="inlineStr">
        <is>
          <t>co</t>
        </is>
      </c>
      <c r="D1391" s="3" t="str">
        <f>IF($B1391="",""," | "&amp;$E1391&amp;" | "&amp;$F1391)</f>
        <v> | Residential | CO</v>
      </c>
      <c r="E1391" s="3" t="str">
        <f>IFERROR(INDEX(SecLab,MATCH($B1391,SecKey,0)),"")</f>
        <v>Residential</v>
      </c>
      <c r="F1391" s="3" t="str">
        <f>IFERROR(INDEX(FuelLab,MATCH($C1391,FuelKeyL,0)),"")</f>
        <v>CO</v>
      </c>
      <c r="G1391" s="3" t="inlineStr">
        <is>
          <t>.res.co</t>
        </is>
      </c>
    </row>
    <row r="1392">
      <c r="A1392" s="3" t="str">
        <f>$B1392&amp;"|"&amp;$C1392</f>
        <v>foo|co</v>
      </c>
      <c r="B1392" s="3" t="inlineStr">
        <is>
          <t>foo</t>
        </is>
      </c>
      <c r="C1392" s="3" t="inlineStr">
        <is>
          <t>co</t>
        </is>
      </c>
      <c r="D1392" s="3" t="str">
        <f>IF($B1392="",""," | "&amp;$E1392&amp;" | "&amp;$F1392)</f>
        <v> | Food &amp; forestry | CO</v>
      </c>
      <c r="E1392" s="3" t="str">
        <f>IFERROR(INDEX(SecLab,MATCH($B1392,SecKey,0)),"")</f>
        <v>Food &amp; forestry</v>
      </c>
      <c r="F1392" s="3" t="str">
        <f>IFERROR(INDEX(FuelLab,MATCH($C1392,FuelKeyL,0)),"")</f>
        <v>CO</v>
      </c>
      <c r="G1392" s="3" t="inlineStr">
        <is>
          <t>.foo.co</t>
        </is>
      </c>
    </row>
    <row r="1393">
      <c r="A1393" s="3" t="str">
        <f>$B1393&amp;"|"&amp;$C1393</f>
        <v>srv|co</v>
      </c>
      <c r="B1393" s="3" t="inlineStr">
        <is>
          <t>srv</t>
        </is>
      </c>
      <c r="C1393" s="3" t="inlineStr">
        <is>
          <t>co</t>
        </is>
      </c>
      <c r="D1393" s="3" t="str">
        <f>IF($B1393="",""," | "&amp;$E1393&amp;" | "&amp;$F1393)</f>
        <v> | Services (public &amp; private) | CO</v>
      </c>
      <c r="E1393" s="3" t="str">
        <f>IFERROR(INDEX(SecLab,MATCH($B1393,SecKey,0)),"")</f>
        <v>Services (public &amp; private)</v>
      </c>
      <c r="F1393" s="3" t="str">
        <f>IFERROR(INDEX(FuelLab,MATCH($C1393,FuelKeyL,0)),"")</f>
        <v>CO</v>
      </c>
      <c r="G1393" s="3" t="inlineStr">
        <is>
          <t>.srv.co</t>
        </is>
      </c>
    </row>
    <row r="1394">
      <c r="A1394" s="3" t="str">
        <f>$B1394&amp;"|"&amp;$C1394</f>
        <v>mch|co</v>
      </c>
      <c r="B1394" s="3" t="inlineStr">
        <is>
          <t>mch</t>
        </is>
      </c>
      <c r="C1394" s="3" t="inlineStr">
        <is>
          <t>co</t>
        </is>
      </c>
      <c r="D1394" s="3" t="str">
        <f>IF($B1394="",""," | "&amp;$E1394&amp;" | "&amp;$F1394)</f>
        <v> | Mining &amp; chemicals | CO</v>
      </c>
      <c r="E1394" s="3" t="str">
        <f>IFERROR(INDEX(SecLab,MATCH($B1394,SecKey,0)),"")</f>
        <v>Mining &amp; chemicals</v>
      </c>
      <c r="F1394" s="3" t="str">
        <f>IFERROR(INDEX(FuelLab,MATCH($C1394,FuelKeyL,0)),"")</f>
        <v>CO</v>
      </c>
      <c r="G1394" s="3" t="inlineStr">
        <is>
          <t>.mch.co</t>
        </is>
      </c>
    </row>
    <row r="1395">
      <c r="A1395" s="3" t="str">
        <f>$B1395&amp;"|"&amp;$C1395</f>
        <v>irn|co</v>
      </c>
      <c r="B1395" s="3" t="inlineStr">
        <is>
          <t>irn</t>
        </is>
      </c>
      <c r="C1395" s="3" t="inlineStr">
        <is>
          <t>co</t>
        </is>
      </c>
      <c r="D1395" s="3" t="str">
        <f>IF($B1395="",""," | "&amp;$E1395&amp;" | "&amp;$F1395)</f>
        <v> | Iron &amp; steel | CO</v>
      </c>
      <c r="E1395" s="3" t="str">
        <f>IFERROR(INDEX(SecLab,MATCH($B1395,SecKey,0)),"")</f>
        <v>Iron &amp; steel</v>
      </c>
      <c r="F1395" s="3" t="str">
        <f>IFERROR(INDEX(FuelLab,MATCH($C1395,FuelKeyL,0)),"")</f>
        <v>CO</v>
      </c>
      <c r="G1395" s="3" t="inlineStr">
        <is>
          <t>.irn.co</t>
        </is>
      </c>
    </row>
    <row r="1396">
      <c r="A1396" s="3" t="str">
        <f>$B1396&amp;"|"&amp;$C1396</f>
        <v>nfm|co</v>
      </c>
      <c r="B1396" s="3" t="inlineStr">
        <is>
          <t>nfm</t>
        </is>
      </c>
      <c r="C1396" s="3" t="inlineStr">
        <is>
          <t>co</t>
        </is>
      </c>
      <c r="D1396" s="3" t="str">
        <f>IF($B1396="",""," | "&amp;$E1396&amp;" | "&amp;$F1396)</f>
        <v> | Other metals | CO</v>
      </c>
      <c r="E1396" s="3" t="str">
        <f>IFERROR(INDEX(SecLab,MATCH($B1396,SecKey,0)),"")</f>
        <v>Other metals</v>
      </c>
      <c r="F1396" s="3" t="str">
        <f>IFERROR(INDEX(FuelLab,MATCH($C1396,FuelKeyL,0)),"")</f>
        <v>CO</v>
      </c>
      <c r="G1396" s="3" t="inlineStr">
        <is>
          <t>.nfm.co</t>
        </is>
      </c>
    </row>
    <row r="1397">
      <c r="A1397" s="3" t="str">
        <f>$B1397&amp;"|"&amp;$C1397</f>
        <v>mac|co</v>
      </c>
      <c r="B1397" s="3" t="inlineStr">
        <is>
          <t>mac</t>
        </is>
      </c>
      <c r="C1397" s="3" t="inlineStr">
        <is>
          <t>co</t>
        </is>
      </c>
      <c r="D1397" s="3" t="str">
        <f>IF($B1397="",""," | "&amp;$E1397&amp;" | "&amp;$F1397)</f>
        <v> | Machinery | CO</v>
      </c>
      <c r="E1397" s="3" t="str">
        <f>IFERROR(INDEX(SecLab,MATCH($B1397,SecKey,0)),"")</f>
        <v>Machinery</v>
      </c>
      <c r="F1397" s="3" t="str">
        <f>IFERROR(INDEX(FuelLab,MATCH($C1397,FuelKeyL,0)),"")</f>
        <v>CO</v>
      </c>
      <c r="G1397" s="3" t="inlineStr">
        <is>
          <t>.mac.co</t>
        </is>
      </c>
    </row>
    <row r="1398">
      <c r="A1398" s="3" t="str">
        <f>$B1398&amp;"|"&amp;$C1398</f>
        <v>cem|co</v>
      </c>
      <c r="B1398" s="3" t="inlineStr">
        <is>
          <t>cem</t>
        </is>
      </c>
      <c r="C1398" s="3" t="inlineStr">
        <is>
          <t>co</t>
        </is>
      </c>
      <c r="D1398" s="3" t="str">
        <f>IF($B1398="",""," | "&amp;$E1398&amp;" | "&amp;$F1398)</f>
        <v> | Cement | CO</v>
      </c>
      <c r="E1398" s="3" t="str">
        <f>IFERROR(INDEX(SecLab,MATCH($B1398,SecKey,0)),"")</f>
        <v>Cement</v>
      </c>
      <c r="F1398" s="3" t="str">
        <f>IFERROR(INDEX(FuelLab,MATCH($C1398,FuelKeyL,0)),"")</f>
        <v>CO</v>
      </c>
      <c r="G1398" s="3" t="inlineStr">
        <is>
          <t>.cem.co</t>
        </is>
      </c>
    </row>
    <row r="1399">
      <c r="A1399" s="3" t="str">
        <f>$B1399&amp;"|"&amp;$C1399</f>
        <v>omn|co</v>
      </c>
      <c r="B1399" s="3" t="inlineStr">
        <is>
          <t>omn</t>
        </is>
      </c>
      <c r="C1399" s="3" t="inlineStr">
        <is>
          <t>co</t>
        </is>
      </c>
      <c r="D1399" s="3" t="str">
        <f>IF($B1399="",""," | "&amp;$E1399&amp;" | "&amp;$F1399)</f>
        <v> | Other manufacturing | CO</v>
      </c>
      <c r="E1399" s="3" t="str">
        <f>IFERROR(INDEX(SecLab,MATCH($B1399,SecKey,0)),"")</f>
        <v>Other manufacturing</v>
      </c>
      <c r="F1399" s="3" t="str">
        <f>IFERROR(INDEX(FuelLab,MATCH($C1399,FuelKeyL,0)),"")</f>
        <v>CO</v>
      </c>
      <c r="G1399" s="3" t="inlineStr">
        <is>
          <t>.omn.co</t>
        </is>
      </c>
    </row>
    <row r="1400">
      <c r="A1400" s="3" t="str">
        <f>$B1400&amp;"|"&amp;$C1400</f>
        <v>cst|co</v>
      </c>
      <c r="B1400" s="3" t="inlineStr">
        <is>
          <t>cst</t>
        </is>
      </c>
      <c r="C1400" s="3" t="inlineStr">
        <is>
          <t>co</t>
        </is>
      </c>
      <c r="D1400" s="3" t="str">
        <f>IF($B1400="",""," | "&amp;$E1400&amp;" | "&amp;$F1400)</f>
        <v> | Construction | CO</v>
      </c>
      <c r="E1400" s="3" t="str">
        <f>IFERROR(INDEX(SecLab,MATCH($B1400,SecKey,0)),"")</f>
        <v>Construction</v>
      </c>
      <c r="F1400" s="3" t="str">
        <f>IFERROR(INDEX(FuelLab,MATCH($C1400,FuelKeyL,0)),"")</f>
        <v>CO</v>
      </c>
      <c r="G1400" s="3" t="inlineStr">
        <is>
          <t>.cst.co</t>
        </is>
      </c>
    </row>
    <row r="1401">
      <c r="A1401" s="3" t="str">
        <f>$B1401&amp;"|"&amp;$C1401</f>
        <v>ftr|co</v>
      </c>
      <c r="B1401" s="3" t="inlineStr">
        <is>
          <t>ftr</t>
        </is>
      </c>
      <c r="C1401" s="3" t="inlineStr">
        <is>
          <t>co</t>
        </is>
      </c>
      <c r="D1401" s="3" t="str">
        <f>IF($B1401="",""," | "&amp;$E1401&amp;" | "&amp;$F1401)</f>
        <v> | Fuel transformation | CO</v>
      </c>
      <c r="E1401" s="3" t="str">
        <f>IFERROR(INDEX(SecLab,MATCH($B1401,SecKey,0)),"")</f>
        <v>Fuel transformation</v>
      </c>
      <c r="F1401" s="3" t="str">
        <f>IFERROR(INDEX(FuelLab,MATCH($C1401,FuelKeyL,0)),"")</f>
        <v>CO</v>
      </c>
      <c r="G1401" s="3" t="inlineStr">
        <is>
          <t>.ftr.co</t>
        </is>
      </c>
    </row>
    <row r="1402">
      <c r="A1402" s="3" t="str">
        <f>$B1402&amp;"|"&amp;$C1402</f>
        <v>oen|co</v>
      </c>
      <c r="B1402" s="3" t="inlineStr">
        <is>
          <t>oen</t>
        </is>
      </c>
      <c r="C1402" s="3" t="inlineStr">
        <is>
          <t>co</t>
        </is>
      </c>
      <c r="D1402" s="3" t="str">
        <f>IF($B1402="",""," | "&amp;$E1402&amp;" | "&amp;$F1402)</f>
        <v> | Other energy use | CO</v>
      </c>
      <c r="E1402" s="3" t="str">
        <f>IFERROR(INDEX(SecLab,MATCH($B1402,SecKey,0)),"")</f>
        <v>Other energy use</v>
      </c>
      <c r="F1402" s="3" t="str">
        <f>IFERROR(INDEX(FuelLab,MATCH($C1402,FuelKeyL,0)),"")</f>
        <v>CO</v>
      </c>
      <c r="G1402" s="3" t="inlineStr">
        <is>
          <t>.oen.co</t>
        </is>
      </c>
    </row>
    <row r="1403">
      <c r="A1403" s="3" t="str">
        <f>$B1403&amp;"|"&amp;$C1403</f>
        <v>pow|co</v>
      </c>
      <c r="B1403" s="3" t="inlineStr">
        <is>
          <t>pow</t>
        </is>
      </c>
      <c r="C1403" s="3" t="inlineStr">
        <is>
          <t>co</t>
        </is>
      </c>
      <c r="D1403" s="3" t="str">
        <f>IF($B1403="",""," | "&amp;$E1403&amp;" | "&amp;$F1403)</f>
        <v> | Power | CO</v>
      </c>
      <c r="E1403" s="3" t="str">
        <f>IFERROR(INDEX(SecLab,MATCH($B1403,SecKey,0)),"")</f>
        <v>Power</v>
      </c>
      <c r="F1403" s="3" t="str">
        <f>IFERROR(INDEX(FuelLab,MATCH($C1403,FuelKeyL,0)),"")</f>
        <v>CO</v>
      </c>
      <c r="G1403" s="3" t="inlineStr">
        <is>
          <t>.pow.co</t>
        </is>
      </c>
    </row>
    <row r="1404">
      <c r="A1404" s="3" t="str">
        <f>$B1404&amp;"|"&amp;$C1404</f>
        <v>tra|co</v>
      </c>
      <c r="B1404" s="3" t="inlineStr">
        <is>
          <t>tra</t>
        </is>
      </c>
      <c r="C1404" s="3" t="inlineStr">
        <is>
          <t>co</t>
        </is>
      </c>
      <c r="D1404" s="3" t="str">
        <f>IF($B1404="",""," | "&amp;$E1404&amp;" | "&amp;$F1404)</f>
        <v> | Transport | CO</v>
      </c>
      <c r="E1404" s="3" t="str">
        <f>IFERROR(INDEX(SecLab,MATCH($B1404,SecKey,0)),"")</f>
        <v>Transport</v>
      </c>
      <c r="F1404" s="3" t="str">
        <f>IFERROR(INDEX(FuelLab,MATCH($C1404,FuelKeyL,0)),"")</f>
        <v>CO</v>
      </c>
      <c r="G1404" s="3" t="inlineStr">
        <is>
          <t>.tra.co</t>
        </is>
      </c>
    </row>
    <row r="1405">
      <c r="A1405" s="3" t="str">
        <f>$B1405&amp;"|"&amp;$C1405</f>
        <v>bld|co</v>
      </c>
      <c r="B1405" s="3" t="inlineStr">
        <is>
          <t>bld</t>
        </is>
      </c>
      <c r="C1405" s="3" t="inlineStr">
        <is>
          <t>co</t>
        </is>
      </c>
      <c r="D1405" s="3" t="str">
        <f>IF($B1405="",""," | "&amp;$E1405&amp;" | "&amp;$F1405)</f>
        <v> | Buildings | CO</v>
      </c>
      <c r="E1405" s="3" t="str">
        <f>IFERROR(INDEX(SecLab,MATCH($B1405,SecKey,0)),"")</f>
        <v>Buildings</v>
      </c>
      <c r="F1405" s="3" t="str">
        <f>IFERROR(INDEX(FuelLab,MATCH($C1405,FuelKeyL,0)),"")</f>
        <v>CO</v>
      </c>
      <c r="G1405" s="3" t="inlineStr">
        <is>
          <t>.bld.co</t>
        </is>
      </c>
    </row>
    <row r="1406">
      <c r="A1406" s="3" t="str">
        <f>$B1406&amp;"|"&amp;$C1406</f>
        <v>ind|co</v>
      </c>
      <c r="B1406" s="3" t="inlineStr">
        <is>
          <t>ind</t>
        </is>
      </c>
      <c r="C1406" s="3" t="inlineStr">
        <is>
          <t>co</t>
        </is>
      </c>
      <c r="D1406" s="3" t="str">
        <f>IF($B1406="",""," | "&amp;$E1406&amp;" | "&amp;$F1406)</f>
        <v> | Industry | CO</v>
      </c>
      <c r="E1406" s="3" t="str">
        <f>IFERROR(INDEX(SecLab,MATCH($B1406,SecKey,0)),"")</f>
        <v>Industry</v>
      </c>
      <c r="F1406" s="3" t="str">
        <f>IFERROR(INDEX(FuelLab,MATCH($C1406,FuelKeyL,0)),"")</f>
        <v>CO</v>
      </c>
      <c r="G1406" s="3" t="inlineStr">
        <is>
          <t>.ind.co</t>
        </is>
      </c>
    </row>
    <row r="1407">
      <c r="A1407" s="3" t="str">
        <f>$B1407&amp;"|"&amp;$C1407</f>
        <v>fod|co</v>
      </c>
      <c r="B1407" s="3" t="inlineStr">
        <is>
          <t>fod</t>
        </is>
      </c>
      <c r="C1407" s="3" t="inlineStr">
        <is>
          <t>co</t>
        </is>
      </c>
      <c r="D1407" s="3" t="str">
        <f>IF($B1407="",""," | "&amp;$E1407&amp;" | "&amp;$F1407)</f>
        <v> | of which food | CO</v>
      </c>
      <c r="E1407" s="3" t="str">
        <f>IFERROR(INDEX(SecLab,MATCH($B1407,SecKey,0)),"")</f>
        <v>of which food</v>
      </c>
      <c r="F1407" s="3" t="str">
        <f>IFERROR(INDEX(FuelLab,MATCH($C1407,FuelKeyL,0)),"")</f>
        <v>CO</v>
      </c>
      <c r="G1407" s="3" t="inlineStr">
        <is>
          <t>.fod.co</t>
        </is>
      </c>
    </row>
    <row r="1408">
      <c r="A1408" s="3" t="str">
        <f>$B1408&amp;"|"&amp;$C1408</f>
        <v>fag|co</v>
      </c>
      <c r="B1408" s="3" t="inlineStr">
        <is>
          <t>fag</t>
        </is>
      </c>
      <c r="C1408" s="3" t="inlineStr">
        <is>
          <t>co</t>
        </is>
      </c>
      <c r="D1408" s="3" t="str">
        <f>IF($B1408="",""," | "&amp;$E1408&amp;" | "&amp;$F1408)</f>
        <v> | of which forestry and agriculture | CO</v>
      </c>
      <c r="E1408" s="3" t="str">
        <f>IFERROR(INDEX(SecLab,MATCH($B1408,SecKey,0)),"")</f>
        <v>of which forestry and agriculture</v>
      </c>
      <c r="F1408" s="3" t="str">
        <f>IFERROR(INDEX(FuelLab,MATCH($C1408,FuelKeyL,0)),"")</f>
        <v>CO</v>
      </c>
      <c r="G1408" s="3" t="inlineStr">
        <is>
          <t>.fag.co</t>
        </is>
      </c>
    </row>
    <row r="1409">
      <c r="A1409" s="3" t="str">
        <f>$B1409&amp;"|"&amp;$C1409</f>
        <v>all|nox</v>
      </c>
      <c r="B1409" s="3" t="inlineStr">
        <is>
          <t>all</t>
        </is>
      </c>
      <c r="C1409" s="3" t="inlineStr">
        <is>
          <t>nox</t>
        </is>
      </c>
      <c r="D1409" s="3" t="str">
        <f>IF($B1409="",""," | "&amp;$E1409&amp;" | "&amp;$F1409)</f>
        <v> | All sectors | NOx</v>
      </c>
      <c r="E1409" s="3" t="str">
        <f>IFERROR(INDEX(SecLab,MATCH($B1409,SecKey,0)),"")</f>
        <v>All sectors</v>
      </c>
      <c r="F1409" s="3" t="str">
        <f>IFERROR(INDEX(FuelLab,MATCH($C1409,FuelKeyL,0)),"")</f>
        <v>NOx</v>
      </c>
      <c r="G1409" s="3" t="inlineStr">
        <is>
          <t>.all.nox</t>
        </is>
      </c>
    </row>
    <row r="1410">
      <c r="A1410" s="3" t="str">
        <f>$B1410&amp;"|"&amp;$C1410</f>
        <v>all|so2</v>
      </c>
      <c r="B1410" s="3" t="inlineStr">
        <is>
          <t>all</t>
        </is>
      </c>
      <c r="C1410" s="3" t="inlineStr">
        <is>
          <t>so2</t>
        </is>
      </c>
      <c r="D1410" s="3" t="str">
        <f>IF($B1410="",""," | "&amp;$E1410&amp;" | "&amp;$F1410)</f>
        <v> | All sectors | SO2</v>
      </c>
      <c r="E1410" s="3" t="str">
        <f>IFERROR(INDEX(SecLab,MATCH($B1410,SecKey,0)),"")</f>
        <v>All sectors</v>
      </c>
      <c r="F1410" s="3" t="str">
        <f>IFERROR(INDEX(FuelLab,MATCH($C1410,FuelKeyL,0)),"")</f>
        <v>SO2</v>
      </c>
      <c r="G1410" s="3" t="inlineStr">
        <is>
          <t>.all.so2</t>
        </is>
      </c>
    </row>
    <row r="1411">
      <c r="A1411" s="3" t="str">
        <f>$B1411&amp;"|"&amp;$C1411</f>
        <v>all|voc</v>
      </c>
      <c r="B1411" s="3" t="inlineStr">
        <is>
          <t>all</t>
        </is>
      </c>
      <c r="C1411" s="3" t="inlineStr">
        <is>
          <t>voc</t>
        </is>
      </c>
      <c r="D1411" s="3" t="str">
        <f>IF($B1411="",""," | "&amp;$E1411&amp;" | "&amp;$F1411)</f>
        <v> | All sectors | VOC</v>
      </c>
      <c r="E1411" s="3" t="str">
        <f>IFERROR(INDEX(SecLab,MATCH($B1411,SecKey,0)),"")</f>
        <v>All sectors</v>
      </c>
      <c r="F1411" s="3" t="str">
        <f>IFERROR(INDEX(FuelLab,MATCH($C1411,FuelKeyL,0)),"")</f>
        <v>VOC</v>
      </c>
      <c r="G1411" s="3" t="inlineStr">
        <is>
          <t>.all.voc</t>
        </is>
      </c>
    </row>
    <row r="1412">
      <c r="A1412" s="3" t="str">
        <f>$B1412&amp;"|"&amp;$C1412</f>
        <v>all|bc</v>
      </c>
      <c r="B1412" s="3" t="inlineStr">
        <is>
          <t>all</t>
        </is>
      </c>
      <c r="C1412" s="3" t="inlineStr">
        <is>
          <t>bc</t>
        </is>
      </c>
      <c r="D1412" s="3" t="str">
        <f>IF($B1412="",""," | "&amp;$E1412&amp;" | "&amp;$F1412)</f>
        <v> | All sectors | Black carbon</v>
      </c>
      <c r="E1412" s="3" t="str">
        <f>IFERROR(INDEX(SecLab,MATCH($B1412,SecKey,0)),"")</f>
        <v>All sectors</v>
      </c>
      <c r="F1412" s="3" t="str">
        <f>IFERROR(INDEX(FuelLab,MATCH($C1412,FuelKeyL,0)),"")</f>
        <v>Black carbon</v>
      </c>
      <c r="G1412" s="3" t="inlineStr">
        <is>
          <t>.all.bc</t>
        </is>
      </c>
    </row>
    <row r="1413">
      <c r="A1413" s="3" t="str">
        <f>$B1413&amp;"|"&amp;$C1413</f>
        <v>all|oc</v>
      </c>
      <c r="B1413" s="3" t="inlineStr">
        <is>
          <t>all</t>
        </is>
      </c>
      <c r="C1413" s="3" t="inlineStr">
        <is>
          <t>oc</t>
        </is>
      </c>
      <c r="D1413" s="3" t="str">
        <f>IF($B1413="",""," | "&amp;$E1413&amp;" | "&amp;$F1413)</f>
        <v> | All sectors | Organic carbon</v>
      </c>
      <c r="E1413" s="3" t="str">
        <f>IFERROR(INDEX(SecLab,MATCH($B1413,SecKey,0)),"")</f>
        <v>All sectors</v>
      </c>
      <c r="F1413" s="3" t="str">
        <f>IFERROR(INDEX(FuelLab,MATCH($C1413,FuelKeyL,0)),"")</f>
        <v>Organic carbon</v>
      </c>
      <c r="G1413" s="3" t="inlineStr">
        <is>
          <t>.all.oc</t>
        </is>
      </c>
    </row>
    <row r="1414">
      <c r="A1414" s="3" t="str">
        <f>$B1414&amp;"|"&amp;$C1414</f>
        <v>all|co</v>
      </c>
      <c r="B1414" s="3" t="inlineStr">
        <is>
          <t>all</t>
        </is>
      </c>
      <c r="C1414" s="3" t="inlineStr">
        <is>
          <t>co</t>
        </is>
      </c>
      <c r="D1414" s="3" t="str">
        <f>IF($B1414="",""," | "&amp;$E1414&amp;" | "&amp;$F1414)</f>
        <v> | All sectors | CO</v>
      </c>
      <c r="E1414" s="3" t="str">
        <f>IFERROR(INDEX(SecLab,MATCH($B1414,SecKey,0)),"")</f>
        <v>All sectors</v>
      </c>
      <c r="F1414" s="3" t="str">
        <f>IFERROR(INDEX(FuelLab,MATCH($C1414,FuelKeyL,0)),"")</f>
        <v>CO</v>
      </c>
      <c r="G1414" s="3" t="inlineStr">
        <is>
          <t>.all.co</t>
        </is>
      </c>
    </row>
    <row r="1415">
      <c r="A1415" s="3" t="str">
        <f>$B1415&amp;"|"&amp;$C1415</f>
        <v>cpp|nox</v>
      </c>
      <c r="B1415" s="3" t="inlineStr">
        <is>
          <t>cpp</t>
        </is>
      </c>
      <c r="C1415" s="3" t="inlineStr">
        <is>
          <t>nox</t>
        </is>
      </c>
      <c r="D1415" s="3" t="str">
        <f>IF($B1415="",""," | "&amp;$E1415&amp;" | "&amp;$F1415)</f>
        <v> | Coal power plants | NOx</v>
      </c>
      <c r="E1415" s="3" t="str">
        <f>IFERROR(INDEX(SecLab,MATCH($B1415,SecKey,0)),"")</f>
        <v>Coal power plants</v>
      </c>
      <c r="F1415" s="3" t="str">
        <f>IFERROR(INDEX(FuelLab,MATCH($C1415,FuelKeyL,0)),"")</f>
        <v>NOx</v>
      </c>
      <c r="G1415" s="3" t="inlineStr">
        <is>
          <t>.cpp.nox</t>
        </is>
      </c>
    </row>
    <row r="1416">
      <c r="A1416" s="3" t="str">
        <f>$B1416&amp;"|"&amp;$C1416</f>
        <v>cpp|so2</v>
      </c>
      <c r="B1416" s="3" t="inlineStr">
        <is>
          <t>cpp</t>
        </is>
      </c>
      <c r="C1416" s="3" t="inlineStr">
        <is>
          <t>so2</t>
        </is>
      </c>
      <c r="D1416" s="3" t="str">
        <f>IF($B1416="",""," | "&amp;$E1416&amp;" | "&amp;$F1416)</f>
        <v> | Coal power plants | SO2</v>
      </c>
      <c r="E1416" s="3" t="str">
        <f>IFERROR(INDEX(SecLab,MATCH($B1416,SecKey,0)),"")</f>
        <v>Coal power plants</v>
      </c>
      <c r="F1416" s="3" t="str">
        <f>IFERROR(INDEX(FuelLab,MATCH($C1416,FuelKeyL,0)),"")</f>
        <v>SO2</v>
      </c>
      <c r="G1416" s="3" t="inlineStr">
        <is>
          <t>.cpp.so2</t>
        </is>
      </c>
    </row>
    <row r="1417">
      <c r="A1417" s="3" t="str">
        <f>$B1417&amp;"|"&amp;$C1417</f>
        <v>cpp|bc</v>
      </c>
      <c r="B1417" s="3" t="inlineStr">
        <is>
          <t>cpp</t>
        </is>
      </c>
      <c r="C1417" s="3" t="inlineStr">
        <is>
          <t>bc</t>
        </is>
      </c>
      <c r="D1417" s="3" t="str">
        <f>IF($B1417="",""," | "&amp;$E1417&amp;" | "&amp;$F1417)</f>
        <v> | Coal power plants | Black carbon</v>
      </c>
      <c r="E1417" s="3" t="str">
        <f>IFERROR(INDEX(SecLab,MATCH($B1417,SecKey,0)),"")</f>
        <v>Coal power plants</v>
      </c>
      <c r="F1417" s="3" t="str">
        <f>IFERROR(INDEX(FuelLab,MATCH($C1417,FuelKeyL,0)),"")</f>
        <v>Black carbon</v>
      </c>
      <c r="G1417" s="3" t="inlineStr">
        <is>
          <t>.cpp.bc</t>
        </is>
      </c>
    </row>
    <row r="1418">
      <c r="A1418" s="3" t="str">
        <f>$B1418&amp;"|"&amp;$C1418</f>
        <v>cpp|pom</v>
      </c>
      <c r="B1418" s="3" t="inlineStr">
        <is>
          <t>cpp</t>
        </is>
      </c>
      <c r="C1418" s="3" t="inlineStr">
        <is>
          <t>pom</t>
        </is>
      </c>
      <c r="D1418" s="3" t="str">
        <f>IF($B1418="",""," | "&amp;$E1418&amp;" | "&amp;$F1418)</f>
        <v> | Coal power plants | Primary organic matter</v>
      </c>
      <c r="E1418" s="3" t="str">
        <f>IFERROR(INDEX(SecLab,MATCH($B1418,SecKey,0)),"")</f>
        <v>Coal power plants</v>
      </c>
      <c r="F1418" s="3" t="str">
        <f>IFERROR(INDEX(FuelLab,MATCH($C1418,FuelKeyL,0)),"")</f>
        <v>Primary organic matter</v>
      </c>
      <c r="G1418" s="3" t="inlineStr">
        <is>
          <t>.cpp.pom</t>
        </is>
      </c>
    </row>
    <row r="1419">
      <c r="A1419" s="3" t="str">
        <f>$B1419&amp;"|"&amp;$C1419</f>
        <v>cpp|opm</v>
      </c>
      <c r="B1419" s="3" t="inlineStr">
        <is>
          <t>cpp</t>
        </is>
      </c>
      <c r="C1419" s="3" t="inlineStr">
        <is>
          <t>opm</t>
        </is>
      </c>
      <c r="D1419" s="3" t="str">
        <f>IF($B1419="",""," | "&amp;$E1419&amp;" | "&amp;$F1419)</f>
        <v> | Coal power plants | Other PM2.5</v>
      </c>
      <c r="E1419" s="3" t="str">
        <f>IFERROR(INDEX(SecLab,MATCH($B1419,SecKey,0)),"")</f>
        <v>Coal power plants</v>
      </c>
      <c r="F1419" s="3" t="str">
        <f>IFERROR(INDEX(FuelLab,MATCH($C1419,FuelKeyL,0)),"")</f>
        <v>Other PM2.5</v>
      </c>
      <c r="G1419" s="3" t="inlineStr">
        <is>
          <t>.cpp.opm</t>
        </is>
      </c>
    </row>
    <row r="1420">
      <c r="A1420" s="3" t="str">
        <f>$B1420&amp;"|"&amp;$C1420</f>
        <v>cpp|voc</v>
      </c>
      <c r="B1420" s="3" t="inlineStr">
        <is>
          <t>cpp</t>
        </is>
      </c>
      <c r="C1420" s="3" t="inlineStr">
        <is>
          <t>voc</t>
        </is>
      </c>
      <c r="D1420" s="3" t="str">
        <f>IF($B1420="",""," | "&amp;$E1420&amp;" | "&amp;$F1420)</f>
        <v> | Coal power plants | VOC</v>
      </c>
      <c r="E1420" s="3" t="str">
        <f>IFERROR(INDEX(SecLab,MATCH($B1420,SecKey,0)),"")</f>
        <v>Coal power plants</v>
      </c>
      <c r="F1420" s="3" t="str">
        <f>IFERROR(INDEX(FuelLab,MATCH($C1420,FuelKeyL,0)),"")</f>
        <v>VOC</v>
      </c>
      <c r="G1420" s="3" t="inlineStr">
        <is>
          <t>.cpp.voc</t>
        </is>
      </c>
    </row>
    <row r="1421">
      <c r="A1421" s="3" t="str">
        <f>$B1421&amp;"|"&amp;$C1421</f>
        <v>cpp|ch4</v>
      </c>
      <c r="B1421" s="3" t="inlineStr">
        <is>
          <t>cpp</t>
        </is>
      </c>
      <c r="C1421" s="3" t="inlineStr">
        <is>
          <t>ch4</t>
        </is>
      </c>
      <c r="D1421" s="3" t="str">
        <f>IF($B1421="",""," | "&amp;$E1421&amp;" | "&amp;$F1421)</f>
        <v> | Coal power plants | CH4</v>
      </c>
      <c r="E1421" s="3" t="str">
        <f>IFERROR(INDEX(SecLab,MATCH($B1421,SecKey,0)),"")</f>
        <v>Coal power plants</v>
      </c>
      <c r="F1421" s="3" t="str">
        <f>IFERROR(INDEX(FuelLab,MATCH($C1421,FuelKeyL,0)),"")</f>
        <v>CH4</v>
      </c>
      <c r="G1421" s="3" t="inlineStr">
        <is>
          <t>.cpp.ch4</t>
        </is>
      </c>
    </row>
    <row r="1422">
      <c r="A1422" s="3" t="str">
        <f>$B1422&amp;"|"&amp;$C1422</f>
        <v>cpp|co</v>
      </c>
      <c r="B1422" s="3" t="inlineStr">
        <is>
          <t>cpp</t>
        </is>
      </c>
      <c r="C1422" s="3" t="inlineStr">
        <is>
          <t>co</t>
        </is>
      </c>
      <c r="D1422" s="3" t="str">
        <f>IF($B1422="",""," | "&amp;$E1422&amp;" | "&amp;$F1422)</f>
        <v> | Coal power plants | CO</v>
      </c>
      <c r="E1422" s="3" t="str">
        <f>IFERROR(INDEX(SecLab,MATCH($B1422,SecKey,0)),"")</f>
        <v>Coal power plants</v>
      </c>
      <c r="F1422" s="3" t="str">
        <f>IFERROR(INDEX(FuelLab,MATCH($C1422,FuelKeyL,0)),"")</f>
        <v>CO</v>
      </c>
      <c r="G1422" s="3" t="inlineStr">
        <is>
          <t>.cpp.co</t>
        </is>
      </c>
    </row>
    <row r="1423">
      <c r="A1423" s="3" t="str">
        <f>$B1423&amp;"|"&amp;$C1423</f>
        <v>cpp|pm2</v>
      </c>
      <c r="B1423" s="3" t="inlineStr">
        <is>
          <t>cpp</t>
        </is>
      </c>
      <c r="C1423" s="3" t="inlineStr">
        <is>
          <t>pm2</t>
        </is>
      </c>
      <c r="D1423" s="3" t="str">
        <f>IF($B1423="",""," | "&amp;$E1423&amp;" | "&amp;$F1423)</f>
        <v> | Coal power plants | PM2.5</v>
      </c>
      <c r="E1423" s="3" t="str">
        <f>IFERROR(INDEX(SecLab,MATCH($B1423,SecKey,0)),"")</f>
        <v>Coal power plants</v>
      </c>
      <c r="F1423" s="3" t="str">
        <f>IFERROR(INDEX(FuelLab,MATCH($C1423,FuelKeyL,0)),"")</f>
        <v>PM2.5</v>
      </c>
      <c r="G1423" s="3" t="inlineStr">
        <is>
          <t>.cpp.pm2</t>
        </is>
      </c>
    </row>
    <row r="1424">
      <c r="A1424" s="3" t="str">
        <f>$B1424&amp;"|"&amp;$C1424</f>
        <v>cpp|oc</v>
      </c>
      <c r="B1424" s="3" t="inlineStr">
        <is>
          <t>cpp</t>
        </is>
      </c>
      <c r="C1424" s="3" t="inlineStr">
        <is>
          <t>oc</t>
        </is>
      </c>
      <c r="D1424" s="3" t="str">
        <f>IF($B1424="",""," | "&amp;$E1424&amp;" | "&amp;$F1424)</f>
        <v> | Coal power plants | Organic carbon</v>
      </c>
      <c r="E1424" s="3" t="str">
        <f>IFERROR(INDEX(SecLab,MATCH($B1424,SecKey,0)),"")</f>
        <v>Coal power plants</v>
      </c>
      <c r="F1424" s="3" t="str">
        <f>IFERROR(INDEX(FuelLab,MATCH($C1424,FuelKeyL,0)),"")</f>
        <v>Organic carbon</v>
      </c>
      <c r="G1424" s="3" t="inlineStr">
        <is>
          <t>.cpp.oc</t>
        </is>
      </c>
    </row>
    <row r="1425">
      <c r="A1425" s="3" t="str">
        <f>$B1425&amp;"|"&amp;$C1425</f>
        <v>gpp|nox</v>
      </c>
      <c r="B1425" s="3" t="inlineStr">
        <is>
          <t>gpp</t>
        </is>
      </c>
      <c r="C1425" s="3" t="inlineStr">
        <is>
          <t>nox</t>
        </is>
      </c>
      <c r="D1425" s="3" t="str">
        <f>IF($B1425="",""," | "&amp;$E1425&amp;" | "&amp;$F1425)</f>
        <v> | Gas power plants | NOx</v>
      </c>
      <c r="E1425" s="3" t="str">
        <f>IFERROR(INDEX(SecLab,MATCH($B1425,SecKey,0)),"")</f>
        <v>Gas power plants</v>
      </c>
      <c r="F1425" s="3" t="str">
        <f>IFERROR(INDEX(FuelLab,MATCH($C1425,FuelKeyL,0)),"")</f>
        <v>NOx</v>
      </c>
      <c r="G1425" s="3" t="inlineStr">
        <is>
          <t>.gpp.nox</t>
        </is>
      </c>
    </row>
    <row r="1426">
      <c r="A1426" s="3" t="str">
        <f>$B1426&amp;"|"&amp;$C1426</f>
        <v>gpp|so2</v>
      </c>
      <c r="B1426" s="3" t="inlineStr">
        <is>
          <t>gpp</t>
        </is>
      </c>
      <c r="C1426" s="3" t="inlineStr">
        <is>
          <t>so2</t>
        </is>
      </c>
      <c r="D1426" s="3" t="str">
        <f>IF($B1426="",""," | "&amp;$E1426&amp;" | "&amp;$F1426)</f>
        <v> | Gas power plants | SO2</v>
      </c>
      <c r="E1426" s="3" t="str">
        <f>IFERROR(INDEX(SecLab,MATCH($B1426,SecKey,0)),"")</f>
        <v>Gas power plants</v>
      </c>
      <c r="F1426" s="3" t="str">
        <f>IFERROR(INDEX(FuelLab,MATCH($C1426,FuelKeyL,0)),"")</f>
        <v>SO2</v>
      </c>
      <c r="G1426" s="3" t="inlineStr">
        <is>
          <t>.gpp.so2</t>
        </is>
      </c>
    </row>
    <row r="1427">
      <c r="A1427" s="3" t="str">
        <f>$B1427&amp;"|"&amp;$C1427</f>
        <v>gpp|bc</v>
      </c>
      <c r="B1427" s="3" t="inlineStr">
        <is>
          <t>gpp</t>
        </is>
      </c>
      <c r="C1427" s="3" t="inlineStr">
        <is>
          <t>bc</t>
        </is>
      </c>
      <c r="D1427" s="3" t="str">
        <f>IF($B1427="",""," | "&amp;$E1427&amp;" | "&amp;$F1427)</f>
        <v> | Gas power plants | Black carbon</v>
      </c>
      <c r="E1427" s="3" t="str">
        <f>IFERROR(INDEX(SecLab,MATCH($B1427,SecKey,0)),"")</f>
        <v>Gas power plants</v>
      </c>
      <c r="F1427" s="3" t="str">
        <f>IFERROR(INDEX(FuelLab,MATCH($C1427,FuelKeyL,0)),"")</f>
        <v>Black carbon</v>
      </c>
      <c r="G1427" s="3" t="inlineStr">
        <is>
          <t>.gpp.bc</t>
        </is>
      </c>
    </row>
    <row r="1428">
      <c r="A1428" s="3" t="str">
        <f>$B1428&amp;"|"&amp;$C1428</f>
        <v>gpp|pom</v>
      </c>
      <c r="B1428" s="3" t="inlineStr">
        <is>
          <t>gpp</t>
        </is>
      </c>
      <c r="C1428" s="3" t="inlineStr">
        <is>
          <t>pom</t>
        </is>
      </c>
      <c r="D1428" s="3" t="str">
        <f>IF($B1428="",""," | "&amp;$E1428&amp;" | "&amp;$F1428)</f>
        <v> | Gas power plants | Primary organic matter</v>
      </c>
      <c r="E1428" s="3" t="str">
        <f>IFERROR(INDEX(SecLab,MATCH($B1428,SecKey,0)),"")</f>
        <v>Gas power plants</v>
      </c>
      <c r="F1428" s="3" t="str">
        <f>IFERROR(INDEX(FuelLab,MATCH($C1428,FuelKeyL,0)),"")</f>
        <v>Primary organic matter</v>
      </c>
      <c r="G1428" s="3" t="inlineStr">
        <is>
          <t>.gpp.pom</t>
        </is>
      </c>
    </row>
    <row r="1429">
      <c r="A1429" s="3" t="str">
        <f>$B1429&amp;"|"&amp;$C1429</f>
        <v>gpp|opm</v>
      </c>
      <c r="B1429" s="3" t="inlineStr">
        <is>
          <t>gpp</t>
        </is>
      </c>
      <c r="C1429" s="3" t="inlineStr">
        <is>
          <t>opm</t>
        </is>
      </c>
      <c r="D1429" s="3" t="str">
        <f>IF($B1429="",""," | "&amp;$E1429&amp;" | "&amp;$F1429)</f>
        <v> | Gas power plants | Other PM2.5</v>
      </c>
      <c r="E1429" s="3" t="str">
        <f>IFERROR(INDEX(SecLab,MATCH($B1429,SecKey,0)),"")</f>
        <v>Gas power plants</v>
      </c>
      <c r="F1429" s="3" t="str">
        <f>IFERROR(INDEX(FuelLab,MATCH($C1429,FuelKeyL,0)),"")</f>
        <v>Other PM2.5</v>
      </c>
      <c r="G1429" s="3" t="inlineStr">
        <is>
          <t>.gpp.opm</t>
        </is>
      </c>
    </row>
    <row r="1430">
      <c r="A1430" s="3" t="str">
        <f>$B1430&amp;"|"&amp;$C1430</f>
        <v>gpp|voc</v>
      </c>
      <c r="B1430" s="3" t="inlineStr">
        <is>
          <t>gpp</t>
        </is>
      </c>
      <c r="C1430" s="3" t="inlineStr">
        <is>
          <t>voc</t>
        </is>
      </c>
      <c r="D1430" s="3" t="str">
        <f>IF($B1430="",""," | "&amp;$E1430&amp;" | "&amp;$F1430)</f>
        <v> | Gas power plants | VOC</v>
      </c>
      <c r="E1430" s="3" t="str">
        <f>IFERROR(INDEX(SecLab,MATCH($B1430,SecKey,0)),"")</f>
        <v>Gas power plants</v>
      </c>
      <c r="F1430" s="3" t="str">
        <f>IFERROR(INDEX(FuelLab,MATCH($C1430,FuelKeyL,0)),"")</f>
        <v>VOC</v>
      </c>
      <c r="G1430" s="3" t="inlineStr">
        <is>
          <t>.gpp.voc</t>
        </is>
      </c>
    </row>
    <row r="1431">
      <c r="A1431" s="3" t="str">
        <f>$B1431&amp;"|"&amp;$C1431</f>
        <v>gpp|ch4</v>
      </c>
      <c r="B1431" s="3" t="inlineStr">
        <is>
          <t>gpp</t>
        </is>
      </c>
      <c r="C1431" s="3" t="inlineStr">
        <is>
          <t>ch4</t>
        </is>
      </c>
      <c r="D1431" s="3" t="str">
        <f>IF($B1431="",""," | "&amp;$E1431&amp;" | "&amp;$F1431)</f>
        <v> | Gas power plants | CH4</v>
      </c>
      <c r="E1431" s="3" t="str">
        <f>IFERROR(INDEX(SecLab,MATCH($B1431,SecKey,0)),"")</f>
        <v>Gas power plants</v>
      </c>
      <c r="F1431" s="3" t="str">
        <f>IFERROR(INDEX(FuelLab,MATCH($C1431,FuelKeyL,0)),"")</f>
        <v>CH4</v>
      </c>
      <c r="G1431" s="3" t="inlineStr">
        <is>
          <t>.gpp.ch4</t>
        </is>
      </c>
    </row>
    <row r="1432">
      <c r="A1432" s="3" t="str">
        <f>$B1432&amp;"|"&amp;$C1432</f>
        <v>gpp|co</v>
      </c>
      <c r="B1432" s="3" t="inlineStr">
        <is>
          <t>gpp</t>
        </is>
      </c>
      <c r="C1432" s="3" t="inlineStr">
        <is>
          <t>co</t>
        </is>
      </c>
      <c r="D1432" s="3" t="str">
        <f>IF($B1432="",""," | "&amp;$E1432&amp;" | "&amp;$F1432)</f>
        <v> | Gas power plants | CO</v>
      </c>
      <c r="E1432" s="3" t="str">
        <f>IFERROR(INDEX(SecLab,MATCH($B1432,SecKey,0)),"")</f>
        <v>Gas power plants</v>
      </c>
      <c r="F1432" s="3" t="str">
        <f>IFERROR(INDEX(FuelLab,MATCH($C1432,FuelKeyL,0)),"")</f>
        <v>CO</v>
      </c>
      <c r="G1432" s="3" t="inlineStr">
        <is>
          <t>.gpp.co</t>
        </is>
      </c>
    </row>
    <row r="1433">
      <c r="A1433" s="3" t="str">
        <f>$B1433&amp;"|"&amp;$C1433</f>
        <v>gpp|pm2</v>
      </c>
      <c r="B1433" s="3" t="inlineStr">
        <is>
          <t>gpp</t>
        </is>
      </c>
      <c r="C1433" s="3" t="inlineStr">
        <is>
          <t>pm2</t>
        </is>
      </c>
      <c r="D1433" s="3" t="str">
        <f>IF($B1433="",""," | "&amp;$E1433&amp;" | "&amp;$F1433)</f>
        <v> | Gas power plants | PM2.5</v>
      </c>
      <c r="E1433" s="3" t="str">
        <f>IFERROR(INDEX(SecLab,MATCH($B1433,SecKey,0)),"")</f>
        <v>Gas power plants</v>
      </c>
      <c r="F1433" s="3" t="str">
        <f>IFERROR(INDEX(FuelLab,MATCH($C1433,FuelKeyL,0)),"")</f>
        <v>PM2.5</v>
      </c>
      <c r="G1433" s="3" t="inlineStr">
        <is>
          <t>.gpp.pm2</t>
        </is>
      </c>
    </row>
    <row r="1434">
      <c r="A1434" s="3" t="str">
        <f>$B1434&amp;"|"&amp;$C1434</f>
        <v>gpp|oc</v>
      </c>
      <c r="B1434" s="3" t="inlineStr">
        <is>
          <t>gpp</t>
        </is>
      </c>
      <c r="C1434" s="3" t="inlineStr">
        <is>
          <t>oc</t>
        </is>
      </c>
      <c r="D1434" s="3" t="str">
        <f>IF($B1434="",""," | "&amp;$E1434&amp;" | "&amp;$F1434)</f>
        <v> | Gas power plants | Organic carbon</v>
      </c>
      <c r="E1434" s="3" t="str">
        <f>IFERROR(INDEX(SecLab,MATCH($B1434,SecKey,0)),"")</f>
        <v>Gas power plants</v>
      </c>
      <c r="F1434" s="3" t="str">
        <f>IFERROR(INDEX(FuelLab,MATCH($C1434,FuelKeyL,0)),"")</f>
        <v>Organic carbon</v>
      </c>
      <c r="G1434" s="3" t="inlineStr">
        <is>
          <t>.gpp.oc</t>
        </is>
      </c>
    </row>
    <row r="1435">
      <c r="A1435" s="3" t="str">
        <f>$B1435&amp;"|"&amp;$C1435</f>
        <v>opp|nox</v>
      </c>
      <c r="B1435" s="3" t="inlineStr">
        <is>
          <t>opp</t>
        </is>
      </c>
      <c r="C1435" s="3" t="inlineStr">
        <is>
          <t>nox</t>
        </is>
      </c>
      <c r="D1435" s="3" t="str">
        <f>IF($B1435="",""," | "&amp;$E1435&amp;" | "&amp;$F1435)</f>
        <v> | Other power plants | NOx</v>
      </c>
      <c r="E1435" s="3" t="str">
        <f>IFERROR(INDEX(SecLab,MATCH($B1435,SecKey,0)),"")</f>
        <v>Other power plants</v>
      </c>
      <c r="F1435" s="3" t="str">
        <f>IFERROR(INDEX(FuelLab,MATCH($C1435,FuelKeyL,0)),"")</f>
        <v>NOx</v>
      </c>
      <c r="G1435" s="3" t="inlineStr">
        <is>
          <t>.opp.nox</t>
        </is>
      </c>
    </row>
    <row r="1436">
      <c r="A1436" s="3" t="str">
        <f>$B1436&amp;"|"&amp;$C1436</f>
        <v>opp|so2</v>
      </c>
      <c r="B1436" s="3" t="inlineStr">
        <is>
          <t>opp</t>
        </is>
      </c>
      <c r="C1436" s="3" t="inlineStr">
        <is>
          <t>so2</t>
        </is>
      </c>
      <c r="D1436" s="3" t="str">
        <f>IF($B1436="",""," | "&amp;$E1436&amp;" | "&amp;$F1436)</f>
        <v> | Other power plants | SO2</v>
      </c>
      <c r="E1436" s="3" t="str">
        <f>IFERROR(INDEX(SecLab,MATCH($B1436,SecKey,0)),"")</f>
        <v>Other power plants</v>
      </c>
      <c r="F1436" s="3" t="str">
        <f>IFERROR(INDEX(FuelLab,MATCH($C1436,FuelKeyL,0)),"")</f>
        <v>SO2</v>
      </c>
      <c r="G1436" s="3" t="inlineStr">
        <is>
          <t>.opp.so2</t>
        </is>
      </c>
    </row>
    <row r="1437">
      <c r="A1437" s="3" t="str">
        <f>$B1437&amp;"|"&amp;$C1437</f>
        <v>opp|bc</v>
      </c>
      <c r="B1437" s="3" t="inlineStr">
        <is>
          <t>opp</t>
        </is>
      </c>
      <c r="C1437" s="3" t="inlineStr">
        <is>
          <t>bc</t>
        </is>
      </c>
      <c r="D1437" s="3" t="str">
        <f>IF($B1437="",""," | "&amp;$E1437&amp;" | "&amp;$F1437)</f>
        <v> | Other power plants | Black carbon</v>
      </c>
      <c r="E1437" s="3" t="str">
        <f>IFERROR(INDEX(SecLab,MATCH($B1437,SecKey,0)),"")</f>
        <v>Other power plants</v>
      </c>
      <c r="F1437" s="3" t="str">
        <f>IFERROR(INDEX(FuelLab,MATCH($C1437,FuelKeyL,0)),"")</f>
        <v>Black carbon</v>
      </c>
      <c r="G1437" s="3" t="inlineStr">
        <is>
          <t>.opp.bc</t>
        </is>
      </c>
    </row>
    <row r="1438">
      <c r="A1438" s="3" t="str">
        <f>$B1438&amp;"|"&amp;$C1438</f>
        <v>opp|pom</v>
      </c>
      <c r="B1438" s="3" t="inlineStr">
        <is>
          <t>opp</t>
        </is>
      </c>
      <c r="C1438" s="3" t="inlineStr">
        <is>
          <t>pom</t>
        </is>
      </c>
      <c r="D1438" s="3" t="str">
        <f>IF($B1438="",""," | "&amp;$E1438&amp;" | "&amp;$F1438)</f>
        <v> | Other power plants | Primary organic matter</v>
      </c>
      <c r="E1438" s="3" t="str">
        <f>IFERROR(INDEX(SecLab,MATCH($B1438,SecKey,0)),"")</f>
        <v>Other power plants</v>
      </c>
      <c r="F1438" s="3" t="str">
        <f>IFERROR(INDEX(FuelLab,MATCH($C1438,FuelKeyL,0)),"")</f>
        <v>Primary organic matter</v>
      </c>
      <c r="G1438" s="3" t="inlineStr">
        <is>
          <t>.opp.pom</t>
        </is>
      </c>
    </row>
    <row r="1439">
      <c r="A1439" s="3" t="str">
        <f>$B1439&amp;"|"&amp;$C1439</f>
        <v>opp|opm</v>
      </c>
      <c r="B1439" s="3" t="inlineStr">
        <is>
          <t>opp</t>
        </is>
      </c>
      <c r="C1439" s="3" t="inlineStr">
        <is>
          <t>opm</t>
        </is>
      </c>
      <c r="D1439" s="3" t="str">
        <f>IF($B1439="",""," | "&amp;$E1439&amp;" | "&amp;$F1439)</f>
        <v> | Other power plants | Other PM2.5</v>
      </c>
      <c r="E1439" s="3" t="str">
        <f>IFERROR(INDEX(SecLab,MATCH($B1439,SecKey,0)),"")</f>
        <v>Other power plants</v>
      </c>
      <c r="F1439" s="3" t="str">
        <f>IFERROR(INDEX(FuelLab,MATCH($C1439,FuelKeyL,0)),"")</f>
        <v>Other PM2.5</v>
      </c>
      <c r="G1439" s="3" t="inlineStr">
        <is>
          <t>.opp.opm</t>
        </is>
      </c>
    </row>
    <row r="1440">
      <c r="A1440" s="3" t="str">
        <f>$B1440&amp;"|"&amp;$C1440</f>
        <v>opp|voc</v>
      </c>
      <c r="B1440" s="3" t="inlineStr">
        <is>
          <t>opp</t>
        </is>
      </c>
      <c r="C1440" s="3" t="inlineStr">
        <is>
          <t>voc</t>
        </is>
      </c>
      <c r="D1440" s="3" t="str">
        <f>IF($B1440="",""," | "&amp;$E1440&amp;" | "&amp;$F1440)</f>
        <v> | Other power plants | VOC</v>
      </c>
      <c r="E1440" s="3" t="str">
        <f>IFERROR(INDEX(SecLab,MATCH($B1440,SecKey,0)),"")</f>
        <v>Other power plants</v>
      </c>
      <c r="F1440" s="3" t="str">
        <f>IFERROR(INDEX(FuelLab,MATCH($C1440,FuelKeyL,0)),"")</f>
        <v>VOC</v>
      </c>
      <c r="G1440" s="3" t="inlineStr">
        <is>
          <t>.opp.voc</t>
        </is>
      </c>
    </row>
    <row r="1441">
      <c r="A1441" s="3" t="str">
        <f>$B1441&amp;"|"&amp;$C1441</f>
        <v>opp|ch4</v>
      </c>
      <c r="B1441" s="3" t="inlineStr">
        <is>
          <t>opp</t>
        </is>
      </c>
      <c r="C1441" s="3" t="inlineStr">
        <is>
          <t>ch4</t>
        </is>
      </c>
      <c r="D1441" s="3" t="str">
        <f>IF($B1441="",""," | "&amp;$E1441&amp;" | "&amp;$F1441)</f>
        <v> | Other power plants | CH4</v>
      </c>
      <c r="E1441" s="3" t="str">
        <f>IFERROR(INDEX(SecLab,MATCH($B1441,SecKey,0)),"")</f>
        <v>Other power plants</v>
      </c>
      <c r="F1441" s="3" t="str">
        <f>IFERROR(INDEX(FuelLab,MATCH($C1441,FuelKeyL,0)),"")</f>
        <v>CH4</v>
      </c>
      <c r="G1441" s="3" t="inlineStr">
        <is>
          <t>.opp.ch4</t>
        </is>
      </c>
    </row>
    <row r="1442">
      <c r="A1442" s="3" t="str">
        <f>$B1442&amp;"|"&amp;$C1442</f>
        <v>opp|co</v>
      </c>
      <c r="B1442" s="3" t="inlineStr">
        <is>
          <t>opp</t>
        </is>
      </c>
      <c r="C1442" s="3" t="inlineStr">
        <is>
          <t>co</t>
        </is>
      </c>
      <c r="D1442" s="3" t="str">
        <f>IF($B1442="",""," | "&amp;$E1442&amp;" | "&amp;$F1442)</f>
        <v> | Other power plants | CO</v>
      </c>
      <c r="E1442" s="3" t="str">
        <f>IFERROR(INDEX(SecLab,MATCH($B1442,SecKey,0)),"")</f>
        <v>Other power plants</v>
      </c>
      <c r="F1442" s="3" t="str">
        <f>IFERROR(INDEX(FuelLab,MATCH($C1442,FuelKeyL,0)),"")</f>
        <v>CO</v>
      </c>
      <c r="G1442" s="3" t="inlineStr">
        <is>
          <t>.opp.co</t>
        </is>
      </c>
    </row>
    <row r="1443">
      <c r="A1443" s="3" t="str">
        <f>$B1443&amp;"|"&amp;$C1443</f>
        <v>opp|pm2</v>
      </c>
      <c r="B1443" s="3" t="inlineStr">
        <is>
          <t>opp</t>
        </is>
      </c>
      <c r="C1443" s="3" t="inlineStr">
        <is>
          <t>pm2</t>
        </is>
      </c>
      <c r="D1443" s="3" t="str">
        <f>IF($B1443="",""," | "&amp;$E1443&amp;" | "&amp;$F1443)</f>
        <v> | Other power plants | PM2.5</v>
      </c>
      <c r="E1443" s="3" t="str">
        <f>IFERROR(INDEX(SecLab,MATCH($B1443,SecKey,0)),"")</f>
        <v>Other power plants</v>
      </c>
      <c r="F1443" s="3" t="str">
        <f>IFERROR(INDEX(FuelLab,MATCH($C1443,FuelKeyL,0)),"")</f>
        <v>PM2.5</v>
      </c>
      <c r="G1443" s="3" t="inlineStr">
        <is>
          <t>.opp.pm2</t>
        </is>
      </c>
    </row>
    <row r="1444">
      <c r="A1444" s="3" t="str">
        <f>$B1444&amp;"|"&amp;$C1444</f>
        <v>opp|oc</v>
      </c>
      <c r="B1444" s="3" t="inlineStr">
        <is>
          <t>opp</t>
        </is>
      </c>
      <c r="C1444" s="3" t="inlineStr">
        <is>
          <t>oc</t>
        </is>
      </c>
      <c r="D1444" s="3" t="str">
        <f>IF($B1444="",""," | "&amp;$E1444&amp;" | "&amp;$F1444)</f>
        <v> | Other power plants | Organic carbon</v>
      </c>
      <c r="E1444" s="3" t="str">
        <f>IFERROR(INDEX(SecLab,MATCH($B1444,SecKey,0)),"")</f>
        <v>Other power plants</v>
      </c>
      <c r="F1444" s="3" t="str">
        <f>IFERROR(INDEX(FuelLab,MATCH($C1444,FuelKeyL,0)),"")</f>
        <v>Organic carbon</v>
      </c>
      <c r="G1444" s="3" t="inlineStr">
        <is>
          <t>.opp.oc</t>
        </is>
      </c>
    </row>
    <row r="1445">
      <c r="A1445" s="3" t="str">
        <f>$B1445&amp;"|"&amp;$C1445</f>
        <v>rod|pom</v>
      </c>
      <c r="B1445" s="3" t="inlineStr">
        <is>
          <t>rod</t>
        </is>
      </c>
      <c r="C1445" s="3" t="inlineStr">
        <is>
          <t>pom</t>
        </is>
      </c>
      <c r="D1445" s="3" t="str">
        <f>IF($B1445="",""," | "&amp;$E1445&amp;" | "&amp;$F1445)</f>
        <v> | Road | Primary organic matter</v>
      </c>
      <c r="E1445" s="3" t="str">
        <f>IFERROR(INDEX(SecLab,MATCH($B1445,SecKey,0)),"")</f>
        <v>Road</v>
      </c>
      <c r="F1445" s="3" t="str">
        <f>IFERROR(INDEX(FuelLab,MATCH($C1445,FuelKeyL,0)),"")</f>
        <v>Primary organic matter</v>
      </c>
      <c r="G1445" s="3" t="inlineStr">
        <is>
          <t>.rod.pom</t>
        </is>
      </c>
    </row>
    <row r="1446">
      <c r="A1446" s="3" t="str">
        <f>$B1446&amp;"|"&amp;$C1446</f>
        <v>rod|opm</v>
      </c>
      <c r="B1446" s="3" t="inlineStr">
        <is>
          <t>rod</t>
        </is>
      </c>
      <c r="C1446" s="3" t="inlineStr">
        <is>
          <t>opm</t>
        </is>
      </c>
      <c r="D1446" s="3" t="str">
        <f>IF($B1446="",""," | "&amp;$E1446&amp;" | "&amp;$F1446)</f>
        <v> | Road | Other PM2.5</v>
      </c>
      <c r="E1446" s="3" t="str">
        <f>IFERROR(INDEX(SecLab,MATCH($B1446,SecKey,0)),"")</f>
        <v>Road</v>
      </c>
      <c r="F1446" s="3" t="str">
        <f>IFERROR(INDEX(FuelLab,MATCH($C1446,FuelKeyL,0)),"")</f>
        <v>Other PM2.5</v>
      </c>
      <c r="G1446" s="3" t="inlineStr">
        <is>
          <t>.rod.opm</t>
        </is>
      </c>
    </row>
    <row r="1447">
      <c r="A1447" s="3" t="str">
        <f>$B1447&amp;"|"&amp;$C1447</f>
        <v>rod|ch4</v>
      </c>
      <c r="B1447" s="3" t="inlineStr">
        <is>
          <t>rod</t>
        </is>
      </c>
      <c r="C1447" s="3" t="inlineStr">
        <is>
          <t>ch4</t>
        </is>
      </c>
      <c r="D1447" s="3" t="str">
        <f>IF($B1447="",""," | "&amp;$E1447&amp;" | "&amp;$F1447)</f>
        <v> | Road | CH4</v>
      </c>
      <c r="E1447" s="3" t="str">
        <f>IFERROR(INDEX(SecLab,MATCH($B1447,SecKey,0)),"")</f>
        <v>Road</v>
      </c>
      <c r="F1447" s="3" t="str">
        <f>IFERROR(INDEX(FuelLab,MATCH($C1447,FuelKeyL,0)),"")</f>
        <v>CH4</v>
      </c>
      <c r="G1447" s="3" t="inlineStr">
        <is>
          <t>.rod.ch4</t>
        </is>
      </c>
    </row>
    <row r="1448">
      <c r="A1448" s="3" t="str">
        <f>$B1448&amp;"|"&amp;$C1448</f>
        <v>gro|nox</v>
      </c>
      <c r="B1448" s="3" t="inlineStr">
        <is>
          <t>gro</t>
        </is>
      </c>
      <c r="C1448" s="3" t="inlineStr">
        <is>
          <t>nox</t>
        </is>
      </c>
      <c r="D1448" s="3" t="str">
        <f>IF($B1448="",""," | "&amp;$E1448&amp;" | "&amp;$F1448)</f>
        <v> | Ground level other | NOx</v>
      </c>
      <c r="E1448" s="3" t="str">
        <f>IFERROR(INDEX(SecLab,MATCH($B1448,SecKey,0)),"")</f>
        <v>Ground level other</v>
      </c>
      <c r="F1448" s="3" t="str">
        <f>IFERROR(INDEX(FuelLab,MATCH($C1448,FuelKeyL,0)),"")</f>
        <v>NOx</v>
      </c>
      <c r="G1448" s="3" t="inlineStr">
        <is>
          <t>.gro.nox</t>
        </is>
      </c>
    </row>
    <row r="1449">
      <c r="A1449" s="3" t="str">
        <f>$B1449&amp;"|"&amp;$C1449</f>
        <v>gro|so2</v>
      </c>
      <c r="B1449" s="3" t="inlineStr">
        <is>
          <t>gro</t>
        </is>
      </c>
      <c r="C1449" s="3" t="inlineStr">
        <is>
          <t>so2</t>
        </is>
      </c>
      <c r="D1449" s="3" t="str">
        <f>IF($B1449="",""," | "&amp;$E1449&amp;" | "&amp;$F1449)</f>
        <v> | Ground level other | SO2</v>
      </c>
      <c r="E1449" s="3" t="str">
        <f>IFERROR(INDEX(SecLab,MATCH($B1449,SecKey,0)),"")</f>
        <v>Ground level other</v>
      </c>
      <c r="F1449" s="3" t="str">
        <f>IFERROR(INDEX(FuelLab,MATCH($C1449,FuelKeyL,0)),"")</f>
        <v>SO2</v>
      </c>
      <c r="G1449" s="3" t="inlineStr">
        <is>
          <t>.gro.so2</t>
        </is>
      </c>
    </row>
    <row r="1450">
      <c r="A1450" s="3" t="str">
        <f>$B1450&amp;"|"&amp;$C1450</f>
        <v>gro|bc</v>
      </c>
      <c r="B1450" s="3" t="inlineStr">
        <is>
          <t>gro</t>
        </is>
      </c>
      <c r="C1450" s="3" t="inlineStr">
        <is>
          <t>bc</t>
        </is>
      </c>
      <c r="D1450" s="3" t="str">
        <f>IF($B1450="",""," | "&amp;$E1450&amp;" | "&amp;$F1450)</f>
        <v> | Ground level other | Black carbon</v>
      </c>
      <c r="E1450" s="3" t="str">
        <f>IFERROR(INDEX(SecLab,MATCH($B1450,SecKey,0)),"")</f>
        <v>Ground level other</v>
      </c>
      <c r="F1450" s="3" t="str">
        <f>IFERROR(INDEX(FuelLab,MATCH($C1450,FuelKeyL,0)),"")</f>
        <v>Black carbon</v>
      </c>
      <c r="G1450" s="3" t="inlineStr">
        <is>
          <t>.gro.bc</t>
        </is>
      </c>
    </row>
    <row r="1451">
      <c r="A1451" s="3" t="str">
        <f>$B1451&amp;"|"&amp;$C1451</f>
        <v>gro|pom</v>
      </c>
      <c r="B1451" s="3" t="inlineStr">
        <is>
          <t>gro</t>
        </is>
      </c>
      <c r="C1451" s="3" t="inlineStr">
        <is>
          <t>pom</t>
        </is>
      </c>
      <c r="D1451" s="3" t="str">
        <f>IF($B1451="",""," | "&amp;$E1451&amp;" | "&amp;$F1451)</f>
        <v> | Ground level other | Primary organic matter</v>
      </c>
      <c r="E1451" s="3" t="str">
        <f>IFERROR(INDEX(SecLab,MATCH($B1451,SecKey,0)),"")</f>
        <v>Ground level other</v>
      </c>
      <c r="F1451" s="3" t="str">
        <f>IFERROR(INDEX(FuelLab,MATCH($C1451,FuelKeyL,0)),"")</f>
        <v>Primary organic matter</v>
      </c>
      <c r="G1451" s="3" t="inlineStr">
        <is>
          <t>.gro.pom</t>
        </is>
      </c>
    </row>
    <row r="1452">
      <c r="A1452" s="3" t="str">
        <f>$B1452&amp;"|"&amp;$C1452</f>
        <v>gro|opm</v>
      </c>
      <c r="B1452" s="3" t="inlineStr">
        <is>
          <t>gro</t>
        </is>
      </c>
      <c r="C1452" s="3" t="inlineStr">
        <is>
          <t>opm</t>
        </is>
      </c>
      <c r="D1452" s="3" t="str">
        <f>IF($B1452="",""," | "&amp;$E1452&amp;" | "&amp;$F1452)</f>
        <v> | Ground level other | Other PM2.5</v>
      </c>
      <c r="E1452" s="3" t="str">
        <f>IFERROR(INDEX(SecLab,MATCH($B1452,SecKey,0)),"")</f>
        <v>Ground level other</v>
      </c>
      <c r="F1452" s="3" t="str">
        <f>IFERROR(INDEX(FuelLab,MATCH($C1452,FuelKeyL,0)),"")</f>
        <v>Other PM2.5</v>
      </c>
      <c r="G1452" s="3" t="inlineStr">
        <is>
          <t>.gro.opm</t>
        </is>
      </c>
    </row>
    <row r="1453">
      <c r="A1453" s="3" t="str">
        <f>$B1453&amp;"|"&amp;$C1453</f>
        <v>gro|voc</v>
      </c>
      <c r="B1453" s="3" t="inlineStr">
        <is>
          <t>gro</t>
        </is>
      </c>
      <c r="C1453" s="3" t="inlineStr">
        <is>
          <t>voc</t>
        </is>
      </c>
      <c r="D1453" s="3" t="str">
        <f>IF($B1453="",""," | "&amp;$E1453&amp;" | "&amp;$F1453)</f>
        <v> | Ground level other | VOC</v>
      </c>
      <c r="E1453" s="3" t="str">
        <f>IFERROR(INDEX(SecLab,MATCH($B1453,SecKey,0)),"")</f>
        <v>Ground level other</v>
      </c>
      <c r="F1453" s="3" t="str">
        <f>IFERROR(INDEX(FuelLab,MATCH($C1453,FuelKeyL,0)),"")</f>
        <v>VOC</v>
      </c>
      <c r="G1453" s="3" t="inlineStr">
        <is>
          <t>.gro.voc</t>
        </is>
      </c>
    </row>
    <row r="1454">
      <c r="A1454" s="3" t="str">
        <f>$B1454&amp;"|"&amp;$C1454</f>
        <v>gro|ch4</v>
      </c>
      <c r="B1454" s="3" t="inlineStr">
        <is>
          <t>gro</t>
        </is>
      </c>
      <c r="C1454" s="3" t="inlineStr">
        <is>
          <t>ch4</t>
        </is>
      </c>
      <c r="D1454" s="3" t="str">
        <f>IF($B1454="",""," | "&amp;$E1454&amp;" | "&amp;$F1454)</f>
        <v> | Ground level other | CH4</v>
      </c>
      <c r="E1454" s="3" t="str">
        <f>IFERROR(INDEX(SecLab,MATCH($B1454,SecKey,0)),"")</f>
        <v>Ground level other</v>
      </c>
      <c r="F1454" s="3" t="str">
        <f>IFERROR(INDEX(FuelLab,MATCH($C1454,FuelKeyL,0)),"")</f>
        <v>CH4</v>
      </c>
      <c r="G1454" s="3" t="inlineStr">
        <is>
          <t>.gro.ch4</t>
        </is>
      </c>
    </row>
    <row r="1455">
      <c r="A1455" s="3" t="str">
        <f>$B1455&amp;"|"&amp;$C1455</f>
        <v>gro|co</v>
      </c>
      <c r="B1455" s="3" t="inlineStr">
        <is>
          <t>gro</t>
        </is>
      </c>
      <c r="C1455" s="3" t="inlineStr">
        <is>
          <t>co</t>
        </is>
      </c>
      <c r="D1455" s="3" t="str">
        <f>IF($B1455="",""," | "&amp;$E1455&amp;" | "&amp;$F1455)</f>
        <v> | Ground level other | CO</v>
      </c>
      <c r="E1455" s="3" t="str">
        <f>IFERROR(INDEX(SecLab,MATCH($B1455,SecKey,0)),"")</f>
        <v>Ground level other</v>
      </c>
      <c r="F1455" s="3" t="str">
        <f>IFERROR(INDEX(FuelLab,MATCH($C1455,FuelKeyL,0)),"")</f>
        <v>CO</v>
      </c>
      <c r="G1455" s="3" t="inlineStr">
        <is>
          <t>.gro.co</t>
        </is>
      </c>
    </row>
    <row r="1456">
      <c r="A1456" s="3" t="str">
        <f>$B1456&amp;"|"&amp;$C1456</f>
        <v>gro|pm2</v>
      </c>
      <c r="B1456" s="3" t="inlineStr">
        <is>
          <t>gro</t>
        </is>
      </c>
      <c r="C1456" s="3" t="inlineStr">
        <is>
          <t>pm2</t>
        </is>
      </c>
      <c r="D1456" s="3" t="str">
        <f>IF($B1456="",""," | "&amp;$E1456&amp;" | "&amp;$F1456)</f>
        <v> | Ground level other | PM2.5</v>
      </c>
      <c r="E1456" s="3" t="str">
        <f>IFERROR(INDEX(SecLab,MATCH($B1456,SecKey,0)),"")</f>
        <v>Ground level other</v>
      </c>
      <c r="F1456" s="3" t="str">
        <f>IFERROR(INDEX(FuelLab,MATCH($C1456,FuelKeyL,0)),"")</f>
        <v>PM2.5</v>
      </c>
      <c r="G1456" s="3" t="inlineStr">
        <is>
          <t>.gro.pm2</t>
        </is>
      </c>
    </row>
    <row r="1457">
      <c r="A1457" s="3" t="str">
        <f>$B1457&amp;"|"&amp;$C1457</f>
        <v>gro|oc</v>
      </c>
      <c r="B1457" s="3" t="inlineStr">
        <is>
          <t>gro</t>
        </is>
      </c>
      <c r="C1457" s="3" t="inlineStr">
        <is>
          <t>oc</t>
        </is>
      </c>
      <c r="D1457" s="3" t="str">
        <f>IF($B1457="",""," | "&amp;$E1457&amp;" | "&amp;$F1457)</f>
        <v> | Ground level other | Organic carbon</v>
      </c>
      <c r="E1457" s="3" t="str">
        <f>IFERROR(INDEX(SecLab,MATCH($B1457,SecKey,0)),"")</f>
        <v>Ground level other</v>
      </c>
      <c r="F1457" s="3" t="str">
        <f>IFERROR(INDEX(FuelLab,MATCH($C1457,FuelKeyL,0)),"")</f>
        <v>Organic carbon</v>
      </c>
      <c r="G1457" s="3" t="inlineStr">
        <is>
          <t>.gro.oc</t>
        </is>
      </c>
    </row>
    <row r="1458">
      <c r="A1458" s="3" t="str">
        <f>$B1458&amp;"|"&amp;$C1458</f>
        <v>oth|nox</v>
      </c>
      <c r="B1458" s="3" t="inlineStr">
        <is>
          <t>oth</t>
        </is>
      </c>
      <c r="C1458" s="3" t="inlineStr">
        <is>
          <t>nox</t>
        </is>
      </c>
      <c r="D1458" s="3" t="str">
        <f>IF($B1458="",""," | "&amp;$E1458&amp;" | "&amp;$F1458)</f>
        <v> | Other | NOx</v>
      </c>
      <c r="E1458" s="3" t="str">
        <f>IFERROR(INDEX(SecLab,MATCH($B1458,SecKey,0)),"")</f>
        <v>Other</v>
      </c>
      <c r="F1458" s="3" t="str">
        <f>IFERROR(INDEX(FuelLab,MATCH($C1458,FuelKeyL,0)),"")</f>
        <v>NOx</v>
      </c>
      <c r="G1458" s="3" t="inlineStr">
        <is>
          <t>.oth.nox</t>
        </is>
      </c>
    </row>
    <row r="1459">
      <c r="A1459" s="3" t="str">
        <f>$B1459&amp;"|"&amp;$C1459</f>
        <v>oth|so2</v>
      </c>
      <c r="B1459" s="3" t="inlineStr">
        <is>
          <t>oth</t>
        </is>
      </c>
      <c r="C1459" s="3" t="inlineStr">
        <is>
          <t>so2</t>
        </is>
      </c>
      <c r="D1459" s="3" t="str">
        <f>IF($B1459="",""," | "&amp;$E1459&amp;" | "&amp;$F1459)</f>
        <v> | Other | SO2</v>
      </c>
      <c r="E1459" s="3" t="str">
        <f>IFERROR(INDEX(SecLab,MATCH($B1459,SecKey,0)),"")</f>
        <v>Other</v>
      </c>
      <c r="F1459" s="3" t="str">
        <f>IFERROR(INDEX(FuelLab,MATCH($C1459,FuelKeyL,0)),"")</f>
        <v>SO2</v>
      </c>
      <c r="G1459" s="3" t="inlineStr">
        <is>
          <t>.oth.so2</t>
        </is>
      </c>
    </row>
    <row r="1460">
      <c r="A1460" s="3" t="str">
        <f>$B1460&amp;"|"&amp;$C1460</f>
        <v>oth|bc</v>
      </c>
      <c r="B1460" s="3" t="inlineStr">
        <is>
          <t>oth</t>
        </is>
      </c>
      <c r="C1460" s="3" t="inlineStr">
        <is>
          <t>bc</t>
        </is>
      </c>
      <c r="D1460" s="3" t="str">
        <f>IF($B1460="",""," | "&amp;$E1460&amp;" | "&amp;$F1460)</f>
        <v> | Other | Black carbon</v>
      </c>
      <c r="E1460" s="3" t="str">
        <f>IFERROR(INDEX(SecLab,MATCH($B1460,SecKey,0)),"")</f>
        <v>Other</v>
      </c>
      <c r="F1460" s="3" t="str">
        <f>IFERROR(INDEX(FuelLab,MATCH($C1460,FuelKeyL,0)),"")</f>
        <v>Black carbon</v>
      </c>
      <c r="G1460" s="3" t="inlineStr">
        <is>
          <t>.oth.bc</t>
        </is>
      </c>
    </row>
    <row r="1461">
      <c r="A1461" s="3" t="str">
        <f>$B1461&amp;"|"&amp;$C1461</f>
        <v>oth|pom</v>
      </c>
      <c r="B1461" s="3" t="inlineStr">
        <is>
          <t>oth</t>
        </is>
      </c>
      <c r="C1461" s="3" t="inlineStr">
        <is>
          <t>pom</t>
        </is>
      </c>
      <c r="D1461" s="3" t="str">
        <f>IF($B1461="",""," | "&amp;$E1461&amp;" | "&amp;$F1461)</f>
        <v> | Other | Primary organic matter</v>
      </c>
      <c r="E1461" s="3" t="str">
        <f>IFERROR(INDEX(SecLab,MATCH($B1461,SecKey,0)),"")</f>
        <v>Other</v>
      </c>
      <c r="F1461" s="3" t="str">
        <f>IFERROR(INDEX(FuelLab,MATCH($C1461,FuelKeyL,0)),"")</f>
        <v>Primary organic matter</v>
      </c>
      <c r="G1461" s="3" t="inlineStr">
        <is>
          <t>.oth.pom</t>
        </is>
      </c>
    </row>
    <row r="1462">
      <c r="A1462" s="3" t="str">
        <f>$B1462&amp;"|"&amp;$C1462</f>
        <v>oth|opm</v>
      </c>
      <c r="B1462" s="3" t="inlineStr">
        <is>
          <t>oth</t>
        </is>
      </c>
      <c r="C1462" s="3" t="inlineStr">
        <is>
          <t>opm</t>
        </is>
      </c>
      <c r="D1462" s="3" t="str">
        <f>IF($B1462="",""," | "&amp;$E1462&amp;" | "&amp;$F1462)</f>
        <v> | Other | Other PM2.5</v>
      </c>
      <c r="E1462" s="3" t="str">
        <f>IFERROR(INDEX(SecLab,MATCH($B1462,SecKey,0)),"")</f>
        <v>Other</v>
      </c>
      <c r="F1462" s="3" t="str">
        <f>IFERROR(INDEX(FuelLab,MATCH($C1462,FuelKeyL,0)),"")</f>
        <v>Other PM2.5</v>
      </c>
      <c r="G1462" s="3" t="inlineStr">
        <is>
          <t>.oth.opm</t>
        </is>
      </c>
    </row>
    <row r="1463">
      <c r="A1463" s="3" t="str">
        <f>$B1463&amp;"|"&amp;$C1463</f>
        <v>oth|voc</v>
      </c>
      <c r="B1463" s="3" t="inlineStr">
        <is>
          <t>oth</t>
        </is>
      </c>
      <c r="C1463" s="3" t="inlineStr">
        <is>
          <t>voc</t>
        </is>
      </c>
      <c r="D1463" s="3" t="str">
        <f>IF($B1463="",""," | "&amp;$E1463&amp;" | "&amp;$F1463)</f>
        <v> | Other | VOC</v>
      </c>
      <c r="E1463" s="3" t="str">
        <f>IFERROR(INDEX(SecLab,MATCH($B1463,SecKey,0)),"")</f>
        <v>Other</v>
      </c>
      <c r="F1463" s="3" t="str">
        <f>IFERROR(INDEX(FuelLab,MATCH($C1463,FuelKeyL,0)),"")</f>
        <v>VOC</v>
      </c>
      <c r="G1463" s="3" t="inlineStr">
        <is>
          <t>.oth.voc</t>
        </is>
      </c>
    </row>
    <row r="1464">
      <c r="A1464" s="3" t="str">
        <f>$B1464&amp;"|"&amp;$C1464</f>
        <v>oth|co</v>
      </c>
      <c r="B1464" s="3" t="inlineStr">
        <is>
          <t>oth</t>
        </is>
      </c>
      <c r="C1464" s="3" t="inlineStr">
        <is>
          <t>co</t>
        </is>
      </c>
      <c r="D1464" s="3" t="str">
        <f>IF($B1464="",""," | "&amp;$E1464&amp;" | "&amp;$F1464)</f>
        <v> | Other | CO</v>
      </c>
      <c r="E1464" s="3" t="str">
        <f>IFERROR(INDEX(SecLab,MATCH($B1464,SecKey,0)),"")</f>
        <v>Other</v>
      </c>
      <c r="F1464" s="3" t="str">
        <f>IFERROR(INDEX(FuelLab,MATCH($C1464,FuelKeyL,0)),"")</f>
        <v>CO</v>
      </c>
      <c r="G1464" s="3" t="inlineStr">
        <is>
          <t>.oth.co</t>
        </is>
      </c>
    </row>
    <row r="1465">
      <c r="A1465" s="3" t="str">
        <f>$B1465&amp;"|"&amp;$C1465</f>
        <v>oth|pm2</v>
      </c>
      <c r="B1465" s="3" t="inlineStr">
        <is>
          <t>oth</t>
        </is>
      </c>
      <c r="C1465" s="3" t="inlineStr">
        <is>
          <t>pm2</t>
        </is>
      </c>
      <c r="D1465" s="3" t="str">
        <f>IF($B1465="",""," | "&amp;$E1465&amp;" | "&amp;$F1465)</f>
        <v> | Other | PM2.5</v>
      </c>
      <c r="E1465" s="3" t="str">
        <f>IFERROR(INDEX(SecLab,MATCH($B1465,SecKey,0)),"")</f>
        <v>Other</v>
      </c>
      <c r="F1465" s="3" t="str">
        <f>IFERROR(INDEX(FuelLab,MATCH($C1465,FuelKeyL,0)),"")</f>
        <v>PM2.5</v>
      </c>
      <c r="G1465" s="3" t="inlineStr">
        <is>
          <t>.oth.pm2</t>
        </is>
      </c>
    </row>
    <row r="1466">
      <c r="A1466" s="3" t="str">
        <f>$B1466&amp;"|"&amp;$C1466</f>
        <v>oth|oc</v>
      </c>
      <c r="B1466" s="3" t="inlineStr">
        <is>
          <t>oth</t>
        </is>
      </c>
      <c r="C1466" s="3" t="inlineStr">
        <is>
          <t>oc</t>
        </is>
      </c>
      <c r="D1466" s="3" t="str">
        <f>IF($B1466="",""," | "&amp;$E1466&amp;" | "&amp;$F1466)</f>
        <v> | Other | Organic carbon</v>
      </c>
      <c r="E1466" s="3" t="str">
        <f>IFERROR(INDEX(SecLab,MATCH($B1466,SecKey,0)),"")</f>
        <v>Other</v>
      </c>
      <c r="F1466" s="3" t="str">
        <f>IFERROR(INDEX(FuelLab,MATCH($C1466,FuelKeyL,0)),"")</f>
        <v>Organic carbon</v>
      </c>
      <c r="G1466" s="3" t="inlineStr">
        <is>
          <t>.oth.oc</t>
        </is>
      </c>
    </row>
    <row r="1467">
      <c r="A1467" s="3" t="str">
        <f>$B1467&amp;"|"&amp;$C1467</f>
        <v>foo|pom</v>
      </c>
      <c r="B1467" s="3" t="inlineStr">
        <is>
          <t>foo</t>
        </is>
      </c>
      <c r="C1467" s="3" t="inlineStr">
        <is>
          <t>pom</t>
        </is>
      </c>
      <c r="D1467" s="3" t="str">
        <f>IF($B1467="",""," | "&amp;$E1467&amp;" | "&amp;$F1467)</f>
        <v> | Food &amp; forestry | Primary organic matter</v>
      </c>
      <c r="E1467" s="3" t="str">
        <f>IFERROR(INDEX(SecLab,MATCH($B1467,SecKey,0)),"")</f>
        <v>Food &amp; forestry</v>
      </c>
      <c r="F1467" s="3" t="str">
        <f>IFERROR(INDEX(FuelLab,MATCH($C1467,FuelKeyL,0)),"")</f>
        <v>Primary organic matter</v>
      </c>
      <c r="G1467" s="3" t="inlineStr">
        <is>
          <t>.foo.pom</t>
        </is>
      </c>
    </row>
    <row r="1468">
      <c r="A1468" s="3" t="str">
        <f>$B1468&amp;"|"&amp;$C1468</f>
        <v>foo|opm</v>
      </c>
      <c r="B1468" s="3" t="inlineStr">
        <is>
          <t>foo</t>
        </is>
      </c>
      <c r="C1468" s="3" t="inlineStr">
        <is>
          <t>opm</t>
        </is>
      </c>
      <c r="D1468" s="3" t="str">
        <f>IF($B1468="",""," | "&amp;$E1468&amp;" | "&amp;$F1468)</f>
        <v> | Food &amp; forestry | Other PM2.5</v>
      </c>
      <c r="E1468" s="3" t="str">
        <f>IFERROR(INDEX(SecLab,MATCH($B1468,SecKey,0)),"")</f>
        <v>Food &amp; forestry</v>
      </c>
      <c r="F1468" s="3" t="str">
        <f>IFERROR(INDEX(FuelLab,MATCH($C1468,FuelKeyL,0)),"")</f>
        <v>Other PM2.5</v>
      </c>
      <c r="G1468" s="3" t="inlineStr">
        <is>
          <t>.foo.opm</t>
        </is>
      </c>
    </row>
    <row r="1469">
      <c r="A1469" s="3" t="str">
        <f>$B1469&amp;"|"&amp;$C1469</f>
        <v>foo|ch4</v>
      </c>
      <c r="B1469" s="3" t="inlineStr">
        <is>
          <t>foo</t>
        </is>
      </c>
      <c r="C1469" s="3" t="inlineStr">
        <is>
          <t>ch4</t>
        </is>
      </c>
      <c r="D1469" s="3" t="str">
        <f>IF($B1469="",""," | "&amp;$E1469&amp;" | "&amp;$F1469)</f>
        <v> | Food &amp; forestry | CH4</v>
      </c>
      <c r="E1469" s="3" t="str">
        <f>IFERROR(INDEX(SecLab,MATCH($B1469,SecKey,0)),"")</f>
        <v>Food &amp; forestry</v>
      </c>
      <c r="F1469" s="3" t="str">
        <f>IFERROR(INDEX(FuelLab,MATCH($C1469,FuelKeyL,0)),"")</f>
        <v>CH4</v>
      </c>
      <c r="G1469" s="3" t="inlineStr">
        <is>
          <t>.foo.ch4</t>
        </is>
      </c>
    </row>
    <row r="1470">
      <c r="A1470" s="3" t="str">
        <f>$B1470&amp;"|"&amp;$C1470</f>
        <v>all|pom</v>
      </c>
      <c r="B1470" s="3" t="inlineStr">
        <is>
          <t>all</t>
        </is>
      </c>
      <c r="C1470" s="3" t="inlineStr">
        <is>
          <t>pom</t>
        </is>
      </c>
      <c r="D1470" s="3" t="str">
        <f>IF($B1470="",""," | "&amp;$E1470&amp;" | "&amp;$F1470)</f>
        <v> | All sectors | Primary organic matter</v>
      </c>
      <c r="E1470" s="3" t="str">
        <f>IFERROR(INDEX(SecLab,MATCH($B1470,SecKey,0)),"")</f>
        <v>All sectors</v>
      </c>
      <c r="F1470" s="3" t="str">
        <f>IFERROR(INDEX(FuelLab,MATCH($C1470,FuelKeyL,0)),"")</f>
        <v>Primary organic matter</v>
      </c>
      <c r="G1470" s="3" t="inlineStr">
        <is>
          <t>.all.pom</t>
        </is>
      </c>
    </row>
    <row r="1471">
      <c r="A1471" s="3" t="str">
        <f>$B1471&amp;"|"&amp;$C1471</f>
        <v>all|opm</v>
      </c>
      <c r="B1471" s="3" t="inlineStr">
        <is>
          <t>all</t>
        </is>
      </c>
      <c r="C1471" s="3" t="inlineStr">
        <is>
          <t>opm</t>
        </is>
      </c>
      <c r="D1471" s="3" t="str">
        <f>IF($B1471="",""," | "&amp;$E1471&amp;" | "&amp;$F1471)</f>
        <v> | All sectors | Other PM2.5</v>
      </c>
      <c r="E1471" s="3" t="str">
        <f>IFERROR(INDEX(SecLab,MATCH($B1471,SecKey,0)),"")</f>
        <v>All sectors</v>
      </c>
      <c r="F1471" s="3" t="str">
        <f>IFERROR(INDEX(FuelLab,MATCH($C1471,FuelKeyL,0)),"")</f>
        <v>Other PM2.5</v>
      </c>
      <c r="G1471" s="3" t="inlineStr">
        <is>
          <t>.all.opm</t>
        </is>
      </c>
    </row>
    <row r="1472">
      <c r="A1472" s="3" t="str">
        <f>$B1472&amp;"|"&amp;$C1472</f>
        <v>all|pm2</v>
      </c>
      <c r="B1472" s="3" t="inlineStr">
        <is>
          <t>all</t>
        </is>
      </c>
      <c r="C1472" s="3" t="inlineStr">
        <is>
          <t>pm2</t>
        </is>
      </c>
      <c r="D1472" s="3" t="str">
        <f>IF($B1472="",""," | "&amp;$E1472&amp;" | "&amp;$F1472)</f>
        <v> | All sectors | PM2.5</v>
      </c>
      <c r="E1472" s="3" t="str">
        <f>IFERROR(INDEX(SecLab,MATCH($B1472,SecKey,0)),"")</f>
        <v>All sectors</v>
      </c>
      <c r="F1472" s="3" t="str">
        <f>IFERROR(INDEX(FuelLab,MATCH($C1472,FuelKeyL,0)),"")</f>
        <v>PM2.5</v>
      </c>
      <c r="G1472"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22" t="n">
        <v>1.787148594378</v>
      </c>
      <c r="C36" s="122" t="n">
        <v>1.709017889741</v>
      </c>
      <c r="D36" s="122" t="n">
        <v>1.567968845077</v>
      </c>
      <c r="E36" s="122" t="n">
        <v>1.379213824997</v>
      </c>
      <c r="F36" s="122" t="n">
        <v>1.15796519411</v>
      </c>
      <c r="G36" s="122" t="n">
        <v>0.919435317026</v>
      </c>
      <c r="H36" s="122" t="n">
        <v>0.678836558355</v>
      </c>
      <c r="I36" s="122" t="n">
        <v>0.451381282707</v>
      </c>
      <c r="J36" s="122" t="n">
        <v>0.252281854691</v>
      </c>
      <c r="K36" s="122"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10212.2328443059</v>
      </c>
      <c r="C41" s="60">
        <f>INDEX(DIOVal,MATCH(LOWER(CtryCode)&amp;"."&amp;$A41,DIOKey,0),MATCH(C$39,DIOSec,0))</f>
        <v>1650.74236667995</v>
      </c>
      <c r="D41" s="60">
        <f>INDEX(DIOVal,MATCH(LOWER(CtryCode)&amp;"."&amp;$A41,DIOKey,0),MATCH(D$39,DIOSec,0))</f>
        <v>10945.9407035373</v>
      </c>
      <c r="E41" s="60">
        <f>INDEX(DIOVal,MATCH(LOWER(CtryCode)&amp;"."&amp;$A41,DIOKey,0),MATCH(E$39,DIOSec,0))</f>
        <v>1489.89660491296</v>
      </c>
      <c r="F41" s="60">
        <f>INDEX(DIOVal,MATCH(LOWER(CtryCode)&amp;"."&amp;$A41,DIOKey,0),MATCH(F$39,DIOSec,0))</f>
        <v>1316.50807179028</v>
      </c>
      <c r="G41" s="60">
        <f>INDEX(DIOVal,MATCH(LOWER(CtryCode)&amp;"."&amp;$A41,DIOKey,0),MATCH(G$39,DIOSec,0))</f>
        <v>3863.70433623588</v>
      </c>
      <c r="H41" s="60">
        <f>INDEX(DIOVal,MATCH(LOWER(CtryCode)&amp;"."&amp;$A41,DIOKey,0),MATCH(H$39,DIOSec,0))</f>
        <v>21846.3845822644</v>
      </c>
      <c r="I41" s="60">
        <f>INDEX(DIOVal,MATCH(LOWER(CtryCode)&amp;"."&amp;$A41,DIOKey,0),MATCH(I$39,DIOSec,0))</f>
        <v>2372.60010243235</v>
      </c>
      <c r="J41" s="60">
        <f>INDEX(DIOVal,MATCH(LOWER(CtryCode)&amp;"."&amp;$A41,DIOKey,0),MATCH(J$39,DIOSec,0))</f>
        <v>28154.1839430573</v>
      </c>
      <c r="K41" s="60">
        <f>INDEX(DIOVal,MATCH(LOWER(CtryCode)&amp;"."&amp;$A41,DIOKey,0),MATCH(K$39,DIOSec,0))</f>
        <v>6.72958958603259e-06</v>
      </c>
      <c r="L41" s="60">
        <f>INDEX(DIOVal,MATCH(LOWER(CtryCode)&amp;"."&amp;$A41,DIOKey,0),MATCH(L$39,DIOSec,0))</f>
        <v>1284.79321484951</v>
      </c>
      <c r="M41" s="60">
        <f>INDEX(DIOVal,MATCH(LOWER(CtryCode)&amp;"."&amp;$A41,DIOKey,0),MATCH(M$39,DIOSec,0))</f>
        <v>14371.1382799854</v>
      </c>
      <c r="N41" s="60">
        <f>INDEX(DIOVal,MATCH(LOWER(CtryCode)&amp;"."&amp;$A41,DIOKey,0),MATCH(N$39,DIOSec,0))</f>
        <v>11213.6482974603</v>
      </c>
      <c r="O41" s="60">
        <f>INDEX(DIOVal,MATCH(LOWER(CtryCode)&amp;"."&amp;$A41,DIOKey,0),MATCH(O$39,DIOSec,0))</f>
        <v>66.048685256185</v>
      </c>
      <c r="P41" s="60">
        <f>INDEX(DIOVal,MATCH(LOWER(CtryCode)&amp;"."&amp;$A41,DIOKey,0),MATCH(P$39,DIOSec,0))</f>
        <v>2971.14428819959</v>
      </c>
      <c r="Q41" s="60">
        <f>INDEX(DIOVal,MATCH(LOWER(CtryCode)&amp;"."&amp;$A41,DIOKey,0),MATCH(Q$39,DIOSec,0))</f>
        <v>4571.9641803464</v>
      </c>
      <c r="R41" s="60">
        <f>INDEX(DIOVal,MATCH(LOWER(CtryCode)&amp;"."&amp;$A41,DIOKey,0),MATCH(R$39,DIOSec,0))</f>
        <v>2189.8388174288</v>
      </c>
      <c r="S41" s="60">
        <f>INDEX(DIOVal,MATCH(LOWER(CtryCode)&amp;"."&amp;$A41,DIOKey,0),MATCH(S$39,DIOSec,0))</f>
        <v>8.00577928015417</v>
      </c>
      <c r="T41" s="60">
        <f>INDEX(DIOVal,MATCH(LOWER(CtryCode)&amp;"."&amp;$A41,DIOKey,0),MATCH(T$39,DIOSec,0))</f>
        <v>3796.40933424978</v>
      </c>
      <c r="U41" s="60">
        <f>INDEX(DIOVal,MATCH(LOWER(CtryCode)&amp;"."&amp;$A41,DIOKey,0),MATCH(U$39,DIOSec,0))</f>
        <v>2203.54760086278</v>
      </c>
      <c r="V41" s="60">
        <f>INDEX(DIOVal,MATCH(LOWER(CtryCode)&amp;"."&amp;$A41,DIOKey,0),MATCH(V$39,DIOSec,0))</f>
        <v>21633.2181365066</v>
      </c>
      <c r="W41" s="60">
        <f>INDEX(DIOVal,MATCH(LOWER(CtryCode)&amp;"."&amp;$A41,DIOKey,0),MATCH(W$39,DIOSec,0))</f>
        <v>487.077179776964</v>
      </c>
      <c r="X41" s="60">
        <f>INDEX(DIOVal,MATCH(LOWER(CtryCode)&amp;"."&amp;$A41,DIOKey,0),MATCH(X$39,DIOSec,0))</f>
        <v>4810.19676724562</v>
      </c>
      <c r="Y41" s="60">
        <f>INDEX(DIOVal,MATCH(LOWER(CtryCode)&amp;"."&amp;$A41,DIOKey,0),MATCH(Y$39,DIOSec,0))</f>
        <v>150.478798705619</v>
      </c>
      <c r="Z41" s="60">
        <f>INDEX(DIOVal,MATCH(LOWER(CtryCode)&amp;"."&amp;$A41,DIOKey,0),MATCH(Z$39,DIOSec,0))</f>
        <v>4734.25909052801</v>
      </c>
      <c r="AA41" s="60">
        <f>INDEX(DIOVal,MATCH(LOWER(CtryCode)&amp;"."&amp;$A41,DIOKey,0),MATCH(AA$39,DIOSec,0))</f>
        <v>6173.35653539939</v>
      </c>
      <c r="AB41" s="60">
        <f>INDEX(DIOVal,MATCH(LOWER(CtryCode)&amp;"."&amp;$A41,DIOKey,0),MATCH(AB$39,DIOSec,0))</f>
        <v>5384.92759747914</v>
      </c>
      <c r="AC41" s="60">
        <f>INDEX(DIOVal,MATCH(LOWER(CtryCode)&amp;"."&amp;$A41,DIOKey,0),MATCH(AC$39,DIOSec,0))</f>
        <v>827.539673638629</v>
      </c>
      <c r="AD41" s="60">
        <f>INDEX(DIOVal,MATCH(LOWER(CtryCode)&amp;"."&amp;$A41,DIOKey,0),MATCH(AD$39,DIOSec,0))</f>
        <v>147.52338591319</v>
      </c>
      <c r="AE41" s="60">
        <f>INDEX(DIOVal,MATCH(LOWER(CtryCode)&amp;"."&amp;$A41,DIOKey,0),MATCH(AE$39,DIOSec,0))</f>
        <v>4299.03794878287</v>
      </c>
      <c r="AF41" s="60">
        <f>INDEX(DIOVal,MATCH(LOWER(CtryCode)&amp;"."&amp;$A41,DIOKey,0),MATCH(AF$39,DIOSec,0))</f>
        <v>1392.10292841279</v>
      </c>
      <c r="AG41" s="60">
        <f>INDEX(DIOVal,MATCH(LOWER(CtryCode)&amp;"."&amp;$A41,DIOKey,0),MATCH(AG$39,DIOSec,0))</f>
        <v>1169.67477230193</v>
      </c>
      <c r="AH41" s="60">
        <f>INDEX(DIOVal,MATCH(LOWER(CtryCode)&amp;"."&amp;$A41,DIOKey,0),MATCH(AH$39,DIOSec,0))</f>
        <v>34.7879406294588</v>
      </c>
      <c r="AI41" s="60">
        <f>INDEX(DIOVal,MATCH(LOWER(CtryCode)&amp;"."&amp;$A41,DIOKey,0),MATCH(AI$39,DIOSec,0))</f>
        <v>20107.1075295594</v>
      </c>
      <c r="AJ41" s="60">
        <f>INDEX(DIOVal,MATCH(LOWER(CtryCode)&amp;"."&amp;$A41,DIOKey,0),MATCH(AJ$39,DIOSec,0))</f>
        <v>7392.44717725868</v>
      </c>
      <c r="AK41" s="60">
        <f>INDEX(DIOVal,MATCH(LOWER(CtryCode)&amp;"."&amp;$A41,DIOKey,0),MATCH(AK$39,DIOSec,0))</f>
        <v>22.98052080897</v>
      </c>
      <c r="AL41" s="60">
        <f>INDEX(DIOVal,MATCH(LOWER(CtryCode)&amp;"."&amp;$A41,DIOKey,0),MATCH(AL$39,DIOSec,0))</f>
        <v>214.645072435325</v>
      </c>
      <c r="AM41" s="60">
        <f>INDEX(DIOVal,MATCH(LOWER(CtryCode)&amp;"."&amp;$A41,DIOKey,0),MATCH(AM$39,DIOSec,0))</f>
        <v>408.583371438447</v>
      </c>
      <c r="AN41" s="60">
        <f>INDEX(DIOVal,MATCH(LOWER(CtryCode)&amp;"."&amp;$A41,DIOKey,0),MATCH(AN$39,DIOSec,0))</f>
        <v>1069.55350432865</v>
      </c>
      <c r="AO41" s="60">
        <f>INDEX(DIOVal,MATCH(LOWER(CtryCode)&amp;"."&amp;$A41,DIOKey,0),MATCH(AO$39,DIOSec,0))</f>
        <v>1307.05257197105</v>
      </c>
      <c r="AP41" s="60">
        <f>INDEX(DIOVal,MATCH(LOWER(CtryCode)&amp;"."&amp;$A41,DIOKey,0),MATCH(AP$39,DIOSec,0))</f>
        <v>16651.1816549717</v>
      </c>
      <c r="AQ41" s="60">
        <f>INDEX(DIOVal,MATCH(LOWER(CtryCode)&amp;"."&amp;$A41,DIOKey,0),MATCH(AQ$39,DIOSec,0))</f>
        <v>1006.81122299794</v>
      </c>
      <c r="AR41" s="60">
        <f>INDEX(DIOVal,MATCH(LOWER(CtryCode)&amp;"."&amp;$A41,DIOKey,0),MATCH(AR$39,DIOSec,0))</f>
        <v>12053.4435482047</v>
      </c>
      <c r="AS41" s="60">
        <f>INDEX(DIOVal,MATCH(LOWER(CtryCode)&amp;"."&amp;$A41,DIOKey,0),MATCH(AS$39,DIOSec,0))</f>
        <v>224.818299621518</v>
      </c>
      <c r="AT41" s="60">
        <f>INDEX(DIOVal,MATCH(LOWER(CtryCode)&amp;"."&amp;$A41,DIOKey,0),MATCH(AT$39,DIOSec,0))</f>
        <v>5410.58340982145</v>
      </c>
      <c r="AU41" s="60">
        <f>INDEX(DIOVal,MATCH(LOWER(CtryCode)&amp;"."&amp;$A41,DIOKey,0),MATCH(AU$39,DIOSec,0))</f>
        <v>4424.46957969588</v>
      </c>
      <c r="AV41" s="60">
        <f>INDEX(DIOVal,MATCH(LOWER(CtryCode)&amp;"."&amp;$A41,DIOKey,0),MATCH(AV$39,DIOSec,0))</f>
        <v>1373.97622213492</v>
      </c>
      <c r="AW41" s="60">
        <f>INDEX(DIOVal,MATCH(LOWER(CtryCode)&amp;"."&amp;$A41,DIOKey,0),MATCH(AW$39,DIOSec,0))</f>
        <v>1457.54418574081</v>
      </c>
      <c r="AX41" s="60">
        <f>INDEX(DIOVal,MATCH(LOWER(CtryCode)&amp;"."&amp;$A41,DIOKey,0),MATCH(AX$39,DIOSec,0))</f>
        <v>1668.50280441236</v>
      </c>
      <c r="AY41" s="60">
        <f>INDEX(DIOVal,MATCH(LOWER(CtryCode)&amp;"."&amp;$A41,DIOKey,0),MATCH(AY$39,DIOSec,0))</f>
        <v>1328.81063668743</v>
      </c>
      <c r="AZ41" s="60">
        <f>INDEX(DIOVal,MATCH(LOWER(CtryCode)&amp;"."&amp;$A41,DIOKey,0),MATCH(AZ$39,DIOSec,0))</f>
        <v>12625.8817037152</v>
      </c>
      <c r="BA41" s="60">
        <f>INDEX(DIOVal,MATCH(LOWER(CtryCode)&amp;"."&amp;$A41,DIOKey,0),MATCH(BA$39,DIOSec,0))</f>
        <v>1367.19729481246</v>
      </c>
      <c r="BB41" s="60">
        <f>INDEX(DIOVal,MATCH(LOWER(CtryCode)&amp;"."&amp;$A41,DIOKey,0),MATCH(BB$39,DIOSec,0))</f>
        <v>2447.10151679834</v>
      </c>
      <c r="BC41" s="60">
        <f>INDEX(DIOVal,MATCH(LOWER(CtryCode)&amp;"."&amp;$A41,DIOKey,0),MATCH(BC$39,DIOSec,0))</f>
        <v>1328.13354004624</v>
      </c>
      <c r="BD41" s="60">
        <f>INDEX(DIOVal,MATCH(LOWER(CtryCode)&amp;"."&amp;$A41,DIOKey,0),MATCH(BD$39,DIOSec,0))</f>
        <v>8814.70719742782</v>
      </c>
      <c r="BE41" s="60">
        <f>INDEX(DIOVal,MATCH(LOWER(CtryCode)&amp;"."&amp;$A41,DIOKey,0),MATCH(BE$39,DIOSec,0))</f>
        <v>19180.8483193621</v>
      </c>
      <c r="BF41" s="60">
        <f>INDEX(DIOVal,MATCH(LOWER(CtryCode)&amp;"."&amp;$A41,DIOKey,0),MATCH(BF$39,DIOSec,0))</f>
        <v>11418.6219070105</v>
      </c>
      <c r="BG41" s="60">
        <f>INDEX(DIOVal,MATCH(LOWER(CtryCode)&amp;"."&amp;$A41,DIOKey,0),MATCH(BG$39,DIOSec,0))</f>
        <v>51.2829306278481</v>
      </c>
      <c r="BH41" s="60">
        <f>INDEX(DIOVal,MATCH(LOWER(CtryCode)&amp;"."&amp;$A41,DIOKey,0),MATCH(BH$39,DIOSec,0))</f>
        <v>19695.366681614</v>
      </c>
      <c r="BI41" s="60">
        <f>INDEX(DIOVal,MATCH(LOWER(CtryCode)&amp;"."&amp;$A41,DIOKey,0),MATCH(BI$39,DIOSec,0))</f>
        <v>2552.87012435511</v>
      </c>
      <c r="BJ41" s="60">
        <f>INDEX(DIOVal,MATCH(LOWER(CtryCode)&amp;"."&amp;$A41,DIOKey,0),MATCH(BJ$39,DIOSec,0))</f>
        <v>3367.43858627224</v>
      </c>
      <c r="BK41" s="60">
        <f>INDEX(DIOVal,MATCH(LOWER(CtryCode)&amp;"."&amp;$A41,DIOKey,0),MATCH(BK$39,DIOSec,0))</f>
        <v>14.8106633907683</v>
      </c>
      <c r="BL41" s="60">
        <f>INDEX(DIOVal,MATCH(LOWER(CtryCode)&amp;"."&amp;$A41,DIOKey,0),MATCH(BL$39,DIOSec,0))</f>
        <v>796.227936526522</v>
      </c>
      <c r="BM41" s="60">
        <f>INDEX(DIOVal,MATCH(LOWER(CtryCode)&amp;"."&amp;$A41,DIOKey,0),MATCH(BM$39,DIOSec,0))</f>
        <v>1253.10844611561</v>
      </c>
    </row>
    <row r="42">
      <c r="A42" s="3" t="inlineStr">
        <is>
          <t>exports</t>
        </is>
      </c>
      <c r="B42" s="60">
        <f>INDEX(DIOVal,MATCH(LOWER(CtryCode)&amp;"."&amp;$A42,DIOKey,0),MATCH(B$39,DIOSec,0))</f>
        <v>292.76748128275</v>
      </c>
      <c r="C42" s="60">
        <f>INDEX(DIOVal,MATCH(LOWER(CtryCode)&amp;"."&amp;$A42,DIOKey,0),MATCH(C$39,DIOSec,0))</f>
        <v>1499.29972748746</v>
      </c>
      <c r="D42" s="60">
        <f>INDEX(DIOVal,MATCH(LOWER(CtryCode)&amp;"."&amp;$A42,DIOKey,0),MATCH(D$39,DIOSec,0))</f>
        <v>278.025952061282</v>
      </c>
      <c r="E42" s="60">
        <f>INDEX(DIOVal,MATCH(LOWER(CtryCode)&amp;"."&amp;$A42,DIOKey,0),MATCH(E$39,DIOSec,0))</f>
        <v>404.023769206125</v>
      </c>
      <c r="F42" s="60">
        <f>INDEX(DIOVal,MATCH(LOWER(CtryCode)&amp;"."&amp;$A42,DIOKey,0),MATCH(F$39,DIOSec,0))</f>
        <v>7.35479782908523</v>
      </c>
      <c r="G42" s="60">
        <f>INDEX(DIOVal,MATCH(LOWER(CtryCode)&amp;"."&amp;$A42,DIOKey,0),MATCH(G$39,DIOSec,0))</f>
        <v>3755.75029607815</v>
      </c>
      <c r="H42" s="60">
        <f>INDEX(DIOVal,MATCH(LOWER(CtryCode)&amp;"."&amp;$A42,DIOKey,0),MATCH(H$39,DIOSec,0))</f>
        <v>1446.93204471657</v>
      </c>
      <c r="I42" s="60">
        <f>INDEX(DIOVal,MATCH(LOWER(CtryCode)&amp;"."&amp;$A42,DIOKey,0),MATCH(I$39,DIOSec,0))</f>
        <v>67.8294550463426</v>
      </c>
      <c r="J42" s="60">
        <f>INDEX(DIOVal,MATCH(LOWER(CtryCode)&amp;"."&amp;$A42,DIOKey,0),MATCH(J$39,DIOSec,0))</f>
        <v>1087.63120655314</v>
      </c>
      <c r="K42" s="60">
        <f>INDEX(DIOVal,MATCH(LOWER(CtryCode)&amp;"."&amp;$A42,DIOKey,0),MATCH(K$39,DIOSec,0))</f>
        <v>0.22883699254</v>
      </c>
      <c r="L42" s="60">
        <f>INDEX(DIOVal,MATCH(LOWER(CtryCode)&amp;"."&amp;$A42,DIOKey,0),MATCH(L$39,DIOSec,0))</f>
        <v>9.94860504466285</v>
      </c>
      <c r="M42" s="60">
        <f>INDEX(DIOVal,MATCH(LOWER(CtryCode)&amp;"."&amp;$A42,DIOKey,0),MATCH(M$39,DIOSec,0))</f>
        <v>2.82e-18</v>
      </c>
      <c r="N42" s="60">
        <f>INDEX(DIOVal,MATCH(LOWER(CtryCode)&amp;"."&amp;$A42,DIOKey,0),MATCH(N$39,DIOSec,0))</f>
        <v>525.368615999848</v>
      </c>
      <c r="O42" s="60">
        <f>INDEX(DIOVal,MATCH(LOWER(CtryCode)&amp;"."&amp;$A42,DIOKey,0),MATCH(O$39,DIOSec,0))</f>
        <v>1535.78221044598</v>
      </c>
      <c r="P42" s="60">
        <f>INDEX(DIOVal,MATCH(LOWER(CtryCode)&amp;"."&amp;$A42,DIOKey,0),MATCH(P$39,DIOSec,0))</f>
        <v>914.470230931092</v>
      </c>
      <c r="Q42" s="60">
        <f>INDEX(DIOVal,MATCH(LOWER(CtryCode)&amp;"."&amp;$A42,DIOKey,0),MATCH(Q$39,DIOSec,0))</f>
        <v>32.420408218915</v>
      </c>
      <c r="R42" s="60">
        <f>INDEX(DIOVal,MATCH(LOWER(CtryCode)&amp;"."&amp;$A42,DIOKey,0),MATCH(R$39,DIOSec,0))</f>
        <v>368.591672059333</v>
      </c>
      <c r="S42" s="60">
        <f>INDEX(DIOVal,MATCH(LOWER(CtryCode)&amp;"."&amp;$A42,DIOKey,0),MATCH(S$39,DIOSec,0))</f>
        <v>3.72713376484609</v>
      </c>
      <c r="T42" s="60">
        <f>INDEX(DIOVal,MATCH(LOWER(CtryCode)&amp;"."&amp;$A42,DIOKey,0),MATCH(T$39,DIOSec,0))</f>
        <v>111.258224809023</v>
      </c>
      <c r="U42" s="60">
        <f>INDEX(DIOVal,MATCH(LOWER(CtryCode)&amp;"."&amp;$A42,DIOKey,0),MATCH(U$39,DIOSec,0))</f>
        <v>17.0008454699181</v>
      </c>
      <c r="V42" s="60">
        <f>INDEX(DIOVal,MATCH(LOWER(CtryCode)&amp;"."&amp;$A42,DIOKey,0),MATCH(V$39,DIOSec,0))</f>
        <v>353.057356360499</v>
      </c>
      <c r="W42" s="60">
        <f>INDEX(DIOVal,MATCH(LOWER(CtryCode)&amp;"."&amp;$A42,DIOKey,0),MATCH(W$39,DIOSec,0))</f>
        <v>904.093607787594</v>
      </c>
      <c r="X42" s="60">
        <f>INDEX(DIOVal,MATCH(LOWER(CtryCode)&amp;"."&amp;$A42,DIOKey,0),MATCH(X$39,DIOSec,0))</f>
        <v>264.439904396602</v>
      </c>
      <c r="Y42" s="60">
        <f>INDEX(DIOVal,MATCH(LOWER(CtryCode)&amp;"."&amp;$A42,DIOKey,0),MATCH(Y$39,DIOSec,0))</f>
        <v>231.997841436242</v>
      </c>
      <c r="Z42" s="60">
        <f>INDEX(DIOVal,MATCH(LOWER(CtryCode)&amp;"."&amp;$A42,DIOKey,0),MATCH(Z$39,DIOSec,0))</f>
        <v>182.564919598335</v>
      </c>
      <c r="AA42" s="60">
        <f>INDEX(DIOVal,MATCH(LOWER(CtryCode)&amp;"."&amp;$A42,DIOKey,0),MATCH(AA$39,DIOSec,0))</f>
        <v>483.619398031315</v>
      </c>
      <c r="AB42" s="60">
        <f>INDEX(DIOVal,MATCH(LOWER(CtryCode)&amp;"."&amp;$A42,DIOKey,0),MATCH(AB$39,DIOSec,0))</f>
        <v>277.725998833527</v>
      </c>
      <c r="AC42" s="60">
        <f>INDEX(DIOVal,MATCH(LOWER(CtryCode)&amp;"."&amp;$A42,DIOKey,0),MATCH(AC$39,DIOSec,0))</f>
        <v>1675.25830161587</v>
      </c>
      <c r="AD42" s="60">
        <f>INDEX(DIOVal,MATCH(LOWER(CtryCode)&amp;"."&amp;$A42,DIOKey,0),MATCH(AD$39,DIOSec,0))</f>
        <v>1025.43787996319</v>
      </c>
      <c r="AE42" s="60">
        <f>INDEX(DIOVal,MATCH(LOWER(CtryCode)&amp;"."&amp;$A42,DIOKey,0),MATCH(AE$39,DIOSec,0))</f>
        <v>1401.82496429157</v>
      </c>
      <c r="AF42" s="60">
        <f>INDEX(DIOVal,MATCH(LOWER(CtryCode)&amp;"."&amp;$A42,DIOKey,0),MATCH(AF$39,DIOSec,0))</f>
        <v>41.3573149020425</v>
      </c>
      <c r="AG42" s="60">
        <f>INDEX(DIOVal,MATCH(LOWER(CtryCode)&amp;"."&amp;$A42,DIOKey,0),MATCH(AG$39,DIOSec,0))</f>
        <v>1407.89327985787</v>
      </c>
      <c r="AH42" s="60">
        <f>INDEX(DIOVal,MATCH(LOWER(CtryCode)&amp;"."&amp;$A42,DIOKey,0),MATCH(AH$39,DIOSec,0))</f>
        <v>271.270922281125</v>
      </c>
      <c r="AI42" s="60">
        <f>INDEX(DIOVal,MATCH(LOWER(CtryCode)&amp;"."&amp;$A42,DIOKey,0),MATCH(AI$39,DIOSec,0))</f>
        <v>1873.09656029045</v>
      </c>
      <c r="AJ42" s="60">
        <f>INDEX(DIOVal,MATCH(LOWER(CtryCode)&amp;"."&amp;$A42,DIOKey,0),MATCH(AJ$39,DIOSec,0))</f>
        <v>315.272103173709</v>
      </c>
      <c r="AK42" s="60">
        <f>INDEX(DIOVal,MATCH(LOWER(CtryCode)&amp;"."&amp;$A42,DIOKey,0),MATCH(AK$39,DIOSec,0))</f>
        <v>6617.26168673421</v>
      </c>
      <c r="AL42" s="60">
        <f>INDEX(DIOVal,MATCH(LOWER(CtryCode)&amp;"."&amp;$A42,DIOKey,0),MATCH(AL$39,DIOSec,0))</f>
        <v>199.900427744144</v>
      </c>
      <c r="AM42" s="60">
        <f>INDEX(DIOVal,MATCH(LOWER(CtryCode)&amp;"."&amp;$A42,DIOKey,0),MATCH(AM$39,DIOSec,0))</f>
        <v>361.165982377532</v>
      </c>
      <c r="AN42" s="60">
        <f>INDEX(DIOVal,MATCH(LOWER(CtryCode)&amp;"."&amp;$A42,DIOKey,0),MATCH(AN$39,DIOSec,0))</f>
        <v>18.0511457668508</v>
      </c>
      <c r="AO42" s="60">
        <f>INDEX(DIOVal,MATCH(LOWER(CtryCode)&amp;"."&amp;$A42,DIOKey,0),MATCH(AO$39,DIOSec,0))</f>
        <v>86.294523168781</v>
      </c>
      <c r="AP42" s="60">
        <f>INDEX(DIOVal,MATCH(LOWER(CtryCode)&amp;"."&amp;$A42,DIOKey,0),MATCH(AP$39,DIOSec,0))</f>
        <v>195.073478805989</v>
      </c>
      <c r="AQ42" s="60">
        <f>INDEX(DIOVal,MATCH(LOWER(CtryCode)&amp;"."&amp;$A42,DIOKey,0),MATCH(AQ$39,DIOSec,0))</f>
        <v>51.6506147363973</v>
      </c>
      <c r="AR42" s="60">
        <f>INDEX(DIOVal,MATCH(LOWER(CtryCode)&amp;"."&amp;$A42,DIOKey,0),MATCH(AR$39,DIOSec,0))</f>
        <v>8001.67511043327</v>
      </c>
      <c r="AS42" s="60">
        <f>INDEX(DIOVal,MATCH(LOWER(CtryCode)&amp;"."&amp;$A42,DIOKey,0),MATCH(AS$39,DIOSec,0))</f>
        <v>683.185049354259</v>
      </c>
      <c r="AT42" s="60">
        <f>INDEX(DIOVal,MATCH(LOWER(CtryCode)&amp;"."&amp;$A42,DIOKey,0),MATCH(AT$39,DIOSec,0))</f>
        <v>2292.51170578502</v>
      </c>
      <c r="AU42" s="60">
        <f>INDEX(DIOVal,MATCH(LOWER(CtryCode)&amp;"."&amp;$A42,DIOKey,0),MATCH(AU$39,DIOSec,0))</f>
        <v>80.8034358395082</v>
      </c>
      <c r="AV42" s="60">
        <f>INDEX(DIOVal,MATCH(LOWER(CtryCode)&amp;"."&amp;$A42,DIOKey,0),MATCH(AV$39,DIOSec,0))</f>
        <v>7.74137833172396</v>
      </c>
      <c r="AW42" s="60">
        <f>INDEX(DIOVal,MATCH(LOWER(CtryCode)&amp;"."&amp;$A42,DIOKey,0),MATCH(AW$39,DIOSec,0))</f>
        <v>156.660756464849</v>
      </c>
      <c r="AX42" s="60">
        <f>INDEX(DIOVal,MATCH(LOWER(CtryCode)&amp;"."&amp;$A42,DIOKey,0),MATCH(AX$39,DIOSec,0))</f>
        <v>666.904864011295</v>
      </c>
      <c r="AY42" s="60">
        <f>INDEX(DIOVal,MATCH(LOWER(CtryCode)&amp;"."&amp;$A42,DIOKey,0),MATCH(AY$39,DIOSec,0))</f>
        <v>7.27007128626788</v>
      </c>
      <c r="AZ42" s="60">
        <f>INDEX(DIOVal,MATCH(LOWER(CtryCode)&amp;"."&amp;$A42,DIOKey,0),MATCH(AZ$39,DIOSec,0))</f>
        <v>1131.09060340752</v>
      </c>
      <c r="BA42" s="60">
        <f>INDEX(DIOVal,MATCH(LOWER(CtryCode)&amp;"."&amp;$A42,DIOKey,0),MATCH(BA$39,DIOSec,0))</f>
        <v>869.736810987093</v>
      </c>
      <c r="BB42" s="60">
        <f>INDEX(DIOVal,MATCH(LOWER(CtryCode)&amp;"."&amp;$A42,DIOKey,0),MATCH(BB$39,DIOSec,0))</f>
        <v>84.2390394464657</v>
      </c>
      <c r="BC42" s="60">
        <f>INDEX(DIOVal,MATCH(LOWER(CtryCode)&amp;"."&amp;$A42,DIOKey,0),MATCH(BC$39,DIOSec,0))</f>
        <v>378.655454085876</v>
      </c>
      <c r="BD42" s="60">
        <f>INDEX(DIOVal,MATCH(LOWER(CtryCode)&amp;"."&amp;$A42,DIOKey,0),MATCH(BD$39,DIOSec,0))</f>
        <v>2151.2785237842</v>
      </c>
      <c r="BE42" s="60">
        <f>INDEX(DIOVal,MATCH(LOWER(CtryCode)&amp;"."&amp;$A42,DIOKey,0),MATCH(BE$39,DIOSec,0))</f>
        <v>478.519177871075</v>
      </c>
      <c r="BF42" s="60">
        <f>INDEX(DIOVal,MATCH(LOWER(CtryCode)&amp;"."&amp;$A42,DIOKey,0),MATCH(BF$39,DIOSec,0))</f>
        <v>2508.39545091608</v>
      </c>
      <c r="BG42" s="60">
        <f>INDEX(DIOVal,MATCH(LOWER(CtryCode)&amp;"."&amp;$A42,DIOKey,0),MATCH(BG$39,DIOSec,0))</f>
        <v>195.078626646494</v>
      </c>
      <c r="BH42" s="60">
        <f>INDEX(DIOVal,MATCH(LOWER(CtryCode)&amp;"."&amp;$A42,DIOKey,0),MATCH(BH$39,DIOSec,0))</f>
        <v>3068.02347808736</v>
      </c>
      <c r="BI42" s="60">
        <f>INDEX(DIOVal,MATCH(LOWER(CtryCode)&amp;"."&amp;$A42,DIOKey,0),MATCH(BI$39,DIOSec,0))</f>
        <v>868.616955773165</v>
      </c>
      <c r="BJ42" s="60">
        <f>INDEX(DIOVal,MATCH(LOWER(CtryCode)&amp;"."&amp;$A42,DIOKey,0),MATCH(BJ$39,DIOSec,0))</f>
        <v>17.4510440628862</v>
      </c>
      <c r="BK42" s="60">
        <f>INDEX(DIOVal,MATCH(LOWER(CtryCode)&amp;"."&amp;$A42,DIOKey,0),MATCH(BK$39,DIOSec,0))</f>
        <v>50.5074747505568</v>
      </c>
      <c r="BL42" s="60">
        <f>INDEX(DIOVal,MATCH(LOWER(CtryCode)&amp;"."&amp;$A42,DIOKey,0),MATCH(BL$39,DIOSec,0))</f>
        <v>219.215392631205</v>
      </c>
      <c r="BM42" s="60">
        <f>INDEX(DIOVal,MATCH(LOWER(CtryCode)&amp;"."&amp;$A42,DIOKey,0),MATCH(BM$39,DIOSec,0))</f>
        <v>26.0052671106454</v>
      </c>
    </row>
    <row r="43">
      <c r="A43" s="3" t="inlineStr">
        <is>
          <t>hhd</t>
        </is>
      </c>
      <c r="B43" s="60">
        <f>INDEX(DIOVal,MATCH(LOWER(CtryCode)&amp;"."&amp;$A43,DIOKey,0),MATCH(B$39,DIOSec,0))</f>
        <v>10165.9109075592</v>
      </c>
      <c r="C43" s="60">
        <f>INDEX(DIOVal,MATCH(LOWER(CtryCode)&amp;"."&amp;$A43,DIOKey,0),MATCH(C$39,DIOSec,0))</f>
        <v>1443.56756594916</v>
      </c>
      <c r="D43" s="60">
        <f>INDEX(DIOVal,MATCH(LOWER(CtryCode)&amp;"."&amp;$A43,DIOKey,0),MATCH(D$39,DIOSec,0))</f>
        <v>10944.0505691902</v>
      </c>
      <c r="E43" s="60">
        <f>INDEX(DIOVal,MATCH(LOWER(CtryCode)&amp;"."&amp;$A43,DIOKey,0),MATCH(E$39,DIOSec,0))</f>
        <v>1438.16590027883</v>
      </c>
      <c r="F43" s="60">
        <f>INDEX(DIOVal,MATCH(LOWER(CtryCode)&amp;"."&amp;$A43,DIOKey,0),MATCH(F$39,DIOSec,0))</f>
        <v>1310.5595802392</v>
      </c>
      <c r="G43" s="60">
        <f>INDEX(DIOVal,MATCH(LOWER(CtryCode)&amp;"."&amp;$A43,DIOKey,0),MATCH(G$39,DIOSec,0))</f>
        <v>3581.62983038133</v>
      </c>
      <c r="H43" s="60">
        <f>INDEX(DIOVal,MATCH(LOWER(CtryCode)&amp;"."&amp;$A43,DIOKey,0),MATCH(H$39,DIOSec,0))</f>
        <v>19396.2694302428</v>
      </c>
      <c r="I43" s="60">
        <f>INDEX(DIOVal,MATCH(LOWER(CtryCode)&amp;"."&amp;$A43,DIOKey,0),MATCH(I$39,DIOSec,0))</f>
        <v>2354.30046622809</v>
      </c>
      <c r="J43" s="60">
        <f>INDEX(DIOVal,MATCH(LOWER(CtryCode)&amp;"."&amp;$A43,DIOKey,0),MATCH(J$39,DIOSec,0))</f>
        <v>2698.01204459543</v>
      </c>
      <c r="K43" s="60">
        <f>INDEX(DIOVal,MATCH(LOWER(CtryCode)&amp;"."&amp;$A43,DIOKey,0),MATCH(K$39,DIOSec,0))</f>
        <v>6.72958958603117e-06</v>
      </c>
      <c r="L43" s="60">
        <f>INDEX(DIOVal,MATCH(LOWER(CtryCode)&amp;"."&amp;$A43,DIOKey,0),MATCH(L$39,DIOSec,0))</f>
        <v>1274.90802843333</v>
      </c>
      <c r="M43" s="60">
        <f>INDEX(DIOVal,MATCH(LOWER(CtryCode)&amp;"."&amp;$A43,DIOKey,0),MATCH(M$39,DIOSec,0))</f>
        <v>14359.610352</v>
      </c>
      <c r="N43" s="60">
        <f>INDEX(DIOVal,MATCH(LOWER(CtryCode)&amp;"."&amp;$A43,DIOKey,0),MATCH(N$39,DIOSec,0))</f>
        <v>4753.35956326229</v>
      </c>
      <c r="O43" s="60">
        <f>INDEX(DIOVal,MATCH(LOWER(CtryCode)&amp;"."&amp;$A43,DIOKey,0),MATCH(O$39,DIOSec,0))</f>
        <v>25.02473877478</v>
      </c>
      <c r="P43" s="60">
        <f>INDEX(DIOVal,MATCH(LOWER(CtryCode)&amp;"."&amp;$A43,DIOKey,0),MATCH(P$39,DIOSec,0))</f>
        <v>2622.80693833883</v>
      </c>
      <c r="Q43" s="60">
        <f>INDEX(DIOVal,MATCH(LOWER(CtryCode)&amp;"."&amp;$A43,DIOKey,0),MATCH(Q$39,DIOSec,0))</f>
        <v>4571.9641803464</v>
      </c>
      <c r="R43" s="60">
        <f>INDEX(DIOVal,MATCH(LOWER(CtryCode)&amp;"."&amp;$A43,DIOKey,0),MATCH(R$39,DIOSec,0))</f>
        <v>633.45705503211</v>
      </c>
      <c r="S43" s="60">
        <f>INDEX(DIOVal,MATCH(LOWER(CtryCode)&amp;"."&amp;$A43,DIOKey,0),MATCH(S$39,DIOSec,0))</f>
        <v>1.858994496159</v>
      </c>
      <c r="T43" s="60">
        <f>INDEX(DIOVal,MATCH(LOWER(CtryCode)&amp;"."&amp;$A43,DIOKey,0),MATCH(T$39,DIOSec,0))</f>
        <v>3766.22694179692</v>
      </c>
      <c r="U43" s="60">
        <f>INDEX(DIOVal,MATCH(LOWER(CtryCode)&amp;"."&amp;$A43,DIOKey,0),MATCH(U$39,DIOSec,0))</f>
        <v>2195.13105611959</v>
      </c>
      <c r="V43" s="60">
        <f>INDEX(DIOVal,MATCH(LOWER(CtryCode)&amp;"."&amp;$A43,DIOKey,0),MATCH(V$39,DIOSec,0))</f>
        <v>6261.37751253199</v>
      </c>
      <c r="W43" s="60">
        <f>INDEX(DIOVal,MATCH(LOWER(CtryCode)&amp;"."&amp;$A43,DIOKey,0),MATCH(W$39,DIOSec,0))</f>
        <v>428.14566144443</v>
      </c>
      <c r="X43" s="60">
        <f>INDEX(DIOVal,MATCH(LOWER(CtryCode)&amp;"."&amp;$A43,DIOKey,0),MATCH(X$39,DIOSec,0))</f>
        <v>4803.40091449536</v>
      </c>
      <c r="Y43" s="60">
        <f>INDEX(DIOVal,MATCH(LOWER(CtryCode)&amp;"."&amp;$A43,DIOKey,0),MATCH(Y$39,DIOSec,0))</f>
        <v>143.275472820164</v>
      </c>
      <c r="Z43" s="60">
        <f>INDEX(DIOVal,MATCH(LOWER(CtryCode)&amp;"."&amp;$A43,DIOKey,0),MATCH(Z$39,DIOSec,0))</f>
        <v>4349.25126105109</v>
      </c>
      <c r="AA43" s="60">
        <f>INDEX(DIOVal,MATCH(LOWER(CtryCode)&amp;"."&amp;$A43,DIOKey,0),MATCH(AA$39,DIOSec,0))</f>
        <v>6126.30103646739</v>
      </c>
      <c r="AB43" s="60">
        <f>INDEX(DIOVal,MATCH(LOWER(CtryCode)&amp;"."&amp;$A43,DIOKey,0),MATCH(AB$39,DIOSec,0))</f>
        <v>4083.52369454838</v>
      </c>
      <c r="AC43" s="60">
        <f>INDEX(DIOVal,MATCH(LOWER(CtryCode)&amp;"."&amp;$A43,DIOKey,0),MATCH(AC$39,DIOSec,0))</f>
        <v>654.29013332516</v>
      </c>
      <c r="AD43" s="60">
        <f>INDEX(DIOVal,MATCH(LOWER(CtryCode)&amp;"."&amp;$A43,DIOKey,0),MATCH(AD$39,DIOSec,0))</f>
        <v>147.52338591319</v>
      </c>
      <c r="AE43" s="60">
        <f>INDEX(DIOVal,MATCH(LOWER(CtryCode)&amp;"."&amp;$A43,DIOKey,0),MATCH(AE$39,DIOSec,0))</f>
        <v>4072.76052458125</v>
      </c>
      <c r="AF43" s="60">
        <f>INDEX(DIOVal,MATCH(LOWER(CtryCode)&amp;"."&amp;$A43,DIOKey,0),MATCH(AF$39,DIOSec,0))</f>
        <v>1381.43194438154</v>
      </c>
      <c r="AG43" s="60">
        <f>INDEX(DIOVal,MATCH(LOWER(CtryCode)&amp;"."&amp;$A43,DIOKey,0),MATCH(AG$39,DIOSec,0))</f>
        <v>617.536900944971</v>
      </c>
      <c r="AH43" s="60">
        <f>INDEX(DIOVal,MATCH(LOWER(CtryCode)&amp;"."&amp;$A43,DIOKey,0),MATCH(AH$39,DIOSec,0))</f>
        <v>34.75941515621</v>
      </c>
      <c r="AI43" s="60">
        <f>INDEX(DIOVal,MATCH(LOWER(CtryCode)&amp;"."&amp;$A43,DIOKey,0),MATCH(AI$39,DIOSec,0))</f>
        <v>19937.9983142259</v>
      </c>
      <c r="AJ43" s="60">
        <f>INDEX(DIOVal,MATCH(LOWER(CtryCode)&amp;"."&amp;$A43,DIOKey,0),MATCH(AJ$39,DIOSec,0))</f>
        <v>6956.66054705475</v>
      </c>
      <c r="AK43" s="60">
        <f>INDEX(DIOVal,MATCH(LOWER(CtryCode)&amp;"."&amp;$A43,DIOKey,0),MATCH(AK$39,DIOSec,0))</f>
        <v>22.98052080897</v>
      </c>
      <c r="AL43" s="60">
        <f>INDEX(DIOVal,MATCH(LOWER(CtryCode)&amp;"."&amp;$A43,DIOKey,0),MATCH(AL$39,DIOSec,0))</f>
        <v>66.746484617443</v>
      </c>
      <c r="AM43" s="60">
        <f>INDEX(DIOVal,MATCH(LOWER(CtryCode)&amp;"."&amp;$A43,DIOKey,0),MATCH(AM$39,DIOSec,0))</f>
        <v>241.4513984691</v>
      </c>
      <c r="AN43" s="60">
        <f>INDEX(DIOVal,MATCH(LOWER(CtryCode)&amp;"."&amp;$A43,DIOKey,0),MATCH(AN$39,DIOSec,0))</f>
        <v>1061.438062644</v>
      </c>
      <c r="AO43" s="60">
        <f>INDEX(DIOVal,MATCH(LOWER(CtryCode)&amp;"."&amp;$A43,DIOKey,0),MATCH(AO$39,DIOSec,0))</f>
        <v>1301.14957949276</v>
      </c>
      <c r="AP43" s="60">
        <f>INDEX(DIOVal,MATCH(LOWER(CtryCode)&amp;"."&amp;$A43,DIOKey,0),MATCH(AP$39,DIOSec,0))</f>
        <v>1807.73810099607</v>
      </c>
      <c r="AQ43" s="60">
        <f>INDEX(DIOVal,MATCH(LOWER(CtryCode)&amp;"."&amp;$A43,DIOKey,0),MATCH(AQ$39,DIOSec,0))</f>
        <v>624.513830013833</v>
      </c>
      <c r="AR43" s="60">
        <f>INDEX(DIOVal,MATCH(LOWER(CtryCode)&amp;"."&amp;$A43,DIOKey,0),MATCH(AR$39,DIOSec,0))</f>
        <v>11191.6882322928</v>
      </c>
      <c r="AS43" s="60">
        <f>INDEX(DIOVal,MATCH(LOWER(CtryCode)&amp;"."&amp;$A43,DIOKey,0),MATCH(AS$39,DIOSec,0))</f>
        <v>222.618962422445</v>
      </c>
      <c r="AT43" s="60">
        <f>INDEX(DIOVal,MATCH(LOWER(CtryCode)&amp;"."&amp;$A43,DIOKey,0),MATCH(AT$39,DIOSec,0))</f>
        <v>5410.58340982145</v>
      </c>
      <c r="AU43" s="60">
        <f>INDEX(DIOVal,MATCH(LOWER(CtryCode)&amp;"."&amp;$A43,DIOKey,0),MATCH(AU$39,DIOSec,0))</f>
        <v>4385.82696826963</v>
      </c>
      <c r="AV43" s="60">
        <f>INDEX(DIOVal,MATCH(LOWER(CtryCode)&amp;"."&amp;$A43,DIOKey,0),MATCH(AV$39,DIOSec,0))</f>
        <v>1367.76845295236</v>
      </c>
      <c r="AW43" s="60">
        <f>INDEX(DIOVal,MATCH(LOWER(CtryCode)&amp;"."&amp;$A43,DIOKey,0),MATCH(AW$39,DIOSec,0))</f>
        <v>1450.96487161176</v>
      </c>
      <c r="AX43" s="60">
        <f>INDEX(DIOVal,MATCH(LOWER(CtryCode)&amp;"."&amp;$A43,DIOKey,0),MATCH(AX$39,DIOSec,0))</f>
        <v>1416.6379056627</v>
      </c>
      <c r="AY43" s="60">
        <f>INDEX(DIOVal,MATCH(LOWER(CtryCode)&amp;"."&amp;$A43,DIOKey,0),MATCH(AY$39,DIOSec,0))</f>
        <v>1318.5303724799</v>
      </c>
      <c r="AZ43" s="60">
        <f>INDEX(DIOVal,MATCH(LOWER(CtryCode)&amp;"."&amp;$A43,DIOKey,0),MATCH(AZ$39,DIOSec,0))</f>
        <v>12533.8765969059</v>
      </c>
      <c r="BA43" s="60">
        <f>INDEX(DIOVal,MATCH(LOWER(CtryCode)&amp;"."&amp;$A43,DIOKey,0),MATCH(BA$39,DIOSec,0))</f>
        <v>1169.65213203638</v>
      </c>
      <c r="BB43" s="60">
        <f>INDEX(DIOVal,MATCH(LOWER(CtryCode)&amp;"."&amp;$A43,DIOKey,0),MATCH(BB$39,DIOSec,0))</f>
        <v>2254.06276025391</v>
      </c>
      <c r="BC43" s="60">
        <f>INDEX(DIOVal,MATCH(LOWER(CtryCode)&amp;"."&amp;$A43,DIOKey,0),MATCH(BC$39,DIOSec,0))</f>
        <v>1316.65433001827</v>
      </c>
      <c r="BD43" s="60">
        <f>INDEX(DIOVal,MATCH(LOWER(CtryCode)&amp;"."&amp;$A43,DIOKey,0),MATCH(BD$39,DIOSec,0))</f>
        <v>8751.99459365595</v>
      </c>
      <c r="BE43" s="60">
        <f>INDEX(DIOVal,MATCH(LOWER(CtryCode)&amp;"."&amp;$A43,DIOKey,0),MATCH(BE$39,DIOSec,0))</f>
        <v>15768.7809539836</v>
      </c>
      <c r="BF43" s="60">
        <f>INDEX(DIOVal,MATCH(LOWER(CtryCode)&amp;"."&amp;$A43,DIOKey,0),MATCH(BF$39,DIOSec,0))</f>
        <v>11367.0447882308</v>
      </c>
      <c r="BG43" s="60">
        <f>INDEX(DIOVal,MATCH(LOWER(CtryCode)&amp;"."&amp;$A43,DIOKey,0),MATCH(BG$39,DIOSec,0))</f>
        <v>50.90339085766</v>
      </c>
      <c r="BH43" s="60">
        <f>INDEX(DIOVal,MATCH(LOWER(CtryCode)&amp;"."&amp;$A43,DIOKey,0),MATCH(BH$39,DIOSec,0))</f>
        <v>19490.7297567692</v>
      </c>
      <c r="BI43" s="60">
        <f>INDEX(DIOVal,MATCH(LOWER(CtryCode)&amp;"."&amp;$A43,DIOKey,0),MATCH(BI$39,DIOSec,0))</f>
        <v>2447.51612254602</v>
      </c>
      <c r="BJ43" s="60">
        <f>INDEX(DIOVal,MATCH(LOWER(CtryCode)&amp;"."&amp;$A43,DIOKey,0),MATCH(BJ$39,DIOSec,0))</f>
        <v>3354.38477178339</v>
      </c>
      <c r="BK43" s="60">
        <f>INDEX(DIOVal,MATCH(LOWER(CtryCode)&amp;"."&amp;$A43,DIOKey,0),MATCH(BK$39,DIOSec,0))</f>
        <v>11.627090127826</v>
      </c>
      <c r="BL43" s="60">
        <f>INDEX(DIOVal,MATCH(LOWER(CtryCode)&amp;"."&amp;$A43,DIOKey,0),MATCH(BL$39,DIOSec,0))</f>
        <v>646.326383472676</v>
      </c>
      <c r="BM43" s="60">
        <f>INDEX(DIOVal,MATCH(LOWER(CtryCode)&amp;"."&amp;$A43,DIOKey,0),MATCH(BM$39,DIOSec,0))</f>
        <v>960.954196042975</v>
      </c>
    </row>
    <row r="44">
      <c r="A44" s="3" t="inlineStr">
        <is>
          <t>coa.leontiefs</t>
        </is>
      </c>
      <c r="B44" s="60">
        <f>INDEX(DIOVal,MATCH(LOWER(CtryCode)&amp;"."&amp;$A44,DIOKey,0),MATCH(B$39,DIOSec,0))</f>
        <v>0.000723486729071478</v>
      </c>
      <c r="C44" s="60">
        <f>INDEX(DIOVal,MATCH(LOWER(CtryCode)&amp;"."&amp;$A44,DIOKey,0),MATCH(C$39,DIOSec,0))</f>
        <v>0.00397825729531387</v>
      </c>
      <c r="D44" s="60">
        <f>INDEX(DIOVal,MATCH(LOWER(CtryCode)&amp;"."&amp;$A44,DIOKey,0),MATCH(D$39,DIOSec,0))</f>
        <v>0.00149832912174611</v>
      </c>
      <c r="E44" s="60">
        <f>INDEX(DIOVal,MATCH(LOWER(CtryCode)&amp;"."&amp;$A44,DIOKey,0),MATCH(E$39,DIOSec,0))</f>
        <v>0.00239619075701408</v>
      </c>
      <c r="F44" s="60">
        <f>INDEX(DIOVal,MATCH(LOWER(CtryCode)&amp;"."&amp;$A44,DIOKey,0),MATCH(F$39,DIOSec,0))</f>
        <v>0.000995784327430148</v>
      </c>
      <c r="G44" s="60">
        <f>INDEX(DIOVal,MATCH(LOWER(CtryCode)&amp;"."&amp;$A44,DIOKey,0),MATCH(G$39,DIOSec,0))</f>
        <v>0.00541523749809975</v>
      </c>
      <c r="H44" s="60">
        <f>INDEX(DIOVal,MATCH(LOWER(CtryCode)&amp;"."&amp;$A44,DIOKey,0),MATCH(H$39,DIOSec,0))</f>
        <v>0.000777415064297085</v>
      </c>
      <c r="I44" s="60">
        <f>INDEX(DIOVal,MATCH(LOWER(CtryCode)&amp;"."&amp;$A44,DIOKey,0),MATCH(I$39,DIOSec,0))</f>
        <v>0.000308506584273488</v>
      </c>
      <c r="J44" s="60">
        <f>INDEX(DIOVal,MATCH(LOWER(CtryCode)&amp;"."&amp;$A44,DIOKey,0),MATCH(J$39,DIOSec,0))</f>
        <v>0.00504300729513811</v>
      </c>
      <c r="K44" s="60">
        <f>INDEX(DIOVal,MATCH(LOWER(CtryCode)&amp;"."&amp;$A44,DIOKey,0),MATCH(K$39,DIOSec,0))</f>
        <v>1.05858650497857</v>
      </c>
      <c r="L44" s="60">
        <f>INDEX(DIOVal,MATCH(LOWER(CtryCode)&amp;"."&amp;$A44,DIOKey,0),MATCH(L$39,DIOSec,0))</f>
        <v>0.000851120190662193</v>
      </c>
      <c r="M44" s="60">
        <f>INDEX(DIOVal,MATCH(LOWER(CtryCode)&amp;"."&amp;$A44,DIOKey,0),MATCH(M$39,DIOSec,0))</f>
        <v>0.00032489583084908</v>
      </c>
      <c r="N44" s="60">
        <f>INDEX(DIOVal,MATCH(LOWER(CtryCode)&amp;"."&amp;$A44,DIOKey,0),MATCH(N$39,DIOSec,0))</f>
        <v>0.0010548731916222</v>
      </c>
      <c r="O44" s="60">
        <f>INDEX(DIOVal,MATCH(LOWER(CtryCode)&amp;"."&amp;$A44,DIOKey,0),MATCH(O$39,DIOSec,0))</f>
        <v>0.00632070715667421</v>
      </c>
      <c r="P44" s="60">
        <f>INDEX(DIOVal,MATCH(LOWER(CtryCode)&amp;"."&amp;$A44,DIOKey,0),MATCH(P$39,DIOSec,0))</f>
        <v>0.00392738156583487</v>
      </c>
      <c r="Q44" s="60">
        <f>INDEX(DIOVal,MATCH(LOWER(CtryCode)&amp;"."&amp;$A44,DIOKey,0),MATCH(Q$39,DIOSec,0))</f>
        <v>0.00477434122645987</v>
      </c>
      <c r="R44" s="60">
        <f>INDEX(DIOVal,MATCH(LOWER(CtryCode)&amp;"."&amp;$A44,DIOKey,0),MATCH(R$39,DIOSec,0))</f>
        <v>0.00693053568082318</v>
      </c>
      <c r="S44" s="60">
        <f>INDEX(DIOVal,MATCH(LOWER(CtryCode)&amp;"."&amp;$A44,DIOKey,0),MATCH(S$39,DIOSec,0))</f>
        <v>0.00182193560090233</v>
      </c>
      <c r="T44" s="60">
        <f>INDEX(DIOVal,MATCH(LOWER(CtryCode)&amp;"."&amp;$A44,DIOKey,0),MATCH(T$39,DIOSec,0))</f>
        <v>0.000637980611798162</v>
      </c>
      <c r="U44" s="60">
        <f>INDEX(DIOVal,MATCH(LOWER(CtryCode)&amp;"."&amp;$A44,DIOKey,0),MATCH(U$39,DIOSec,0))</f>
        <v>0.000868413374794244</v>
      </c>
      <c r="V44" s="60">
        <f>INDEX(DIOVal,MATCH(LOWER(CtryCode)&amp;"."&amp;$A44,DIOKey,0),MATCH(V$39,DIOSec,0))</f>
        <v>0.00193671801944339</v>
      </c>
      <c r="W44" s="60">
        <f>INDEX(DIOVal,MATCH(LOWER(CtryCode)&amp;"."&amp;$A44,DIOKey,0),MATCH(W$39,DIOSec,0))</f>
        <v>0.00898330417545803</v>
      </c>
      <c r="X44" s="60">
        <f>INDEX(DIOVal,MATCH(LOWER(CtryCode)&amp;"."&amp;$A44,DIOKey,0),MATCH(X$39,DIOSec,0))</f>
        <v>0.000440950818022484</v>
      </c>
      <c r="Y44" s="60">
        <f>INDEX(DIOVal,MATCH(LOWER(CtryCode)&amp;"."&amp;$A44,DIOKey,0),MATCH(Y$39,DIOSec,0))</f>
        <v>0.00253695760585518</v>
      </c>
      <c r="Z44" s="60">
        <f>INDEX(DIOVal,MATCH(LOWER(CtryCode)&amp;"."&amp;$A44,DIOKey,0),MATCH(Z$39,DIOSec,0))</f>
        <v>0.00344453578329355</v>
      </c>
      <c r="AA44" s="60">
        <f>INDEX(DIOVal,MATCH(LOWER(CtryCode)&amp;"."&amp;$A44,DIOKey,0),MATCH(AA$39,DIOSec,0))</f>
        <v>0.00068393880421176</v>
      </c>
      <c r="AB44" s="60">
        <f>INDEX(DIOVal,MATCH(LOWER(CtryCode)&amp;"."&amp;$A44,DIOKey,0),MATCH(AB$39,DIOSec,0))</f>
        <v>0.00549747878936842</v>
      </c>
      <c r="AC44" s="60">
        <f>INDEX(DIOVal,MATCH(LOWER(CtryCode)&amp;"."&amp;$A44,DIOKey,0),MATCH(AC$39,DIOSec,0))</f>
        <v>0.0107772898042735</v>
      </c>
      <c r="AD44" s="60">
        <f>INDEX(DIOVal,MATCH(LOWER(CtryCode)&amp;"."&amp;$A44,DIOKey,0),MATCH(AD$39,DIOSec,0))</f>
        <v>0.00191421576214889</v>
      </c>
      <c r="AE44" s="60">
        <f>INDEX(DIOVal,MATCH(LOWER(CtryCode)&amp;"."&amp;$A44,DIOKey,0),MATCH(AE$39,DIOSec,0))</f>
        <v>0.00220365300893285</v>
      </c>
      <c r="AF44" s="60">
        <f>INDEX(DIOVal,MATCH(LOWER(CtryCode)&amp;"."&amp;$A44,DIOKey,0),MATCH(AF$39,DIOSec,0))</f>
        <v>0.000979911837474416</v>
      </c>
      <c r="AG44" s="60">
        <f>INDEX(DIOVal,MATCH(LOWER(CtryCode)&amp;"."&amp;$A44,DIOKey,0),MATCH(AG$39,DIOSec,0))</f>
        <v>0.00107273069530607</v>
      </c>
      <c r="AH44" s="60">
        <f>INDEX(DIOVal,MATCH(LOWER(CtryCode)&amp;"."&amp;$A44,DIOKey,0),MATCH(AH$39,DIOSec,0))</f>
        <v>0.000329257069803622</v>
      </c>
      <c r="AI44" s="60">
        <f>INDEX(DIOVal,MATCH(LOWER(CtryCode)&amp;"."&amp;$A44,DIOKey,0),MATCH(AI$39,DIOSec,0))</f>
        <v>0.00224294177052631</v>
      </c>
      <c r="AJ44" s="60">
        <f>INDEX(DIOVal,MATCH(LOWER(CtryCode)&amp;"."&amp;$A44,DIOKey,0),MATCH(AJ$39,DIOSec,0))</f>
        <v>0.000351134159602725</v>
      </c>
      <c r="AK44" s="60">
        <f>INDEX(DIOVal,MATCH(LOWER(CtryCode)&amp;"."&amp;$A44,DIOKey,0),MATCH(AK$39,DIOSec,0))</f>
        <v>0.000425157774701964</v>
      </c>
      <c r="AL44" s="60">
        <f>INDEX(DIOVal,MATCH(LOWER(CtryCode)&amp;"."&amp;$A44,DIOKey,0),MATCH(AL$39,DIOSec,0))</f>
        <v>0.00738499852550274</v>
      </c>
      <c r="AM44" s="60">
        <f>INDEX(DIOVal,MATCH(LOWER(CtryCode)&amp;"."&amp;$A44,DIOKey,0),MATCH(AM$39,DIOSec,0))</f>
        <v>0.00977873546362047</v>
      </c>
      <c r="AN44" s="60">
        <f>INDEX(DIOVal,MATCH(LOWER(CtryCode)&amp;"."&amp;$A44,DIOKey,0),MATCH(AN$39,DIOSec,0))</f>
        <v>0.000204883933153012</v>
      </c>
      <c r="AO44" s="60">
        <f>INDEX(DIOVal,MATCH(LOWER(CtryCode)&amp;"."&amp;$A44,DIOKey,0),MATCH(AO$39,DIOSec,0))</f>
        <v>0.000603525885467187</v>
      </c>
      <c r="AP44" s="60">
        <f>INDEX(DIOVal,MATCH(LOWER(CtryCode)&amp;"."&amp;$A44,DIOKey,0),MATCH(AP$39,DIOSec,0))</f>
        <v>0.00198274470028134</v>
      </c>
      <c r="AQ44" s="60">
        <f>INDEX(DIOVal,MATCH(LOWER(CtryCode)&amp;"."&amp;$A44,DIOKey,0),MATCH(AQ$39,DIOSec,0))</f>
        <v>0.0054237828950749</v>
      </c>
      <c r="AR44" s="60">
        <f>INDEX(DIOVal,MATCH(LOWER(CtryCode)&amp;"."&amp;$A44,DIOKey,0),MATCH(AR$39,DIOSec,0))</f>
        <v>0.00292384983887647</v>
      </c>
      <c r="AS44" s="60">
        <f>INDEX(DIOVal,MATCH(LOWER(CtryCode)&amp;"."&amp;$A44,DIOKey,0),MATCH(AS$39,DIOSec,0))</f>
        <v>0.00319711499791659</v>
      </c>
      <c r="AT44" s="60">
        <f>INDEX(DIOVal,MATCH(LOWER(CtryCode)&amp;"."&amp;$A44,DIOKey,0),MATCH(AT$39,DIOSec,0))</f>
        <v>0.00453659880131827</v>
      </c>
      <c r="AU44" s="60">
        <f>INDEX(DIOVal,MATCH(LOWER(CtryCode)&amp;"."&amp;$A44,DIOKey,0),MATCH(AU$39,DIOSec,0))</f>
        <v>0.00119951900270512</v>
      </c>
      <c r="AV44" s="60">
        <f>INDEX(DIOVal,MATCH(LOWER(CtryCode)&amp;"."&amp;$A44,DIOKey,0),MATCH(AV$39,DIOSec,0))</f>
        <v>0.000741405811177991</v>
      </c>
      <c r="AW44" s="60">
        <f>INDEX(DIOVal,MATCH(LOWER(CtryCode)&amp;"."&amp;$A44,DIOKey,0),MATCH(AW$39,DIOSec,0))</f>
        <v>0.00209272809070836</v>
      </c>
      <c r="AX44" s="60">
        <f>INDEX(DIOVal,MATCH(LOWER(CtryCode)&amp;"."&amp;$A44,DIOKey,0),MATCH(AX$39,DIOSec,0))</f>
        <v>0.0030350895064165</v>
      </c>
      <c r="AY44" s="60">
        <f>INDEX(DIOVal,MATCH(LOWER(CtryCode)&amp;"."&amp;$A44,DIOKey,0),MATCH(AY$39,DIOSec,0))</f>
        <v>0.000859974968424062</v>
      </c>
      <c r="AZ44" s="60">
        <f>INDEX(DIOVal,MATCH(LOWER(CtryCode)&amp;"."&amp;$A44,DIOKey,0),MATCH(AZ$39,DIOSec,0))</f>
        <v>0.00115625289333655</v>
      </c>
      <c r="BA44" s="60">
        <f>INDEX(DIOVal,MATCH(LOWER(CtryCode)&amp;"."&amp;$A44,DIOKey,0),MATCH(BA$39,DIOSec,0))</f>
        <v>0.00515188469899366</v>
      </c>
      <c r="BB44" s="60">
        <f>INDEX(DIOVal,MATCH(LOWER(CtryCode)&amp;"."&amp;$A44,DIOKey,0),MATCH(BB$39,DIOSec,0))</f>
        <v>0.000327917992223212</v>
      </c>
      <c r="BC44" s="60">
        <f>INDEX(DIOVal,MATCH(LOWER(CtryCode)&amp;"."&amp;$A44,DIOKey,0),MATCH(BC$39,DIOSec,0))</f>
        <v>0.00194350634996115</v>
      </c>
      <c r="BD44" s="60">
        <f>INDEX(DIOVal,MATCH(LOWER(CtryCode)&amp;"."&amp;$A44,DIOKey,0),MATCH(BD$39,DIOSec,0))</f>
        <v>0.00170026611819323</v>
      </c>
      <c r="BE44" s="60">
        <f>INDEX(DIOVal,MATCH(LOWER(CtryCode)&amp;"."&amp;$A44,DIOKey,0),MATCH(BE$39,DIOSec,0))</f>
        <v>0.000704048617123254</v>
      </c>
      <c r="BF44" s="60">
        <f>INDEX(DIOVal,MATCH(LOWER(CtryCode)&amp;"."&amp;$A44,DIOKey,0),MATCH(BF$39,DIOSec,0))</f>
        <v>0.00063737307934753</v>
      </c>
      <c r="BG44" s="60">
        <f>INDEX(DIOVal,MATCH(LOWER(CtryCode)&amp;"."&amp;$A44,DIOKey,0),MATCH(BG$39,DIOSec,0))</f>
        <v>0.000611687376948864</v>
      </c>
      <c r="BH44" s="60">
        <f>INDEX(DIOVal,MATCH(LOWER(CtryCode)&amp;"."&amp;$A44,DIOKey,0),MATCH(BH$39,DIOSec,0))</f>
        <v>0.00190888662339354</v>
      </c>
      <c r="BI44" s="60">
        <f>INDEX(DIOVal,MATCH(LOWER(CtryCode)&amp;"."&amp;$A44,DIOKey,0),MATCH(BI$39,DIOSec,0))</f>
        <v>0.00221065065911793</v>
      </c>
      <c r="BJ44" s="60">
        <f>INDEX(DIOVal,MATCH(LOWER(CtryCode)&amp;"."&amp;$A44,DIOKey,0),MATCH(BJ$39,DIOSec,0))</f>
        <v>0.00116602834965779</v>
      </c>
      <c r="BK44" s="60">
        <f>INDEX(DIOVal,MATCH(LOWER(CtryCode)&amp;"."&amp;$A44,DIOKey,0),MATCH(BK$39,DIOSec,0))</f>
        <v>0.00297546381777209</v>
      </c>
      <c r="BL44" s="60">
        <f>INDEX(DIOVal,MATCH(LOWER(CtryCode)&amp;"."&amp;$A44,DIOKey,0),MATCH(BL$39,DIOSec,0))</f>
        <v>0.0040954257484986</v>
      </c>
      <c r="BM44" s="60">
        <f>INDEX(DIOVal,MATCH(LOWER(CtryCode)&amp;"."&amp;$A44,DIOKey,0),MATCH(BM$39,DIOSec,0))</f>
        <v>0.00378224021503994</v>
      </c>
    </row>
    <row r="45">
      <c r="A45" s="3" t="inlineStr">
        <is>
          <t>ely.leontiefs</t>
        </is>
      </c>
      <c r="B45" s="60">
        <f>INDEX(DIOVal,MATCH(LOWER(CtryCode)&amp;"."&amp;$A45,DIOKey,0),MATCH(B$39,DIOSec,0))</f>
        <v>0.0053405985801631</v>
      </c>
      <c r="C45" s="60">
        <f>INDEX(DIOVal,MATCH(LOWER(CtryCode)&amp;"."&amp;$A45,DIOKey,0),MATCH(C$39,DIOSec,0))</f>
        <v>0.00251007283297355</v>
      </c>
      <c r="D45" s="60">
        <f>INDEX(DIOVal,MATCH(LOWER(CtryCode)&amp;"."&amp;$A45,DIOKey,0),MATCH(D$39,DIOSec,0))</f>
        <v>0.00178912958497562</v>
      </c>
      <c r="E45" s="60">
        <f>INDEX(DIOVal,MATCH(LOWER(CtryCode)&amp;"."&amp;$A45,DIOKey,0),MATCH(E$39,DIOSec,0))</f>
        <v>0.00354861170781153</v>
      </c>
      <c r="F45" s="60">
        <f>INDEX(DIOVal,MATCH(LOWER(CtryCode)&amp;"."&amp;$A45,DIOKey,0),MATCH(F$39,DIOSec,0))</f>
        <v>0.00197253093085185</v>
      </c>
      <c r="G45" s="60">
        <f>INDEX(DIOVal,MATCH(LOWER(CtryCode)&amp;"."&amp;$A45,DIOKey,0),MATCH(G$39,DIOSec,0))</f>
        <v>0.0105672699275261</v>
      </c>
      <c r="H45" s="60">
        <f>INDEX(DIOVal,MATCH(LOWER(CtryCode)&amp;"."&amp;$A45,DIOKey,0),MATCH(H$39,DIOSec,0))</f>
        <v>0.00145090221456182</v>
      </c>
      <c r="I45" s="60">
        <f>INDEX(DIOVal,MATCH(LOWER(CtryCode)&amp;"."&amp;$A45,DIOKey,0),MATCH(I$39,DIOSec,0))</f>
        <v>0.00148851045029614</v>
      </c>
      <c r="J45" s="60">
        <f>INDEX(DIOVal,MATCH(LOWER(CtryCode)&amp;"."&amp;$A45,DIOKey,0),MATCH(J$39,DIOSec,0))</f>
        <v>0.00447554316316344</v>
      </c>
      <c r="K45" s="60">
        <f>INDEX(DIOVal,MATCH(LOWER(CtryCode)&amp;"."&amp;$A45,DIOKey,0),MATCH(K$39,DIOSec,0))</f>
        <v>0.00561745716612701</v>
      </c>
      <c r="L45" s="60">
        <f>INDEX(DIOVal,MATCH(LOWER(CtryCode)&amp;"."&amp;$A45,DIOKey,0),MATCH(L$39,DIOSec,0))</f>
        <v>0.00183145150123089</v>
      </c>
      <c r="M45" s="60">
        <f>INDEX(DIOVal,MATCH(LOWER(CtryCode)&amp;"."&amp;$A45,DIOKey,0),MATCH(M$39,DIOSec,0))</f>
        <v>0.000396724646028365</v>
      </c>
      <c r="N45" s="60">
        <f>INDEX(DIOVal,MATCH(LOWER(CtryCode)&amp;"."&amp;$A45,DIOKey,0),MATCH(N$39,DIOSec,0))</f>
        <v>0.00587280050672041</v>
      </c>
      <c r="O45" s="60">
        <f>INDEX(DIOVal,MATCH(LOWER(CtryCode)&amp;"."&amp;$A45,DIOKey,0),MATCH(O$39,DIOSec,0))</f>
        <v>0.0080513134938344</v>
      </c>
      <c r="P45" s="60">
        <f>INDEX(DIOVal,MATCH(LOWER(CtryCode)&amp;"."&amp;$A45,DIOKey,0),MATCH(P$39,DIOSec,0))</f>
        <v>0.0107976331145341</v>
      </c>
      <c r="Q45" s="60">
        <f>INDEX(DIOVal,MATCH(LOWER(CtryCode)&amp;"."&amp;$A45,DIOKey,0),MATCH(Q$39,DIOSec,0))</f>
        <v>1.00674421498411</v>
      </c>
      <c r="R45" s="60">
        <f>INDEX(DIOVal,MATCH(LOWER(CtryCode)&amp;"."&amp;$A45,DIOKey,0),MATCH(R$39,DIOSec,0))</f>
        <v>0.00692409002443715</v>
      </c>
      <c r="S45" s="60">
        <f>INDEX(DIOVal,MATCH(LOWER(CtryCode)&amp;"."&amp;$A45,DIOKey,0),MATCH(S$39,DIOSec,0))</f>
        <v>0.00318025775940891</v>
      </c>
      <c r="T45" s="60">
        <f>INDEX(DIOVal,MATCH(LOWER(CtryCode)&amp;"."&amp;$A45,DIOKey,0),MATCH(T$39,DIOSec,0))</f>
        <v>0.00541079546053829</v>
      </c>
      <c r="U45" s="60">
        <f>INDEX(DIOVal,MATCH(LOWER(CtryCode)&amp;"."&amp;$A45,DIOKey,0),MATCH(U$39,DIOSec,0))</f>
        <v>0.0018359855438289</v>
      </c>
      <c r="V45" s="60">
        <f>INDEX(DIOVal,MATCH(LOWER(CtryCode)&amp;"."&amp;$A45,DIOKey,0),MATCH(V$39,DIOSec,0))</f>
        <v>0.00436397155207421</v>
      </c>
      <c r="W45" s="60">
        <f>INDEX(DIOVal,MATCH(LOWER(CtryCode)&amp;"."&amp;$A45,DIOKey,0),MATCH(W$39,DIOSec,0))</f>
        <v>0.0221644164968166</v>
      </c>
      <c r="X45" s="60">
        <f>INDEX(DIOVal,MATCH(LOWER(CtryCode)&amp;"."&amp;$A45,DIOKey,0),MATCH(X$39,DIOSec,0))</f>
        <v>0.00137912459893987</v>
      </c>
      <c r="Y45" s="60">
        <f>INDEX(DIOVal,MATCH(LOWER(CtryCode)&amp;"."&amp;$A45,DIOKey,0),MATCH(Y$39,DIOSec,0))</f>
        <v>0.00286077361472647</v>
      </c>
      <c r="Z45" s="60">
        <f>INDEX(DIOVal,MATCH(LOWER(CtryCode)&amp;"."&amp;$A45,DIOKey,0),MATCH(Z$39,DIOSec,0))</f>
        <v>0.00423123294599251</v>
      </c>
      <c r="AA45" s="60">
        <f>INDEX(DIOVal,MATCH(LOWER(CtryCode)&amp;"."&amp;$A45,DIOKey,0),MATCH(AA$39,DIOSec,0))</f>
        <v>0.00169536472714972</v>
      </c>
      <c r="AB45" s="60">
        <f>INDEX(DIOVal,MATCH(LOWER(CtryCode)&amp;"."&amp;$A45,DIOKey,0),MATCH(AB$39,DIOSec,0))</f>
        <v>0.00621839216564152</v>
      </c>
      <c r="AC45" s="60">
        <f>INDEX(DIOVal,MATCH(LOWER(CtryCode)&amp;"."&amp;$A45,DIOKey,0),MATCH(AC$39,DIOSec,0))</f>
        <v>0.0137661555074806</v>
      </c>
      <c r="AD45" s="60">
        <f>INDEX(DIOVal,MATCH(LOWER(CtryCode)&amp;"."&amp;$A45,DIOKey,0),MATCH(AD$39,DIOSec,0))</f>
        <v>0.000441826366854551</v>
      </c>
      <c r="AE45" s="60">
        <f>INDEX(DIOVal,MATCH(LOWER(CtryCode)&amp;"."&amp;$A45,DIOKey,0),MATCH(AE$39,DIOSec,0))</f>
        <v>0.00478427472862505</v>
      </c>
      <c r="AF45" s="60">
        <f>INDEX(DIOVal,MATCH(LOWER(CtryCode)&amp;"."&amp;$A45,DIOKey,0),MATCH(AF$39,DIOSec,0))</f>
        <v>0.00191371536915629</v>
      </c>
      <c r="AG45" s="60">
        <f>INDEX(DIOVal,MATCH(LOWER(CtryCode)&amp;"."&amp;$A45,DIOKey,0),MATCH(AG$39,DIOSec,0))</f>
        <v>0.00206762822529075</v>
      </c>
      <c r="AH45" s="60">
        <f>INDEX(DIOVal,MATCH(LOWER(CtryCode)&amp;"."&amp;$A45,DIOKey,0),MATCH(AH$39,DIOSec,0))</f>
        <v>0.000721982759140559</v>
      </c>
      <c r="AI45" s="60">
        <f>INDEX(DIOVal,MATCH(LOWER(CtryCode)&amp;"."&amp;$A45,DIOKey,0),MATCH(AI$39,DIOSec,0))</f>
        <v>0.0031789179861689</v>
      </c>
      <c r="AJ45" s="60">
        <f>INDEX(DIOVal,MATCH(LOWER(CtryCode)&amp;"."&amp;$A45,DIOKey,0),MATCH(AJ$39,DIOSec,0))</f>
        <v>0.00151535738741394</v>
      </c>
      <c r="AK45" s="60">
        <f>INDEX(DIOVal,MATCH(LOWER(CtryCode)&amp;"."&amp;$A45,DIOKey,0),MATCH(AK$39,DIOSec,0))</f>
        <v>0.000508710761389153</v>
      </c>
      <c r="AL45" s="60">
        <f>INDEX(DIOVal,MATCH(LOWER(CtryCode)&amp;"."&amp;$A45,DIOKey,0),MATCH(AL$39,DIOSec,0))</f>
        <v>0.00808603618801699</v>
      </c>
      <c r="AM45" s="60">
        <f>INDEX(DIOVal,MATCH(LOWER(CtryCode)&amp;"."&amp;$A45,DIOKey,0),MATCH(AM$39,DIOSec,0))</f>
        <v>0.0183722757621935</v>
      </c>
      <c r="AN45" s="60">
        <f>INDEX(DIOVal,MATCH(LOWER(CtryCode)&amp;"."&amp;$A45,DIOKey,0),MATCH(AN$39,DIOSec,0))</f>
        <v>0.000825492932474971</v>
      </c>
      <c r="AO45" s="60">
        <f>INDEX(DIOVal,MATCH(LOWER(CtryCode)&amp;"."&amp;$A45,DIOKey,0),MATCH(AO$39,DIOSec,0))</f>
        <v>0.00132167792176624</v>
      </c>
      <c r="AP45" s="60">
        <f>INDEX(DIOVal,MATCH(LOWER(CtryCode)&amp;"."&amp;$A45,DIOKey,0),MATCH(AP$39,DIOSec,0))</f>
        <v>0.00443911368850096</v>
      </c>
      <c r="AQ45" s="60">
        <f>INDEX(DIOVal,MATCH(LOWER(CtryCode)&amp;"."&amp;$A45,DIOKey,0),MATCH(AQ$39,DIOSec,0))</f>
        <v>0.00679949641534759</v>
      </c>
      <c r="AR45" s="60">
        <f>INDEX(DIOVal,MATCH(LOWER(CtryCode)&amp;"."&amp;$A45,DIOKey,0),MATCH(AR$39,DIOSec,0))</f>
        <v>0.00254960688937018</v>
      </c>
      <c r="AS45" s="60">
        <f>INDEX(DIOVal,MATCH(LOWER(CtryCode)&amp;"."&amp;$A45,DIOKey,0),MATCH(AS$39,DIOSec,0))</f>
        <v>0.0147930350362524</v>
      </c>
      <c r="AT45" s="60">
        <f>INDEX(DIOVal,MATCH(LOWER(CtryCode)&amp;"."&amp;$A45,DIOKey,0),MATCH(AT$39,DIOSec,0))</f>
        <v>0.000643130604557073</v>
      </c>
      <c r="AU45" s="60">
        <f>INDEX(DIOVal,MATCH(LOWER(CtryCode)&amp;"."&amp;$A45,DIOKey,0),MATCH(AU$39,DIOSec,0))</f>
        <v>0.00204004172725758</v>
      </c>
      <c r="AV45" s="60">
        <f>INDEX(DIOVal,MATCH(LOWER(CtryCode)&amp;"."&amp;$A45,DIOKey,0),MATCH(AV$39,DIOSec,0))</f>
        <v>0.0014113709485892</v>
      </c>
      <c r="AW45" s="60">
        <f>INDEX(DIOVal,MATCH(LOWER(CtryCode)&amp;"."&amp;$A45,DIOKey,0),MATCH(AW$39,DIOSec,0))</f>
        <v>0.00422987625914248</v>
      </c>
      <c r="AX45" s="60">
        <f>INDEX(DIOVal,MATCH(LOWER(CtryCode)&amp;"."&amp;$A45,DIOKey,0),MATCH(AX$39,DIOSec,0))</f>
        <v>0.00883796674641766</v>
      </c>
      <c r="AY45" s="60">
        <f>INDEX(DIOVal,MATCH(LOWER(CtryCode)&amp;"."&amp;$A45,DIOKey,0),MATCH(AY$39,DIOSec,0))</f>
        <v>0.00183467431415716</v>
      </c>
      <c r="AZ45" s="60">
        <f>INDEX(DIOVal,MATCH(LOWER(CtryCode)&amp;"."&amp;$A45,DIOKey,0),MATCH(AZ$39,DIOSec,0))</f>
        <v>0.00510179182450642</v>
      </c>
      <c r="BA45" s="60">
        <f>INDEX(DIOVal,MATCH(LOWER(CtryCode)&amp;"."&amp;$A45,DIOKey,0),MATCH(BA$39,DIOSec,0))</f>
        <v>0.00697816342089469</v>
      </c>
      <c r="BB45" s="60">
        <f>INDEX(DIOVal,MATCH(LOWER(CtryCode)&amp;"."&amp;$A45,DIOKey,0),MATCH(BB$39,DIOSec,0))</f>
        <v>0.00415695019560504</v>
      </c>
      <c r="BC45" s="60">
        <f>INDEX(DIOVal,MATCH(LOWER(CtryCode)&amp;"."&amp;$A45,DIOKey,0),MATCH(BC$39,DIOSec,0))</f>
        <v>0.00293507526118323</v>
      </c>
      <c r="BD45" s="60">
        <f>INDEX(DIOVal,MATCH(LOWER(CtryCode)&amp;"."&amp;$A45,DIOKey,0),MATCH(BD$39,DIOSec,0))</f>
        <v>0.00337248453177331</v>
      </c>
      <c r="BE45" s="60">
        <f>INDEX(DIOVal,MATCH(LOWER(CtryCode)&amp;"."&amp;$A45,DIOKey,0),MATCH(BE$39,DIOSec,0))</f>
        <v>0.00397955310858113</v>
      </c>
      <c r="BF45" s="60">
        <f>INDEX(DIOVal,MATCH(LOWER(CtryCode)&amp;"."&amp;$A45,DIOKey,0),MATCH(BF$39,DIOSec,0))</f>
        <v>0.00128254228516543</v>
      </c>
      <c r="BG45" s="60">
        <f>INDEX(DIOVal,MATCH(LOWER(CtryCode)&amp;"."&amp;$A45,DIOKey,0),MATCH(BG$39,DIOSec,0))</f>
        <v>0.00132780230847301</v>
      </c>
      <c r="BH45" s="60">
        <f>INDEX(DIOVal,MATCH(LOWER(CtryCode)&amp;"."&amp;$A45,DIOKey,0),MATCH(BH$39,DIOSec,0))</f>
        <v>0.00277158329330643</v>
      </c>
      <c r="BI45" s="60">
        <f>INDEX(DIOVal,MATCH(LOWER(CtryCode)&amp;"."&amp;$A45,DIOKey,0),MATCH(BI$39,DIOSec,0))</f>
        <v>0.00387879050902881</v>
      </c>
      <c r="BJ45" s="60">
        <f>INDEX(DIOVal,MATCH(LOWER(CtryCode)&amp;"."&amp;$A45,DIOKey,0),MATCH(BJ$39,DIOSec,0))</f>
        <v>0.00242867481203488</v>
      </c>
      <c r="BK45" s="60">
        <f>INDEX(DIOVal,MATCH(LOWER(CtryCode)&amp;"."&amp;$A45,DIOKey,0),MATCH(BK$39,DIOSec,0))</f>
        <v>0.00371621522937951</v>
      </c>
      <c r="BL45" s="60">
        <f>INDEX(DIOVal,MATCH(LOWER(CtryCode)&amp;"."&amp;$A45,DIOKey,0),MATCH(BL$39,DIOSec,0))</f>
        <v>0.00286351223575759</v>
      </c>
      <c r="BM45" s="60">
        <f>INDEX(DIOVal,MATCH(LOWER(CtryCode)&amp;"."&amp;$A45,DIOKey,0),MATCH(BM$39,DIOSec,0))</f>
        <v>0.013543159901449</v>
      </c>
    </row>
    <row r="46">
      <c r="A46" s="3" t="inlineStr">
        <is>
          <t>nga.leontiefs</t>
        </is>
      </c>
      <c r="B46" s="60">
        <f>INDEX(DIOVal,MATCH(LOWER(CtryCode)&amp;"."&amp;$A46,DIOKey,0),MATCH(B$39,DIOSec,0))</f>
        <v>0.00281969261228521</v>
      </c>
      <c r="C46" s="60">
        <f>INDEX(DIOVal,MATCH(LOWER(CtryCode)&amp;"."&amp;$A46,DIOKey,0),MATCH(C$39,DIOSec,0))</f>
        <v>0.00972707549236562</v>
      </c>
      <c r="D46" s="60">
        <f>INDEX(DIOVal,MATCH(LOWER(CtryCode)&amp;"."&amp;$A46,DIOKey,0),MATCH(D$39,DIOSec,0))</f>
        <v>0.00230701962839435</v>
      </c>
      <c r="E46" s="60">
        <f>INDEX(DIOVal,MATCH(LOWER(CtryCode)&amp;"."&amp;$A46,DIOKey,0),MATCH(E$39,DIOSec,0))</f>
        <v>0.0204389436624927</v>
      </c>
      <c r="F46" s="60">
        <f>INDEX(DIOVal,MATCH(LOWER(CtryCode)&amp;"."&amp;$A46,DIOKey,0),MATCH(F$39,DIOSec,0))</f>
        <v>0.00346306365389957</v>
      </c>
      <c r="G46" s="60">
        <f>INDEX(DIOVal,MATCH(LOWER(CtryCode)&amp;"."&amp;$A46,DIOKey,0),MATCH(G$39,DIOSec,0))</f>
        <v>0.0353853507449608</v>
      </c>
      <c r="H46" s="60">
        <f>INDEX(DIOVal,MATCH(LOWER(CtryCode)&amp;"."&amp;$A46,DIOKey,0),MATCH(H$39,DIOSec,0))</f>
        <v>0.00134864295936206</v>
      </c>
      <c r="I46" s="60">
        <f>INDEX(DIOVal,MATCH(LOWER(CtryCode)&amp;"."&amp;$A46,DIOKey,0),MATCH(I$39,DIOSec,0))</f>
        <v>0.00131392920713338</v>
      </c>
      <c r="J46" s="60">
        <f>INDEX(DIOVal,MATCH(LOWER(CtryCode)&amp;"."&amp;$A46,DIOKey,0),MATCH(J$39,DIOSec,0))</f>
        <v>0.00644775567059032</v>
      </c>
      <c r="K46" s="60">
        <f>INDEX(DIOVal,MATCH(LOWER(CtryCode)&amp;"."&amp;$A46,DIOKey,0),MATCH(K$39,DIOSec,0))</f>
        <v>0.00573007191392898</v>
      </c>
      <c r="L46" s="60">
        <f>INDEX(DIOVal,MATCH(LOWER(CtryCode)&amp;"."&amp;$A46,DIOKey,0),MATCH(L$39,DIOSec,0))</f>
        <v>0.00285934280773798</v>
      </c>
      <c r="M46" s="60">
        <f>INDEX(DIOVal,MATCH(LOWER(CtryCode)&amp;"."&amp;$A46,DIOKey,0),MATCH(M$39,DIOSec,0))</f>
        <v>0.000561074173144626</v>
      </c>
      <c r="N46" s="60">
        <f>INDEX(DIOVal,MATCH(LOWER(CtryCode)&amp;"."&amp;$A46,DIOKey,0),MATCH(N$39,DIOSec,0))</f>
        <v>0.00370299432883559</v>
      </c>
      <c r="O46" s="60">
        <f>INDEX(DIOVal,MATCH(LOWER(CtryCode)&amp;"."&amp;$A46,DIOKey,0),MATCH(O$39,DIOSec,0))</f>
        <v>0.00831824955167802</v>
      </c>
      <c r="P46" s="60">
        <f>INDEX(DIOVal,MATCH(LOWER(CtryCode)&amp;"."&amp;$A46,DIOKey,0),MATCH(P$39,DIOSec,0))</f>
        <v>0.00780582663882542</v>
      </c>
      <c r="Q46" s="60">
        <f>INDEX(DIOVal,MATCH(LOWER(CtryCode)&amp;"."&amp;$A46,DIOKey,0),MATCH(Q$39,DIOSec,0))</f>
        <v>0.334214554378925</v>
      </c>
      <c r="R46" s="60">
        <f>INDEX(DIOVal,MATCH(LOWER(CtryCode)&amp;"."&amp;$A46,DIOKey,0),MATCH(R$39,DIOSec,0))</f>
        <v>0.0114715692316955</v>
      </c>
      <c r="S46" s="60">
        <f>INDEX(DIOVal,MATCH(LOWER(CtryCode)&amp;"."&amp;$A46,DIOKey,0),MATCH(S$39,DIOSec,0))</f>
        <v>0.00319402161366975</v>
      </c>
      <c r="T46" s="60">
        <f>INDEX(DIOVal,MATCH(LOWER(CtryCode)&amp;"."&amp;$A46,DIOKey,0),MATCH(T$39,DIOSec,0))</f>
        <v>0.00318646220589443</v>
      </c>
      <c r="U46" s="60">
        <f>INDEX(DIOVal,MATCH(LOWER(CtryCode)&amp;"."&amp;$A46,DIOKey,0),MATCH(U$39,DIOSec,0))</f>
        <v>0.00317953708279652</v>
      </c>
      <c r="V46" s="60">
        <f>INDEX(DIOVal,MATCH(LOWER(CtryCode)&amp;"."&amp;$A46,DIOKey,0),MATCH(V$39,DIOSec,0))</f>
        <v>0.00502664450152384</v>
      </c>
      <c r="W46" s="60">
        <f>INDEX(DIOVal,MATCH(LOWER(CtryCode)&amp;"."&amp;$A46,DIOKey,0),MATCH(W$39,DIOSec,0))</f>
        <v>0.0225682837953831</v>
      </c>
      <c r="X46" s="60">
        <f>INDEX(DIOVal,MATCH(LOWER(CtryCode)&amp;"."&amp;$A46,DIOKey,0),MATCH(X$39,DIOSec,0))</f>
        <v>0.00106516453666648</v>
      </c>
      <c r="Y46" s="60">
        <f>INDEX(DIOVal,MATCH(LOWER(CtryCode)&amp;"."&amp;$A46,DIOKey,0),MATCH(Y$39,DIOSec,0))</f>
        <v>0.00431645748674885</v>
      </c>
      <c r="Z46" s="60">
        <f>INDEX(DIOVal,MATCH(LOWER(CtryCode)&amp;"."&amp;$A46,DIOKey,0),MATCH(Z$39,DIOSec,0))</f>
        <v>0.00576881877028261</v>
      </c>
      <c r="AA46" s="60">
        <f>INDEX(DIOVal,MATCH(LOWER(CtryCode)&amp;"."&amp;$A46,DIOKey,0),MATCH(AA$39,DIOSec,0))</f>
        <v>0.0020650559722329</v>
      </c>
      <c r="AB46" s="60">
        <f>INDEX(DIOVal,MATCH(LOWER(CtryCode)&amp;"."&amp;$A46,DIOKey,0),MATCH(AB$39,DIOSec,0))</f>
        <v>0.00703086261973187</v>
      </c>
      <c r="AC46" s="60">
        <f>INDEX(DIOVal,MATCH(LOWER(CtryCode)&amp;"."&amp;$A46,DIOKey,0),MATCH(AC$39,DIOSec,0))</f>
        <v>0.0143150118439924</v>
      </c>
      <c r="AD46" s="60">
        <f>INDEX(DIOVal,MATCH(LOWER(CtryCode)&amp;"."&amp;$A46,DIOKey,0),MATCH(AD$39,DIOSec,0))</f>
        <v>1.05378162090448</v>
      </c>
      <c r="AE46" s="60">
        <f>INDEX(DIOVal,MATCH(LOWER(CtryCode)&amp;"."&amp;$A46,DIOKey,0),MATCH(AE$39,DIOSec,0))</f>
        <v>0.00738926848653442</v>
      </c>
      <c r="AF46" s="60">
        <f>INDEX(DIOVal,MATCH(LOWER(CtryCode)&amp;"."&amp;$A46,DIOKey,0),MATCH(AF$39,DIOSec,0))</f>
        <v>0.00308267763004466</v>
      </c>
      <c r="AG46" s="60">
        <f>INDEX(DIOVal,MATCH(LOWER(CtryCode)&amp;"."&amp;$A46,DIOKey,0),MATCH(AG$39,DIOSec,0))</f>
        <v>0.00191704672490001</v>
      </c>
      <c r="AH46" s="60">
        <f>INDEX(DIOVal,MATCH(LOWER(CtryCode)&amp;"."&amp;$A46,DIOKey,0),MATCH(AH$39,DIOSec,0))</f>
        <v>0.00108777809003651</v>
      </c>
      <c r="AI46" s="60">
        <f>INDEX(DIOVal,MATCH(LOWER(CtryCode)&amp;"."&amp;$A46,DIOKey,0),MATCH(AI$39,DIOSec,0))</f>
        <v>0.00533899682485737</v>
      </c>
      <c r="AJ46" s="60">
        <f>INDEX(DIOVal,MATCH(LOWER(CtryCode)&amp;"."&amp;$A46,DIOKey,0),MATCH(AJ$39,DIOSec,0))</f>
        <v>0.000978456798183311</v>
      </c>
      <c r="AK46" s="60">
        <f>INDEX(DIOVal,MATCH(LOWER(CtryCode)&amp;"."&amp;$A46,DIOKey,0),MATCH(AK$39,DIOSec,0))</f>
        <v>0.00669882712103215</v>
      </c>
      <c r="AL46" s="60">
        <f>INDEX(DIOVal,MATCH(LOWER(CtryCode)&amp;"."&amp;$A46,DIOKey,0),MATCH(AL$39,DIOSec,0))</f>
        <v>0.00790243756846742</v>
      </c>
      <c r="AM46" s="60">
        <f>INDEX(DIOVal,MATCH(LOWER(CtryCode)&amp;"."&amp;$A46,DIOKey,0),MATCH(AM$39,DIOSec,0))</f>
        <v>0.0238231805882763</v>
      </c>
      <c r="AN46" s="60">
        <f>INDEX(DIOVal,MATCH(LOWER(CtryCode)&amp;"."&amp;$A46,DIOKey,0),MATCH(AN$39,DIOSec,0))</f>
        <v>0.000785547159686055</v>
      </c>
      <c r="AO46" s="60">
        <f>INDEX(DIOVal,MATCH(LOWER(CtryCode)&amp;"."&amp;$A46,DIOKey,0),MATCH(AO$39,DIOSec,0))</f>
        <v>0.00217849727874758</v>
      </c>
      <c r="AP46" s="60">
        <f>INDEX(DIOVal,MATCH(LOWER(CtryCode)&amp;"."&amp;$A46,DIOKey,0),MATCH(AP$39,DIOSec,0))</f>
        <v>0.00364893755665008</v>
      </c>
      <c r="AQ46" s="60">
        <f>INDEX(DIOVal,MATCH(LOWER(CtryCode)&amp;"."&amp;$A46,DIOKey,0),MATCH(AQ$39,DIOSec,0))</f>
        <v>0.00691569510528019</v>
      </c>
      <c r="AR46" s="60">
        <f>INDEX(DIOVal,MATCH(LOWER(CtryCode)&amp;"."&amp;$A46,DIOKey,0),MATCH(AR$39,DIOSec,0))</f>
        <v>0.00772061170059618</v>
      </c>
      <c r="AS46" s="60">
        <f>INDEX(DIOVal,MATCH(LOWER(CtryCode)&amp;"."&amp;$A46,DIOKey,0),MATCH(AS$39,DIOSec,0))</f>
        <v>0.0132053599914682</v>
      </c>
      <c r="AT46" s="60">
        <f>INDEX(DIOVal,MATCH(LOWER(CtryCode)&amp;"."&amp;$A46,DIOKey,0),MATCH(AT$39,DIOSec,0))</f>
        <v>0.0113506647420324</v>
      </c>
      <c r="AU46" s="60">
        <f>INDEX(DIOVal,MATCH(LOWER(CtryCode)&amp;"."&amp;$A46,DIOKey,0),MATCH(AU$39,DIOSec,0))</f>
        <v>0.00340146934940344</v>
      </c>
      <c r="AV46" s="60">
        <f>INDEX(DIOVal,MATCH(LOWER(CtryCode)&amp;"."&amp;$A46,DIOKey,0),MATCH(AV$39,DIOSec,0))</f>
        <v>0.00250205186167301</v>
      </c>
      <c r="AW46" s="60">
        <f>INDEX(DIOVal,MATCH(LOWER(CtryCode)&amp;"."&amp;$A46,DIOKey,0),MATCH(AW$39,DIOSec,0))</f>
        <v>0.00741624617339238</v>
      </c>
      <c r="AX46" s="60">
        <f>INDEX(DIOVal,MATCH(LOWER(CtryCode)&amp;"."&amp;$A46,DIOKey,0),MATCH(AX$39,DIOSec,0))</f>
        <v>0.0111937541056109</v>
      </c>
      <c r="AY46" s="60">
        <f>INDEX(DIOVal,MATCH(LOWER(CtryCode)&amp;"."&amp;$A46,DIOKey,0),MATCH(AY$39,DIOSec,0))</f>
        <v>0.00287389386746147</v>
      </c>
      <c r="AZ46" s="60">
        <f>INDEX(DIOVal,MATCH(LOWER(CtryCode)&amp;"."&amp;$A46,DIOKey,0),MATCH(AZ$39,DIOSec,0))</f>
        <v>0.00403296095333187</v>
      </c>
      <c r="BA46" s="60">
        <f>INDEX(DIOVal,MATCH(LOWER(CtryCode)&amp;"."&amp;$A46,DIOKey,0),MATCH(BA$39,DIOSec,0))</f>
        <v>0.0270116288957349</v>
      </c>
      <c r="BB46" s="60">
        <f>INDEX(DIOVal,MATCH(LOWER(CtryCode)&amp;"."&amp;$A46,DIOKey,0),MATCH(BB$39,DIOSec,0))</f>
        <v>0.00180752170892827</v>
      </c>
      <c r="BC46" s="60">
        <f>INDEX(DIOVal,MATCH(LOWER(CtryCode)&amp;"."&amp;$A46,DIOKey,0),MATCH(BC$39,DIOSec,0))</f>
        <v>0.00496231976540241</v>
      </c>
      <c r="BD46" s="60">
        <f>INDEX(DIOVal,MATCH(LOWER(CtryCode)&amp;"."&amp;$A46,DIOKey,0),MATCH(BD$39,DIOSec,0))</f>
        <v>0.00395735086464049</v>
      </c>
      <c r="BE46" s="60">
        <f>INDEX(DIOVal,MATCH(LOWER(CtryCode)&amp;"."&amp;$A46,DIOKey,0),MATCH(BE$39,DIOSec,0))</f>
        <v>0.00220802849735374</v>
      </c>
      <c r="BF46" s="60">
        <f>INDEX(DIOVal,MATCH(LOWER(CtryCode)&amp;"."&amp;$A46,DIOKey,0),MATCH(BF$39,DIOSec,0))</f>
        <v>0.00220755243207458</v>
      </c>
      <c r="BG46" s="60">
        <f>INDEX(DIOVal,MATCH(LOWER(CtryCode)&amp;"."&amp;$A46,DIOKey,0),MATCH(BG$39,DIOSec,0))</f>
        <v>0.00219305544701005</v>
      </c>
      <c r="BH46" s="60">
        <f>INDEX(DIOVal,MATCH(LOWER(CtryCode)&amp;"."&amp;$A46,DIOKey,0),MATCH(BH$39,DIOSec,0))</f>
        <v>0.00390520786509406</v>
      </c>
      <c r="BI46" s="60">
        <f>INDEX(DIOVal,MATCH(LOWER(CtryCode)&amp;"."&amp;$A46,DIOKey,0),MATCH(BI$39,DIOSec,0))</f>
        <v>0.00394453084794182</v>
      </c>
      <c r="BJ46" s="60">
        <f>INDEX(DIOVal,MATCH(LOWER(CtryCode)&amp;"."&amp;$A46,DIOKey,0),MATCH(BJ$39,DIOSec,0))</f>
        <v>0.00389390946012191</v>
      </c>
      <c r="BK46" s="60">
        <f>INDEX(DIOVal,MATCH(LOWER(CtryCode)&amp;"."&amp;$A46,DIOKey,0),MATCH(BK$39,DIOSec,0))</f>
        <v>0.00449392120933414</v>
      </c>
      <c r="BL46" s="60">
        <f>INDEX(DIOVal,MATCH(LOWER(CtryCode)&amp;"."&amp;$A46,DIOKey,0),MATCH(BL$39,DIOSec,0))</f>
        <v>0.0098898755634715</v>
      </c>
      <c r="BM46" s="60">
        <f>INDEX(DIOVal,MATCH(LOWER(CtryCode)&amp;"."&amp;$A46,DIOKey,0),MATCH(BM$39,DIOSec,0))</f>
        <v>0.00879304656191293</v>
      </c>
    </row>
    <row r="47">
      <c r="A47" s="3" t="inlineStr">
        <is>
          <t>oil.leontiefs</t>
        </is>
      </c>
      <c r="B47" s="60">
        <f>INDEX(DIOVal,MATCH(LOWER(CtryCode)&amp;"."&amp;$A47,DIOKey,0),MATCH(B$39,DIOSec,0))</f>
        <v>0.0106955371875243</v>
      </c>
      <c r="C47" s="60">
        <f>INDEX(DIOVal,MATCH(LOWER(CtryCode)&amp;"."&amp;$A47,DIOKey,0),MATCH(C$39,DIOSec,0))</f>
        <v>0.222697251784159</v>
      </c>
      <c r="D47" s="60">
        <f>INDEX(DIOVal,MATCH(LOWER(CtryCode)&amp;"."&amp;$A47,DIOKey,0),MATCH(D$39,DIOSec,0))</f>
        <v>0.0112141862111815</v>
      </c>
      <c r="E47" s="60">
        <f>INDEX(DIOVal,MATCH(LOWER(CtryCode)&amp;"."&amp;$A47,DIOKey,0),MATCH(E$39,DIOSec,0))</f>
        <v>0.0265076698797824</v>
      </c>
      <c r="F47" s="60">
        <f>INDEX(DIOVal,MATCH(LOWER(CtryCode)&amp;"."&amp;$A47,DIOKey,0),MATCH(F$39,DIOSec,0))</f>
        <v>0.0341336025349338</v>
      </c>
      <c r="G47" s="60">
        <f>INDEX(DIOVal,MATCH(LOWER(CtryCode)&amp;"."&amp;$A47,DIOKey,0),MATCH(G$39,DIOSec,0))</f>
        <v>0.136711703269024</v>
      </c>
      <c r="H47" s="60">
        <f>INDEX(DIOVal,MATCH(LOWER(CtryCode)&amp;"."&amp;$A47,DIOKey,0),MATCH(H$39,DIOSec,0))</f>
        <v>0.00754533161710084</v>
      </c>
      <c r="I47" s="60">
        <f>INDEX(DIOVal,MATCH(LOWER(CtryCode)&amp;"."&amp;$A47,DIOKey,0),MATCH(I$39,DIOSec,0))</f>
        <v>0.00643163072382741</v>
      </c>
      <c r="J47" s="60">
        <f>INDEX(DIOVal,MATCH(LOWER(CtryCode)&amp;"."&amp;$A47,DIOKey,0),MATCH(J$39,DIOSec,0))</f>
        <v>0.0342689731089583</v>
      </c>
      <c r="K47" s="60">
        <f>INDEX(DIOVal,MATCH(LOWER(CtryCode)&amp;"."&amp;$A47,DIOKey,0),MATCH(K$39,DIOSec,0))</f>
        <v>0.0377679872591264</v>
      </c>
      <c r="L47" s="60">
        <f>INDEX(DIOVal,MATCH(LOWER(CtryCode)&amp;"."&amp;$A47,DIOKey,0),MATCH(L$39,DIOSec,0))</f>
        <v>0.0274614000213885</v>
      </c>
      <c r="M47" s="60">
        <f>INDEX(DIOVal,MATCH(LOWER(CtryCode)&amp;"."&amp;$A47,DIOKey,0),MATCH(M$39,DIOSec,0))</f>
        <v>0.00233970115091248</v>
      </c>
      <c r="N47" s="60">
        <f>INDEX(DIOVal,MATCH(LOWER(CtryCode)&amp;"."&amp;$A47,DIOKey,0),MATCH(N$39,DIOSec,0))</f>
        <v>0.0161867967435026</v>
      </c>
      <c r="O47" s="60">
        <f>INDEX(DIOVal,MATCH(LOWER(CtryCode)&amp;"."&amp;$A47,DIOKey,0),MATCH(O$39,DIOSec,0))</f>
        <v>0.0361274466360235</v>
      </c>
      <c r="P47" s="60">
        <f>INDEX(DIOVal,MATCH(LOWER(CtryCode)&amp;"."&amp;$A47,DIOKey,0),MATCH(P$39,DIOSec,0))</f>
        <v>0.0292981369646088</v>
      </c>
      <c r="Q47" s="60">
        <f>INDEX(DIOVal,MATCH(LOWER(CtryCode)&amp;"."&amp;$A47,DIOKey,0),MATCH(Q$39,DIOSec,0))</f>
        <v>0.466652413692541</v>
      </c>
      <c r="R47" s="60">
        <f>INDEX(DIOVal,MATCH(LOWER(CtryCode)&amp;"."&amp;$A47,DIOKey,0),MATCH(R$39,DIOSec,0))</f>
        <v>0.0495657237185948</v>
      </c>
      <c r="S47" s="60">
        <f>INDEX(DIOVal,MATCH(LOWER(CtryCode)&amp;"."&amp;$A47,DIOKey,0),MATCH(S$39,DIOSec,0))</f>
        <v>0.0425493170116134</v>
      </c>
      <c r="T47" s="60">
        <f>INDEX(DIOVal,MATCH(LOWER(CtryCode)&amp;"."&amp;$A47,DIOKey,0),MATCH(T$39,DIOSec,0))</f>
        <v>0.0212697417196848</v>
      </c>
      <c r="U47" s="60">
        <f>INDEX(DIOVal,MATCH(LOWER(CtryCode)&amp;"."&amp;$A47,DIOKey,0),MATCH(U$39,DIOSec,0))</f>
        <v>0.0317204831990698</v>
      </c>
      <c r="V47" s="60">
        <f>INDEX(DIOVal,MATCH(LOWER(CtryCode)&amp;"."&amp;$A47,DIOKey,0),MATCH(V$39,DIOSec,0))</f>
        <v>0.020332069680456</v>
      </c>
      <c r="W47" s="60">
        <f>INDEX(DIOVal,MATCH(LOWER(CtryCode)&amp;"."&amp;$A47,DIOKey,0),MATCH(W$39,DIOSec,0))</f>
        <v>0.09001654321035</v>
      </c>
      <c r="X47" s="60">
        <f>INDEX(DIOVal,MATCH(LOWER(CtryCode)&amp;"."&amp;$A47,DIOKey,0),MATCH(X$39,DIOSec,0))</f>
        <v>0.00899785149106314</v>
      </c>
      <c r="Y47" s="60">
        <f>INDEX(DIOVal,MATCH(LOWER(CtryCode)&amp;"."&amp;$A47,DIOKey,0),MATCH(Y$39,DIOSec,0))</f>
        <v>0.0231000688041314</v>
      </c>
      <c r="Z47" s="60">
        <f>INDEX(DIOVal,MATCH(LOWER(CtryCode)&amp;"."&amp;$A47,DIOKey,0),MATCH(Z$39,DIOSec,0))</f>
        <v>0.034408106538954</v>
      </c>
      <c r="AA47" s="60">
        <f>INDEX(DIOVal,MATCH(LOWER(CtryCode)&amp;"."&amp;$A47,DIOKey,0),MATCH(AA$39,DIOSec,0))</f>
        <v>0.0116997474212412</v>
      </c>
      <c r="AB47" s="60">
        <f>INDEX(DIOVal,MATCH(LOWER(CtryCode)&amp;"."&amp;$A47,DIOKey,0),MATCH(AB$39,DIOSec,0))</f>
        <v>0.0311354442357618</v>
      </c>
      <c r="AC47" s="60">
        <f>INDEX(DIOVal,MATCH(LOWER(CtryCode)&amp;"."&amp;$A47,DIOKey,0),MATCH(AC$39,DIOSec,0))</f>
        <v>0.0600831873398946</v>
      </c>
      <c r="AD47" s="60">
        <f>INDEX(DIOVal,MATCH(LOWER(CtryCode)&amp;"."&amp;$A47,DIOKey,0),MATCH(AD$39,DIOSec,0))</f>
        <v>0.0371639026388107</v>
      </c>
      <c r="AE47" s="60">
        <f>INDEX(DIOVal,MATCH(LOWER(CtryCode)&amp;"."&amp;$A47,DIOKey,0),MATCH(AE$39,DIOSec,0))</f>
        <v>0.0407308321410655</v>
      </c>
      <c r="AF47" s="60">
        <f>INDEX(DIOVal,MATCH(LOWER(CtryCode)&amp;"."&amp;$A47,DIOKey,0),MATCH(AF$39,DIOSec,0))</f>
        <v>0.0282502947036171</v>
      </c>
      <c r="AG47" s="60">
        <f>INDEX(DIOVal,MATCH(LOWER(CtryCode)&amp;"."&amp;$A47,DIOKey,0),MATCH(AG$39,DIOSec,0))</f>
        <v>0.0136022493350944</v>
      </c>
      <c r="AH47" s="60">
        <f>INDEX(DIOVal,MATCH(LOWER(CtryCode)&amp;"."&amp;$A47,DIOKey,0),MATCH(AH$39,DIOSec,0))</f>
        <v>0.010392889865034</v>
      </c>
      <c r="AI47" s="60">
        <f>INDEX(DIOVal,MATCH(LOWER(CtryCode)&amp;"."&amp;$A47,DIOKey,0),MATCH(AI$39,DIOSec,0))</f>
        <v>0.0350663850374647</v>
      </c>
      <c r="AJ47" s="60">
        <f>INDEX(DIOVal,MATCH(LOWER(CtryCode)&amp;"."&amp;$A47,DIOKey,0),MATCH(AJ$39,DIOSec,0))</f>
        <v>0.00666866651002091</v>
      </c>
      <c r="AK47" s="60">
        <f>INDEX(DIOVal,MATCH(LOWER(CtryCode)&amp;"."&amp;$A47,DIOKey,0),MATCH(AK$39,DIOSec,0))</f>
        <v>1.00922627131105</v>
      </c>
      <c r="AL47" s="60">
        <f>INDEX(DIOVal,MATCH(LOWER(CtryCode)&amp;"."&amp;$A47,DIOKey,0),MATCH(AL$39,DIOSec,0))</f>
        <v>0.0332173842026137</v>
      </c>
      <c r="AM47" s="60">
        <f>INDEX(DIOVal,MATCH(LOWER(CtryCode)&amp;"."&amp;$A47,DIOKey,0),MATCH(AM$39,DIOSec,0))</f>
        <v>0.0898016964281536</v>
      </c>
      <c r="AN47" s="60">
        <f>INDEX(DIOVal,MATCH(LOWER(CtryCode)&amp;"."&amp;$A47,DIOKey,0),MATCH(AN$39,DIOSec,0))</f>
        <v>0.00417265794475718</v>
      </c>
      <c r="AO47" s="60">
        <f>INDEX(DIOVal,MATCH(LOWER(CtryCode)&amp;"."&amp;$A47,DIOKey,0),MATCH(AO$39,DIOSec,0))</f>
        <v>0.0215064286834857</v>
      </c>
      <c r="AP47" s="60">
        <f>INDEX(DIOVal,MATCH(LOWER(CtryCode)&amp;"."&amp;$A47,DIOKey,0),MATCH(AP$39,DIOSec,0))</f>
        <v>0.0197357551196909</v>
      </c>
      <c r="AQ47" s="60">
        <f>INDEX(DIOVal,MATCH(LOWER(CtryCode)&amp;"."&amp;$A47,DIOKey,0),MATCH(AQ$39,DIOSec,0))</f>
        <v>0.0277851277201818</v>
      </c>
      <c r="AR47" s="60">
        <f>INDEX(DIOVal,MATCH(LOWER(CtryCode)&amp;"."&amp;$A47,DIOKey,0),MATCH(AR$39,DIOSec,0))</f>
        <v>0.173386457854751</v>
      </c>
      <c r="AS47" s="60">
        <f>INDEX(DIOVal,MATCH(LOWER(CtryCode)&amp;"."&amp;$A47,DIOKey,0),MATCH(AS$39,DIOSec,0))</f>
        <v>0.153064071185822</v>
      </c>
      <c r="AT47" s="60">
        <f>INDEX(DIOVal,MATCH(LOWER(CtryCode)&amp;"."&amp;$A47,DIOKey,0),MATCH(AT$39,DIOSec,0))</f>
        <v>0.891363177216101</v>
      </c>
      <c r="AU47" s="60">
        <f>INDEX(DIOVal,MATCH(LOWER(CtryCode)&amp;"."&amp;$A47,DIOKey,0),MATCH(AU$39,DIOSec,0))</f>
        <v>0.0279514302279785</v>
      </c>
      <c r="AV47" s="60">
        <f>INDEX(DIOVal,MATCH(LOWER(CtryCode)&amp;"."&amp;$A47,DIOKey,0),MATCH(AV$39,DIOSec,0))</f>
        <v>0.0244893458567188</v>
      </c>
      <c r="AW47" s="60">
        <f>INDEX(DIOVal,MATCH(LOWER(CtryCode)&amp;"."&amp;$A47,DIOKey,0),MATCH(AW$39,DIOSec,0))</f>
        <v>0.0739826311078204</v>
      </c>
      <c r="AX47" s="60">
        <f>INDEX(DIOVal,MATCH(LOWER(CtryCode)&amp;"."&amp;$A47,DIOKey,0),MATCH(AX$39,DIOSec,0))</f>
        <v>0.0479712518193673</v>
      </c>
      <c r="AY47" s="60">
        <f>INDEX(DIOVal,MATCH(LOWER(CtryCode)&amp;"."&amp;$A47,DIOKey,0),MATCH(AY$39,DIOSec,0))</f>
        <v>0.027490090198906</v>
      </c>
      <c r="AZ47" s="60">
        <f>INDEX(DIOVal,MATCH(LOWER(CtryCode)&amp;"."&amp;$A47,DIOKey,0),MATCH(AZ$39,DIOSec,0))</f>
        <v>0.0162496005008919</v>
      </c>
      <c r="BA47" s="60">
        <f>INDEX(DIOVal,MATCH(LOWER(CtryCode)&amp;"."&amp;$A47,DIOKey,0),MATCH(BA$39,DIOSec,0))</f>
        <v>0.038522363036603</v>
      </c>
      <c r="BB47" s="60">
        <f>INDEX(DIOVal,MATCH(LOWER(CtryCode)&amp;"."&amp;$A47,DIOKey,0),MATCH(BB$39,DIOSec,0))</f>
        <v>0.00678935200069094</v>
      </c>
      <c r="BC47" s="60">
        <f>INDEX(DIOVal,MATCH(LOWER(CtryCode)&amp;"."&amp;$A47,DIOKey,0),MATCH(BC$39,DIOSec,0))</f>
        <v>0.038637080243721</v>
      </c>
      <c r="BD47" s="60">
        <f>INDEX(DIOVal,MATCH(LOWER(CtryCode)&amp;"."&amp;$A47,DIOKey,0),MATCH(BD$39,DIOSec,0))</f>
        <v>0.0255057126423185</v>
      </c>
      <c r="BE47" s="60">
        <f>INDEX(DIOVal,MATCH(LOWER(CtryCode)&amp;"."&amp;$A47,DIOKey,0),MATCH(BE$39,DIOSec,0))</f>
        <v>0.0152108488648852</v>
      </c>
      <c r="BF47" s="60">
        <f>INDEX(DIOVal,MATCH(LOWER(CtryCode)&amp;"."&amp;$A47,DIOKey,0),MATCH(BF$39,DIOSec,0))</f>
        <v>0.0217226797412293</v>
      </c>
      <c r="BG47" s="60">
        <f>INDEX(DIOVal,MATCH(LOWER(CtryCode)&amp;"."&amp;$A47,DIOKey,0),MATCH(BG$39,DIOSec,0))</f>
        <v>0.0215576266922547</v>
      </c>
      <c r="BH47" s="60">
        <f>INDEX(DIOVal,MATCH(LOWER(CtryCode)&amp;"."&amp;$A47,DIOKey,0),MATCH(BH$39,DIOSec,0))</f>
        <v>0.019579925175574</v>
      </c>
      <c r="BI47" s="60">
        <f>INDEX(DIOVal,MATCH(LOWER(CtryCode)&amp;"."&amp;$A47,DIOKey,0),MATCH(BI$39,DIOSec,0))</f>
        <v>0.0170476347495902</v>
      </c>
      <c r="BJ47" s="60">
        <f>INDEX(DIOVal,MATCH(LOWER(CtryCode)&amp;"."&amp;$A47,DIOKey,0),MATCH(BJ$39,DIOSec,0))</f>
        <v>0.0384841043192818</v>
      </c>
      <c r="BK47" s="60">
        <f>INDEX(DIOVal,MATCH(LOWER(CtryCode)&amp;"."&amp;$A47,DIOKey,0),MATCH(BK$39,DIOSec,0))</f>
        <v>0.0523540016402061</v>
      </c>
      <c r="BL47" s="60">
        <f>INDEX(DIOVal,MATCH(LOWER(CtryCode)&amp;"."&amp;$A47,DIOKey,0),MATCH(BL$39,DIOSec,0))</f>
        <v>0.182754419902911</v>
      </c>
      <c r="BM47" s="60">
        <f>INDEX(DIOVal,MATCH(LOWER(CtryCode)&amp;"."&amp;$A47,DIOKey,0),MATCH(BM$39,DIOSec,0))</f>
        <v>0.039123395406452</v>
      </c>
    </row>
    <row r="48">
      <c r="A48" s="3" t="inlineStr">
        <is>
          <t>p_c.leontiefs</t>
        </is>
      </c>
      <c r="B48" s="60">
        <f>INDEX(DIOVal,MATCH(LOWER(CtryCode)&amp;"."&amp;$A48,DIOKey,0),MATCH(B$39,DIOSec,0))</f>
        <v>0.0155049347522624</v>
      </c>
      <c r="C48" s="60">
        <f>INDEX(DIOVal,MATCH(LOWER(CtryCode)&amp;"."&amp;$A48,DIOKey,0),MATCH(C$39,DIOSec,0))</f>
        <v>0.310145781343056</v>
      </c>
      <c r="D48" s="60">
        <f>INDEX(DIOVal,MATCH(LOWER(CtryCode)&amp;"."&amp;$A48,DIOKey,0),MATCH(D$39,DIOSec,0))</f>
        <v>0.017259134360627</v>
      </c>
      <c r="E48" s="60">
        <f>INDEX(DIOVal,MATCH(LOWER(CtryCode)&amp;"."&amp;$A48,DIOKey,0),MATCH(E$39,DIOSec,0))</f>
        <v>0.0399583279796415</v>
      </c>
      <c r="F48" s="60">
        <f>INDEX(DIOVal,MATCH(LOWER(CtryCode)&amp;"."&amp;$A48,DIOKey,0),MATCH(F$39,DIOSec,0))</f>
        <v>0.0476265476994172</v>
      </c>
      <c r="G48" s="60">
        <f>INDEX(DIOVal,MATCH(LOWER(CtryCode)&amp;"."&amp;$A48,DIOKey,0),MATCH(G$39,DIOSec,0))</f>
        <v>0.197856373339138</v>
      </c>
      <c r="H48" s="60">
        <f>INDEX(DIOVal,MATCH(LOWER(CtryCode)&amp;"."&amp;$A48,DIOKey,0),MATCH(H$39,DIOSec,0))</f>
        <v>0.0113863522737978</v>
      </c>
      <c r="I48" s="60">
        <f>INDEX(DIOVal,MATCH(LOWER(CtryCode)&amp;"."&amp;$A48,DIOKey,0),MATCH(I$39,DIOSec,0))</f>
        <v>0.0090609190504005</v>
      </c>
      <c r="J48" s="60">
        <f>INDEX(DIOVal,MATCH(LOWER(CtryCode)&amp;"."&amp;$A48,DIOKey,0),MATCH(J$39,DIOSec,0))</f>
        <v>0.0537275591978862</v>
      </c>
      <c r="K48" s="60">
        <f>INDEX(DIOVal,MATCH(LOWER(CtryCode)&amp;"."&amp;$A48,DIOKey,0),MATCH(K$39,DIOSec,0))</f>
        <v>0.0540239741300362</v>
      </c>
      <c r="L48" s="60">
        <f>INDEX(DIOVal,MATCH(LOWER(CtryCode)&amp;"."&amp;$A48,DIOKey,0),MATCH(L$39,DIOSec,0))</f>
        <v>0.0380991255316416</v>
      </c>
      <c r="M48" s="60">
        <f>INDEX(DIOVal,MATCH(LOWER(CtryCode)&amp;"."&amp;$A48,DIOKey,0),MATCH(M$39,DIOSec,0))</f>
        <v>0.00367405733032075</v>
      </c>
      <c r="N48" s="60">
        <f>INDEX(DIOVal,MATCH(LOWER(CtryCode)&amp;"."&amp;$A48,DIOKey,0),MATCH(N$39,DIOSec,0))</f>
        <v>0.0228941852544118</v>
      </c>
      <c r="O48" s="60">
        <f>INDEX(DIOVal,MATCH(LOWER(CtryCode)&amp;"."&amp;$A48,DIOKey,0),MATCH(O$39,DIOSec,0))</f>
        <v>0.0584821857980451</v>
      </c>
      <c r="P48" s="60">
        <f>INDEX(DIOVal,MATCH(LOWER(CtryCode)&amp;"."&amp;$A48,DIOKey,0),MATCH(P$39,DIOSec,0))</f>
        <v>0.0454595941932638</v>
      </c>
      <c r="Q48" s="60">
        <f>INDEX(DIOVal,MATCH(LOWER(CtryCode)&amp;"."&amp;$A48,DIOKey,0),MATCH(Q$39,DIOSec,0))</f>
        <v>0.589788113088845</v>
      </c>
      <c r="R48" s="60">
        <f>INDEX(DIOVal,MATCH(LOWER(CtryCode)&amp;"."&amp;$A48,DIOKey,0),MATCH(R$39,DIOSec,0))</f>
        <v>0.0788756230343212</v>
      </c>
      <c r="S48" s="60">
        <f>INDEX(DIOVal,MATCH(LOWER(CtryCode)&amp;"."&amp;$A48,DIOKey,0),MATCH(S$39,DIOSec,0))</f>
        <v>0.059573059227029</v>
      </c>
      <c r="T48" s="60">
        <f>INDEX(DIOVal,MATCH(LOWER(CtryCode)&amp;"."&amp;$A48,DIOKey,0),MATCH(T$39,DIOSec,0))</f>
        <v>0.0284820120622573</v>
      </c>
      <c r="U48" s="60">
        <f>INDEX(DIOVal,MATCH(LOWER(CtryCode)&amp;"."&amp;$A48,DIOKey,0),MATCH(U$39,DIOSec,0))</f>
        <v>0.0436335607465496</v>
      </c>
      <c r="V48" s="60">
        <f>INDEX(DIOVal,MATCH(LOWER(CtryCode)&amp;"."&amp;$A48,DIOKey,0),MATCH(V$39,DIOSec,0))</f>
        <v>0.0303057866837537</v>
      </c>
      <c r="W48" s="60">
        <f>INDEX(DIOVal,MATCH(LOWER(CtryCode)&amp;"."&amp;$A48,DIOKey,0),MATCH(W$39,DIOSec,0))</f>
        <v>0.132097519128475</v>
      </c>
      <c r="X48" s="60">
        <f>INDEX(DIOVal,MATCH(LOWER(CtryCode)&amp;"."&amp;$A48,DIOKey,0),MATCH(X$39,DIOSec,0))</f>
        <v>0.0131112605987121</v>
      </c>
      <c r="Y48" s="60">
        <f>INDEX(DIOVal,MATCH(LOWER(CtryCode)&amp;"."&amp;$A48,DIOKey,0),MATCH(Y$39,DIOSec,0))</f>
        <v>0.0352029833062089</v>
      </c>
      <c r="Z48" s="60">
        <f>INDEX(DIOVal,MATCH(LOWER(CtryCode)&amp;"."&amp;$A48,DIOKey,0),MATCH(Z$39,DIOSec,0))</f>
        <v>0.053078226649894</v>
      </c>
      <c r="AA48" s="60">
        <f>INDEX(DIOVal,MATCH(LOWER(CtryCode)&amp;"."&amp;$A48,DIOKey,0),MATCH(AA$39,DIOSec,0))</f>
        <v>0.0170849068351908</v>
      </c>
      <c r="AB48" s="60">
        <f>INDEX(DIOVal,MATCH(LOWER(CtryCode)&amp;"."&amp;$A48,DIOKey,0),MATCH(AB$39,DIOSec,0))</f>
        <v>0.0495243680747139</v>
      </c>
      <c r="AC48" s="60">
        <f>INDEX(DIOVal,MATCH(LOWER(CtryCode)&amp;"."&amp;$A48,DIOKey,0),MATCH(AC$39,DIOSec,0))</f>
        <v>0.101653648705323</v>
      </c>
      <c r="AD48" s="60">
        <f>INDEX(DIOVal,MATCH(LOWER(CtryCode)&amp;"."&amp;$A48,DIOKey,0),MATCH(AD$39,DIOSec,0))</f>
        <v>0.0453277265269219</v>
      </c>
      <c r="AE48" s="60">
        <f>INDEX(DIOVal,MATCH(LOWER(CtryCode)&amp;"."&amp;$A48,DIOKey,0),MATCH(AE$39,DIOSec,0))</f>
        <v>0.0585562279882097</v>
      </c>
      <c r="AF48" s="60">
        <f>INDEX(DIOVal,MATCH(LOWER(CtryCode)&amp;"."&amp;$A48,DIOKey,0),MATCH(AF$39,DIOSec,0))</f>
        <v>0.0395271598595529</v>
      </c>
      <c r="AG48" s="60">
        <f>INDEX(DIOVal,MATCH(LOWER(CtryCode)&amp;"."&amp;$A48,DIOKey,0),MATCH(AG$39,DIOSec,0))</f>
        <v>0.0203095536554996</v>
      </c>
      <c r="AH48" s="60">
        <f>INDEX(DIOVal,MATCH(LOWER(CtryCode)&amp;"."&amp;$A48,DIOKey,0),MATCH(AH$39,DIOSec,0))</f>
        <v>0.0143421766814367</v>
      </c>
      <c r="AI48" s="60">
        <f>INDEX(DIOVal,MATCH(LOWER(CtryCode)&amp;"."&amp;$A48,DIOKey,0),MATCH(AI$39,DIOSec,0))</f>
        <v>0.0522255075394264</v>
      </c>
      <c r="AJ48" s="60">
        <f>INDEX(DIOVal,MATCH(LOWER(CtryCode)&amp;"."&amp;$A48,DIOKey,0),MATCH(AJ$39,DIOSec,0))</f>
        <v>0.00970058819319994</v>
      </c>
      <c r="AK48" s="60">
        <f>INDEX(DIOVal,MATCH(LOWER(CtryCode)&amp;"."&amp;$A48,DIOKey,0),MATCH(AK$39,DIOSec,0))</f>
        <v>0.0122092525069807</v>
      </c>
      <c r="AL48" s="60">
        <f>INDEX(DIOVal,MATCH(LOWER(CtryCode)&amp;"."&amp;$A48,DIOKey,0),MATCH(AL$39,DIOSec,0))</f>
        <v>0.0568901682830709</v>
      </c>
      <c r="AM48" s="60">
        <f>INDEX(DIOVal,MATCH(LOWER(CtryCode)&amp;"."&amp;$A48,DIOKey,0),MATCH(AM$39,DIOSec,0))</f>
        <v>0.141793925382003</v>
      </c>
      <c r="AN48" s="60">
        <f>INDEX(DIOVal,MATCH(LOWER(CtryCode)&amp;"."&amp;$A48,DIOKey,0),MATCH(AN$39,DIOSec,0))</f>
        <v>0.00589820976697364</v>
      </c>
      <c r="AO48" s="60">
        <f>INDEX(DIOVal,MATCH(LOWER(CtryCode)&amp;"."&amp;$A48,DIOKey,0),MATCH(AO$39,DIOSec,0))</f>
        <v>0.0295288945655001</v>
      </c>
      <c r="AP48" s="60">
        <f>INDEX(DIOVal,MATCH(LOWER(CtryCode)&amp;"."&amp;$A48,DIOKey,0),MATCH(AP$39,DIOSec,0))</f>
        <v>0.0290423221495558</v>
      </c>
      <c r="AQ48" s="60">
        <f>INDEX(DIOVal,MATCH(LOWER(CtryCode)&amp;"."&amp;$A48,DIOKey,0),MATCH(AQ$39,DIOSec,0))</f>
        <v>0.044931886122637</v>
      </c>
      <c r="AR48" s="60">
        <f>INDEX(DIOVal,MATCH(LOWER(CtryCode)&amp;"."&amp;$A48,DIOKey,0),MATCH(AR$39,DIOSec,0))</f>
        <v>0.228872616945174</v>
      </c>
      <c r="AS48" s="60">
        <f>INDEX(DIOVal,MATCH(LOWER(CtryCode)&amp;"."&amp;$A48,DIOKey,0),MATCH(AS$39,DIOSec,0))</f>
        <v>0.205561622463974</v>
      </c>
      <c r="AT48" s="60">
        <f>INDEX(DIOVal,MATCH(LOWER(CtryCode)&amp;"."&amp;$A48,DIOKey,0),MATCH(AT$39,DIOSec,0))</f>
        <v>1.0367226975543</v>
      </c>
      <c r="AU48" s="60">
        <f>INDEX(DIOVal,MATCH(LOWER(CtryCode)&amp;"."&amp;$A48,DIOKey,0),MATCH(AU$39,DIOSec,0))</f>
        <v>0.0402170324460762</v>
      </c>
      <c r="AV48" s="60">
        <f>INDEX(DIOVal,MATCH(LOWER(CtryCode)&amp;"."&amp;$A48,DIOKey,0),MATCH(AV$39,DIOSec,0))</f>
        <v>0.0345493433983841</v>
      </c>
      <c r="AW48" s="60">
        <f>INDEX(DIOVal,MATCH(LOWER(CtryCode)&amp;"."&amp;$A48,DIOKey,0),MATCH(AW$39,DIOSec,0))</f>
        <v>0.102614603911626</v>
      </c>
      <c r="AX48" s="60">
        <f>INDEX(DIOVal,MATCH(LOWER(CtryCode)&amp;"."&amp;$A48,DIOKey,0),MATCH(AX$39,DIOSec,0))</f>
        <v>0.0711872649135438</v>
      </c>
      <c r="AY48" s="60">
        <f>INDEX(DIOVal,MATCH(LOWER(CtryCode)&amp;"."&amp;$A48,DIOKey,0),MATCH(AY$39,DIOSec,0))</f>
        <v>0.0381647905184745</v>
      </c>
      <c r="AZ48" s="60">
        <f>INDEX(DIOVal,MATCH(LOWER(CtryCode)&amp;"."&amp;$A48,DIOKey,0),MATCH(AZ$39,DIOSec,0))</f>
        <v>0.0234955354971126</v>
      </c>
      <c r="BA48" s="60">
        <f>INDEX(DIOVal,MATCH(LOWER(CtryCode)&amp;"."&amp;$A48,DIOKey,0),MATCH(BA$39,DIOSec,0))</f>
        <v>0.0602111431838218</v>
      </c>
      <c r="BB48" s="60">
        <f>INDEX(DIOVal,MATCH(LOWER(CtryCode)&amp;"."&amp;$A48,DIOKey,0),MATCH(BB$39,DIOSec,0))</f>
        <v>0.00965645231293027</v>
      </c>
      <c r="BC48" s="60">
        <f>INDEX(DIOVal,MATCH(LOWER(CtryCode)&amp;"."&amp;$A48,DIOKey,0),MATCH(BC$39,DIOSec,0))</f>
        <v>0.0560451994685985</v>
      </c>
      <c r="BD48" s="60">
        <f>INDEX(DIOVal,MATCH(LOWER(CtryCode)&amp;"."&amp;$A48,DIOKey,0),MATCH(BD$39,DIOSec,0))</f>
        <v>0.0368347248019593</v>
      </c>
      <c r="BE48" s="60">
        <f>INDEX(DIOVal,MATCH(LOWER(CtryCode)&amp;"."&amp;$A48,DIOKey,0),MATCH(BE$39,DIOSec,0))</f>
        <v>0.0220009224355531</v>
      </c>
      <c r="BF48" s="60">
        <f>INDEX(DIOVal,MATCH(LOWER(CtryCode)&amp;"."&amp;$A48,DIOKey,0),MATCH(BF$39,DIOSec,0))</f>
        <v>0.0301875151966365</v>
      </c>
      <c r="BG48" s="60">
        <f>INDEX(DIOVal,MATCH(LOWER(CtryCode)&amp;"."&amp;$A48,DIOKey,0),MATCH(BG$39,DIOSec,0))</f>
        <v>0.029635229128332</v>
      </c>
      <c r="BH48" s="60">
        <f>INDEX(DIOVal,MATCH(LOWER(CtryCode)&amp;"."&amp;$A48,DIOKey,0),MATCH(BH$39,DIOSec,0))</f>
        <v>0.0294896798480372</v>
      </c>
      <c r="BI48" s="60">
        <f>INDEX(DIOVal,MATCH(LOWER(CtryCode)&amp;"."&amp;$A48,DIOKey,0),MATCH(BI$39,DIOSec,0))</f>
        <v>0.02584447653045</v>
      </c>
      <c r="BJ48" s="60">
        <f>INDEX(DIOVal,MATCH(LOWER(CtryCode)&amp;"."&amp;$A48,DIOKey,0),MATCH(BJ$39,DIOSec,0))</f>
        <v>0.0529487563020483</v>
      </c>
      <c r="BK48" s="60">
        <f>INDEX(DIOVal,MATCH(LOWER(CtryCode)&amp;"."&amp;$A48,DIOKey,0),MATCH(BK$39,DIOSec,0))</f>
        <v>0.073487241242691</v>
      </c>
      <c r="BL48" s="60">
        <f>INDEX(DIOVal,MATCH(LOWER(CtryCode)&amp;"."&amp;$A48,DIOKey,0),MATCH(BL$39,DIOSec,0))</f>
        <v>0.267074558670548</v>
      </c>
      <c r="BM48" s="60">
        <f>INDEX(DIOVal,MATCH(LOWER(CtryCode)&amp;"."&amp;$A48,DIOKey,0),MATCH(BM$39,DIOSec,0))</f>
        <v>0.0585879310413168</v>
      </c>
    </row>
    <row r="49">
      <c r="A49" s="3" t="inlineStr">
        <is>
          <t>output</t>
        </is>
      </c>
      <c r="B49" s="60">
        <f>INDEX(DIOVal,MATCH(LOWER(CtryCode)&amp;"."&amp;$A49,DIOKey,0),MATCH(B$39,DIOSec,0))</f>
        <v>11118.5920944063</v>
      </c>
      <c r="C49" s="60">
        <f>INDEX(DIOVal,MATCH(LOWER(CtryCode)&amp;"."&amp;$A49,DIOKey,0),MATCH(C$39,DIOSec,0))</f>
        <v>3743.59820370452</v>
      </c>
      <c r="D49" s="60">
        <f>INDEX(DIOVal,MATCH(LOWER(CtryCode)&amp;"."&amp;$A49,DIOKey,0),MATCH(D$39,DIOSec,0))</f>
        <v>12005.1619527205</v>
      </c>
      <c r="E49" s="60">
        <f>INDEX(DIOVal,MATCH(LOWER(CtryCode)&amp;"."&amp;$A49,DIOKey,0),MATCH(E$39,DIOSec,0))</f>
        <v>2928.53164784511</v>
      </c>
      <c r="F49" s="60">
        <f>INDEX(DIOVal,MATCH(LOWER(CtryCode)&amp;"."&amp;$A49,DIOKey,0),MATCH(F$39,DIOSec,0))</f>
        <v>2668.77137679023</v>
      </c>
      <c r="G49" s="60">
        <f>INDEX(DIOVal,MATCH(LOWER(CtryCode)&amp;"."&amp;$A49,DIOKey,0),MATCH(G$39,DIOSec,0))</f>
        <v>11364.047462419</v>
      </c>
      <c r="H49" s="60">
        <f>INDEX(DIOVal,MATCH(LOWER(CtryCode)&amp;"."&amp;$A49,DIOKey,0),MATCH(H$39,DIOSec,0))</f>
        <v>26613.7729487535</v>
      </c>
      <c r="I49" s="60">
        <f>INDEX(DIOVal,MATCH(LOWER(CtryCode)&amp;"."&amp;$A49,DIOKey,0),MATCH(I$39,DIOSec,0))</f>
        <v>3162.35195783624</v>
      </c>
      <c r="J49" s="60">
        <f>INDEX(DIOVal,MATCH(LOWER(CtryCode)&amp;"."&amp;$A49,DIOKey,0),MATCH(J$39,DIOSec,0))</f>
        <v>31639.6107965168</v>
      </c>
      <c r="K49" s="60">
        <f>INDEX(DIOVal,MATCH(LOWER(CtryCode)&amp;"."&amp;$A49,DIOKey,0),MATCH(K$39,DIOSec,0))</f>
        <v>0.364476011830743</v>
      </c>
      <c r="L49" s="60">
        <f>INDEX(DIOVal,MATCH(LOWER(CtryCode)&amp;"."&amp;$A49,DIOKey,0),MATCH(L$39,DIOSec,0))</f>
        <v>1565.83426528876</v>
      </c>
      <c r="M49" s="60">
        <f>INDEX(DIOVal,MATCH(LOWER(CtryCode)&amp;"."&amp;$A49,DIOKey,0),MATCH(M$39,DIOSec,0))</f>
        <v>14959.5000094363</v>
      </c>
      <c r="N49" s="60">
        <f>INDEX(DIOVal,MATCH(LOWER(CtryCode)&amp;"."&amp;$A49,DIOKey,0),MATCH(N$39,DIOSec,0))</f>
        <v>14311.580798484</v>
      </c>
      <c r="O49" s="60">
        <f>INDEX(DIOVal,MATCH(LOWER(CtryCode)&amp;"."&amp;$A49,DIOKey,0),MATCH(O$39,DIOSec,0))</f>
        <v>1724.96486394972</v>
      </c>
      <c r="P49" s="60">
        <f>INDEX(DIOVal,MATCH(LOWER(CtryCode)&amp;"."&amp;$A49,DIOKey,0),MATCH(P$39,DIOSec,0))</f>
        <v>7160.66023344278</v>
      </c>
      <c r="Q49" s="60">
        <f>INDEX(DIOVal,MATCH(LOWER(CtryCode)&amp;"."&amp;$A49,DIOKey,0),MATCH(Q$39,DIOSec,0))</f>
        <v>11086.6315280631</v>
      </c>
      <c r="R49" s="60">
        <f>INDEX(DIOVal,MATCH(LOWER(CtryCode)&amp;"."&amp;$A49,DIOKey,0),MATCH(R$39,DIOSec,0))</f>
        <v>7618.00287502288</v>
      </c>
      <c r="S49" s="60">
        <f>INDEX(DIOVal,MATCH(LOWER(CtryCode)&amp;"."&amp;$A49,DIOKey,0),MATCH(S$39,DIOSec,0))</f>
        <v>7.4169985019277</v>
      </c>
      <c r="T49" s="60">
        <f>INDEX(DIOVal,MATCH(LOWER(CtryCode)&amp;"."&amp;$A49,DIOKey,0),MATCH(T$39,DIOSec,0))</f>
        <v>5063.94060749023</v>
      </c>
      <c r="U49" s="60">
        <f>INDEX(DIOVal,MATCH(LOWER(CtryCode)&amp;"."&amp;$A49,DIOKey,0),MATCH(U$39,DIOSec,0))</f>
        <v>5621.02750804916</v>
      </c>
      <c r="V49" s="60">
        <f>INDEX(DIOVal,MATCH(LOWER(CtryCode)&amp;"."&amp;$A49,DIOKey,0),MATCH(V$39,DIOSec,0))</f>
        <v>23295.4212674957</v>
      </c>
      <c r="W49" s="60">
        <f>INDEX(DIOVal,MATCH(LOWER(CtryCode)&amp;"."&amp;$A49,DIOKey,0),MATCH(W$39,DIOSec,0))</f>
        <v>3308.99476099734</v>
      </c>
      <c r="X49" s="60">
        <f>INDEX(DIOVal,MATCH(LOWER(CtryCode)&amp;"."&amp;$A49,DIOKey,0),MATCH(X$39,DIOSec,0))</f>
        <v>6078.97297878597</v>
      </c>
      <c r="Y49" s="60">
        <f>INDEX(DIOVal,MATCH(LOWER(CtryCode)&amp;"."&amp;$A49,DIOKey,0),MATCH(Y$39,DIOSec,0))</f>
        <v>1480.43335103131</v>
      </c>
      <c r="Z49" s="60">
        <f>INDEX(DIOVal,MATCH(LOWER(CtryCode)&amp;"."&amp;$A49,DIOKey,0),MATCH(Z$39,DIOSec,0))</f>
        <v>5784.92057713017</v>
      </c>
      <c r="AA49" s="60">
        <f>INDEX(DIOVal,MATCH(LOWER(CtryCode)&amp;"."&amp;$A49,DIOKey,0),MATCH(AA$39,DIOSec,0))</f>
        <v>8368.45288945174</v>
      </c>
      <c r="AB49" s="60">
        <f>INDEX(DIOVal,MATCH(LOWER(CtryCode)&amp;"."&amp;$A49,DIOKey,0),MATCH(AB$39,DIOSec,0))</f>
        <v>6462.82929327509</v>
      </c>
      <c r="AC49" s="60">
        <f>INDEX(DIOVal,MATCH(LOWER(CtryCode)&amp;"."&amp;$A49,DIOKey,0),MATCH(AC$39,DIOSec,0))</f>
        <v>5741.43887148851</v>
      </c>
      <c r="AD49" s="60">
        <f>INDEX(DIOVal,MATCH(LOWER(CtryCode)&amp;"."&amp;$A49,DIOKey,0),MATCH(AD$39,DIOSec,0))</f>
        <v>4811.41987183032</v>
      </c>
      <c r="AE49" s="60">
        <f>INDEX(DIOVal,MATCH(LOWER(CtryCode)&amp;"."&amp;$A49,DIOKey,0),MATCH(AE$39,DIOSec,0))</f>
        <v>12249.7297172347</v>
      </c>
      <c r="AF49" s="60">
        <f>INDEX(DIOVal,MATCH(LOWER(CtryCode)&amp;"."&amp;$A49,DIOKey,0),MATCH(AF$39,DIOSec,0))</f>
        <v>1514.50301444526</v>
      </c>
      <c r="AG49" s="60">
        <f>INDEX(DIOVal,MATCH(LOWER(CtryCode)&amp;"."&amp;$A49,DIOKey,0),MATCH(AG$39,DIOSec,0))</f>
        <v>10050.3583332992</v>
      </c>
      <c r="AH49" s="60">
        <f>INDEX(DIOVal,MATCH(LOWER(CtryCode)&amp;"."&amp;$A49,DIOKey,0),MATCH(AH$39,DIOSec,0))</f>
        <v>418.334220871955</v>
      </c>
      <c r="AI49" s="60">
        <f>INDEX(DIOVal,MATCH(LOWER(CtryCode)&amp;"."&amp;$A49,DIOKey,0),MATCH(AI$39,DIOSec,0))</f>
        <v>28747.2690491172</v>
      </c>
      <c r="AJ49" s="60">
        <f>INDEX(DIOVal,MATCH(LOWER(CtryCode)&amp;"."&amp;$A49,DIOKey,0),MATCH(AJ$39,DIOSec,0))</f>
        <v>11962.10904049</v>
      </c>
      <c r="AK49" s="60">
        <f>INDEX(DIOVal,MATCH(LOWER(CtryCode)&amp;"."&amp;$A49,DIOKey,0),MATCH(AK$39,DIOSec,0))</f>
        <v>17954.5374653309</v>
      </c>
      <c r="AL49" s="60">
        <f>INDEX(DIOVal,MATCH(LOWER(CtryCode)&amp;"."&amp;$A49,DIOKey,0),MATCH(AL$39,DIOSec,0))</f>
        <v>704.6580456011</v>
      </c>
      <c r="AM49" s="60">
        <f>INDEX(DIOVal,MATCH(LOWER(CtryCode)&amp;"."&amp;$A49,DIOKey,0),MATCH(AM$39,DIOSec,0))</f>
        <v>2009.9945093015</v>
      </c>
      <c r="AN49" s="60">
        <f>INDEX(DIOVal,MATCH(LOWER(CtryCode)&amp;"."&amp;$A49,DIOKey,0),MATCH(AN$39,DIOSec,0))</f>
        <v>1584.3147967698</v>
      </c>
      <c r="AO49" s="60">
        <f>INDEX(DIOVal,MATCH(LOWER(CtryCode)&amp;"."&amp;$A49,DIOKey,0),MATCH(AO$39,DIOSec,0))</f>
        <v>3327.92476444899</v>
      </c>
      <c r="AP49" s="60">
        <f>INDEX(DIOVal,MATCH(LOWER(CtryCode)&amp;"."&amp;$A49,DIOKey,0),MATCH(AP$39,DIOSec,0))</f>
        <v>17700.1430508588</v>
      </c>
      <c r="AQ49" s="60">
        <f>INDEX(DIOVal,MATCH(LOWER(CtryCode)&amp;"."&amp;$A49,DIOKey,0),MATCH(AQ$39,DIOSec,0))</f>
        <v>1701.63150719922</v>
      </c>
      <c r="AR49" s="60">
        <f>INDEX(DIOVal,MATCH(LOWER(CtryCode)&amp;"."&amp;$A49,DIOKey,0),MATCH(AR$39,DIOSec,0))</f>
        <v>22624.9741981104</v>
      </c>
      <c r="AS49" s="60">
        <f>INDEX(DIOVal,MATCH(LOWER(CtryCode)&amp;"."&amp;$A49,DIOKey,0),MATCH(AS$39,DIOSec,0))</f>
        <v>1211.88543477432</v>
      </c>
      <c r="AT49" s="60">
        <f>INDEX(DIOVal,MATCH(LOWER(CtryCode)&amp;"."&amp;$A49,DIOKey,0),MATCH(AT$39,DIOSec,0))</f>
        <v>14972.5248107399</v>
      </c>
      <c r="AU49" s="60">
        <f>INDEX(DIOVal,MATCH(LOWER(CtryCode)&amp;"."&amp;$A49,DIOKey,0),MATCH(AU$39,DIOSec,0))</f>
        <v>4793.79806814776</v>
      </c>
      <c r="AV49" s="60">
        <f>INDEX(DIOVal,MATCH(LOWER(CtryCode)&amp;"."&amp;$A49,DIOKey,0),MATCH(AV$39,DIOSec,0))</f>
        <v>6582.86359253731</v>
      </c>
      <c r="AW49" s="60">
        <f>INDEX(DIOVal,MATCH(LOWER(CtryCode)&amp;"."&amp;$A49,DIOKey,0),MATCH(AW$39,DIOSec,0))</f>
        <v>3956.81931888904</v>
      </c>
      <c r="AX49" s="60">
        <f>INDEX(DIOVal,MATCH(LOWER(CtryCode)&amp;"."&amp;$A49,DIOKey,0),MATCH(AX$39,DIOSec,0))</f>
        <v>3228.74227541988</v>
      </c>
      <c r="AY49" s="60">
        <f>INDEX(DIOVal,MATCH(LOWER(CtryCode)&amp;"."&amp;$A49,DIOKey,0),MATCH(AY$39,DIOSec,0))</f>
        <v>1876.77239319324</v>
      </c>
      <c r="AZ49" s="60">
        <f>INDEX(DIOVal,MATCH(LOWER(CtryCode)&amp;"."&amp;$A49,DIOKey,0),MATCH(AZ$39,DIOSec,0))</f>
        <v>14317.1094828475</v>
      </c>
      <c r="BA49" s="60">
        <f>INDEX(DIOVal,MATCH(LOWER(CtryCode)&amp;"."&amp;$A49,DIOKey,0),MATCH(BA$39,DIOSec,0))</f>
        <v>3574.91278825651</v>
      </c>
      <c r="BB49" s="60">
        <f>INDEX(DIOVal,MATCH(LOWER(CtryCode)&amp;"."&amp;$A49,DIOKey,0),MATCH(BB$39,DIOSec,0))</f>
        <v>4337.10773664196</v>
      </c>
      <c r="BC49" s="60">
        <f>INDEX(DIOVal,MATCH(LOWER(CtryCode)&amp;"."&amp;$A49,DIOKey,0),MATCH(BC$39,DIOSec,0))</f>
        <v>2170.64887417462</v>
      </c>
      <c r="BD49" s="60">
        <f>INDEX(DIOVal,MATCH(LOWER(CtryCode)&amp;"."&amp;$A49,DIOKey,0),MATCH(BD$39,DIOSec,0))</f>
        <v>25339.2622208862</v>
      </c>
      <c r="BE49" s="60">
        <f>INDEX(DIOVal,MATCH(LOWER(CtryCode)&amp;"."&amp;$A49,DIOKey,0),MATCH(BE$39,DIOSec,0))</f>
        <v>27147.8024377108</v>
      </c>
      <c r="BF49" s="60">
        <f>INDEX(DIOVal,MATCH(LOWER(CtryCode)&amp;"."&amp;$A49,DIOKey,0),MATCH(BF$39,DIOSec,0))</f>
        <v>19624.1310491952</v>
      </c>
      <c r="BG49" s="60">
        <f>INDEX(DIOVal,MATCH(LOWER(CtryCode)&amp;"."&amp;$A49,DIOKey,0),MATCH(BG$39,DIOSec,0))</f>
        <v>426.001131792896</v>
      </c>
      <c r="BH49" s="60">
        <f>INDEX(DIOVal,MATCH(LOWER(CtryCode)&amp;"."&amp;$A49,DIOKey,0),MATCH(BH$39,DIOSec,0))</f>
        <v>25965.6057780989</v>
      </c>
      <c r="BI49" s="60">
        <f>INDEX(DIOVal,MATCH(LOWER(CtryCode)&amp;"."&amp;$A49,DIOKey,0),MATCH(BI$39,DIOSec,0))</f>
        <v>4492.10693465126</v>
      </c>
      <c r="BJ49" s="60">
        <f>INDEX(DIOVal,MATCH(LOWER(CtryCode)&amp;"."&amp;$A49,DIOKey,0),MATCH(BJ$39,DIOSec,0))</f>
        <v>5949.82580287834</v>
      </c>
      <c r="BK49" s="60">
        <f>INDEX(DIOVal,MATCH(LOWER(CtryCode)&amp;"."&amp;$A49,DIOKey,0),MATCH(BK$39,DIOSec,0))</f>
        <v>45.3451424626189</v>
      </c>
      <c r="BL49" s="60">
        <f>INDEX(DIOVal,MATCH(LOWER(CtryCode)&amp;"."&amp;$A49,DIOKey,0),MATCH(BL$39,DIOSec,0))</f>
        <v>2070.79068751595</v>
      </c>
      <c r="BM49" s="60">
        <f>INDEX(DIOVal,MATCH(LOWER(CtryCode)&amp;"."&amp;$A49,DIOKey,0),MATCH(BM$39,DIOSec,0))</f>
        <v>3740.27526064954</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8">
        <f>(B41+B42)*(1-B50)</f>
        <v>10505.00032558865</v>
      </c>
      <c r="C51" s="228">
        <f>(C41+C42)*(1-C50)</f>
        <v>3150.04209416741</v>
      </c>
      <c r="D51" s="228">
        <f>(D41+D42)*(1-D50)</f>
        <v>11223.966655598582</v>
      </c>
      <c r="E51" s="228">
        <f>(E41+E42)*(1-E50)</f>
        <v>1893.920374119085</v>
      </c>
      <c r="F51" s="228">
        <f>(F41+F42)*(1-F50)</f>
        <v>1323.8628696193653</v>
      </c>
      <c r="G51" s="228">
        <f>(G41+G42)*(1-G50)</f>
        <v>7619.454632314029</v>
      </c>
      <c r="H51" s="228">
        <f>(H41+H42)*(1-H50)</f>
        <v>23293.31662698097</v>
      </c>
      <c r="I51" s="228">
        <f>(I41+I42)*(1-I50)</f>
        <v>2440.4295574786925</v>
      </c>
      <c r="J51" s="228">
        <f>(J41+J42)*(1-J50)</f>
        <v>29241.81514961044</v>
      </c>
      <c r="K51" s="228">
        <f>(K41+K42)*(1-K50)</f>
        <v>0.0</v>
      </c>
      <c r="L51" s="228">
        <f>(L41+L42)*(1-L50)</f>
        <v>1294.7418198941727</v>
      </c>
      <c r="M51" s="228">
        <f>(M41+M42)*(1-M50)</f>
        <v>14371.1382799854</v>
      </c>
      <c r="N51" s="228">
        <f>(N41+N42)*(1-N50)</f>
        <v>11739.01691346015</v>
      </c>
      <c r="O51" s="228">
        <f>(O41+O42)*(1-O50)</f>
        <v>1601.830895702165</v>
      </c>
      <c r="P51" s="228">
        <f>(P41+P42)*(1-P50)</f>
        <v>3885.614519130682</v>
      </c>
      <c r="Q51" s="228">
        <f>(Q41+Q42)*(1-Q50)</f>
        <v>0.0</v>
      </c>
      <c r="R51" s="228">
        <f>(R41+R42)*(1-R50)</f>
        <v>2558.4304894881334</v>
      </c>
      <c r="S51" s="228">
        <f>(S41+S42)*(1-S50)</f>
        <v>11.73291304500026</v>
      </c>
      <c r="T51" s="228">
        <f>(T41+T42)*(1-T50)</f>
        <v>3907.667559058803</v>
      </c>
      <c r="U51" s="228">
        <f>(U41+U42)*(1-U50)</f>
        <v>2220.5484463326984</v>
      </c>
      <c r="V51" s="228">
        <f>(V41+V42)*(1-V50)</f>
        <v>21986.2754928671</v>
      </c>
      <c r="W51" s="228">
        <f>(W41+W42)*(1-W50)</f>
        <v>1391.170787564558</v>
      </c>
      <c r="X51" s="228">
        <f>(X41+X42)*(1-X50)</f>
        <v>5074.636671642223</v>
      </c>
      <c r="Y51" s="228">
        <f>(Y41+Y42)*(1-Y50)</f>
        <v>382.476640141861</v>
      </c>
      <c r="Z51" s="228">
        <f>(Z41+Z42)*(1-Z50)</f>
        <v>4916.8240101263455</v>
      </c>
      <c r="AA51" s="228">
        <f>(AA41+AA42)*(1-AA50)</f>
        <v>6656.975933430705</v>
      </c>
      <c r="AB51" s="228">
        <f>(AB41+AB42)*(1-AB50)</f>
        <v>5662.653596312667</v>
      </c>
      <c r="AC51" s="228">
        <f>(AC41+AC42)*(1-AC50)</f>
        <v>2502.797975254499</v>
      </c>
      <c r="AD51" s="228">
        <f>(AD41+AD42)*(1-AD50)</f>
        <v>0.0</v>
      </c>
      <c r="AE51" s="228">
        <f>(AE41+AE42)*(1-AE50)</f>
        <v>5700.86291307444</v>
      </c>
      <c r="AF51" s="228">
        <f>(AF41+AF42)*(1-AF50)</f>
        <v>1433.4602433148325</v>
      </c>
      <c r="AG51" s="228">
        <f>(AG41+AG42)*(1-AG50)</f>
        <v>2577.5680521598</v>
      </c>
      <c r="AH51" s="228">
        <f>(AH41+AH42)*(1-AH50)</f>
        <v>306.0588629105838</v>
      </c>
      <c r="AI51" s="228">
        <f>(AI41+AI42)*(1-AI50)</f>
        <v>21980.20408984985</v>
      </c>
      <c r="AJ51" s="228">
        <f>(AJ41+AJ42)*(1-AJ50)</f>
        <v>7707.7192804323895</v>
      </c>
      <c r="AK51" s="228">
        <f>(AK41+AK42)*(1-AK50)</f>
        <v>0.0</v>
      </c>
      <c r="AL51" s="228">
        <f>(AL41+AL42)*(1-AL50)</f>
        <v>414.545500179469</v>
      </c>
      <c r="AM51" s="228">
        <f>(AM41+AM42)*(1-AM50)</f>
        <v>769.749353815979</v>
      </c>
      <c r="AN51" s="228">
        <f>(AN41+AN42)*(1-AN50)</f>
        <v>1087.6046500955008</v>
      </c>
      <c r="AO51" s="228">
        <f>(AO41+AO42)*(1-AO50)</f>
        <v>1393.347095139831</v>
      </c>
      <c r="AP51" s="228">
        <f>(AP41+AP42)*(1-AP50)</f>
        <v>16846.25513377769</v>
      </c>
      <c r="AQ51" s="228">
        <f>(AQ41+AQ42)*(1-AQ50)</f>
        <v>1058.4618377343372</v>
      </c>
      <c r="AR51" s="228">
        <f>(AR41+AR42)*(1-AR50)</f>
        <v>20055.11865863797</v>
      </c>
      <c r="AS51" s="228">
        <f>(AS41+AS42)*(1-AS50)</f>
        <v>908.003348975777</v>
      </c>
      <c r="AT51" s="228">
        <f>(AT41+AT42)*(1-AT50)</f>
        <v>0.0</v>
      </c>
      <c r="AU51" s="228">
        <f>(AU41+AU42)*(1-AU50)</f>
        <v>4505.273015535388</v>
      </c>
      <c r="AV51" s="228">
        <f>(AV41+AV42)*(1-AV50)</f>
        <v>1381.717600466644</v>
      </c>
      <c r="AW51" s="228">
        <f>(AW41+AW42)*(1-AW50)</f>
        <v>1614.2049422056589</v>
      </c>
      <c r="AX51" s="228">
        <f>(AX41+AX42)*(1-AX50)</f>
        <v>2335.407668423655</v>
      </c>
      <c r="AY51" s="228">
        <f>(AY41+AY42)*(1-AY50)</f>
        <v>1336.0807079736978</v>
      </c>
      <c r="AZ51" s="228">
        <f>(AZ41+AZ42)*(1-AZ50)</f>
        <v>13756.97230712272</v>
      </c>
      <c r="BA51" s="228">
        <f>(BA41+BA42)*(1-BA50)</f>
        <v>2236.934105799553</v>
      </c>
      <c r="BB51" s="228">
        <f>(BB41+BB42)*(1-BB50)</f>
        <v>2531.3405562448056</v>
      </c>
      <c r="BC51" s="228">
        <f>(BC41+BC42)*(1-BC50)</f>
        <v>1706.788994132116</v>
      </c>
      <c r="BD51" s="228">
        <f>(BD41+BD42)*(1-BD50)</f>
        <v>10965.98572121202</v>
      </c>
      <c r="BE51" s="228">
        <f>(BE41+BE42)*(1-BE50)</f>
        <v>19659.367497233176</v>
      </c>
      <c r="BF51" s="228">
        <f>(BF41+BF42)*(1-BF50)</f>
        <v>13927.01735792658</v>
      </c>
      <c r="BG51" s="228">
        <f>(BG41+BG42)*(1-BG50)</f>
        <v>246.3615572743421</v>
      </c>
      <c r="BH51" s="228">
        <f>(BH41+BH42)*(1-BH50)</f>
        <v>22763.39015970136</v>
      </c>
      <c r="BI51" s="228">
        <f>(BI41+BI42)*(1-BI50)</f>
        <v>3421.487080128275</v>
      </c>
      <c r="BJ51" s="228">
        <f>(BJ41+BJ42)*(1-BJ50)</f>
        <v>3384.889630335126</v>
      </c>
      <c r="BK51" s="228">
        <f>(BK41+BK42)*(1-BK50)</f>
        <v>65.31813814132511</v>
      </c>
      <c r="BL51" s="228">
        <f>(BL41+BL42)*(1-BL50)</f>
        <v>1015.4433291577269</v>
      </c>
      <c r="BM51" s="228">
        <f>(BM41+BM42)*(1-BM50)</f>
        <v>1279.1137132262554</v>
      </c>
    </row>
    <row r="52">
      <c r="A52" s="3" t="inlineStr">
        <is>
          <t>Household demand x Leontief coa</t>
        </is>
      </c>
      <c r="B52" s="203">
        <f>B43*B44</f>
        <v>7.354901630542066</v>
      </c>
      <c r="C52" s="203">
        <f>C43*C44</f>
        <v>5.742883200515733</v>
      </c>
      <c r="D52" s="203">
        <f>D43*D44</f>
        <v>16.397789677679768</v>
      </c>
      <c r="E52" s="203">
        <f>E43*E44</f>
        <v>3.4461198373009654</v>
      </c>
      <c r="F52" s="203">
        <f>F43*F44</f>
        <v>1.305034690165629</v>
      </c>
      <c r="G52" s="203">
        <f>G43*G44</f>
        <v>19.395376161793624</v>
      </c>
      <c r="H52" s="203">
        <f>H43*H44</f>
        <v>15.07895204623579</v>
      </c>
      <c r="I52" s="203">
        <f>I43*I44</f>
        <v>0.7263171951895083</v>
      </c>
      <c r="J52" s="203">
        <f>J43*J44</f>
        <v>13.60609442326524</v>
      </c>
      <c r="K52" s="203">
        <f>K43*K44</f>
        <v>7.123852719816919e-06</v>
      </c>
      <c r="L52" s="203">
        <f>L43*L44</f>
        <v>1.0850999642369363</v>
      </c>
      <c r="M52" s="203">
        <f>M43*M44</f>
        <v>4.665377535982089</v>
      </c>
      <c r="N52" s="203">
        <f>N43*N44</f>
        <v>5.014191573426399</v>
      </c>
      <c r="O52" s="203">
        <f>O43*O44</f>
        <v>0.15817404546765457</v>
      </c>
      <c r="P52" s="203">
        <f>P43*P44</f>
        <v>10.300763620375717</v>
      </c>
      <c r="Q52" s="203">
        <f>Q43*Q44</f>
        <v>21.828117072125625</v>
      </c>
      <c r="R52" s="203">
        <f>R43*R44</f>
        <v>4.390196722169211</v>
      </c>
      <c r="S52" s="203">
        <f>S43*S44</f>
        <v>0.003386968254433572</v>
      </c>
      <c r="T52" s="203">
        <f>T43*T44</f>
        <v>2.4027797684983194</v>
      </c>
      <c r="U52" s="203">
        <f>U43*U44</f>
        <v>1.9062811685604661</v>
      </c>
      <c r="V52" s="203">
        <f>V43*V44</f>
        <v>12.126522655058336</v>
      </c>
      <c r="W52" s="203">
        <f>W43*W44</f>
        <v>3.846162708157988</v>
      </c>
      <c r="X52" s="203">
        <f>X43*X44</f>
        <v>2.1180635625366766</v>
      </c>
      <c r="Y52" s="203">
        <f>Y43*Y44</f>
        <v>0.3634838005036122</v>
      </c>
      <c r="Z52" s="203">
        <f>Z43*Z44</f>
        <v>14.981151599225077</v>
      </c>
      <c r="AA52" s="203">
        <f>AA43*AA44</f>
        <v>4.190015005122773</v>
      </c>
      <c r="AB52" s="203">
        <f>AB43*AB44</f>
        <v>22.449084896663084</v>
      </c>
      <c r="AC52" s="203">
        <f>AC43*AC44</f>
        <v>7.051474382921995</v>
      </c>
      <c r="AD52" s="203">
        <f>AD43*AD44</f>
        <v>0.2823915906006018</v>
      </c>
      <c r="AE52" s="203">
        <f>AE43*AE44</f>
        <v>8.974950984656404</v>
      </c>
      <c r="AF52" s="203">
        <f>AF43*AF44</f>
        <v>1.35368151496477</v>
      </c>
      <c r="AG52" s="203">
        <f>AG43*AG44</f>
        <v>0.6624507891278544</v>
      </c>
      <c r="AH52" s="203">
        <f>AH43*AH44</f>
        <v>0.01144478318242131</v>
      </c>
      <c r="AI52" s="203">
        <f>AI43*AI44</f>
        <v>44.71976923966042</v>
      </c>
      <c r="AJ52" s="203">
        <f>AJ43*AJ44</f>
        <v>2.442721154831503</v>
      </c>
      <c r="AK52" s="203">
        <f>AK43*AK44</f>
        <v>0.009770347088633863</v>
      </c>
      <c r="AL52" s="203">
        <f>AL43*AL44</f>
        <v>0.49292269048230786</v>
      </c>
      <c r="AM52" s="203">
        <f>AM43*AM44</f>
        <v>2.3610893529505455</v>
      </c>
      <c r="AN52" s="203">
        <f>AN43*AN44</f>
        <v>0.21747160507281585</v>
      </c>
      <c r="AO52" s="203">
        <f>AO43*AO44</f>
        <v>0.7852774520886261</v>
      </c>
      <c r="AP52" s="203">
        <f>AP43*AP44</f>
        <v>3.5842831392466117</v>
      </c>
      <c r="AQ52" s="203">
        <f>AQ43*AQ44</f>
        <v>3.3872274289667406</v>
      </c>
      <c r="AR52" s="203">
        <f>AR43*AR44</f>
        <v>32.722815834744985</v>
      </c>
      <c r="AS52" s="203">
        <f>AS43*AS44</f>
        <v>0.7117384235814287</v>
      </c>
      <c r="AT52" s="203">
        <f>AT43*AT44</f>
        <v>24.545646211428508</v>
      </c>
      <c r="AU52" s="203">
        <f>AU43*AU44</f>
        <v>5.260882791016007</v>
      </c>
      <c r="AV52" s="203">
        <f>AV43*AV44</f>
        <v>1.0140714793648102</v>
      </c>
      <c r="AW52" s="203">
        <f>AW43*AW44</f>
        <v>3.036474945452979</v>
      </c>
      <c r="AX52" s="203">
        <f>AX43*AX44</f>
        <v>4.299622841868708</v>
      </c>
      <c r="AY52" s="203">
        <f>AY43*AY44</f>
        <v>1.1339031154395687</v>
      </c>
      <c r="AZ52" s="203">
        <f>AZ43*AZ44</f>
        <v>14.49233107989572</v>
      </c>
      <c r="BA52" s="203">
        <f>BA43*BA44</f>
        <v>6.0259129221835375</v>
      </c>
      <c r="BB52" s="203">
        <f>BB43*BB44</f>
        <v>0.7391477346875734</v>
      </c>
      <c r="BC52" s="203">
        <f>BC43*BC44</f>
        <v>2.5589260510943515</v>
      </c>
      <c r="BD52" s="203">
        <f>BD43*BD44</f>
        <v>14.880719874203537</v>
      </c>
      <c r="BE52" s="203">
        <f>BE43*BE44</f>
        <v>11.101988424371658</v>
      </c>
      <c r="BF52" s="203">
        <f>BF43*BF44</f>
        <v>7.245048339755956</v>
      </c>
      <c r="BG52" s="203">
        <f>BG43*BG44</f>
        <v>0.03113696163152483</v>
      </c>
      <c r="BH52" s="203">
        <f>BH43*BH44</f>
        <v>37.20559331287515</v>
      </c>
      <c r="BI52" s="203">
        <f>BI43*BI44</f>
        <v>5.41060312950812</v>
      </c>
      <c r="BJ52" s="203">
        <f>BJ43*BJ44</f>
        <v>3.9113077395598093</v>
      </c>
      <c r="BK52" s="203">
        <f>BK43*BK44</f>
        <v>0.034595985981321326</v>
      </c>
      <c r="BL52" s="203">
        <f>BL43*BL44</f>
        <v>2.646981712807977</v>
      </c>
      <c r="BM52" s="203">
        <f>BM43*BM44</f>
        <v>3.6345596050851143</v>
      </c>
    </row>
    <row r="53">
      <c r="A53" s="3" t="inlineStr">
        <is>
          <t>Household demand x Leontief ely</t>
        </is>
      </c>
      <c r="B53" s="203">
        <f>B43*B45</f>
        <v>54.29204935897524</v>
      </c>
      <c r="C53" s="203">
        <f>C43*C45</f>
        <v>3.62345972985074</v>
      </c>
      <c r="D53" s="203">
        <f>D43*D45</f>
        <v>19.58032465280746</v>
      </c>
      <c r="E53" s="203">
        <f>E43*E45</f>
        <v>5.103492351504765</v>
      </c>
      <c r="F53" s="203">
        <f>F43*F45</f>
        <v>2.585119308746039</v>
      </c>
      <c r="G53" s="203">
        <f>G43*G45</f>
        <v>37.848049198119035</v>
      </c>
      <c r="H53" s="203">
        <f>H43*H45</f>
        <v>28.142090270577008</v>
      </c>
      <c r="I53" s="203">
        <f>I43*I45</f>
        <v>3.5044008471175867</v>
      </c>
      <c r="J53" s="203">
        <f>J43*J45</f>
        <v>12.07506936032169</v>
      </c>
      <c r="K53" s="203">
        <f>K43*K45</f>
        <v>3.7803181245144496e-08</v>
      </c>
      <c r="L53" s="203">
        <f>L43*L45</f>
        <v>2.334932222605536</v>
      </c>
      <c r="M53" s="203">
        <f>M43*M45</f>
        <v>5.6968113340024455</v>
      </c>
      <c r="N53" s="203">
        <f>N43*N45</f>
        <v>27.915532451751083</v>
      </c>
      <c r="O53" s="203">
        <f>O43*O45</f>
        <v>0.20148201697706714</v>
      </c>
      <c r="P53" s="203">
        <f>P43*P45</f>
        <v>28.32010705043715</v>
      </c>
      <c r="Q53" s="203">
        <f>Q43*Q45</f>
        <v>4602.798489678306</v>
      </c>
      <c r="R53" s="203">
        <f>R43*R45</f>
        <v>4.3861136756571675</v>
      </c>
      <c r="S53" s="203">
        <f>S43*S45</f>
        <v>0.005912081671108117</v>
      </c>
      <c r="T53" s="203">
        <f>T43*T45</f>
        <v>20.378283640031782</v>
      </c>
      <c r="U53" s="203">
        <f>U43*U45</f>
        <v>4.030228885845433</v>
      </c>
      <c r="V53" s="203">
        <f>V43*V45</f>
        <v>27.324473341486783</v>
      </c>
      <c r="W53" s="203">
        <f>W43*W45</f>
        <v>9.48959876155938</v>
      </c>
      <c r="X53" s="203">
        <f>X43*X45</f>
        <v>6.624488359750818</v>
      </c>
      <c r="Y53" s="203">
        <f>Y43*Y45</f>
        <v>0.4098786922813846</v>
      </c>
      <c r="Z53" s="203">
        <f>Z43*Z45</f>
        <v>18.402695226158844</v>
      </c>
      <c r="AA53" s="203">
        <f>AA43*AA45</f>
        <v>10.386314685127584</v>
      </c>
      <c r="AB53" s="203">
        <f>AB43*AB45</f>
        <v>25.392951750391163</v>
      </c>
      <c r="AC53" s="203">
        <f>AC43*AC45</f>
        <v>9.007059722364367</v>
      </c>
      <c r="AD53" s="203">
        <f>AD43*AD45</f>
        <v>0.06517972162410658</v>
      </c>
      <c r="AE53" s="203">
        <f>AE43*AE45</f>
        <v>19.485205253495778</v>
      </c>
      <c r="AF53" s="203">
        <f>AF43*AF45</f>
        <v>2.6436675434064103</v>
      </c>
      <c r="AG53" s="203">
        <f>AG43*AG45</f>
        <v>1.2768367265524</v>
      </c>
      <c r="AH53" s="203">
        <f>AH43*AH45</f>
        <v>0.02509569846059266</v>
      </c>
      <c r="AI53" s="203">
        <f>AI43*AI45</f>
        <v>63.381261449297924</v>
      </c>
      <c r="AJ53" s="203">
        <f>AJ43*AJ45</f>
        <v>10.541826951710517</v>
      </c>
      <c r="AK53" s="203">
        <f>AK43*AK45</f>
        <v>0.011690438237850402</v>
      </c>
      <c r="AL53" s="203">
        <f>AL43*AL45</f>
        <v>0.5397144900395635</v>
      </c>
      <c r="AM53" s="203">
        <f>AM43*AM45</f>
        <v>4.436011675841571</v>
      </c>
      <c r="AN53" s="203">
        <f>AN43*AN45</f>
        <v>0.8762096189725475</v>
      </c>
      <c r="AO53" s="203">
        <f>AO43*AO45</f>
        <v>1.7197006721310082</v>
      </c>
      <c r="AP53" s="203">
        <f>AP43*AP45</f>
        <v>8.024754949356385</v>
      </c>
      <c r="AQ53" s="203">
        <f>AQ43*AQ45</f>
        <v>4.246379548514051</v>
      </c>
      <c r="AR53" s="203">
        <f>AR43*AR45</f>
        <v>28.534405420736896</v>
      </c>
      <c r="AS53" s="203">
        <f>AS43*AS45</f>
        <v>3.2932101108493854</v>
      </c>
      <c r="AT53" s="203">
        <f>AT43*AT45</f>
        <v>3.479711779364939</v>
      </c>
      <c r="AU53" s="203">
        <f>AU43*AU45</f>
        <v>8.947270023801652</v>
      </c>
      <c r="AV53" s="203">
        <f>AV43*AV45</f>
        <v>1.9304286588937547</v>
      </c>
      <c r="AW53" s="203">
        <f>AW43*AW45</f>
        <v>6.137401863280299</v>
      </c>
      <c r="AX53" s="203">
        <f>AX43*AX45</f>
        <v>12.5201987019617</v>
      </c>
      <c r="AY53" s="203">
        <f>AY43*AY45</f>
        <v>2.4190738068249455</v>
      </c>
      <c r="AZ53" s="203">
        <f>AZ43*AZ45</f>
        <v>63.945229151466876</v>
      </c>
      <c r="BA53" s="203">
        <f>BA43*BA45</f>
        <v>8.162023722947753</v>
      </c>
      <c r="BB53" s="203">
        <f>BB43*BB45</f>
        <v>9.370026632143528</v>
      </c>
      <c r="BC53" s="203">
        <f>BC43*BC45</f>
        <v>3.8644795515664048</v>
      </c>
      <c r="BD53" s="203">
        <f>BD43*BD45</f>
        <v>29.51596638926833</v>
      </c>
      <c r="BE53" s="203">
        <f>BE43*BE45</f>
        <v>62.75270126396035</v>
      </c>
      <c r="BF53" s="203">
        <f>BF43*BF45</f>
        <v>14.57871559827532</v>
      </c>
      <c r="BG53" s="203">
        <f>BG43*BG45</f>
        <v>0.06758963988990487</v>
      </c>
      <c r="BH53" s="203">
        <f>BH43*BH45</f>
        <v>54.02018096821202</v>
      </c>
      <c r="BI53" s="203">
        <f>BI43*BI45</f>
        <v>9.493402306826496</v>
      </c>
      <c r="BJ53" s="203">
        <f>BJ43*BJ45</f>
        <v>8.146709805103688</v>
      </c>
      <c r="BK53" s="203">
        <f>BK43*BK45</f>
        <v>0.043208769406395134</v>
      </c>
      <c r="BL53" s="203">
        <f>BL43*BL45</f>
        <v>1.8507635073669597</v>
      </c>
      <c r="BM53" s="203">
        <f>BM43*BM45</f>
        <v>13.01435633497838</v>
      </c>
    </row>
    <row r="54">
      <c r="A54" s="3" t="inlineStr">
        <is>
          <t>Household demand x Leontief nga</t>
        </is>
      </c>
      <c r="B54" s="203">
        <f>B43*B46</f>
        <v>28.664743883194312</v>
      </c>
      <c r="C54" s="203">
        <f>C43*C46</f>
        <v>14.041690692317967</v>
      </c>
      <c r="D54" s="203">
        <f>D43*D46</f>
        <v>25.24813947726215</v>
      </c>
      <c r="E54" s="203">
        <f>E43*E46</f>
        <v>29.3945918131171</v>
      </c>
      <c r="F54" s="203">
        <f>F43*F46</f>
        <v>4.53855124859625</v>
      </c>
      <c r="G54" s="203">
        <f>G43*G46</f>
        <v>126.73722778665781</v>
      </c>
      <c r="H54" s="203">
        <f>H43*H46</f>
        <v>26.158642204986506</v>
      </c>
      <c r="I54" s="203">
        <f>I43*I46</f>
        <v>3.0933841449448214</v>
      </c>
      <c r="J54" s="203">
        <f>J43*J46</f>
        <v>17.396122459861164</v>
      </c>
      <c r="K54" s="203">
        <f>K43*K46</f>
        <v>3.8561032279186156e-08</v>
      </c>
      <c r="L54" s="203">
        <f>L43*L46</f>
        <v>3.6453991016282505</v>
      </c>
      <c r="M54" s="203">
        <f>M43*M46</f>
        <v>8.056806504927412</v>
      </c>
      <c r="N54" s="203">
        <f>N43*N46</f>
        <v>17.601663505676676</v>
      </c>
      <c r="O54" s="203">
        <f>O43*O46</f>
        <v>0.20816202209417334</v>
      </c>
      <c r="P54" s="203">
        <f>P43*P46</f>
        <v>20.47317626778138</v>
      </c>
      <c r="Q54" s="203">
        <f>Q43*Q46</f>
        <v>1528.0169711708793</v>
      </c>
      <c r="R54" s="203">
        <f>R43*R46</f>
        <v>7.266746462106797</v>
      </c>
      <c r="S54" s="203">
        <f>S43*S46</f>
        <v>0.005937668600424953</v>
      </c>
      <c r="T54" s="203">
        <f>T43*T46</f>
        <v>12.000939808857247</v>
      </c>
      <c r="U54" s="203">
        <f>U43*U46</f>
        <v>6.979500594530526</v>
      </c>
      <c r="V54" s="203">
        <f>V43*V46</f>
        <v>31.473718845333945</v>
      </c>
      <c r="W54" s="203">
        <f>W43*W46</f>
        <v>9.662512793239909</v>
      </c>
      <c r="X54" s="203">
        <f>X43*X46</f>
        <v>5.116412309511797</v>
      </c>
      <c r="Y54" s="203">
        <f>Y43*Y46</f>
        <v>0.6184424873220782</v>
      </c>
      <c r="Z54" s="203">
        <f>Z43*Z46</f>
        <v>25.09004231142684</v>
      </c>
      <c r="AA54" s="203">
        <f>AA43*AA46</f>
        <v>12.65115454305359</v>
      </c>
      <c r="AB54" s="203">
        <f>AB43*AB46</f>
        <v>28.710694100789585</v>
      </c>
      <c r="AC54" s="203">
        <f>AC43*AC46</f>
        <v>9.366171007957032</v>
      </c>
      <c r="AD54" s="203">
        <f>AD43*AD46</f>
        <v>155.45743272891846</v>
      </c>
      <c r="AE54" s="203">
        <f>AE43*AE46</f>
        <v>30.094720997489624</v>
      </c>
      <c r="AF54" s="203">
        <f>AF43*AF46</f>
        <v>4.258509352374072</v>
      </c>
      <c r="AG54" s="203">
        <f>AG43*AG46</f>
        <v>1.1838470934614584</v>
      </c>
      <c r="AH54" s="203">
        <f>AH43*AH46</f>
        <v>0.037810530229408224</v>
      </c>
      <c r="AI54" s="203">
        <f>AI43*AI46</f>
        <v>106.44890969366368</v>
      </c>
      <c r="AJ54" s="203">
        <f>AJ43*AJ46</f>
        <v>6.806791804919352</v>
      </c>
      <c r="AK54" s="203">
        <f>AK43*AK46</f>
        <v>0.1539425360505719</v>
      </c>
      <c r="AL54" s="203">
        <f>AL43*AL46</f>
        <v>0.5274599276040144</v>
      </c>
      <c r="AM54" s="203">
        <f>AM43*AM46</f>
        <v>5.752140269021229</v>
      </c>
      <c r="AN54" s="203">
        <f>AN43*AN46</f>
        <v>0.833809655292663</v>
      </c>
      <c r="AO54" s="203">
        <f>AO43*AO46</f>
        <v>2.8345508181685357</v>
      </c>
      <c r="AP54" s="203">
        <f>AP43*AP46</f>
        <v>6.596323449311855</v>
      </c>
      <c r="AQ54" s="203">
        <f>AQ43*AQ46</f>
        <v>4.31894723740645</v>
      </c>
      <c r="AR54" s="203">
        <f>AR43*AR46</f>
        <v>86.40667911566436</v>
      </c>
      <c r="AS54" s="203">
        <f>AS43*AS46</f>
        <v>2.939763539715518</v>
      </c>
      <c r="AT54" s="203">
        <f>AT43*AT46</f>
        <v>61.41371834368577</v>
      </c>
      <c r="AU54" s="203">
        <f>AU43*AU46</f>
        <v>14.918256004356161</v>
      </c>
      <c r="AV54" s="203">
        <f>AV43*AV46</f>
        <v>3.422227604047065</v>
      </c>
      <c r="AW54" s="203">
        <f>AW43*AW46</f>
        <v>10.76071267681748</v>
      </c>
      <c r="AX54" s="203">
        <f>AX43*AX46</f>
        <v>15.857496372675875</v>
      </c>
      <c r="AY54" s="203">
        <f>AY43*AY46</f>
        <v>3.7893163515316726</v>
      </c>
      <c r="AZ54" s="203">
        <f>AZ43*AZ46</f>
        <v>50.54863490920164</v>
      </c>
      <c r="BA54" s="203">
        <f>BA43*BA46</f>
        <v>31.594209327671813</v>
      </c>
      <c r="BB54" s="203">
        <f>BB43*BB46</f>
        <v>4.07426737244572</v>
      </c>
      <c r="BC54" s="203">
        <f>BC43*BC46</f>
        <v>6.533659806052328</v>
      </c>
      <c r="BD54" s="203">
        <f>BD43*BD46</f>
        <v>34.63471337253328</v>
      </c>
      <c r="BE54" s="203">
        <f>BE43*BE46</f>
        <v>34.81791771492468</v>
      </c>
      <c r="BF54" s="203">
        <f>BF43*BF46</f>
        <v>25.09334736775958</v>
      </c>
      <c r="BG54" s="203">
        <f>BG43*BG46</f>
        <v>0.11163395859167283</v>
      </c>
      <c r="BH54" s="203">
        <f>BH43*BH46</f>
        <v>76.11535114255791</v>
      </c>
      <c r="BI54" s="203">
        <f>BI43*BI46</f>
        <v>9.654302846217728</v>
      </c>
      <c r="BJ54" s="203">
        <f>BJ43*BJ46</f>
        <v>13.061670595736215</v>
      </c>
      <c r="BK54" s="203">
        <f>BK43*BK46</f>
        <v>0.052251226928276856</v>
      </c>
      <c r="BL54" s="203">
        <f>BL43*BL46</f>
        <v>6.392087505933327</v>
      </c>
      <c r="BM54" s="203">
        <f>BM43*BM46</f>
        <v>8.449714989671484</v>
      </c>
    </row>
    <row r="55">
      <c r="A55" s="3" t="inlineStr">
        <is>
          <t>Household demand x Leontief oil</t>
        </is>
      </c>
      <c r="B55" s="203">
        <f>B43*B47</f>
        <v>108.72987815685833</v>
      </c>
      <c r="C55" s="203">
        <f>C43*C47</f>
        <v>321.47852970162563</v>
      </c>
      <c r="D55" s="203">
        <f>D43*D47</f>
        <v>122.72862098748578</v>
      </c>
      <c r="E55" s="203">
        <f>E43*E47</f>
        <v>38.12242691695128</v>
      </c>
      <c r="F55" s="203">
        <f>F43*F47</f>
        <v>44.73411981023453</v>
      </c>
      <c r="G55" s="203">
        <f>G43*G47</f>
        <v>489.65071459057714</v>
      </c>
      <c r="H55" s="203">
        <f>H43*H47</f>
        <v>146.35128498581747</v>
      </c>
      <c r="I55" s="203">
        <f>I43*I47</f>
        <v>15.14199121171378</v>
      </c>
      <c r="J55" s="203">
        <f>J43*J47</f>
        <v>92.4581022038864</v>
      </c>
      <c r="K55" s="203">
        <f>K43*K47</f>
        <v>2.541630537443749e-07</v>
      </c>
      <c r="L55" s="203">
        <f>L43*L47</f>
        <v>35.01075935928742</v>
      </c>
      <c r="M55" s="203">
        <f>M43*M47</f>
        <v>33.59719686722916</v>
      </c>
      <c r="N55" s="203">
        <f>N43*N47</f>
        <v>76.94166509931098</v>
      </c>
      <c r="O55" s="203">
        <f>O43*O47</f>
        <v>0.9040799146662926</v>
      </c>
      <c r="P55" s="203">
        <f>P43*P47</f>
        <v>76.84335691117732</v>
      </c>
      <c r="Q55" s="203">
        <f>Q43*Q47</f>
        <v>2133.5181200744873</v>
      </c>
      <c r="R55" s="203">
        <f>R43*R47</f>
        <v>31.397757377316267</v>
      </c>
      <c r="S55" s="203">
        <f>S43*S47</f>
        <v>0.07909894613991382</v>
      </c>
      <c r="T55" s="203">
        <f>T43*T47</f>
        <v>80.10667430973885</v>
      </c>
      <c r="U55" s="203">
        <f>U43*U47</f>
        <v>69.63061778539782</v>
      </c>
      <c r="V55" s="203">
        <f>V43*V47</f>
        <v>127.30676388044067</v>
      </c>
      <c r="W55" s="203">
        <f>W43*W47</f>
        <v>38.540192433736415</v>
      </c>
      <c r="X55" s="203">
        <f>X43*X47</f>
        <v>43.22028808066612</v>
      </c>
      <c r="Y55" s="203">
        <f>Y43*Y47</f>
        <v>3.309673280090247</v>
      </c>
      <c r="Z55" s="203">
        <f>Z43*Z47</f>
        <v>149.64950075492595</v>
      </c>
      <c r="AA55" s="203">
        <f>AA43*AA47</f>
        <v>71.67617475315663</v>
      </c>
      <c r="AB55" s="203">
        <f>AB43*AB47</f>
        <v>127.14232427702308</v>
      </c>
      <c r="AC55" s="203">
        <f>AC43*AC47</f>
        <v>39.311836655220205</v>
      </c>
      <c r="AD55" s="203">
        <f>AD43*AD47</f>
        <v>5.4825447510254905</v>
      </c>
      <c r="AE55" s="203">
        <f>AE43*AE47</f>
        <v>165.88692527747676</v>
      </c>
      <c r="AF55" s="203">
        <f>AF43*AF47</f>
        <v>39.02585954176929</v>
      </c>
      <c r="AG55" s="203">
        <f>AG43*AG47</f>
        <v>8.399890900274988</v>
      </c>
      <c r="AH55" s="203">
        <f>AH43*AH47</f>
        <v>0.3612507734914841</v>
      </c>
      <c r="AI55" s="203">
        <f>AI43*AI47</f>
        <v>699.1535257629674</v>
      </c>
      <c r="AJ55" s="203">
        <f>AJ43*AJ47</f>
        <v>46.39164921172776</v>
      </c>
      <c r="AK55" s="203">
        <f>AK43*AK47</f>
        <v>23.19254532882279</v>
      </c>
      <c r="AL55" s="203">
        <f>AL43*AL47</f>
        <v>2.2171436237114492</v>
      </c>
      <c r="AM55" s="203">
        <f>AM43*AM47</f>
        <v>21.68274518747527</v>
      </c>
      <c r="AN55" s="203">
        <f>AN43*AN47</f>
        <v>4.429017964959156</v>
      </c>
      <c r="AO55" s="203">
        <f>AO43*AO47</f>
        <v>27.98308063790845</v>
      </c>
      <c r="AP55" s="203">
        <f>AP43*AP47</f>
        <v>35.67707648179349</v>
      </c>
      <c r="AQ55" s="203">
        <f>AQ43*AQ47</f>
        <v>17.352196529954252</v>
      </c>
      <c r="AR55" s="203">
        <f>AR43*AR47</f>
        <v>1940.4871800119483</v>
      </c>
      <c r="AS55" s="203">
        <f>AS43*AS47</f>
        <v>34.074964711542954</v>
      </c>
      <c r="AT55" s="203">
        <f>AT43*AT47</f>
        <v>4822.794818771174</v>
      </c>
      <c r="AU55" s="203">
        <f>AU43*AU47</f>
        <v>122.59013649557504</v>
      </c>
      <c r="AV55" s="203">
        <f>AV43*AV47</f>
        <v>33.49575469625956</v>
      </c>
      <c r="AW55" s="203">
        <f>AW43*AW47</f>
        <v>107.34619884685883</v>
      </c>
      <c r="AX55" s="203">
        <f>AX43*AX47</f>
        <v>67.95789370940648</v>
      </c>
      <c r="AY55" s="203">
        <f>AY43*AY47</f>
        <v>36.24651886946958</v>
      </c>
      <c r="AZ55" s="203">
        <f>AZ43*AZ47</f>
        <v>203.6704874271994</v>
      </c>
      <c r="BA55" s="203">
        <f>BA43*BA47</f>
        <v>45.05776405684214</v>
      </c>
      <c r="BB55" s="203">
        <f>BB43*BB47</f>
        <v>15.303625511012825</v>
      </c>
      <c r="BC55" s="203">
        <f>BC43*BC47</f>
        <v>50.87167900215861</v>
      </c>
      <c r="BD55" s="203">
        <f>BD43*BD47</f>
        <v>223.22585915291376</v>
      </c>
      <c r="BE55" s="203">
        <f>BE43*BE47</f>
        <v>239.85654387452482</v>
      </c>
      <c r="BF55" s="203">
        <f>BF43*BF47</f>
        <v>246.92267353894727</v>
      </c>
      <c r="BG55" s="203">
        <f>BG43*BG47</f>
        <v>1.0973562974793651</v>
      </c>
      <c r="BH55" s="203">
        <f>BH43*BH47</f>
        <v>381.62703025487457</v>
      </c>
      <c r="BI55" s="203">
        <f>BI43*BI47</f>
        <v>41.7243609008978</v>
      </c>
      <c r="BJ55" s="203">
        <f>BJ43*BJ47</f>
        <v>129.09049348432225</v>
      </c>
      <c r="BK55" s="203">
        <f>BK43*BK47</f>
        <v>0.6087246956230266</v>
      </c>
      <c r="BL55" s="203">
        <f>BL43*BL47</f>
        <v>118.1190032794953</v>
      </c>
      <c r="BM55" s="203">
        <f>BM43*BM47</f>
        <v>37.595790979278505</v>
      </c>
    </row>
    <row r="56">
      <c r="A56" s="3" t="inlineStr">
        <is>
          <t>Household demand x Leontief p_c</t>
        </is>
      </c>
      <c r="B56" s="203">
        <f>B43*B48</f>
        <v>157.62178531901804</v>
      </c>
      <c r="C56" s="203">
        <f>C43*C48</f>
        <v>447.71639066279573</v>
      </c>
      <c r="D56" s="203">
        <f>D43*D48</f>
        <v>188.88483922315004</v>
      </c>
      <c r="E56" s="203">
        <f>E43*E48</f>
        <v>57.46670473247788</v>
      </c>
      <c r="F56" s="203">
        <f>F43*F48</f>
        <v>62.417428361190446</v>
      </c>
      <c r="G56" s="203">
        <f>G43*G48</f>
        <v>708.6482888825219</v>
      </c>
      <c r="H56" s="203">
        <f>H43*H48</f>
        <v>220.85275653023984</v>
      </c>
      <c r="I56" s="203">
        <f>I43*I48</f>
        <v>21.33212594481288</v>
      </c>
      <c r="J56" s="203">
        <f>J43*J48</f>
        <v>144.95760184261096</v>
      </c>
      <c r="K56" s="203">
        <f>K43*K48</f>
        <v>3.6355917370150895e-07</v>
      </c>
      <c r="L56" s="203">
        <f>L43*L48</f>
        <v>48.57288101657914</v>
      </c>
      <c r="M56" s="203">
        <f>M43*M48</f>
        <v>52.758031674315326</v>
      </c>
      <c r="N56" s="203">
        <f>N43*N48</f>
        <v>108.82429442215684</v>
      </c>
      <c r="O56" s="203">
        <f>O43*O48</f>
        <v>1.4635014225742276</v>
      </c>
      <c r="P56" s="203">
        <f>P43*P48</f>
        <v>119.23173906415988</v>
      </c>
      <c r="Q56" s="203">
        <f>Q43*Q48</f>
        <v>2696.490127036291</v>
      </c>
      <c r="R56" s="203">
        <f>R43*R48</f>
        <v>49.96431988114397</v>
      </c>
      <c r="S56" s="203">
        <f>S43*S48</f>
        <v>0.11074598922240103</v>
      </c>
      <c r="T56" s="203">
        <f>T43*T48</f>
        <v>107.26972118545831</v>
      </c>
      <c r="U56" s="203">
        <f>U43*U48</f>
        <v>95.78138428383171</v>
      </c>
      <c r="V56" s="203">
        <f>V43*V48</f>
        <v>189.75597124124684</v>
      </c>
      <c r="W56" s="203">
        <f>W43*W48</f>
        <v>56.556979702429174</v>
      </c>
      <c r="X56" s="203">
        <f>X43*X48</f>
        <v>62.97864115004068</v>
      </c>
      <c r="Y56" s="203">
        <f>Y43*Y48</f>
        <v>5.04372407787742</v>
      </c>
      <c r="Z56" s="203">
        <f>Z43*Z48</f>
        <v>230.85054419140707</v>
      </c>
      <c r="AA56" s="203">
        <f>AA43*AA48</f>
        <v>104.66728245237819</v>
      </c>
      <c r="AB56" s="203">
        <f>AB43*AB48</f>
        <v>202.23393049062955</v>
      </c>
      <c r="AC56" s="203">
        <f>AC43*AC48</f>
        <v>66.51097936439476</v>
      </c>
      <c r="AD56" s="203">
        <f>AD43*AD48</f>
        <v>6.686899692998639</v>
      </c>
      <c r="AE56" s="203">
        <f>AE43*AE48</f>
        <v>238.4854938187602</v>
      </c>
      <c r="AF56" s="203">
        <f>AF43*AF48</f>
        <v>54.60408130066212</v>
      </c>
      <c r="AG56" s="203">
        <f>AG43*AG48</f>
        <v>12.54189882399283</v>
      </c>
      <c r="AH56" s="203">
        <f>AH43*AH48</f>
        <v>0.4985256735137724</v>
      </c>
      <c r="AI56" s="203">
        <f>AI43*AI48</f>
        <v>1041.2720812806756</v>
      </c>
      <c r="AJ56" s="203">
        <f>AJ43*AJ48</f>
        <v>67.48369916685914</v>
      </c>
      <c r="AK56" s="203">
        <f>AK43*AK48</f>
        <v>0.2805749812986391</v>
      </c>
      <c r="AL56" s="203">
        <f>AL43*AL48</f>
        <v>3.7972187421897354</v>
      </c>
      <c r="AM56" s="203">
        <f>AM43*AM48</f>
        <v>34.236341577907844</v>
      </c>
      <c r="AN56" s="203">
        <f>AN43*AN48</f>
        <v>6.260584348124419</v>
      </c>
      <c r="AO56" s="203">
        <f>AO43*AO48</f>
        <v>38.42150874678651</v>
      </c>
      <c r="AP56" s="203">
        <f>AP43*AP48</f>
        <v>52.5009122911541</v>
      </c>
      <c r="AQ56" s="203">
        <f>AQ43*AQ48</f>
        <v>28.060584292193425</v>
      </c>
      <c r="AR56" s="203">
        <f>AR43*AR48</f>
        <v>2561.470973759361</v>
      </c>
      <c r="AS56" s="203">
        <f>AS43*AS48</f>
        <v>45.76191510680425</v>
      </c>
      <c r="AT56" s="203">
        <f>AT43*AT48</f>
        <v>5609.274627972636</v>
      </c>
      <c r="AU56" s="203">
        <f>AU43*AU48</f>
        <v>176.38494548577572</v>
      </c>
      <c r="AV56" s="203">
        <f>AV43*AV48</f>
        <v>47.25550197052765</v>
      </c>
      <c r="AW56" s="203">
        <f>AW43*AW48</f>
        <v>148.89018559012402</v>
      </c>
      <c r="AX56" s="203">
        <f>AX43*AX48</f>
        <v>100.84657787697849</v>
      </c>
      <c r="AY56" s="203">
        <f>AY43*AY48</f>
        <v>50.32143545794155</v>
      </c>
      <c r="AZ56" s="203">
        <f>AZ43*AZ48</f>
        <v>294.49014249903144</v>
      </c>
      <c r="BA56" s="203">
        <f>BA43*BA48</f>
        <v>70.42609199730491</v>
      </c>
      <c r="BB56" s="203">
        <f>BB43*BB48</f>
        <v>21.766249554743855</v>
      </c>
      <c r="BC56" s="203">
        <f>BC43*BC48</f>
        <v>73.79215455706786</v>
      </c>
      <c r="BD56" s="203">
        <f>BD43*BD48</f>
        <v>322.3773123255525</v>
      </c>
      <c r="BE56" s="203">
        <f>BE43*BE48</f>
        <v>346.9277266718202</v>
      </c>
      <c r="BF56" s="203">
        <f>BF43*BF48</f>
        <v>343.142837285565</v>
      </c>
      <c r="BG56" s="203">
        <f>BG43*BG48</f>
        <v>1.5085336514757945</v>
      </c>
      <c r="BH56" s="203">
        <f>BH43*BH48</f>
        <v>574.7753805317357</v>
      </c>
      <c r="BI56" s="203">
        <f>BI43*BI48</f>
        <v>63.254772987038606</v>
      </c>
      <c r="BJ56" s="203">
        <f>BJ43*BJ48</f>
        <v>177.61050182446064</v>
      </c>
      <c r="BK56" s="203">
        <f>BK43*BK48</f>
        <v>0.8544427771740601</v>
      </c>
      <c r="BL56" s="203">
        <f>BL43*BL48</f>
        <v>172.61733362309633</v>
      </c>
      <c r="BM56" s="203">
        <f>BM43*BM48</f>
        <v>56.30031817162985</v>
      </c>
    </row>
    <row r="57"/>
    <row r="58">
      <c r="A58" s="6" t="inlineStr">
        <is>
          <t>Deflator ratio (ResultsYear / GTAP year)</t>
        </is>
      </c>
      <c r="B58" s="58">
        <f>INDEX(DIOVal,MATCH(LOWER(CtryCode)&amp;".hhd",DIOKey,0),MATCH("year",DIOSec,0))</f>
        <v>2014.0</v>
      </c>
      <c r="C58" s="203">
        <f>INDEX(DDeflVal,MATCH(CtryCode&amp;".NGDP_D.A",DDeflKey,0),MATCH(Settings!$C$8,DDeflYear,0))</f>
        <v>234.718325</v>
      </c>
      <c r="D58" s="203">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202">
        <f>$E$58*(SUMPRODUCT($B$51:$BM$51,$B$44:$BM$44)+INDEX($B$41:$BM$41,MATCH($A61,$B$39:$BM$39,0)))</f>
        <v>4511.404577797534</v>
      </c>
    </row>
    <row r="62">
      <c r="A62" s="3" t="inlineStr">
        <is>
          <t>ely</t>
        </is>
      </c>
      <c r="B62" s="202">
        <f>$E$58*(SUMPRODUCT($B$51:$BM$51,$B$45:$BM$45)+INDEX($B$41:$BM$41,MATCH($A62,$B$39:$BM$39,0)))</f>
        <v>34189.52700250687</v>
      </c>
    </row>
    <row r="63">
      <c r="A63" s="3" t="inlineStr">
        <is>
          <t>nga</t>
        </is>
      </c>
      <c r="B63" s="202">
        <f>$E$58*(SUMPRODUCT($B$51:$BM$51,$B$46:$BM$46)+INDEX($B$41:$BM$41,MATCH($A63,$B$39:$BM$39,0)))</f>
        <v>11797.29060329465</v>
      </c>
    </row>
    <row r="64">
      <c r="A64" s="3" t="inlineStr">
        <is>
          <t>oil</t>
        </is>
      </c>
      <c r="B64" s="202">
        <f>$E$58*(SUMPRODUCT($B$51:$BM$51,$B$47:$BM$47)+INDEX($B$41:$BM$41,MATCH($A64,$B$39:$BM$39,0)))</f>
        <v>74280.99898978737</v>
      </c>
    </row>
    <row r="65">
      <c r="A65" s="3" t="inlineStr">
        <is>
          <t>p_c</t>
        </is>
      </c>
      <c r="B65" s="202">
        <f>$E$58*(SUMPRODUCT($B$51:$BM$51,$B$48:$BM$48)+INDEX($B$41:$BM$41,MATCH($A65,$B$39:$BM$39,0)))</f>
        <v>137250.73706348182</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34">
        <f>SUMIF($B$40:$BM$40,$A69,$B$52:$BM$52)/SUMIF($B$40:$BM$40,$A69,$B$43:$BM$43)</f>
        <v>0.0054687750123900425</v>
      </c>
      <c r="C69" s="234">
        <f>SUMIF($B$40:$BM$40,$A69,$B$53:$BM$53)/SUMIF($B$40:$BM$40,$A69,$B$43:$BM$43)</f>
        <v>0.010827997645047802</v>
      </c>
      <c r="D69" s="234">
        <f>SUMIF($B$40:$BM$40,$A69,$B$54:$BM$54)/SUMIF($B$40:$BM$40,$A69,$B$43:$BM$43)</f>
        <v>0.009652548344009675</v>
      </c>
      <c r="E69" s="234">
        <f>SUMIF($B$40:$BM$40,$A69,$B$55:$BM$55)/SUMIF($B$40:$BM$40,$A69,$B$43:$BM$43)</f>
        <v>0.043728183267779726</v>
      </c>
      <c r="F69" s="234">
        <f>SUMIF($B$40:$BM$40,$A69,$B$56:$BM$56)/SUMIF($B$40:$BM$40,$A69,$B$43:$BM$43)</f>
        <v>0.06786590600311872</v>
      </c>
    </row>
    <row r="70">
      <c r="A70" s="3" t="inlineStr">
        <is>
          <t>che</t>
        </is>
      </c>
      <c r="B70" s="234">
        <f>SUMIF($B$40:$BM$40,$A70,$B$52:$BM$52)/SUMIF($B$40:$BM$40,$A70,$B$43:$BM$43)</f>
        <v>0.005350406329293375</v>
      </c>
      <c r="C70" s="234">
        <f>SUMIF($B$40:$BM$40,$A70,$B$53:$BM$53)/SUMIF($B$40:$BM$40,$A70,$B$43:$BM$43)</f>
        <v>0.009683717633473045</v>
      </c>
      <c r="D70" s="234">
        <f>SUMIF($B$40:$BM$40,$A70,$B$54:$BM$54)/SUMIF($B$40:$BM$40,$A70,$B$43:$BM$43)</f>
        <v>0.03332394043685885</v>
      </c>
      <c r="E70" s="234">
        <f>SUMIF($B$40:$BM$40,$A70,$B$55:$BM$55)/SUMIF($B$40:$BM$40,$A70,$B$43:$BM$43)</f>
        <v>0.11253983301284241</v>
      </c>
      <c r="F70" s="234">
        <f>SUMIF($B$40:$BM$40,$A70,$B$56:$BM$56)/SUMIF($B$40:$BM$40,$A70,$B$43:$BM$43)</f>
        <v>0.16397140541063396</v>
      </c>
    </row>
    <row r="71">
      <c r="A71" s="3" t="inlineStr">
        <is>
          <t>clo</t>
        </is>
      </c>
      <c r="B71" s="234">
        <f>SUMIF($B$40:$BM$40,$A71,$B$52:$BM$52)/SUMIF($B$40:$BM$40,$A71,$B$43:$BM$43)</f>
        <v>0.0018481964402753469</v>
      </c>
      <c r="C71" s="234">
        <f>SUMIF($B$40:$BM$40,$A71,$B$53:$BM$53)/SUMIF($B$40:$BM$40,$A71,$B$43:$BM$43)</f>
        <v>0.0029576145596734893</v>
      </c>
      <c r="D71" s="234">
        <f>SUMIF($B$40:$BM$40,$A71,$B$54:$BM$54)/SUMIF($B$40:$BM$40,$A71,$B$43:$BM$43)</f>
        <v>0.0039235939879494214</v>
      </c>
      <c r="E71" s="234">
        <f>SUMIF($B$40:$BM$40,$A71,$B$55:$BM$55)/SUMIF($B$40:$BM$40,$A71,$B$43:$BM$43)</f>
        <v>0.021437400006717327</v>
      </c>
      <c r="F71" s="234">
        <f>SUMIF($B$40:$BM$40,$A71,$B$56:$BM$56)/SUMIF($B$40:$BM$40,$A71,$B$43:$BM$43)</f>
        <v>0.03180022268998368</v>
      </c>
    </row>
    <row r="72">
      <c r="A72" s="3" t="inlineStr">
        <is>
          <t>com</t>
        </is>
      </c>
      <c r="B72" s="234">
        <f>SUMIF($B$40:$BM$40,$A72,$B$52:$BM$52)/SUMIF($B$40:$BM$40,$A72,$B$43:$BM$43)</f>
        <v>0.000777415064297085</v>
      </c>
      <c r="C72" s="234">
        <f>SUMIF($B$40:$BM$40,$A72,$B$53:$BM$53)/SUMIF($B$40:$BM$40,$A72,$B$43:$BM$43)</f>
        <v>0.00145090221456182</v>
      </c>
      <c r="D72" s="234">
        <f>SUMIF($B$40:$BM$40,$A72,$B$54:$BM$54)/SUMIF($B$40:$BM$40,$A72,$B$43:$BM$43)</f>
        <v>0.00134864295936206</v>
      </c>
      <c r="E72" s="234">
        <f>SUMIF($B$40:$BM$40,$A72,$B$55:$BM$55)/SUMIF($B$40:$BM$40,$A72,$B$43:$BM$43)</f>
        <v>0.007545331617100839</v>
      </c>
      <c r="F72" s="234">
        <f>SUMIF($B$40:$BM$40,$A72,$B$56:$BM$56)/SUMIF($B$40:$BM$40,$A72,$B$43:$BM$43)</f>
        <v>0.0113863522737978</v>
      </c>
    </row>
    <row r="73">
      <c r="A73" s="3" t="inlineStr">
        <is>
          <t>edu</t>
        </is>
      </c>
      <c r="B73" s="234">
        <f>SUMIF($B$40:$BM$40,$A73,$B$52:$BM$52)/SUMIF($B$40:$BM$40,$A73,$B$43:$BM$43)</f>
        <v>0.0010548731916222</v>
      </c>
      <c r="C73" s="234">
        <f>SUMIF($B$40:$BM$40,$A73,$B$53:$BM$53)/SUMIF($B$40:$BM$40,$A73,$B$43:$BM$43)</f>
        <v>0.00587280050672041</v>
      </c>
      <c r="D73" s="234">
        <f>SUMIF($B$40:$BM$40,$A73,$B$54:$BM$54)/SUMIF($B$40:$BM$40,$A73,$B$43:$BM$43)</f>
        <v>0.0037029943288355897</v>
      </c>
      <c r="E73" s="234">
        <f>SUMIF($B$40:$BM$40,$A73,$B$55:$BM$55)/SUMIF($B$40:$BM$40,$A73,$B$43:$BM$43)</f>
        <v>0.0161867967435026</v>
      </c>
      <c r="F73" s="234">
        <f>SUMIF($B$40:$BM$40,$A73,$B$56:$BM$56)/SUMIF($B$40:$BM$40,$A73,$B$43:$BM$43)</f>
        <v>0.0228941852544118</v>
      </c>
    </row>
    <row r="74">
      <c r="A74" s="3" t="inlineStr">
        <is>
          <t>food</t>
        </is>
      </c>
      <c r="B74" s="234">
        <f>SUMIF($B$40:$BM$40,$A74,$B$52:$BM$52)/SUMIF($B$40:$BM$40,$A74,$B$43:$BM$43)</f>
        <v>0.0013013405009001016</v>
      </c>
      <c r="C74" s="234">
        <f>SUMIF($B$40:$BM$40,$A74,$B$53:$BM$53)/SUMIF($B$40:$BM$40,$A74,$B$43:$BM$43)</f>
        <v>0.0023268208843917905</v>
      </c>
      <c r="D74" s="234">
        <f>SUMIF($B$40:$BM$40,$A74,$B$54:$BM$54)/SUMIF($B$40:$BM$40,$A74,$B$43:$BM$43)</f>
        <v>0.0034110137309122826</v>
      </c>
      <c r="E74" s="234">
        <f>SUMIF($B$40:$BM$40,$A74,$B$55:$BM$55)/SUMIF($B$40:$BM$40,$A74,$B$43:$BM$43)</f>
        <v>0.025394941666089146</v>
      </c>
      <c r="F74" s="234">
        <f>SUMIF($B$40:$BM$40,$A74,$B$56:$BM$56)/SUMIF($B$40:$BM$40,$A74,$B$43:$BM$43)</f>
        <v>0.03655145963533383</v>
      </c>
    </row>
    <row r="75">
      <c r="A75" s="3" t="inlineStr">
        <is>
          <t>hea</t>
        </is>
      </c>
      <c r="B75" s="234">
        <f>SUMIF($B$40:$BM$40,$A75,$B$52:$BM$52)/SUMIF($B$40:$BM$40,$A75,$B$43:$BM$43)</f>
        <v>0.00193671801944339</v>
      </c>
      <c r="C75" s="234">
        <f>SUMIF($B$40:$BM$40,$A75,$B$53:$BM$53)/SUMIF($B$40:$BM$40,$A75,$B$43:$BM$43)</f>
        <v>0.00436397155207421</v>
      </c>
      <c r="D75" s="234">
        <f>SUMIF($B$40:$BM$40,$A75,$B$54:$BM$54)/SUMIF($B$40:$BM$40,$A75,$B$43:$BM$43)</f>
        <v>0.00502664450152384</v>
      </c>
      <c r="E75" s="234">
        <f>SUMIF($B$40:$BM$40,$A75,$B$55:$BM$55)/SUMIF($B$40:$BM$40,$A75,$B$43:$BM$43)</f>
        <v>0.020332069680456</v>
      </c>
      <c r="F75" s="234">
        <f>SUMIF($B$40:$BM$40,$A75,$B$56:$BM$56)/SUMIF($B$40:$BM$40,$A75,$B$43:$BM$43)</f>
        <v>0.0303057866837537</v>
      </c>
    </row>
    <row r="76">
      <c r="A76" s="3" t="inlineStr">
        <is>
          <t>hou</t>
        </is>
      </c>
      <c r="B76" s="234">
        <f>SUMIF($B$40:$BM$40,$A76,$B$52:$BM$52)/SUMIF($B$40:$BM$40,$A76,$B$43:$BM$43)</f>
        <v>0.0016294846286518724</v>
      </c>
      <c r="C76" s="234">
        <f>SUMIF($B$40:$BM$40,$A76,$B$53:$BM$53)/SUMIF($B$40:$BM$40,$A76,$B$43:$BM$43)</f>
        <v>0.002820522258309249</v>
      </c>
      <c r="D76" s="234">
        <f>SUMIF($B$40:$BM$40,$A76,$B$54:$BM$54)/SUMIF($B$40:$BM$40,$A76,$B$43:$BM$43)</f>
        <v>0.0034889371916709544</v>
      </c>
      <c r="E76" s="234">
        <f>SUMIF($B$40:$BM$40,$A76,$B$55:$BM$55)/SUMIF($B$40:$BM$40,$A76,$B$43:$BM$43)</f>
        <v>0.017126195759714753</v>
      </c>
      <c r="F76" s="234">
        <f>SUMIF($B$40:$BM$40,$A76,$B$56:$BM$56)/SUMIF($B$40:$BM$40,$A76,$B$43:$BM$43)</f>
        <v>0.025629785781474727</v>
      </c>
    </row>
    <row r="77">
      <c r="A77" s="3" t="inlineStr">
        <is>
          <t>oth</t>
        </is>
      </c>
      <c r="B77" s="234">
        <f>SUMIF($B$40:$BM$40,$A77,$B$52:$BM$52)/SUMIF($B$40:$BM$40,$A77,$B$43:$BM$43)</f>
        <v>0.0005807186899288276</v>
      </c>
      <c r="C77" s="234">
        <f>SUMIF($B$40:$BM$40,$A77,$B$53:$BM$53)/SUMIF($B$40:$BM$40,$A77,$B$43:$BM$43)</f>
        <v>0.0021800026346309146</v>
      </c>
      <c r="D77" s="234">
        <f>SUMIF($B$40:$BM$40,$A77,$B$54:$BM$54)/SUMIF($B$40:$BM$40,$A77,$B$43:$BM$43)</f>
        <v>0.0014463814465498087</v>
      </c>
      <c r="E77" s="234">
        <f>SUMIF($B$40:$BM$40,$A77,$B$55:$BM$55)/SUMIF($B$40:$BM$40,$A77,$B$43:$BM$43)</f>
        <v>0.009063137171720389</v>
      </c>
      <c r="F77" s="234">
        <f>SUMIF($B$40:$BM$40,$A77,$B$56:$BM$56)/SUMIF($B$40:$BM$40,$A77,$B$43:$BM$43)</f>
        <v>0.013216504936078436</v>
      </c>
    </row>
    <row r="78">
      <c r="A78" s="3" t="inlineStr">
        <is>
          <t>pap</t>
        </is>
      </c>
      <c r="B78" s="234">
        <f>SUMIF($B$40:$BM$40,$A78,$B$52:$BM$52)/SUMIF($B$40:$BM$40,$A78,$B$43:$BM$43)</f>
        <v>0.003343937748994691</v>
      </c>
      <c r="C78" s="234">
        <f>SUMIF($B$40:$BM$40,$A78,$B$53:$BM$53)/SUMIF($B$40:$BM$40,$A78,$B$43:$BM$43)</f>
        <v>0.005363074633247716</v>
      </c>
      <c r="D78" s="234">
        <f>SUMIF($B$40:$BM$40,$A78,$B$54:$BM$54)/SUMIF($B$40:$BM$40,$A78,$B$43:$BM$43)</f>
        <v>0.007101686747725042</v>
      </c>
      <c r="E78" s="234">
        <f>SUMIF($B$40:$BM$40,$A78,$B$55:$BM$55)/SUMIF($B$40:$BM$40,$A78,$B$43:$BM$43)</f>
        <v>0.03774047474248547</v>
      </c>
      <c r="F78" s="234">
        <f>SUMIF($B$40:$BM$40,$A78,$B$56:$BM$56)/SUMIF($B$40:$BM$40,$A78,$B$43:$BM$43)</f>
        <v>0.057527488385183956</v>
      </c>
    </row>
    <row r="79">
      <c r="A79" s="3" t="inlineStr">
        <is>
          <t>pha</t>
        </is>
      </c>
      <c r="B79" s="234">
        <f>SUMIF($B$40:$BM$40,$A79,$B$52:$BM$52)/SUMIF($B$40:$BM$40,$A79,$B$43:$BM$43)</f>
        <v>0.00239619075701408</v>
      </c>
      <c r="C79" s="234">
        <f>SUMIF($B$40:$BM$40,$A79,$B$53:$BM$53)/SUMIF($B$40:$BM$40,$A79,$B$43:$BM$43)</f>
        <v>0.00354861170781153</v>
      </c>
      <c r="D79" s="234">
        <f>SUMIF($B$40:$BM$40,$A79,$B$54:$BM$54)/SUMIF($B$40:$BM$40,$A79,$B$43:$BM$43)</f>
        <v>0.0204389436624927</v>
      </c>
      <c r="E79" s="234">
        <f>SUMIF($B$40:$BM$40,$A79,$B$55:$BM$55)/SUMIF($B$40:$BM$40,$A79,$B$43:$BM$43)</f>
        <v>0.0265076698797824</v>
      </c>
      <c r="F79" s="234">
        <f>SUMIF($B$40:$BM$40,$A79,$B$56:$BM$56)/SUMIF($B$40:$BM$40,$A79,$B$43:$BM$43)</f>
        <v>0.0399583279796415</v>
      </c>
    </row>
    <row r="80">
      <c r="A80" s="3" t="inlineStr">
        <is>
          <t>ret</t>
        </is>
      </c>
      <c r="B80" s="234">
        <f>SUMIF($B$40:$BM$40,$A80,$B$52:$BM$52)/SUMIF($B$40:$BM$40,$A80,$B$43:$BM$43)</f>
        <v>0.0009624421685066604</v>
      </c>
      <c r="C80" s="234">
        <f>SUMIF($B$40:$BM$40,$A80,$B$53:$BM$53)/SUMIF($B$40:$BM$40,$A80,$B$43:$BM$43)</f>
        <v>0.005208739442480885</v>
      </c>
      <c r="D80" s="234">
        <f>SUMIF($B$40:$BM$40,$A80,$B$54:$BM$54)/SUMIF($B$40:$BM$40,$A80,$B$43:$BM$43)</f>
        <v>0.0034896088246118826</v>
      </c>
      <c r="E80" s="234">
        <f>SUMIF($B$40:$BM$40,$A80,$B$55:$BM$55)/SUMIF($B$40:$BM$40,$A80,$B$43:$BM$43)</f>
        <v>0.013762259471486588</v>
      </c>
      <c r="F80" s="234">
        <f>SUMIF($B$40:$BM$40,$A80,$B$56:$BM$56)/SUMIF($B$40:$BM$40,$A80,$B$43:$BM$43)</f>
        <v>0.01991701145788779</v>
      </c>
    </row>
    <row r="81">
      <c r="A81" s="3" t="inlineStr">
        <is>
          <t>teq</t>
        </is>
      </c>
      <c r="B81" s="234">
        <f>SUMIF($B$40:$BM$40,$A81,$B$52:$BM$52)/SUMIF($B$40:$BM$40,$A81,$B$43:$BM$43)</f>
        <v>0.0018039081993476117</v>
      </c>
      <c r="C81" s="234">
        <f>SUMIF($B$40:$BM$40,$A81,$B$53:$BM$53)/SUMIF($B$40:$BM$40,$A81,$B$43:$BM$43)</f>
        <v>0.00451203064869025</v>
      </c>
      <c r="D81" s="234">
        <f>SUMIF($B$40:$BM$40,$A81,$B$54:$BM$54)/SUMIF($B$40:$BM$40,$A81,$B$43:$BM$43)</f>
        <v>0.003313383821036782</v>
      </c>
      <c r="E81" s="234">
        <f>SUMIF($B$40:$BM$40,$A81,$B$55:$BM$55)/SUMIF($B$40:$BM$40,$A81,$B$43:$BM$43)</f>
        <v>0.018770057715958095</v>
      </c>
      <c r="F81" s="234">
        <f>SUMIF($B$40:$BM$40,$A81,$B$56:$BM$56)/SUMIF($B$40:$BM$40,$A81,$B$43:$BM$43)</f>
        <v>0.0281890588647556</v>
      </c>
    </row>
    <row r="82">
      <c r="A82" s="3" t="inlineStr">
        <is>
          <t>tpu</t>
        </is>
      </c>
      <c r="B82" s="234">
        <f>SUMIF($B$40:$BM$40,$A82,$B$52:$BM$52)/SUMIF($B$40:$BM$40,$A82,$B$43:$BM$43)</f>
        <v>0.0029577845454100008</v>
      </c>
      <c r="C82" s="234">
        <f>SUMIF($B$40:$BM$40,$A82,$B$53:$BM$53)/SUMIF($B$40:$BM$40,$A82,$B$43:$BM$43)</f>
        <v>0.0027657040552030486</v>
      </c>
      <c r="D82" s="234">
        <f>SUMIF($B$40:$BM$40,$A82,$B$54:$BM$54)/SUMIF($B$40:$BM$40,$A82,$B$43:$BM$43)</f>
        <v>0.007406321577161076</v>
      </c>
      <c r="E82" s="234">
        <f>SUMIF($B$40:$BM$40,$A82,$B$55:$BM$55)/SUMIF($B$40:$BM$40,$A82,$B$43:$BM$43)</f>
        <v>0.15396998779249502</v>
      </c>
      <c r="F82" s="234">
        <f>SUMIF($B$40:$BM$40,$A82,$B$56:$BM$56)/SUMIF($B$40:$BM$40,$A82,$B$43:$BM$43)</f>
        <v>0.2063093133668876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202">
        <f>B$43</f>
        <v>10165.9109075592</v>
      </c>
      <c r="E86" s="202">
        <f>B$42</f>
        <v>292.76748128275</v>
      </c>
      <c r="F86" s="202">
        <f>B$49</f>
        <v>11118.5920944063</v>
      </c>
      <c r="G86" s="58">
        <f>B$50</f>
        <v>0.0</v>
      </c>
      <c r="H86" s="234">
        <f>B$44</f>
        <v>0.000723486729071478</v>
      </c>
      <c r="I86" s="234">
        <f>B$45</f>
        <v>0.0053405985801631</v>
      </c>
      <c r="J86" s="234">
        <f>B$46</f>
        <v>0.00281969261228521</v>
      </c>
      <c r="K86" s="234">
        <f>B$47</f>
        <v>0.0106955371875243</v>
      </c>
      <c r="L86" s="234">
        <f>B$48</f>
        <v>0.0155049347522624</v>
      </c>
    </row>
    <row r="87">
      <c r="A87" s="3" t="inlineStr">
        <is>
          <t>atp</t>
        </is>
      </c>
      <c r="B87" s="3" t="inlineStr">
        <is>
          <t>Air transport</t>
        </is>
      </c>
      <c r="C87" s="3" t="inlineStr">
        <is>
          <t>avi</t>
        </is>
      </c>
      <c r="D87" s="202">
        <f>C$43</f>
        <v>1443.56756594916</v>
      </c>
      <c r="E87" s="202">
        <f>C$42</f>
        <v>1499.29972748746</v>
      </c>
      <c r="F87" s="202">
        <f>C$49</f>
        <v>3743.59820370452</v>
      </c>
      <c r="G87" s="58">
        <f>C$50</f>
        <v>0.0</v>
      </c>
      <c r="H87" s="234">
        <f>C$44</f>
        <v>0.00397825729531387</v>
      </c>
      <c r="I87" s="234">
        <f>C$45</f>
        <v>0.00251007283297355</v>
      </c>
      <c r="J87" s="234">
        <f>C$46</f>
        <v>0.00972707549236562</v>
      </c>
      <c r="K87" s="234">
        <f>C$47</f>
        <v>0.222697251784159</v>
      </c>
      <c r="L87" s="234">
        <f>C$48</f>
        <v>0.310145781343056</v>
      </c>
    </row>
    <row r="88">
      <c r="A88" s="3" t="inlineStr">
        <is>
          <t>b_t</t>
        </is>
      </c>
      <c r="B88" s="3" t="inlineStr">
        <is>
          <t>Beverages &amp; Tobacco</t>
        </is>
      </c>
      <c r="C88" s="3" t="inlineStr">
        <is>
          <t>foo</t>
        </is>
      </c>
      <c r="D88" s="202">
        <f>D$43</f>
        <v>10944.0505691902</v>
      </c>
      <c r="E88" s="202">
        <f>D$42</f>
        <v>278.025952061282</v>
      </c>
      <c r="F88" s="202">
        <f>D$49</f>
        <v>12005.1619527205</v>
      </c>
      <c r="G88" s="58">
        <f>D$50</f>
        <v>0.0</v>
      </c>
      <c r="H88" s="234">
        <f>D$44</f>
        <v>0.00149832912174611</v>
      </c>
      <c r="I88" s="234">
        <f>D$45</f>
        <v>0.00178912958497562</v>
      </c>
      <c r="J88" s="234">
        <f>D$46</f>
        <v>0.00230701962839435</v>
      </c>
      <c r="K88" s="234">
        <f>D$47</f>
        <v>0.0112141862111815</v>
      </c>
      <c r="L88" s="234">
        <f>D$48</f>
        <v>0.017259134360627</v>
      </c>
    </row>
    <row r="89">
      <c r="A89" s="3" t="inlineStr">
        <is>
          <t>bph</t>
        </is>
      </c>
      <c r="B89" s="3" t="inlineStr">
        <is>
          <t>Pharmaceuticals</t>
        </is>
      </c>
      <c r="C89" s="3" t="inlineStr">
        <is>
          <t>mch</t>
        </is>
      </c>
      <c r="D89" s="202">
        <f>E$43</f>
        <v>1438.16590027883</v>
      </c>
      <c r="E89" s="202">
        <f>E$42</f>
        <v>404.023769206125</v>
      </c>
      <c r="F89" s="202">
        <f>E$49</f>
        <v>2928.53164784511</v>
      </c>
      <c r="G89" s="58">
        <f>E$50</f>
        <v>0.0</v>
      </c>
      <c r="H89" s="234">
        <f>E$44</f>
        <v>0.00239619075701408</v>
      </c>
      <c r="I89" s="234">
        <f>E$45</f>
        <v>0.00354861170781153</v>
      </c>
      <c r="J89" s="234">
        <f>E$46</f>
        <v>0.0204389436624927</v>
      </c>
      <c r="K89" s="234">
        <f>E$47</f>
        <v>0.0265076698797824</v>
      </c>
      <c r="L89" s="234">
        <f>E$48</f>
        <v>0.0399583279796415</v>
      </c>
    </row>
    <row r="90">
      <c r="A90" s="3" t="inlineStr">
        <is>
          <t>c_b</t>
        </is>
      </c>
      <c r="B90" s="3" t="inlineStr">
        <is>
          <t>Cane &amp; Beet</t>
        </is>
      </c>
      <c r="C90" s="3" t="inlineStr">
        <is>
          <t>foo</t>
        </is>
      </c>
      <c r="D90" s="202">
        <f>F$43</f>
        <v>1310.5595802392</v>
      </c>
      <c r="E90" s="202">
        <f>F$42</f>
        <v>7.35479782908523</v>
      </c>
      <c r="F90" s="202">
        <f>F$49</f>
        <v>2668.77137679023</v>
      </c>
      <c r="G90" s="58">
        <f>F$50</f>
        <v>0.0</v>
      </c>
      <c r="H90" s="234">
        <f>F$44</f>
        <v>0.000995784327430148</v>
      </c>
      <c r="I90" s="234">
        <f>F$45</f>
        <v>0.00197253093085185</v>
      </c>
      <c r="J90" s="234">
        <f>F$46</f>
        <v>0.00346306365389957</v>
      </c>
      <c r="K90" s="234">
        <f>F$47</f>
        <v>0.0341336025349338</v>
      </c>
      <c r="L90" s="234">
        <f>F$48</f>
        <v>0.0476265476994172</v>
      </c>
    </row>
    <row r="91">
      <c r="A91" s="3" t="inlineStr">
        <is>
          <t>chm</t>
        </is>
      </c>
      <c r="B91" s="3" t="inlineStr">
        <is>
          <t>Chemicals</t>
        </is>
      </c>
      <c r="C91" s="3" t="inlineStr">
        <is>
          <t>mch</t>
        </is>
      </c>
      <c r="D91" s="202">
        <f>G$43</f>
        <v>3581.62983038133</v>
      </c>
      <c r="E91" s="202">
        <f>G$42</f>
        <v>3755.75029607815</v>
      </c>
      <c r="F91" s="202">
        <f>G$49</f>
        <v>11364.047462419</v>
      </c>
      <c r="G91" s="58">
        <f>G$50</f>
        <v>0.0</v>
      </c>
      <c r="H91" s="234">
        <f>G$44</f>
        <v>0.00541523749809975</v>
      </c>
      <c r="I91" s="234">
        <f>G$45</f>
        <v>0.0105672699275261</v>
      </c>
      <c r="J91" s="234">
        <f>G$46</f>
        <v>0.0353853507449608</v>
      </c>
      <c r="K91" s="234">
        <f>G$47</f>
        <v>0.136711703269024</v>
      </c>
      <c r="L91" s="234">
        <f>G$48</f>
        <v>0.197856373339138</v>
      </c>
    </row>
    <row r="92">
      <c r="A92" s="3" t="inlineStr">
        <is>
          <t>cmn</t>
        </is>
      </c>
      <c r="B92" s="3" t="inlineStr">
        <is>
          <t>Telecomms</t>
        </is>
      </c>
      <c r="C92" s="3" t="inlineStr">
        <is>
          <t>srv</t>
        </is>
      </c>
      <c r="D92" s="202">
        <f>H$43</f>
        <v>19396.2694302428</v>
      </c>
      <c r="E92" s="202">
        <f>H$42</f>
        <v>1446.93204471657</v>
      </c>
      <c r="F92" s="202">
        <f>H$49</f>
        <v>26613.7729487535</v>
      </c>
      <c r="G92" s="58">
        <f>H$50</f>
        <v>0.0</v>
      </c>
      <c r="H92" s="234">
        <f>H$44</f>
        <v>0.000777415064297085</v>
      </c>
      <c r="I92" s="234">
        <f>H$45</f>
        <v>0.00145090221456182</v>
      </c>
      <c r="J92" s="234">
        <f>H$46</f>
        <v>0.00134864295936206</v>
      </c>
      <c r="K92" s="234">
        <f>H$47</f>
        <v>0.00754533161710084</v>
      </c>
      <c r="L92" s="234">
        <f>H$48</f>
        <v>0.0113863522737978</v>
      </c>
    </row>
    <row r="93">
      <c r="A93" s="3" t="inlineStr">
        <is>
          <t>cmt</t>
        </is>
      </c>
      <c r="B93" s="3" t="inlineStr">
        <is>
          <t>Cattle Meat</t>
        </is>
      </c>
      <c r="C93" s="3" t="inlineStr">
        <is>
          <t>foo</t>
        </is>
      </c>
      <c r="D93" s="202">
        <f>I$43</f>
        <v>2354.30046622809</v>
      </c>
      <c r="E93" s="202">
        <f>I$42</f>
        <v>67.8294550463426</v>
      </c>
      <c r="F93" s="202">
        <f>I$49</f>
        <v>3162.35195783624</v>
      </c>
      <c r="G93" s="58">
        <f>I$50</f>
        <v>0.0</v>
      </c>
      <c r="H93" s="234">
        <f>I$44</f>
        <v>0.000308506584273488</v>
      </c>
      <c r="I93" s="234">
        <f>I$45</f>
        <v>0.00148851045029614</v>
      </c>
      <c r="J93" s="234">
        <f>I$46</f>
        <v>0.00131392920713338</v>
      </c>
      <c r="K93" s="234">
        <f>I$47</f>
        <v>0.00643163072382741</v>
      </c>
      <c r="L93" s="234">
        <f>I$48</f>
        <v>0.0090609190504005</v>
      </c>
    </row>
    <row r="94">
      <c r="A94" s="3" t="inlineStr">
        <is>
          <t>cns</t>
        </is>
      </c>
      <c r="B94" s="3" t="inlineStr">
        <is>
          <t>Construction</t>
        </is>
      </c>
      <c r="C94" s="3" t="inlineStr">
        <is>
          <t>cst</t>
        </is>
      </c>
      <c r="D94" s="202">
        <f>J$43</f>
        <v>2698.01204459543</v>
      </c>
      <c r="E94" s="202">
        <f>J$42</f>
        <v>1087.63120655314</v>
      </c>
      <c r="F94" s="202">
        <f>J$49</f>
        <v>31639.6107965168</v>
      </c>
      <c r="G94" s="58">
        <f>J$50</f>
        <v>0.0</v>
      </c>
      <c r="H94" s="234">
        <f>J$44</f>
        <v>0.00504300729513811</v>
      </c>
      <c r="I94" s="234">
        <f>J$45</f>
        <v>0.00447554316316344</v>
      </c>
      <c r="J94" s="234">
        <f>J$46</f>
        <v>0.00644775567059032</v>
      </c>
      <c r="K94" s="234">
        <f>J$47</f>
        <v>0.0342689731089583</v>
      </c>
      <c r="L94" s="234">
        <f>J$48</f>
        <v>0.0537275591978862</v>
      </c>
    </row>
    <row r="95">
      <c r="A95" s="3" t="inlineStr">
        <is>
          <t>coa</t>
        </is>
      </c>
      <c r="B95" s="3" t="inlineStr">
        <is>
          <t>Coal</t>
        </is>
      </c>
      <c r="C95" s="3" t="inlineStr">
        <is>
          <t>foo</t>
        </is>
      </c>
      <c r="D95" s="202">
        <f>K$43</f>
        <v>6.72958958603117e-06</v>
      </c>
      <c r="E95" s="202">
        <f>K$42</f>
        <v>0.22883699254</v>
      </c>
      <c r="F95" s="202">
        <f>K$49</f>
        <v>0.364476011830743</v>
      </c>
      <c r="G95" s="58">
        <f>K$50</f>
        <v>1.0</v>
      </c>
      <c r="H95" s="234">
        <f>K$44</f>
        <v>1.05858650497857</v>
      </c>
      <c r="I95" s="234">
        <f>K$45</f>
        <v>0.00561745716612701</v>
      </c>
      <c r="J95" s="234">
        <f>K$46</f>
        <v>0.00573007191392898</v>
      </c>
      <c r="K95" s="234">
        <f>K$47</f>
        <v>0.0377679872591264</v>
      </c>
      <c r="L95" s="234">
        <f>K$48</f>
        <v>0.0540239741300362</v>
      </c>
    </row>
    <row r="96">
      <c r="A96" s="3" t="inlineStr">
        <is>
          <t>ctl</t>
        </is>
      </c>
      <c r="B96" s="3" t="inlineStr">
        <is>
          <t>Cattle</t>
        </is>
      </c>
      <c r="C96" s="3" t="inlineStr">
        <is>
          <t>foo</t>
        </is>
      </c>
      <c r="D96" s="202">
        <f>L$43</f>
        <v>1274.90802843333</v>
      </c>
      <c r="E96" s="202">
        <f>L$42</f>
        <v>9.94860504466285</v>
      </c>
      <c r="F96" s="202">
        <f>L$49</f>
        <v>1565.83426528876</v>
      </c>
      <c r="G96" s="58">
        <f>L$50</f>
        <v>0.0</v>
      </c>
      <c r="H96" s="234">
        <f>L$44</f>
        <v>0.000851120190662193</v>
      </c>
      <c r="I96" s="234">
        <f>L$45</f>
        <v>0.00183145150123089</v>
      </c>
      <c r="J96" s="234">
        <f>L$46</f>
        <v>0.00285934280773798</v>
      </c>
      <c r="K96" s="234">
        <f>L$47</f>
        <v>0.0274614000213885</v>
      </c>
      <c r="L96" s="234">
        <f>L$48</f>
        <v>0.0380991255316416</v>
      </c>
    </row>
    <row r="97">
      <c r="A97" s="3" t="inlineStr">
        <is>
          <t>dwe</t>
        </is>
      </c>
      <c r="B97" s="3" t="inlineStr">
        <is>
          <t>Housing rent</t>
        </is>
      </c>
      <c r="C97" s="3" t="inlineStr">
        <is>
          <t>srv</t>
        </is>
      </c>
      <c r="D97" s="202">
        <f>M$43</f>
        <v>14359.610352</v>
      </c>
      <c r="E97" s="202">
        <f>M$42</f>
        <v>2.82e-18</v>
      </c>
      <c r="F97" s="202">
        <f>M$49</f>
        <v>14959.5000094363</v>
      </c>
      <c r="G97" s="58">
        <f>M$50</f>
        <v>0.0</v>
      </c>
      <c r="H97" s="234">
        <f>M$44</f>
        <v>0.00032489583084908</v>
      </c>
      <c r="I97" s="234">
        <f>M$45</f>
        <v>0.000396724646028365</v>
      </c>
      <c r="J97" s="234">
        <f>M$46</f>
        <v>0.000561074173144626</v>
      </c>
      <c r="K97" s="234">
        <f>M$47</f>
        <v>0.00233970115091248</v>
      </c>
      <c r="L97" s="234">
        <f>M$48</f>
        <v>0.00367405733032075</v>
      </c>
    </row>
    <row r="98">
      <c r="A98" s="3" t="inlineStr">
        <is>
          <t>edu</t>
        </is>
      </c>
      <c r="B98" s="3" t="inlineStr">
        <is>
          <t>Education</t>
        </is>
      </c>
      <c r="C98" s="3" t="inlineStr">
        <is>
          <t>srv</t>
        </is>
      </c>
      <c r="D98" s="202">
        <f>N$43</f>
        <v>4753.35956326229</v>
      </c>
      <c r="E98" s="202">
        <f>N$42</f>
        <v>525.368615999848</v>
      </c>
      <c r="F98" s="202">
        <f>N$49</f>
        <v>14311.580798484</v>
      </c>
      <c r="G98" s="58">
        <f>N$50</f>
        <v>0.0</v>
      </c>
      <c r="H98" s="234">
        <f>N$44</f>
        <v>0.0010548731916222</v>
      </c>
      <c r="I98" s="234">
        <f>N$45</f>
        <v>0.00587280050672041</v>
      </c>
      <c r="J98" s="234">
        <f>N$46</f>
        <v>0.00370299432883559</v>
      </c>
      <c r="K98" s="234">
        <f>N$47</f>
        <v>0.0161867967435026</v>
      </c>
      <c r="L98" s="234">
        <f>N$48</f>
        <v>0.0228941852544118</v>
      </c>
    </row>
    <row r="99">
      <c r="A99" s="3" t="inlineStr">
        <is>
          <t>eeq</t>
        </is>
      </c>
      <c r="B99" s="3" t="inlineStr">
        <is>
          <t>Electrical equipment</t>
        </is>
      </c>
      <c r="C99" s="3" t="inlineStr">
        <is>
          <t>mac</t>
        </is>
      </c>
      <c r="D99" s="202">
        <f>O$43</f>
        <v>25.02473877478</v>
      </c>
      <c r="E99" s="202">
        <f>O$42</f>
        <v>1535.78221044598</v>
      </c>
      <c r="F99" s="202">
        <f>O$49</f>
        <v>1724.96486394972</v>
      </c>
      <c r="G99" s="58">
        <f>O$50</f>
        <v>0.0</v>
      </c>
      <c r="H99" s="234">
        <f>O$44</f>
        <v>0.00632070715667421</v>
      </c>
      <c r="I99" s="234">
        <f>O$45</f>
        <v>0.0080513134938344</v>
      </c>
      <c r="J99" s="234">
        <f>O$46</f>
        <v>0.00831824955167802</v>
      </c>
      <c r="K99" s="234">
        <f>O$47</f>
        <v>0.0361274466360235</v>
      </c>
      <c r="L99" s="234">
        <f>O$48</f>
        <v>0.0584821857980451</v>
      </c>
    </row>
    <row r="100">
      <c r="A100" s="3" t="inlineStr">
        <is>
          <t>ele</t>
        </is>
      </c>
      <c r="B100" s="3" t="inlineStr">
        <is>
          <t>Computer equipment</t>
        </is>
      </c>
      <c r="C100" s="3" t="inlineStr">
        <is>
          <t>mac</t>
        </is>
      </c>
      <c r="D100" s="202">
        <f>P$43</f>
        <v>2622.80693833883</v>
      </c>
      <c r="E100" s="202">
        <f>P$42</f>
        <v>914.470230931092</v>
      </c>
      <c r="F100" s="202">
        <f>P$49</f>
        <v>7160.66023344278</v>
      </c>
      <c r="G100" s="58">
        <f>P$50</f>
        <v>0.0</v>
      </c>
      <c r="H100" s="234">
        <f>P$44</f>
        <v>0.00392738156583487</v>
      </c>
      <c r="I100" s="234">
        <f>P$45</f>
        <v>0.0107976331145341</v>
      </c>
      <c r="J100" s="234">
        <f>P$46</f>
        <v>0.00780582663882542</v>
      </c>
      <c r="K100" s="234">
        <f>P$47</f>
        <v>0.0292981369646088</v>
      </c>
      <c r="L100" s="234">
        <f>P$48</f>
        <v>0.0454595941932638</v>
      </c>
    </row>
    <row r="101">
      <c r="A101" s="3" t="inlineStr">
        <is>
          <t>ely</t>
        </is>
      </c>
      <c r="B101" s="3" t="inlineStr">
        <is>
          <t>Electricity supply</t>
        </is>
      </c>
      <c r="C101" s="3" t="inlineStr">
        <is>
          <t>pow</t>
        </is>
      </c>
      <c r="D101" s="202">
        <f>Q$43</f>
        <v>4571.9641803464</v>
      </c>
      <c r="E101" s="202">
        <f>Q$42</f>
        <v>32.420408218915</v>
      </c>
      <c r="F101" s="202">
        <f>Q$49</f>
        <v>11086.6315280631</v>
      </c>
      <c r="G101" s="58">
        <f>Q$50</f>
        <v>1.0</v>
      </c>
      <c r="H101" s="234">
        <f>Q$44</f>
        <v>0.00477434122645987</v>
      </c>
      <c r="I101" s="234">
        <f>Q$45</f>
        <v>1.00674421498411</v>
      </c>
      <c r="J101" s="234">
        <f>Q$46</f>
        <v>0.334214554378925</v>
      </c>
      <c r="K101" s="234">
        <f>Q$47</f>
        <v>0.466652413692541</v>
      </c>
      <c r="L101" s="234">
        <f>Q$48</f>
        <v>0.589788113088845</v>
      </c>
    </row>
    <row r="102">
      <c r="A102" s="3" t="inlineStr">
        <is>
          <t>fmp</t>
        </is>
      </c>
      <c r="B102" s="3" t="inlineStr">
        <is>
          <t>Fabricated metals</t>
        </is>
      </c>
      <c r="C102" s="3" t="inlineStr">
        <is>
          <t>mac</t>
        </is>
      </c>
      <c r="D102" s="202">
        <f>R$43</f>
        <v>633.45705503211</v>
      </c>
      <c r="E102" s="202">
        <f>R$42</f>
        <v>368.591672059333</v>
      </c>
      <c r="F102" s="202">
        <f>R$49</f>
        <v>7618.00287502288</v>
      </c>
      <c r="G102" s="58">
        <f>R$50</f>
        <v>0.0</v>
      </c>
      <c r="H102" s="234">
        <f>R$44</f>
        <v>0.00693053568082318</v>
      </c>
      <c r="I102" s="234">
        <f>R$45</f>
        <v>0.00692409002443715</v>
      </c>
      <c r="J102" s="234">
        <f>R$46</f>
        <v>0.0114715692316955</v>
      </c>
      <c r="K102" s="234">
        <f>R$47</f>
        <v>0.0495657237185948</v>
      </c>
      <c r="L102" s="234">
        <f>R$48</f>
        <v>0.0788756230343212</v>
      </c>
    </row>
    <row r="103">
      <c r="A103" s="3" t="inlineStr">
        <is>
          <t>frs</t>
        </is>
      </c>
      <c r="B103" s="3" t="inlineStr">
        <is>
          <t>Forestry</t>
        </is>
      </c>
      <c r="C103" s="3" t="inlineStr">
        <is>
          <t>foo</t>
        </is>
      </c>
      <c r="D103" s="202">
        <f>S$43</f>
        <v>1.858994496159</v>
      </c>
      <c r="E103" s="202">
        <f>S$42</f>
        <v>3.72713376484609</v>
      </c>
      <c r="F103" s="202">
        <f>S$49</f>
        <v>7.4169985019277</v>
      </c>
      <c r="G103" s="58">
        <f>S$50</f>
        <v>0.0</v>
      </c>
      <c r="H103" s="234">
        <f>S$44</f>
        <v>0.00182193560090233</v>
      </c>
      <c r="I103" s="234">
        <f>S$45</f>
        <v>0.00318025775940891</v>
      </c>
      <c r="J103" s="234">
        <f>S$46</f>
        <v>0.00319402161366975</v>
      </c>
      <c r="K103" s="234">
        <f>S$47</f>
        <v>0.0425493170116134</v>
      </c>
      <c r="L103" s="234">
        <f>S$48</f>
        <v>0.059573059227029</v>
      </c>
    </row>
    <row r="104">
      <c r="A104" s="3" t="inlineStr">
        <is>
          <t>fsh</t>
        </is>
      </c>
      <c r="B104" s="3" t="inlineStr">
        <is>
          <t>Fishing</t>
        </is>
      </c>
      <c r="C104" s="3" t="inlineStr">
        <is>
          <t>foo</t>
        </is>
      </c>
      <c r="D104" s="202">
        <f>T$43</f>
        <v>3766.22694179692</v>
      </c>
      <c r="E104" s="202">
        <f>T$42</f>
        <v>111.258224809023</v>
      </c>
      <c r="F104" s="202">
        <f>T$49</f>
        <v>5063.94060749023</v>
      </c>
      <c r="G104" s="58">
        <f>T$50</f>
        <v>0.0</v>
      </c>
      <c r="H104" s="234">
        <f>T$44</f>
        <v>0.000637980611798162</v>
      </c>
      <c r="I104" s="234">
        <f>T$45</f>
        <v>0.00541079546053829</v>
      </c>
      <c r="J104" s="234">
        <f>T$46</f>
        <v>0.00318646220589443</v>
      </c>
      <c r="K104" s="234">
        <f>T$47</f>
        <v>0.0212697417196848</v>
      </c>
      <c r="L104" s="234">
        <f>T$48</f>
        <v>0.0284820120622573</v>
      </c>
    </row>
    <row r="105">
      <c r="A105" s="3" t="inlineStr">
        <is>
          <t>gro</t>
        </is>
      </c>
      <c r="B105" s="3" t="inlineStr">
        <is>
          <t>Other grains</t>
        </is>
      </c>
      <c r="C105" s="3" t="inlineStr">
        <is>
          <t>foo</t>
        </is>
      </c>
      <c r="D105" s="202">
        <f>U$43</f>
        <v>2195.13105611959</v>
      </c>
      <c r="E105" s="202">
        <f>U$42</f>
        <v>17.0008454699181</v>
      </c>
      <c r="F105" s="202">
        <f>U$49</f>
        <v>5621.02750804916</v>
      </c>
      <c r="G105" s="58">
        <f>U$50</f>
        <v>0.0</v>
      </c>
      <c r="H105" s="234">
        <f>U$44</f>
        <v>0.000868413374794244</v>
      </c>
      <c r="I105" s="234">
        <f>U$45</f>
        <v>0.0018359855438289</v>
      </c>
      <c r="J105" s="234">
        <f>U$46</f>
        <v>0.00317953708279652</v>
      </c>
      <c r="K105" s="234">
        <f>U$47</f>
        <v>0.0317204831990698</v>
      </c>
      <c r="L105" s="234">
        <f>U$48</f>
        <v>0.0436335607465496</v>
      </c>
    </row>
    <row r="106">
      <c r="A106" s="3" t="inlineStr">
        <is>
          <t>hht</t>
        </is>
      </c>
      <c r="B106" s="3" t="inlineStr">
        <is>
          <t>Human health &amp; social work</t>
        </is>
      </c>
      <c r="C106" s="3" t="inlineStr">
        <is>
          <t>srv</t>
        </is>
      </c>
      <c r="D106" s="202">
        <f>V$43</f>
        <v>6261.37751253199</v>
      </c>
      <c r="E106" s="202">
        <f>V$42</f>
        <v>353.057356360499</v>
      </c>
      <c r="F106" s="202">
        <f>V$49</f>
        <v>23295.4212674957</v>
      </c>
      <c r="G106" s="58">
        <f>V$50</f>
        <v>0.0</v>
      </c>
      <c r="H106" s="234">
        <f>V$44</f>
        <v>0.00193671801944339</v>
      </c>
      <c r="I106" s="234">
        <f>V$45</f>
        <v>0.00436397155207421</v>
      </c>
      <c r="J106" s="234">
        <f>V$46</f>
        <v>0.00502664450152384</v>
      </c>
      <c r="K106" s="234">
        <f>V$47</f>
        <v>0.020332069680456</v>
      </c>
      <c r="L106" s="234">
        <f>V$48</f>
        <v>0.0303057866837537</v>
      </c>
    </row>
    <row r="107">
      <c r="A107" s="3" t="inlineStr">
        <is>
          <t>i_s</t>
        </is>
      </c>
      <c r="B107" s="3" t="inlineStr">
        <is>
          <t>Iron &amp; Steel</t>
        </is>
      </c>
      <c r="C107" s="3" t="inlineStr">
        <is>
          <t>irn</t>
        </is>
      </c>
      <c r="D107" s="202">
        <f>W$43</f>
        <v>428.14566144443</v>
      </c>
      <c r="E107" s="202">
        <f>W$42</f>
        <v>904.093607787594</v>
      </c>
      <c r="F107" s="202">
        <f>W$49</f>
        <v>3308.99476099734</v>
      </c>
      <c r="G107" s="58">
        <f>W$50</f>
        <v>0.0</v>
      </c>
      <c r="H107" s="234">
        <f>W$44</f>
        <v>0.00898330417545803</v>
      </c>
      <c r="I107" s="234">
        <f>W$45</f>
        <v>0.0221644164968166</v>
      </c>
      <c r="J107" s="234">
        <f>W$46</f>
        <v>0.0225682837953831</v>
      </c>
      <c r="K107" s="234">
        <f>W$47</f>
        <v>0.09001654321035</v>
      </c>
      <c r="L107" s="234">
        <f>W$48</f>
        <v>0.132097519128475</v>
      </c>
    </row>
    <row r="108">
      <c r="A108" s="3" t="inlineStr">
        <is>
          <t>ins</t>
        </is>
      </c>
      <c r="B108" s="3" t="inlineStr">
        <is>
          <t>Insurance</t>
        </is>
      </c>
      <c r="C108" s="3" t="inlineStr">
        <is>
          <t>srv</t>
        </is>
      </c>
      <c r="D108" s="202">
        <f>X$43</f>
        <v>4803.40091449536</v>
      </c>
      <c r="E108" s="202">
        <f>X$42</f>
        <v>264.439904396602</v>
      </c>
      <c r="F108" s="202">
        <f>X$49</f>
        <v>6078.97297878597</v>
      </c>
      <c r="G108" s="58">
        <f>X$50</f>
        <v>0.0</v>
      </c>
      <c r="H108" s="234">
        <f>X$44</f>
        <v>0.000440950818022484</v>
      </c>
      <c r="I108" s="234">
        <f>X$45</f>
        <v>0.00137912459893987</v>
      </c>
      <c r="J108" s="234">
        <f>X$46</f>
        <v>0.00106516453666648</v>
      </c>
      <c r="K108" s="234">
        <f>X$47</f>
        <v>0.00899785149106314</v>
      </c>
      <c r="L108" s="234">
        <f>X$48</f>
        <v>0.0131112605987121</v>
      </c>
    </row>
    <row r="109">
      <c r="A109" s="3" t="inlineStr">
        <is>
          <t>lea</t>
        </is>
      </c>
      <c r="B109" s="3" t="inlineStr">
        <is>
          <t>Leather</t>
        </is>
      </c>
      <c r="C109" s="3" t="inlineStr">
        <is>
          <t>omn</t>
        </is>
      </c>
      <c r="D109" s="202">
        <f>Y$43</f>
        <v>143.275472820164</v>
      </c>
      <c r="E109" s="202">
        <f>Y$42</f>
        <v>231.997841436242</v>
      </c>
      <c r="F109" s="202">
        <f>Y$49</f>
        <v>1480.43335103131</v>
      </c>
      <c r="G109" s="58">
        <f>Y$50</f>
        <v>0.0</v>
      </c>
      <c r="H109" s="234">
        <f>Y$44</f>
        <v>0.00253695760585518</v>
      </c>
      <c r="I109" s="234">
        <f>Y$45</f>
        <v>0.00286077361472647</v>
      </c>
      <c r="J109" s="234">
        <f>Y$46</f>
        <v>0.00431645748674885</v>
      </c>
      <c r="K109" s="234">
        <f>Y$47</f>
        <v>0.0231000688041314</v>
      </c>
      <c r="L109" s="234">
        <f>Y$48</f>
        <v>0.0352029833062089</v>
      </c>
    </row>
    <row r="110">
      <c r="A110" s="3" t="inlineStr">
        <is>
          <t>lum</t>
        </is>
      </c>
      <c r="B110" s="3" t="inlineStr">
        <is>
          <t>Lumber</t>
        </is>
      </c>
      <c r="C110" s="3" t="inlineStr">
        <is>
          <t>foo</t>
        </is>
      </c>
      <c r="D110" s="202">
        <f>Z$43</f>
        <v>4349.25126105109</v>
      </c>
      <c r="E110" s="202">
        <f>Z$42</f>
        <v>182.564919598335</v>
      </c>
      <c r="F110" s="202">
        <f>Z$49</f>
        <v>5784.92057713017</v>
      </c>
      <c r="G110" s="58">
        <f>Z$50</f>
        <v>0.0</v>
      </c>
      <c r="H110" s="234">
        <f>Z$44</f>
        <v>0.00344453578329355</v>
      </c>
      <c r="I110" s="234">
        <f>Z$45</f>
        <v>0.00423123294599251</v>
      </c>
      <c r="J110" s="234">
        <f>Z$46</f>
        <v>0.00576881877028261</v>
      </c>
      <c r="K110" s="234">
        <f>Z$47</f>
        <v>0.034408106538954</v>
      </c>
      <c r="L110" s="234">
        <f>Z$48</f>
        <v>0.053078226649894</v>
      </c>
    </row>
    <row r="111">
      <c r="A111" s="3" t="inlineStr">
        <is>
          <t>mil</t>
        </is>
      </c>
      <c r="B111" s="3" t="inlineStr">
        <is>
          <t>Dairy</t>
        </is>
      </c>
      <c r="C111" s="3" t="inlineStr">
        <is>
          <t>foo</t>
        </is>
      </c>
      <c r="D111" s="202">
        <f>AA$43</f>
        <v>6126.30103646739</v>
      </c>
      <c r="E111" s="202">
        <f>AA$42</f>
        <v>483.619398031315</v>
      </c>
      <c r="F111" s="202">
        <f>AA$49</f>
        <v>8368.45288945174</v>
      </c>
      <c r="G111" s="58">
        <f>AA$50</f>
        <v>0.0</v>
      </c>
      <c r="H111" s="234">
        <f>AA$44</f>
        <v>0.00068393880421176</v>
      </c>
      <c r="I111" s="234">
        <f>AA$45</f>
        <v>0.00169536472714972</v>
      </c>
      <c r="J111" s="234">
        <f>AA$46</f>
        <v>0.0020650559722329</v>
      </c>
      <c r="K111" s="234">
        <f>AA$47</f>
        <v>0.0116997474212412</v>
      </c>
      <c r="L111" s="234">
        <f>AA$48</f>
        <v>0.0170849068351908</v>
      </c>
    </row>
    <row r="112">
      <c r="A112" s="3" t="inlineStr">
        <is>
          <t>mvh</t>
        </is>
      </c>
      <c r="B112" s="3" t="inlineStr">
        <is>
          <t>Motor vehicles</t>
        </is>
      </c>
      <c r="C112" s="3" t="inlineStr">
        <is>
          <t>mac</t>
        </is>
      </c>
      <c r="D112" s="202">
        <f>AB$43</f>
        <v>4083.52369454838</v>
      </c>
      <c r="E112" s="202">
        <f>AB$42</f>
        <v>277.725998833527</v>
      </c>
      <c r="F112" s="202">
        <f>AB$49</f>
        <v>6462.82929327509</v>
      </c>
      <c r="G112" s="58">
        <f>AB$50</f>
        <v>0.0</v>
      </c>
      <c r="H112" s="234">
        <f>AB$44</f>
        <v>0.00549747878936842</v>
      </c>
      <c r="I112" s="234">
        <f>AB$45</f>
        <v>0.00621839216564152</v>
      </c>
      <c r="J112" s="234">
        <f>AB$46</f>
        <v>0.00703086261973187</v>
      </c>
      <c r="K112" s="234">
        <f>AB$47</f>
        <v>0.0311354442357618</v>
      </c>
      <c r="L112" s="234">
        <f>AB$48</f>
        <v>0.0495243680747139</v>
      </c>
    </row>
    <row r="113">
      <c r="A113" s="3" t="inlineStr">
        <is>
          <t>nfm</t>
        </is>
      </c>
      <c r="B113" s="3" t="inlineStr">
        <is>
          <t>Non-Ferrous Metals</t>
        </is>
      </c>
      <c r="C113" s="3" t="inlineStr">
        <is>
          <t>nfm</t>
        </is>
      </c>
      <c r="D113" s="202">
        <f>AC$43</f>
        <v>654.29013332516</v>
      </c>
      <c r="E113" s="202">
        <f>AC$42</f>
        <v>1675.25830161587</v>
      </c>
      <c r="F113" s="202">
        <f>AC$49</f>
        <v>5741.43887148851</v>
      </c>
      <c r="G113" s="58">
        <f>AC$50</f>
        <v>0.0</v>
      </c>
      <c r="H113" s="234">
        <f>AC$44</f>
        <v>0.0107772898042735</v>
      </c>
      <c r="I113" s="234">
        <f>AC$45</f>
        <v>0.0137661555074806</v>
      </c>
      <c r="J113" s="234">
        <f>AC$46</f>
        <v>0.0143150118439924</v>
      </c>
      <c r="K113" s="234">
        <f>AC$47</f>
        <v>0.0600831873398946</v>
      </c>
      <c r="L113" s="234">
        <f>AC$48</f>
        <v>0.101653648705323</v>
      </c>
    </row>
    <row r="114">
      <c r="A114" s="3" t="inlineStr">
        <is>
          <t>nga</t>
        </is>
      </c>
      <c r="B114" s="3" t="inlineStr">
        <is>
          <t>Natural gas</t>
        </is>
      </c>
      <c r="C114" s="3" t="inlineStr">
        <is>
          <t>pow</t>
        </is>
      </c>
      <c r="D114" s="202">
        <f>AD$43</f>
        <v>147.52338591319</v>
      </c>
      <c r="E114" s="202">
        <f>AD$42</f>
        <v>1025.43787996319</v>
      </c>
      <c r="F114" s="202">
        <f>AD$49</f>
        <v>4811.41987183032</v>
      </c>
      <c r="G114" s="58">
        <f>AD$50</f>
        <v>1.0</v>
      </c>
      <c r="H114" s="234">
        <f>AD$44</f>
        <v>0.00191421576214889</v>
      </c>
      <c r="I114" s="234">
        <f>AD$45</f>
        <v>0.000441826366854551</v>
      </c>
      <c r="J114" s="234">
        <f>AD$46</f>
        <v>1.05378162090448</v>
      </c>
      <c r="K114" s="234">
        <f>AD$47</f>
        <v>0.0371639026388107</v>
      </c>
      <c r="L114" s="234">
        <f>AD$48</f>
        <v>0.0453277265269219</v>
      </c>
    </row>
    <row r="115">
      <c r="A115" s="3" t="inlineStr">
        <is>
          <t>nmm</t>
        </is>
      </c>
      <c r="B115" s="3" t="inlineStr">
        <is>
          <t>Non-metallic minerals</t>
        </is>
      </c>
      <c r="C115" s="3" t="inlineStr">
        <is>
          <t>cem</t>
        </is>
      </c>
      <c r="D115" s="202">
        <f>AE$43</f>
        <v>4072.76052458125</v>
      </c>
      <c r="E115" s="202">
        <f>AE$42</f>
        <v>1401.82496429157</v>
      </c>
      <c r="F115" s="202">
        <f>AE$49</f>
        <v>12249.7297172347</v>
      </c>
      <c r="G115" s="58">
        <f>AE$50</f>
        <v>0.0</v>
      </c>
      <c r="H115" s="234">
        <f>AE$44</f>
        <v>0.00220365300893285</v>
      </c>
      <c r="I115" s="234">
        <f>AE$45</f>
        <v>0.00478427472862505</v>
      </c>
      <c r="J115" s="234">
        <f>AE$46</f>
        <v>0.00738926848653442</v>
      </c>
      <c r="K115" s="234">
        <f>AE$47</f>
        <v>0.0407308321410655</v>
      </c>
      <c r="L115" s="234">
        <f>AE$48</f>
        <v>0.0585562279882097</v>
      </c>
    </row>
    <row r="116">
      <c r="A116" s="3" t="inlineStr">
        <is>
          <t>oap</t>
        </is>
      </c>
      <c r="B116" s="3" t="inlineStr">
        <is>
          <t>Other Animal Products</t>
        </is>
      </c>
      <c r="C116" s="3" t="inlineStr">
        <is>
          <t>foo</t>
        </is>
      </c>
      <c r="D116" s="202">
        <f>AF$43</f>
        <v>1381.43194438154</v>
      </c>
      <c r="E116" s="202">
        <f>AF$42</f>
        <v>41.3573149020425</v>
      </c>
      <c r="F116" s="202">
        <f>AF$49</f>
        <v>1514.50301444526</v>
      </c>
      <c r="G116" s="58">
        <f>AF$50</f>
        <v>0.0</v>
      </c>
      <c r="H116" s="234">
        <f>AF$44</f>
        <v>0.000979911837474416</v>
      </c>
      <c r="I116" s="234">
        <f>AF$45</f>
        <v>0.00191371536915629</v>
      </c>
      <c r="J116" s="234">
        <f>AF$46</f>
        <v>0.00308267763004466</v>
      </c>
      <c r="K116" s="234">
        <f>AF$47</f>
        <v>0.0282502947036171</v>
      </c>
      <c r="L116" s="234">
        <f>AF$48</f>
        <v>0.0395271598595529</v>
      </c>
    </row>
    <row r="117">
      <c r="A117" s="3" t="inlineStr">
        <is>
          <t>obs</t>
        </is>
      </c>
      <c r="B117" s="3" t="inlineStr">
        <is>
          <t>Other Business Services</t>
        </is>
      </c>
      <c r="C117" s="3" t="inlineStr">
        <is>
          <t>srv</t>
        </is>
      </c>
      <c r="D117" s="202">
        <f>AG$43</f>
        <v>617.536900944971</v>
      </c>
      <c r="E117" s="202">
        <f>AG$42</f>
        <v>1407.89327985787</v>
      </c>
      <c r="F117" s="202">
        <f>AG$49</f>
        <v>10050.3583332992</v>
      </c>
      <c r="G117" s="58">
        <f>AG$50</f>
        <v>0.0</v>
      </c>
      <c r="H117" s="234">
        <f>AG$44</f>
        <v>0.00107273069530607</v>
      </c>
      <c r="I117" s="234">
        <f>AG$45</f>
        <v>0.00206762822529075</v>
      </c>
      <c r="J117" s="234">
        <f>AG$46</f>
        <v>0.00191704672490001</v>
      </c>
      <c r="K117" s="234">
        <f>AG$47</f>
        <v>0.0136022493350944</v>
      </c>
      <c r="L117" s="234">
        <f>AG$48</f>
        <v>0.0203095536554996</v>
      </c>
    </row>
    <row r="118">
      <c r="A118" s="3" t="inlineStr">
        <is>
          <t>ocr</t>
        </is>
      </c>
      <c r="B118" s="3" t="inlineStr">
        <is>
          <t>Other Crops</t>
        </is>
      </c>
      <c r="C118" s="3" t="inlineStr">
        <is>
          <t>foo</t>
        </is>
      </c>
      <c r="D118" s="202">
        <f>AH$43</f>
        <v>34.75941515621</v>
      </c>
      <c r="E118" s="202">
        <f>AH$42</f>
        <v>271.270922281125</v>
      </c>
      <c r="F118" s="202">
        <f>AH$49</f>
        <v>418.334220871955</v>
      </c>
      <c r="G118" s="58">
        <f>AH$50</f>
        <v>0.0</v>
      </c>
      <c r="H118" s="234">
        <f>AH$44</f>
        <v>0.000329257069803622</v>
      </c>
      <c r="I118" s="234">
        <f>AH$45</f>
        <v>0.000721982759140559</v>
      </c>
      <c r="J118" s="234">
        <f>AH$46</f>
        <v>0.00108777809003651</v>
      </c>
      <c r="K118" s="234">
        <f>AH$47</f>
        <v>0.010392889865034</v>
      </c>
      <c r="L118" s="234">
        <f>AH$48</f>
        <v>0.0143421766814367</v>
      </c>
    </row>
    <row r="119">
      <c r="A119" s="3" t="inlineStr">
        <is>
          <t>ofd</t>
        </is>
      </c>
      <c r="B119" s="3" t="inlineStr">
        <is>
          <t>Other Food</t>
        </is>
      </c>
      <c r="C119" s="3" t="inlineStr">
        <is>
          <t>foo</t>
        </is>
      </c>
      <c r="D119" s="202">
        <f>AI$43</f>
        <v>19937.9983142259</v>
      </c>
      <c r="E119" s="202">
        <f>AI$42</f>
        <v>1873.09656029045</v>
      </c>
      <c r="F119" s="202">
        <f>AI$49</f>
        <v>28747.2690491172</v>
      </c>
      <c r="G119" s="58">
        <f>AI$50</f>
        <v>0.0</v>
      </c>
      <c r="H119" s="234">
        <f>AI$44</f>
        <v>0.00224294177052631</v>
      </c>
      <c r="I119" s="234">
        <f>AI$45</f>
        <v>0.0031789179861689</v>
      </c>
      <c r="J119" s="234">
        <f>AI$46</f>
        <v>0.00533899682485737</v>
      </c>
      <c r="K119" s="234">
        <f>AI$47</f>
        <v>0.0350663850374647</v>
      </c>
      <c r="L119" s="234">
        <f>AI$48</f>
        <v>0.0522255075394264</v>
      </c>
    </row>
    <row r="120">
      <c r="A120" s="3" t="inlineStr">
        <is>
          <t>ofi</t>
        </is>
      </c>
      <c r="B120" s="3" t="inlineStr">
        <is>
          <t>Other financial intermediation</t>
        </is>
      </c>
      <c r="C120" s="3" t="inlineStr">
        <is>
          <t>srv</t>
        </is>
      </c>
      <c r="D120" s="202">
        <f>AJ$43</f>
        <v>6956.66054705475</v>
      </c>
      <c r="E120" s="202">
        <f>AJ$42</f>
        <v>315.272103173709</v>
      </c>
      <c r="F120" s="202">
        <f>AJ$49</f>
        <v>11962.10904049</v>
      </c>
      <c r="G120" s="58">
        <f>AJ$50</f>
        <v>0.0</v>
      </c>
      <c r="H120" s="234">
        <f>AJ$44</f>
        <v>0.000351134159602725</v>
      </c>
      <c r="I120" s="234">
        <f>AJ$45</f>
        <v>0.00151535738741394</v>
      </c>
      <c r="J120" s="234">
        <f>AJ$46</f>
        <v>0.000978456798183311</v>
      </c>
      <c r="K120" s="234">
        <f>AJ$47</f>
        <v>0.00666866651002091</v>
      </c>
      <c r="L120" s="234">
        <f>AJ$48</f>
        <v>0.00970058819319994</v>
      </c>
    </row>
    <row r="121">
      <c r="A121" s="3" t="inlineStr">
        <is>
          <t>oil</t>
        </is>
      </c>
      <c r="B121" s="3" t="inlineStr">
        <is>
          <t>Oil</t>
        </is>
      </c>
      <c r="C121" s="3" t="inlineStr">
        <is>
          <t>ftr</t>
        </is>
      </c>
      <c r="D121" s="202">
        <f>AK$43</f>
        <v>22.98052080897</v>
      </c>
      <c r="E121" s="202">
        <f>AK$42</f>
        <v>6617.26168673421</v>
      </c>
      <c r="F121" s="202">
        <f>AK$49</f>
        <v>17954.5374653309</v>
      </c>
      <c r="G121" s="58">
        <f>AK$50</f>
        <v>1.0</v>
      </c>
      <c r="H121" s="234">
        <f>AK$44</f>
        <v>0.000425157774701964</v>
      </c>
      <c r="I121" s="234">
        <f>AK$45</f>
        <v>0.000508710761389153</v>
      </c>
      <c r="J121" s="234">
        <f>AK$46</f>
        <v>0.00669882712103215</v>
      </c>
      <c r="K121" s="234">
        <f>AK$47</f>
        <v>1.00922627131105</v>
      </c>
      <c r="L121" s="234">
        <f>AK$48</f>
        <v>0.0122092525069807</v>
      </c>
    </row>
    <row r="122">
      <c r="A122" s="3" t="inlineStr">
        <is>
          <t>ome</t>
        </is>
      </c>
      <c r="B122" s="3" t="inlineStr">
        <is>
          <t>Machinery</t>
        </is>
      </c>
      <c r="C122" s="3" t="inlineStr">
        <is>
          <t>mac</t>
        </is>
      </c>
      <c r="D122" s="202">
        <f>AL$43</f>
        <v>66.746484617443</v>
      </c>
      <c r="E122" s="202">
        <f>AL$42</f>
        <v>199.900427744144</v>
      </c>
      <c r="F122" s="202">
        <f>AL$49</f>
        <v>704.6580456011</v>
      </c>
      <c r="G122" s="58">
        <f>AL$50</f>
        <v>0.0</v>
      </c>
      <c r="H122" s="234">
        <f>AL$44</f>
        <v>0.00738499852550274</v>
      </c>
      <c r="I122" s="234">
        <f>AL$45</f>
        <v>0.00808603618801699</v>
      </c>
      <c r="J122" s="234">
        <f>AL$46</f>
        <v>0.00790243756846742</v>
      </c>
      <c r="K122" s="234">
        <f>AL$47</f>
        <v>0.0332173842026137</v>
      </c>
      <c r="L122" s="234">
        <f>AL$48</f>
        <v>0.0568901682830709</v>
      </c>
    </row>
    <row r="123">
      <c r="A123" s="3" t="inlineStr">
        <is>
          <t>omf</t>
        </is>
      </c>
      <c r="B123" s="3" t="inlineStr">
        <is>
          <t>Other Manufacturing</t>
        </is>
      </c>
      <c r="C123" s="3" t="inlineStr">
        <is>
          <t>srv</t>
        </is>
      </c>
      <c r="D123" s="202">
        <f>AM$43</f>
        <v>241.4513984691</v>
      </c>
      <c r="E123" s="202">
        <f>AM$42</f>
        <v>361.165982377532</v>
      </c>
      <c r="F123" s="202">
        <f>AM$49</f>
        <v>2009.9945093015</v>
      </c>
      <c r="G123" s="58">
        <f>AM$50</f>
        <v>0.0</v>
      </c>
      <c r="H123" s="234">
        <f>AM$44</f>
        <v>0.00977873546362047</v>
      </c>
      <c r="I123" s="234">
        <f>AM$45</f>
        <v>0.0183722757621935</v>
      </c>
      <c r="J123" s="234">
        <f>AM$46</f>
        <v>0.0238231805882763</v>
      </c>
      <c r="K123" s="234">
        <f>AM$47</f>
        <v>0.0898016964281536</v>
      </c>
      <c r="L123" s="234">
        <f>AM$48</f>
        <v>0.141793925382003</v>
      </c>
    </row>
    <row r="124">
      <c r="A124" s="3" t="inlineStr">
        <is>
          <t>omt</t>
        </is>
      </c>
      <c r="B124" s="3" t="inlineStr">
        <is>
          <t>Other Meat</t>
        </is>
      </c>
      <c r="C124" s="3" t="inlineStr">
        <is>
          <t>foo</t>
        </is>
      </c>
      <c r="D124" s="202">
        <f>AN$43</f>
        <v>1061.438062644</v>
      </c>
      <c r="E124" s="202">
        <f>AN$42</f>
        <v>18.0511457668508</v>
      </c>
      <c r="F124" s="202">
        <f>AN$49</f>
        <v>1584.3147967698</v>
      </c>
      <c r="G124" s="58">
        <f>AN$50</f>
        <v>0.0</v>
      </c>
      <c r="H124" s="234">
        <f>AN$44</f>
        <v>0.000204883933153012</v>
      </c>
      <c r="I124" s="234">
        <f>AN$45</f>
        <v>0.000825492932474971</v>
      </c>
      <c r="J124" s="234">
        <f>AN$46</f>
        <v>0.000785547159686055</v>
      </c>
      <c r="K124" s="234">
        <f>AN$47</f>
        <v>0.00417265794475718</v>
      </c>
      <c r="L124" s="234">
        <f>AN$48</f>
        <v>0.00589820976697364</v>
      </c>
    </row>
    <row r="125">
      <c r="A125" s="3" t="inlineStr">
        <is>
          <t>osd</t>
        </is>
      </c>
      <c r="B125" s="3" t="inlineStr">
        <is>
          <t>Oil Seeds</t>
        </is>
      </c>
      <c r="C125" s="3" t="inlineStr">
        <is>
          <t>foo</t>
        </is>
      </c>
      <c r="D125" s="202">
        <f>AO$43</f>
        <v>1301.14957949276</v>
      </c>
      <c r="E125" s="202">
        <f>AO$42</f>
        <v>86.294523168781</v>
      </c>
      <c r="F125" s="202">
        <f>AO$49</f>
        <v>3327.92476444899</v>
      </c>
      <c r="G125" s="58">
        <f>AO$50</f>
        <v>0.0</v>
      </c>
      <c r="H125" s="234">
        <f>AO$44</f>
        <v>0.000603525885467187</v>
      </c>
      <c r="I125" s="234">
        <f>AO$45</f>
        <v>0.00132167792176624</v>
      </c>
      <c r="J125" s="234">
        <f>AO$46</f>
        <v>0.00217849727874758</v>
      </c>
      <c r="K125" s="234">
        <f>AO$47</f>
        <v>0.0215064286834857</v>
      </c>
      <c r="L125" s="234">
        <f>AO$48</f>
        <v>0.0295288945655001</v>
      </c>
    </row>
    <row r="126">
      <c r="A126" s="3" t="inlineStr">
        <is>
          <t>osg</t>
        </is>
      </c>
      <c r="B126" s="3" t="inlineStr">
        <is>
          <t>Government services</t>
        </is>
      </c>
      <c r="C126" s="3" t="inlineStr">
        <is>
          <t>srv</t>
        </is>
      </c>
      <c r="D126" s="202">
        <f>AP$43</f>
        <v>1807.73810099607</v>
      </c>
      <c r="E126" s="202">
        <f>AP$42</f>
        <v>195.073478805989</v>
      </c>
      <c r="F126" s="202">
        <f>AP$49</f>
        <v>17700.1430508588</v>
      </c>
      <c r="G126" s="58">
        <f>AP$50</f>
        <v>0.0</v>
      </c>
      <c r="H126" s="234">
        <f>AP$44</f>
        <v>0.00198274470028134</v>
      </c>
      <c r="I126" s="234">
        <f>AP$45</f>
        <v>0.00443911368850096</v>
      </c>
      <c r="J126" s="234">
        <f>AP$46</f>
        <v>0.00364893755665008</v>
      </c>
      <c r="K126" s="234">
        <f>AP$47</f>
        <v>0.0197357551196909</v>
      </c>
      <c r="L126" s="234">
        <f>AP$48</f>
        <v>0.0290423221495558</v>
      </c>
    </row>
    <row r="127">
      <c r="A127" s="3" t="inlineStr">
        <is>
          <t>otn</t>
        </is>
      </c>
      <c r="B127" s="3" t="inlineStr">
        <is>
          <t>Other transport equipment</t>
        </is>
      </c>
      <c r="C127" s="3" t="inlineStr">
        <is>
          <t>mac</t>
        </is>
      </c>
      <c r="D127" s="202">
        <f>AQ$43</f>
        <v>624.513830013833</v>
      </c>
      <c r="E127" s="202">
        <f>AQ$42</f>
        <v>51.6506147363973</v>
      </c>
      <c r="F127" s="202">
        <f>AQ$49</f>
        <v>1701.63150719922</v>
      </c>
      <c r="G127" s="58">
        <f>AQ$50</f>
        <v>0.0</v>
      </c>
      <c r="H127" s="234">
        <f>AQ$44</f>
        <v>0.0054237828950749</v>
      </c>
      <c r="I127" s="234">
        <f>AQ$45</f>
        <v>0.00679949641534759</v>
      </c>
      <c r="J127" s="234">
        <f>AQ$46</f>
        <v>0.00691569510528019</v>
      </c>
      <c r="K127" s="234">
        <f>AQ$47</f>
        <v>0.0277851277201818</v>
      </c>
      <c r="L127" s="234">
        <f>AQ$48</f>
        <v>0.044931886122637</v>
      </c>
    </row>
    <row r="128">
      <c r="A128" s="3" t="inlineStr">
        <is>
          <t>otp</t>
        </is>
      </c>
      <c r="B128" s="3" t="inlineStr">
        <is>
          <t>Land transport</t>
        </is>
      </c>
      <c r="C128" s="3" t="inlineStr">
        <is>
          <t>nav</t>
        </is>
      </c>
      <c r="D128" s="202">
        <f>AR$43</f>
        <v>11191.6882322928</v>
      </c>
      <c r="E128" s="202">
        <f>AR$42</f>
        <v>8001.67511043327</v>
      </c>
      <c r="F128" s="202">
        <f>AR$49</f>
        <v>22624.9741981104</v>
      </c>
      <c r="G128" s="58">
        <f>AR$50</f>
        <v>0.0</v>
      </c>
      <c r="H128" s="234">
        <f>AR$44</f>
        <v>0.00292384983887647</v>
      </c>
      <c r="I128" s="234">
        <f>AR$45</f>
        <v>0.00254960688937018</v>
      </c>
      <c r="J128" s="234">
        <f>AR$46</f>
        <v>0.00772061170059618</v>
      </c>
      <c r="K128" s="234">
        <f>AR$47</f>
        <v>0.173386457854751</v>
      </c>
      <c r="L128" s="234">
        <f>AR$48</f>
        <v>0.228872616945174</v>
      </c>
    </row>
    <row r="129">
      <c r="A129" s="3" t="inlineStr">
        <is>
          <t>oxt</t>
        </is>
      </c>
      <c r="B129" s="3" t="inlineStr">
        <is>
          <t>Other Mining</t>
        </is>
      </c>
      <c r="C129" s="3" t="inlineStr">
        <is>
          <t>mch</t>
        </is>
      </c>
      <c r="D129" s="202">
        <f>AS$43</f>
        <v>222.618962422445</v>
      </c>
      <c r="E129" s="202">
        <f>AS$42</f>
        <v>683.185049354259</v>
      </c>
      <c r="F129" s="202">
        <f>AS$49</f>
        <v>1211.88543477432</v>
      </c>
      <c r="G129" s="58">
        <f>AS$50</f>
        <v>0.0</v>
      </c>
      <c r="H129" s="234">
        <f>AS$44</f>
        <v>0.00319711499791659</v>
      </c>
      <c r="I129" s="234">
        <f>AS$45</f>
        <v>0.0147930350362524</v>
      </c>
      <c r="J129" s="234">
        <f>AS$46</f>
        <v>0.0132053599914682</v>
      </c>
      <c r="K129" s="234">
        <f>AS$47</f>
        <v>0.153064071185822</v>
      </c>
      <c r="L129" s="234">
        <f>AS$48</f>
        <v>0.205561622463974</v>
      </c>
    </row>
    <row r="130">
      <c r="A130" s="3" t="inlineStr">
        <is>
          <t>p_c</t>
        </is>
      </c>
      <c r="B130" s="3" t="inlineStr">
        <is>
          <t>Petroleum &amp; Coke</t>
        </is>
      </c>
      <c r="C130" s="3" t="inlineStr">
        <is>
          <t>ftr</t>
        </is>
      </c>
      <c r="D130" s="202">
        <f>AT$43</f>
        <v>5410.58340982145</v>
      </c>
      <c r="E130" s="202">
        <f>AT$42</f>
        <v>2292.51170578502</v>
      </c>
      <c r="F130" s="202">
        <f>AT$49</f>
        <v>14972.5248107399</v>
      </c>
      <c r="G130" s="58">
        <f>AT$50</f>
        <v>1.0</v>
      </c>
      <c r="H130" s="234">
        <f>AT$44</f>
        <v>0.00453659880131827</v>
      </c>
      <c r="I130" s="234">
        <f>AT$45</f>
        <v>0.000643130604557073</v>
      </c>
      <c r="J130" s="234">
        <f>AT$46</f>
        <v>0.0113506647420324</v>
      </c>
      <c r="K130" s="234">
        <f>AT$47</f>
        <v>0.891363177216101</v>
      </c>
      <c r="L130" s="234">
        <f>AT$48</f>
        <v>1.0367226975543</v>
      </c>
    </row>
    <row r="131">
      <c r="A131" s="3" t="inlineStr">
        <is>
          <t>pcr</t>
        </is>
      </c>
      <c r="B131" s="3" t="inlineStr">
        <is>
          <t>Processed Rice</t>
        </is>
      </c>
      <c r="C131" s="3" t="inlineStr">
        <is>
          <t>foo</t>
        </is>
      </c>
      <c r="D131" s="202">
        <f>AU$43</f>
        <v>4385.82696826963</v>
      </c>
      <c r="E131" s="202">
        <f>AU$42</f>
        <v>80.8034358395082</v>
      </c>
      <c r="F131" s="202">
        <f>AU$49</f>
        <v>4793.79806814776</v>
      </c>
      <c r="G131" s="58">
        <f>AU$50</f>
        <v>0.0</v>
      </c>
      <c r="H131" s="234">
        <f>AU$44</f>
        <v>0.00119951900270512</v>
      </c>
      <c r="I131" s="234">
        <f>AU$45</f>
        <v>0.00204004172725758</v>
      </c>
      <c r="J131" s="234">
        <f>AU$46</f>
        <v>0.00340146934940344</v>
      </c>
      <c r="K131" s="234">
        <f>AU$47</f>
        <v>0.0279514302279785</v>
      </c>
      <c r="L131" s="234">
        <f>AU$48</f>
        <v>0.0402170324460762</v>
      </c>
    </row>
    <row r="132">
      <c r="A132" s="3" t="inlineStr">
        <is>
          <t>pdr</t>
        </is>
      </c>
      <c r="B132" s="3" t="inlineStr">
        <is>
          <t>Rice</t>
        </is>
      </c>
      <c r="C132" s="3" t="inlineStr">
        <is>
          <t>foo</t>
        </is>
      </c>
      <c r="D132" s="202">
        <f>AV$43</f>
        <v>1367.76845295236</v>
      </c>
      <c r="E132" s="202">
        <f>AV$42</f>
        <v>7.74137833172396</v>
      </c>
      <c r="F132" s="202">
        <f>AV$49</f>
        <v>6582.86359253731</v>
      </c>
      <c r="G132" s="58">
        <f>AV$50</f>
        <v>0.0</v>
      </c>
      <c r="H132" s="234">
        <f>AV$44</f>
        <v>0.000741405811177991</v>
      </c>
      <c r="I132" s="234">
        <f>AV$45</f>
        <v>0.0014113709485892</v>
      </c>
      <c r="J132" s="234">
        <f>AV$46</f>
        <v>0.00250205186167301</v>
      </c>
      <c r="K132" s="234">
        <f>AV$47</f>
        <v>0.0244893458567188</v>
      </c>
      <c r="L132" s="234">
        <f>AV$48</f>
        <v>0.0345493433983841</v>
      </c>
    </row>
    <row r="133">
      <c r="A133" s="3" t="inlineStr">
        <is>
          <t>pfb</t>
        </is>
      </c>
      <c r="B133" s="3" t="inlineStr">
        <is>
          <t>Fibres crops</t>
        </is>
      </c>
      <c r="C133" s="3" t="inlineStr">
        <is>
          <t>foo</t>
        </is>
      </c>
      <c r="D133" s="202">
        <f>AW$43</f>
        <v>1450.96487161176</v>
      </c>
      <c r="E133" s="202">
        <f>AW$42</f>
        <v>156.660756464849</v>
      </c>
      <c r="F133" s="202">
        <f>AW$49</f>
        <v>3956.81931888904</v>
      </c>
      <c r="G133" s="58">
        <f>AW$50</f>
        <v>0.0</v>
      </c>
      <c r="H133" s="234">
        <f>AW$44</f>
        <v>0.00209272809070836</v>
      </c>
      <c r="I133" s="234">
        <f>AW$45</f>
        <v>0.00422987625914248</v>
      </c>
      <c r="J133" s="234">
        <f>AW$46</f>
        <v>0.00741624617339238</v>
      </c>
      <c r="K133" s="234">
        <f>AW$47</f>
        <v>0.0739826311078204</v>
      </c>
      <c r="L133" s="234">
        <f>AW$48</f>
        <v>0.102614603911626</v>
      </c>
    </row>
    <row r="134">
      <c r="A134" s="3" t="inlineStr">
        <is>
          <t>ppp</t>
        </is>
      </c>
      <c r="B134" s="3" t="inlineStr">
        <is>
          <t>Paper</t>
        </is>
      </c>
      <c r="C134" s="3" t="inlineStr">
        <is>
          <t>omn</t>
        </is>
      </c>
      <c r="D134" s="202">
        <f>AX$43</f>
        <v>1416.6379056627</v>
      </c>
      <c r="E134" s="202">
        <f>AX$42</f>
        <v>666.904864011295</v>
      </c>
      <c r="F134" s="202">
        <f>AX$49</f>
        <v>3228.74227541988</v>
      </c>
      <c r="G134" s="58">
        <f>AX$50</f>
        <v>0.0</v>
      </c>
      <c r="H134" s="234">
        <f>AX$44</f>
        <v>0.0030350895064165</v>
      </c>
      <c r="I134" s="234">
        <f>AX$45</f>
        <v>0.00883796674641766</v>
      </c>
      <c r="J134" s="234">
        <f>AX$46</f>
        <v>0.0111937541056109</v>
      </c>
      <c r="K134" s="234">
        <f>AX$47</f>
        <v>0.0479712518193673</v>
      </c>
      <c r="L134" s="234">
        <f>AX$48</f>
        <v>0.0711872649135438</v>
      </c>
    </row>
    <row r="135">
      <c r="A135" s="3" t="inlineStr">
        <is>
          <t>rmk</t>
        </is>
      </c>
      <c r="B135" s="3" t="inlineStr">
        <is>
          <t>Raw milk</t>
        </is>
      </c>
      <c r="C135" s="3" t="inlineStr">
        <is>
          <t>foo</t>
        </is>
      </c>
      <c r="D135" s="202">
        <f>AY$43</f>
        <v>1318.5303724799</v>
      </c>
      <c r="E135" s="202">
        <f>AY$42</f>
        <v>7.27007128626788</v>
      </c>
      <c r="F135" s="202">
        <f>AY$49</f>
        <v>1876.77239319324</v>
      </c>
      <c r="G135" s="58">
        <f>AY$50</f>
        <v>0.0</v>
      </c>
      <c r="H135" s="234">
        <f>AY$44</f>
        <v>0.000859974968424062</v>
      </c>
      <c r="I135" s="234">
        <f>AY$45</f>
        <v>0.00183467431415716</v>
      </c>
      <c r="J135" s="234">
        <f>AY$46</f>
        <v>0.00287389386746147</v>
      </c>
      <c r="K135" s="234">
        <f>AY$47</f>
        <v>0.027490090198906</v>
      </c>
      <c r="L135" s="234">
        <f>AY$48</f>
        <v>0.0381647905184745</v>
      </c>
    </row>
    <row r="136">
      <c r="A136" s="3" t="inlineStr">
        <is>
          <t>ros</t>
        </is>
      </c>
      <c r="B136" s="3" t="inlineStr">
        <is>
          <t>Recreation</t>
        </is>
      </c>
      <c r="C136" s="3" t="inlineStr">
        <is>
          <t>res</t>
        </is>
      </c>
      <c r="D136" s="202">
        <f>AZ$43</f>
        <v>12533.8765969059</v>
      </c>
      <c r="E136" s="202">
        <f>AZ$42</f>
        <v>1131.09060340752</v>
      </c>
      <c r="F136" s="202">
        <f>AZ$49</f>
        <v>14317.1094828475</v>
      </c>
      <c r="G136" s="58">
        <f>AZ$50</f>
        <v>0.0</v>
      </c>
      <c r="H136" s="234">
        <f>AZ$44</f>
        <v>0.00115625289333655</v>
      </c>
      <c r="I136" s="234">
        <f>AZ$45</f>
        <v>0.00510179182450642</v>
      </c>
      <c r="J136" s="234">
        <f>AZ$46</f>
        <v>0.00403296095333187</v>
      </c>
      <c r="K136" s="234">
        <f>AZ$47</f>
        <v>0.0162496005008919</v>
      </c>
      <c r="L136" s="234">
        <f>AZ$48</f>
        <v>0.0234955354971126</v>
      </c>
    </row>
    <row r="137">
      <c r="A137" s="3" t="inlineStr">
        <is>
          <t>rpp</t>
        </is>
      </c>
      <c r="B137" s="3" t="inlineStr">
        <is>
          <t>Rubber &amp; plastics</t>
        </is>
      </c>
      <c r="C137" s="3" t="inlineStr">
        <is>
          <t>omn</t>
        </is>
      </c>
      <c r="D137" s="202">
        <f>BA$43</f>
        <v>1169.65213203638</v>
      </c>
      <c r="E137" s="202">
        <f>BA$42</f>
        <v>869.736810987093</v>
      </c>
      <c r="F137" s="202">
        <f>BA$49</f>
        <v>3574.91278825651</v>
      </c>
      <c r="G137" s="58">
        <f>BA$50</f>
        <v>0.0</v>
      </c>
      <c r="H137" s="234">
        <f>BA$44</f>
        <v>0.00515188469899366</v>
      </c>
      <c r="I137" s="234">
        <f>BA$45</f>
        <v>0.00697816342089469</v>
      </c>
      <c r="J137" s="234">
        <f>BA$46</f>
        <v>0.0270116288957349</v>
      </c>
      <c r="K137" s="234">
        <f>BA$47</f>
        <v>0.038522363036603</v>
      </c>
      <c r="L137" s="234">
        <f>BA$48</f>
        <v>0.0602111431838218</v>
      </c>
    </row>
    <row r="138">
      <c r="A138" s="3" t="inlineStr">
        <is>
          <t>rsa</t>
        </is>
      </c>
      <c r="B138" s="3" t="inlineStr">
        <is>
          <t>Real estate activities</t>
        </is>
      </c>
      <c r="C138" s="3" t="inlineStr">
        <is>
          <t>srv</t>
        </is>
      </c>
      <c r="D138" s="202">
        <f>BB$43</f>
        <v>2254.06276025391</v>
      </c>
      <c r="E138" s="202">
        <f>BB$42</f>
        <v>84.2390394464657</v>
      </c>
      <c r="F138" s="202">
        <f>BB$49</f>
        <v>4337.10773664196</v>
      </c>
      <c r="G138" s="58">
        <f>BB$50</f>
        <v>0.0</v>
      </c>
      <c r="H138" s="234">
        <f>BB$44</f>
        <v>0.000327917992223212</v>
      </c>
      <c r="I138" s="234">
        <f>BB$45</f>
        <v>0.00415695019560504</v>
      </c>
      <c r="J138" s="234">
        <f>BB$46</f>
        <v>0.00180752170892827</v>
      </c>
      <c r="K138" s="234">
        <f>BB$47</f>
        <v>0.00678935200069094</v>
      </c>
      <c r="L138" s="234">
        <f>BB$48</f>
        <v>0.00965645231293027</v>
      </c>
    </row>
    <row r="139">
      <c r="A139" s="3" t="inlineStr">
        <is>
          <t>sgr</t>
        </is>
      </c>
      <c r="B139" s="3" t="inlineStr">
        <is>
          <t>Sugar and molasses</t>
        </is>
      </c>
      <c r="C139" s="3" t="inlineStr">
        <is>
          <t>foo</t>
        </is>
      </c>
      <c r="D139" s="202">
        <f>BC$43</f>
        <v>1316.65433001827</v>
      </c>
      <c r="E139" s="202">
        <f>BC$42</f>
        <v>378.655454085876</v>
      </c>
      <c r="F139" s="202">
        <f>BC$49</f>
        <v>2170.64887417462</v>
      </c>
      <c r="G139" s="58">
        <f>BC$50</f>
        <v>0.0</v>
      </c>
      <c r="H139" s="234">
        <f>BC$44</f>
        <v>0.00194350634996115</v>
      </c>
      <c r="I139" s="234">
        <f>BC$45</f>
        <v>0.00293507526118323</v>
      </c>
      <c r="J139" s="234">
        <f>BC$46</f>
        <v>0.00496231976540241</v>
      </c>
      <c r="K139" s="234">
        <f>BC$47</f>
        <v>0.038637080243721</v>
      </c>
      <c r="L139" s="234">
        <f>BC$48</f>
        <v>0.0560451994685985</v>
      </c>
    </row>
    <row r="140">
      <c r="A140" s="3" t="inlineStr">
        <is>
          <t>tex</t>
        </is>
      </c>
      <c r="B140" s="3" t="inlineStr">
        <is>
          <t>Textiles</t>
        </is>
      </c>
      <c r="C140" s="3" t="inlineStr">
        <is>
          <t>omn</t>
        </is>
      </c>
      <c r="D140" s="202">
        <f>BD$43</f>
        <v>8751.99459365595</v>
      </c>
      <c r="E140" s="202">
        <f>BD$42</f>
        <v>2151.2785237842</v>
      </c>
      <c r="F140" s="202">
        <f>BD$49</f>
        <v>25339.2622208862</v>
      </c>
      <c r="G140" s="58">
        <f>BD$50</f>
        <v>0.0</v>
      </c>
      <c r="H140" s="234">
        <f>BD$44</f>
        <v>0.00170026611819323</v>
      </c>
      <c r="I140" s="234">
        <f>BD$45</f>
        <v>0.00337248453177331</v>
      </c>
      <c r="J140" s="234">
        <f>BD$46</f>
        <v>0.00395735086464049</v>
      </c>
      <c r="K140" s="234">
        <f>BD$47</f>
        <v>0.0255057126423185</v>
      </c>
      <c r="L140" s="234">
        <f>BD$48</f>
        <v>0.0368347248019593</v>
      </c>
    </row>
    <row r="141">
      <c r="A141" s="3" t="inlineStr">
        <is>
          <t>trd</t>
        </is>
      </c>
      <c r="B141" s="3" t="inlineStr">
        <is>
          <t>Vehicles repair</t>
        </is>
      </c>
      <c r="C141" s="3" t="inlineStr">
        <is>
          <t>srv</t>
        </is>
      </c>
      <c r="D141" s="202">
        <f>BE$43</f>
        <v>15768.7809539836</v>
      </c>
      <c r="E141" s="202">
        <f>BE$42</f>
        <v>478.519177871075</v>
      </c>
      <c r="F141" s="202">
        <f>BE$49</f>
        <v>27147.8024377108</v>
      </c>
      <c r="G141" s="58">
        <f>BE$50</f>
        <v>0.0</v>
      </c>
      <c r="H141" s="234">
        <f>BE$44</f>
        <v>0.000704048617123254</v>
      </c>
      <c r="I141" s="234">
        <f>BE$45</f>
        <v>0.00397955310858113</v>
      </c>
      <c r="J141" s="234">
        <f>BE$46</f>
        <v>0.00220802849735374</v>
      </c>
      <c r="K141" s="234">
        <f>BE$47</f>
        <v>0.0152108488648852</v>
      </c>
      <c r="L141" s="234">
        <f>BE$48</f>
        <v>0.0220009224355531</v>
      </c>
    </row>
    <row r="142">
      <c r="A142" s="3" t="inlineStr">
        <is>
          <t>v_f</t>
        </is>
      </c>
      <c r="B142" s="3" t="inlineStr">
        <is>
          <t>Veg &amp; fruit</t>
        </is>
      </c>
      <c r="C142" s="3" t="inlineStr">
        <is>
          <t>foo</t>
        </is>
      </c>
      <c r="D142" s="202">
        <f>BF$43</f>
        <v>11367.0447882308</v>
      </c>
      <c r="E142" s="202">
        <f>BF$42</f>
        <v>2508.39545091608</v>
      </c>
      <c r="F142" s="202">
        <f>BF$49</f>
        <v>19624.1310491952</v>
      </c>
      <c r="G142" s="58">
        <f>BF$50</f>
        <v>0.0</v>
      </c>
      <c r="H142" s="234">
        <f>BF$44</f>
        <v>0.00063737307934753</v>
      </c>
      <c r="I142" s="234">
        <f>BF$45</f>
        <v>0.00128254228516543</v>
      </c>
      <c r="J142" s="234">
        <f>BF$46</f>
        <v>0.00220755243207458</v>
      </c>
      <c r="K142" s="234">
        <f>BF$47</f>
        <v>0.0217226797412293</v>
      </c>
      <c r="L142" s="234">
        <f>BF$48</f>
        <v>0.0301875151966365</v>
      </c>
    </row>
    <row r="143">
      <c r="A143" s="3" t="inlineStr">
        <is>
          <t>vol</t>
        </is>
      </c>
      <c r="B143" s="3" t="inlineStr">
        <is>
          <t>Vegetable Oils</t>
        </is>
      </c>
      <c r="C143" s="3" t="inlineStr">
        <is>
          <t>foo</t>
        </is>
      </c>
      <c r="D143" s="202">
        <f>BG$43</f>
        <v>50.90339085766</v>
      </c>
      <c r="E143" s="202">
        <f>BG$42</f>
        <v>195.078626646494</v>
      </c>
      <c r="F143" s="202">
        <f>BG$49</f>
        <v>426.001131792896</v>
      </c>
      <c r="G143" s="58">
        <f>BG$50</f>
        <v>0.0</v>
      </c>
      <c r="H143" s="234">
        <f>BG$44</f>
        <v>0.000611687376948864</v>
      </c>
      <c r="I143" s="234">
        <f>BG$45</f>
        <v>0.00132780230847301</v>
      </c>
      <c r="J143" s="234">
        <f>BG$46</f>
        <v>0.00219305544701005</v>
      </c>
      <c r="K143" s="234">
        <f>BG$47</f>
        <v>0.0215576266922547</v>
      </c>
      <c r="L143" s="234">
        <f>BG$48</f>
        <v>0.029635229128332</v>
      </c>
    </row>
    <row r="144">
      <c r="A144" s="3" t="inlineStr">
        <is>
          <t>wap</t>
        </is>
      </c>
      <c r="B144" s="3" t="inlineStr">
        <is>
          <t>Apparel</t>
        </is>
      </c>
      <c r="C144" s="3" t="inlineStr">
        <is>
          <t>omn</t>
        </is>
      </c>
      <c r="D144" s="202">
        <f>BH$43</f>
        <v>19490.7297567692</v>
      </c>
      <c r="E144" s="202">
        <f>BH$42</f>
        <v>3068.02347808736</v>
      </c>
      <c r="F144" s="202">
        <f>BH$49</f>
        <v>25965.6057780989</v>
      </c>
      <c r="G144" s="58">
        <f>BH$50</f>
        <v>0.0</v>
      </c>
      <c r="H144" s="234">
        <f>BH$44</f>
        <v>0.00190888662339354</v>
      </c>
      <c r="I144" s="234">
        <f>BH$45</f>
        <v>0.00277158329330643</v>
      </c>
      <c r="J144" s="234">
        <f>BH$46</f>
        <v>0.00390520786509406</v>
      </c>
      <c r="K144" s="234">
        <f>BH$47</f>
        <v>0.019579925175574</v>
      </c>
      <c r="L144" s="234">
        <f>BH$48</f>
        <v>0.0294896798480372</v>
      </c>
    </row>
    <row r="145">
      <c r="A145" s="3" t="inlineStr">
        <is>
          <t>whs</t>
        </is>
      </c>
      <c r="B145" s="3" t="inlineStr">
        <is>
          <t>Warehousing</t>
        </is>
      </c>
      <c r="C145" s="3" t="inlineStr">
        <is>
          <t>srv</t>
        </is>
      </c>
      <c r="D145" s="202">
        <f>BI$43</f>
        <v>2447.51612254602</v>
      </c>
      <c r="E145" s="202">
        <f>BI$42</f>
        <v>868.616955773165</v>
      </c>
      <c r="F145" s="202">
        <f>BI$49</f>
        <v>4492.10693465126</v>
      </c>
      <c r="G145" s="58">
        <f>BI$50</f>
        <v>0.0</v>
      </c>
      <c r="H145" s="234">
        <f>BI$44</f>
        <v>0.00221065065911793</v>
      </c>
      <c r="I145" s="234">
        <f>BI$45</f>
        <v>0.00387879050902881</v>
      </c>
      <c r="J145" s="234">
        <f>BI$46</f>
        <v>0.00394453084794182</v>
      </c>
      <c r="K145" s="234">
        <f>BI$47</f>
        <v>0.0170476347495902</v>
      </c>
      <c r="L145" s="234">
        <f>BI$48</f>
        <v>0.02584447653045</v>
      </c>
    </row>
    <row r="146">
      <c r="A146" s="3" t="inlineStr">
        <is>
          <t>wht</t>
        </is>
      </c>
      <c r="B146" s="3" t="inlineStr">
        <is>
          <t>Wheat</t>
        </is>
      </c>
      <c r="C146" s="3" t="inlineStr">
        <is>
          <t>foo</t>
        </is>
      </c>
      <c r="D146" s="202">
        <f>BJ$43</f>
        <v>3354.38477178339</v>
      </c>
      <c r="E146" s="202">
        <f>BJ$42</f>
        <v>17.4510440628862</v>
      </c>
      <c r="F146" s="202">
        <f>BJ$49</f>
        <v>5949.82580287834</v>
      </c>
      <c r="G146" s="58">
        <f>BJ$50</f>
        <v>0.0</v>
      </c>
      <c r="H146" s="234">
        <f>BJ$44</f>
        <v>0.00116602834965779</v>
      </c>
      <c r="I146" s="234">
        <f>BJ$45</f>
        <v>0.00242867481203488</v>
      </c>
      <c r="J146" s="234">
        <f>BJ$46</f>
        <v>0.00389390946012191</v>
      </c>
      <c r="K146" s="234">
        <f>BJ$47</f>
        <v>0.0384841043192818</v>
      </c>
      <c r="L146" s="234">
        <f>BJ$48</f>
        <v>0.0529487563020483</v>
      </c>
    </row>
    <row r="147">
      <c r="A147" s="3" t="inlineStr">
        <is>
          <t>wol</t>
        </is>
      </c>
      <c r="B147" s="3" t="inlineStr">
        <is>
          <t>Wool</t>
        </is>
      </c>
      <c r="C147" s="3" t="inlineStr">
        <is>
          <t>foo</t>
        </is>
      </c>
      <c r="D147" s="202">
        <f>BK$43</f>
        <v>11.627090127826</v>
      </c>
      <c r="E147" s="202">
        <f>BK$42</f>
        <v>50.5074747505568</v>
      </c>
      <c r="F147" s="202">
        <f>BK$49</f>
        <v>45.3451424626189</v>
      </c>
      <c r="G147" s="58">
        <f>BK$50</f>
        <v>0.0</v>
      </c>
      <c r="H147" s="234">
        <f>BK$44</f>
        <v>0.00297546381777209</v>
      </c>
      <c r="I147" s="234">
        <f>BK$45</f>
        <v>0.00371621522937951</v>
      </c>
      <c r="J147" s="234">
        <f>BK$46</f>
        <v>0.00449392120933414</v>
      </c>
      <c r="K147" s="234">
        <f>BK$47</f>
        <v>0.0523540016402061</v>
      </c>
      <c r="L147" s="234">
        <f>BK$48</f>
        <v>0.073487241242691</v>
      </c>
    </row>
    <row r="148">
      <c r="A148" s="3" t="inlineStr">
        <is>
          <t>wtp</t>
        </is>
      </c>
      <c r="B148" s="3" t="inlineStr">
        <is>
          <t>Water transport</t>
        </is>
      </c>
      <c r="C148" s="3" t="inlineStr">
        <is>
          <t>nav</t>
        </is>
      </c>
      <c r="D148" s="202">
        <f>BL$43</f>
        <v>646.326383472676</v>
      </c>
      <c r="E148" s="202">
        <f>BL$42</f>
        <v>219.215392631205</v>
      </c>
      <c r="F148" s="202">
        <f>BL$49</f>
        <v>2070.79068751595</v>
      </c>
      <c r="G148" s="58">
        <f>BL$50</f>
        <v>0.0</v>
      </c>
      <c r="H148" s="234">
        <f>BL$44</f>
        <v>0.0040954257484986</v>
      </c>
      <c r="I148" s="234">
        <f>BL$45</f>
        <v>0.00286351223575759</v>
      </c>
      <c r="J148" s="234">
        <f>BL$46</f>
        <v>0.0098898755634715</v>
      </c>
      <c r="K148" s="234">
        <f>BL$47</f>
        <v>0.182754419902911</v>
      </c>
      <c r="L148" s="234">
        <f>BL$48</f>
        <v>0.267074558670548</v>
      </c>
    </row>
    <row r="149">
      <c r="A149" s="3" t="inlineStr">
        <is>
          <t>wtr</t>
        </is>
      </c>
      <c r="B149" s="3" t="inlineStr">
        <is>
          <t>Water supply</t>
        </is>
      </c>
      <c r="C149" s="3" t="inlineStr">
        <is>
          <t>srv</t>
        </is>
      </c>
      <c r="D149" s="202">
        <f>BM$43</f>
        <v>960.954196042975</v>
      </c>
      <c r="E149" s="202">
        <f>BM$42</f>
        <v>26.0052671106454</v>
      </c>
      <c r="F149" s="202">
        <f>BM$49</f>
        <v>3740.27526064954</v>
      </c>
      <c r="G149" s="58">
        <f>BM$50</f>
        <v>0.0</v>
      </c>
      <c r="H149" s="234">
        <f>BM$44</f>
        <v>0.00378224021503994</v>
      </c>
      <c r="I149" s="234">
        <f>BM$45</f>
        <v>0.013543159901449</v>
      </c>
      <c r="J149" s="234">
        <f>BM$46</f>
        <v>0.00879304656191293</v>
      </c>
      <c r="K149" s="234">
        <f>BM$47</f>
        <v>0.039123395406452</v>
      </c>
      <c r="L149" s="234">
        <f>BM$48</f>
        <v>0.0585879310413168</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203" t="n">
        <v>1</v>
      </c>
    </row>
    <row r="153">
      <c r="A153" s="3" t="inlineStr">
        <is>
          <t>ral</t>
        </is>
      </c>
      <c r="B153" s="3" t="inlineStr">
        <is>
          <t>Rail</t>
        </is>
      </c>
      <c r="C153" s="203" t="n">
        <v>0.905</v>
      </c>
    </row>
    <row r="154">
      <c r="A154" s="3" t="inlineStr">
        <is>
          <t>rod</t>
        </is>
      </c>
      <c r="B154" s="3" t="inlineStr">
        <is>
          <t>Road</t>
        </is>
      </c>
      <c r="C154" s="203" t="n">
        <v>0.905</v>
      </c>
    </row>
    <row r="155">
      <c r="A155" s="3" t="inlineStr">
        <is>
          <t>avi</t>
        </is>
      </c>
      <c r="B155" s="3" t="inlineStr">
        <is>
          <t>Domestic aviation</t>
        </is>
      </c>
      <c r="C155" s="203" t="n">
        <v>0.905</v>
      </c>
    </row>
    <row r="156">
      <c r="A156" s="3" t="inlineStr">
        <is>
          <t>nav</t>
        </is>
      </c>
      <c r="B156" s="3" t="inlineStr">
        <is>
          <t>Domestic navigation</t>
        </is>
      </c>
      <c r="C156" s="203" t="n">
        <v>0.905</v>
      </c>
    </row>
    <row r="157">
      <c r="A157" s="3" t="inlineStr">
        <is>
          <t>res</t>
        </is>
      </c>
      <c r="B157" s="3" t="inlineStr">
        <is>
          <t>Residential sector</t>
        </is>
      </c>
      <c r="C157" s="203" t="n">
        <v>0.905</v>
      </c>
    </row>
    <row r="158">
      <c r="A158" s="3" t="inlineStr">
        <is>
          <t>foo</t>
        </is>
      </c>
      <c r="B158" s="3" t="inlineStr">
        <is>
          <t>Food &amp; forestry</t>
        </is>
      </c>
      <c r="C158" s="203" t="n">
        <v>0.681</v>
      </c>
    </row>
    <row r="159">
      <c r="A159" s="3" t="inlineStr">
        <is>
          <t>srv</t>
        </is>
      </c>
      <c r="B159" s="3" t="inlineStr">
        <is>
          <t>Services (public &amp; private)</t>
        </is>
      </c>
      <c r="C159" s="203" t="n">
        <v>0.963</v>
      </c>
    </row>
    <row r="160">
      <c r="A160" s="3" t="inlineStr">
        <is>
          <t>mch</t>
        </is>
      </c>
      <c r="B160" s="3" t="inlineStr">
        <is>
          <t>Mining &amp; Chemicals</t>
        </is>
      </c>
      <c r="C160" s="203" t="n">
        <v>0.711</v>
      </c>
    </row>
    <row r="161">
      <c r="A161" s="3" t="inlineStr">
        <is>
          <t>irn</t>
        </is>
      </c>
      <c r="B161" s="3" t="inlineStr">
        <is>
          <t>Iron and steel</t>
        </is>
      </c>
      <c r="C161" s="203" t="n">
        <v>0.711</v>
      </c>
    </row>
    <row r="162">
      <c r="A162" s="3" t="inlineStr">
        <is>
          <t>nfm</t>
        </is>
      </c>
      <c r="B162" s="3" t="inlineStr">
        <is>
          <t>Non-ferrous metals</t>
        </is>
      </c>
      <c r="C162" s="203" t="n">
        <v>0.711</v>
      </c>
    </row>
    <row r="163">
      <c r="A163" s="3" t="inlineStr">
        <is>
          <t>mac</t>
        </is>
      </c>
      <c r="B163" s="3" t="inlineStr">
        <is>
          <t>Machinery</t>
        </is>
      </c>
      <c r="C163" s="203" t="n">
        <v>0.6919999999999999</v>
      </c>
    </row>
    <row r="164">
      <c r="A164" s="3" t="inlineStr">
        <is>
          <t>cem</t>
        </is>
      </c>
      <c r="B164" s="3" t="inlineStr">
        <is>
          <t>Cement</t>
        </is>
      </c>
      <c r="C164" s="203" t="n">
        <v>0.775</v>
      </c>
    </row>
    <row r="165">
      <c r="A165" s="3" t="inlineStr">
        <is>
          <t>omn</t>
        </is>
      </c>
      <c r="B165" s="3" t="inlineStr">
        <is>
          <t>Other manufacturing</t>
        </is>
      </c>
      <c r="C165" s="203" t="n">
        <v>0.6919999999999999</v>
      </c>
    </row>
    <row r="166">
      <c r="A166" s="3" t="inlineStr">
        <is>
          <t>cst</t>
        </is>
      </c>
      <c r="B166" s="3" t="inlineStr">
        <is>
          <t>Construction</t>
        </is>
      </c>
      <c r="C166" s="203" t="n">
        <v>0.6919999999999999</v>
      </c>
    </row>
    <row r="167">
      <c r="A167" s="3" t="inlineStr">
        <is>
          <t>ftr</t>
        </is>
      </c>
      <c r="B167" s="3" t="inlineStr">
        <is>
          <t>Fuel transformation &amp; transportation</t>
        </is>
      </c>
      <c r="C167" s="203"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c r="F4" s="3" t="n"/>
      <c r="G4" s="3" t="n"/>
      <c r="H4" s="3" t="n"/>
      <c r="I4" s="3" t="n"/>
      <c r="J4" s="3" t="n"/>
      <c r="K4" s="3" t="n"/>
      <c r="L4" s="3" t="n"/>
      <c r="M4" s="3" t="n"/>
      <c r="N4" s="3" t="n">
        <v>59.90642929077148</v>
      </c>
      <c r="O4" s="3" t="n"/>
      <c r="P4" s="3" t="n"/>
      <c r="Q4" s="3" t="n"/>
      <c r="R4" s="3" t="n"/>
      <c r="S4" s="3" t="n"/>
      <c r="T4" s="3" t="n">
        <v>6653.9384765625</v>
      </c>
      <c r="U4" s="3" t="n"/>
      <c r="V4" s="3" t="n"/>
      <c r="W4" s="3" t="n"/>
      <c r="X4" s="3" t="n"/>
      <c r="Y4" s="3" t="n"/>
      <c r="Z4" s="3" t="n"/>
      <c r="AA4" s="3" t="n"/>
      <c r="AB4" s="3" t="n"/>
      <c r="AC4" s="3" t="n"/>
      <c r="AD4" s="3" t="n"/>
      <c r="AE4" s="3" t="n"/>
      <c r="AF4" s="3" t="n"/>
      <c r="AG4" s="3" t="n">
        <v>4153.2197265625</v>
      </c>
      <c r="AH4" s="3" t="n"/>
      <c r="AI4" s="3" t="n"/>
      <c r="AJ4" s="3" t="n"/>
      <c r="AK4" s="3" t="n"/>
      <c r="AL4" s="3" t="n"/>
      <c r="AM4" s="3" t="n"/>
      <c r="AN4" s="3" t="n">
        <v>12943.9609375</v>
      </c>
      <c r="AO4" s="3" t="n"/>
      <c r="AP4" s="3" t="n"/>
      <c r="AQ4" s="3" t="n"/>
      <c r="AR4" s="3" t="n"/>
      <c r="AS4" s="3" t="n"/>
      <c r="AT4" s="3" t="n"/>
      <c r="AU4" s="3" t="n"/>
      <c r="AV4" s="3" t="n"/>
      <c r="AW4" s="3" t="n">
        <v>14375.609375</v>
      </c>
      <c r="AX4" s="3" t="n"/>
      <c r="AY4" s="3" t="n"/>
      <c r="AZ4" s="3" t="n"/>
      <c r="BA4" s="3" t="n"/>
      <c r="BB4" s="3" t="n"/>
      <c r="BC4" s="3" t="n"/>
      <c r="BD4" s="3" t="n"/>
      <c r="BE4" s="3" t="n"/>
      <c r="BF4" s="3" t="n"/>
      <c r="BG4" s="3" t="n"/>
      <c r="BH4" s="3" t="n"/>
      <c r="BI4" s="3" t="n"/>
      <c r="BJ4" s="3" t="n"/>
      <c r="BK4" s="3" t="n"/>
      <c r="BL4" s="3" t="n"/>
      <c r="BM4" s="3" t="n"/>
      <c r="BN4" s="3" t="n"/>
      <c r="BO4" s="3" t="n"/>
      <c r="BP4" s="3" t="n"/>
    </row>
    <row r="5">
      <c r="A5" s="3" t="inlineStr">
        <is>
          <t>egy.exports</t>
        </is>
      </c>
      <c r="B5" s="3" t="inlineStr">
        <is>
          <t>egy</t>
        </is>
      </c>
      <c r="C5" s="3" t="n">
        <v>2014</v>
      </c>
      <c r="D5" s="3" t="inlineStr">
        <is>
          <t>Exports</t>
        </is>
      </c>
      <c r="E5" s="3" t="n">
        <v>292.76748128275</v>
      </c>
      <c r="F5" s="3" t="n">
        <v>1499.29972748746</v>
      </c>
      <c r="G5" s="3" t="n">
        <v>278.025952061282</v>
      </c>
      <c r="H5" s="3" t="n">
        <v>404.023769206125</v>
      </c>
      <c r="I5" s="3" t="n">
        <v>7.35479782908523</v>
      </c>
      <c r="J5" s="3" t="n">
        <v>3755.75029607815</v>
      </c>
      <c r="K5" s="3" t="n">
        <v>1446.93204471657</v>
      </c>
      <c r="L5" s="3" t="n">
        <v>67.8294550463426</v>
      </c>
      <c r="M5" s="3" t="n">
        <v>1087.63120655314</v>
      </c>
      <c r="N5" s="3" t="n">
        <v>0.22883699254</v>
      </c>
      <c r="O5" s="3" t="n">
        <v>9.94860504466285</v>
      </c>
      <c r="P5" s="3" t="n">
        <v>2.82e-18</v>
      </c>
      <c r="Q5" s="3" t="n">
        <v>525.368615999848</v>
      </c>
      <c r="R5" s="3" t="n">
        <v>1535.78221044598</v>
      </c>
      <c r="S5" s="3" t="n">
        <v>914.470230931092</v>
      </c>
      <c r="T5" s="3" t="n">
        <v>32.420408218915</v>
      </c>
      <c r="U5" s="3" t="n">
        <v>368.591672059333</v>
      </c>
      <c r="V5" s="3" t="n">
        <v>3.72713376484609</v>
      </c>
      <c r="W5" s="3" t="n">
        <v>111.258224809023</v>
      </c>
      <c r="X5" s="3" t="n">
        <v>17.0008454699181</v>
      </c>
      <c r="Y5" s="3" t="n">
        <v>353.057356360499</v>
      </c>
      <c r="Z5" s="3" t="n">
        <v>904.093607787594</v>
      </c>
      <c r="AA5" s="3" t="n">
        <v>264.439904396602</v>
      </c>
      <c r="AB5" s="3" t="n">
        <v>231.997841436242</v>
      </c>
      <c r="AC5" s="3" t="n">
        <v>182.564919598335</v>
      </c>
      <c r="AD5" s="3" t="n">
        <v>483.619398031315</v>
      </c>
      <c r="AE5" s="3" t="n">
        <v>277.725998833527</v>
      </c>
      <c r="AF5" s="3" t="n">
        <v>1675.25830161587</v>
      </c>
      <c r="AG5" s="3" t="n">
        <v>1025.43787996319</v>
      </c>
      <c r="AH5" s="3" t="n">
        <v>1401.82496429157</v>
      </c>
      <c r="AI5" s="3" t="n">
        <v>41.3573149020425</v>
      </c>
      <c r="AJ5" s="3" t="n">
        <v>1407.89327985787</v>
      </c>
      <c r="AK5" s="3" t="n">
        <v>271.270922281125</v>
      </c>
      <c r="AL5" s="3" t="n">
        <v>1873.09656029045</v>
      </c>
      <c r="AM5" s="3" t="n">
        <v>315.272103173709</v>
      </c>
      <c r="AN5" s="3" t="n">
        <v>6617.26168673421</v>
      </c>
      <c r="AO5" s="3" t="n">
        <v>199.900427744144</v>
      </c>
      <c r="AP5" s="3" t="n">
        <v>361.165982377532</v>
      </c>
      <c r="AQ5" s="3" t="n">
        <v>18.0511457668508</v>
      </c>
      <c r="AR5" s="3" t="n">
        <v>86.294523168781</v>
      </c>
      <c r="AS5" s="3" t="n">
        <v>195.073478805989</v>
      </c>
      <c r="AT5" s="3" t="n">
        <v>51.6506147363973</v>
      </c>
      <c r="AU5" s="3" t="n">
        <v>8001.67511043327</v>
      </c>
      <c r="AV5" s="3" t="n">
        <v>683.185049354259</v>
      </c>
      <c r="AW5" s="3" t="n">
        <v>2292.51170578502</v>
      </c>
      <c r="AX5" s="3" t="n">
        <v>80.8034358395082</v>
      </c>
      <c r="AY5" s="3" t="n">
        <v>7.74137833172396</v>
      </c>
      <c r="AZ5" s="3" t="n">
        <v>156.660756464849</v>
      </c>
      <c r="BA5" s="3" t="n">
        <v>666.904864011295</v>
      </c>
      <c r="BB5" s="3" t="n">
        <v>7.27007128626788</v>
      </c>
      <c r="BC5" s="3" t="n">
        <v>1131.09060340752</v>
      </c>
      <c r="BD5" s="3" t="n">
        <v>869.736810987093</v>
      </c>
      <c r="BE5" s="3" t="n">
        <v>84.2390394464657</v>
      </c>
      <c r="BF5" s="3" t="n">
        <v>378.655454085876</v>
      </c>
      <c r="BG5" s="3" t="n">
        <v>2151.2785237842</v>
      </c>
      <c r="BH5" s="3" t="n">
        <v>478.519177871075</v>
      </c>
      <c r="BI5" s="3" t="n">
        <v>2508.39545091608</v>
      </c>
      <c r="BJ5" s="3" t="n">
        <v>195.078626646494</v>
      </c>
      <c r="BK5" s="3" t="n">
        <v>3068.02347808736</v>
      </c>
      <c r="BL5" s="3" t="n">
        <v>868.616955773165</v>
      </c>
      <c r="BM5" s="3" t="n">
        <v>17.4510440628862</v>
      </c>
      <c r="BN5" s="3" t="n">
        <v>50.5074747505568</v>
      </c>
      <c r="BO5" s="3" t="n">
        <v>219.215392631205</v>
      </c>
      <c r="BP5" s="3" t="n">
        <v>26.0052671106454</v>
      </c>
    </row>
    <row r="6">
      <c r="A6" s="3" t="inlineStr">
        <is>
          <t>egy.hhd</t>
        </is>
      </c>
      <c r="B6" s="3" t="inlineStr">
        <is>
          <t>egy</t>
        </is>
      </c>
      <c r="C6" s="3" t="n">
        <v>2014</v>
      </c>
      <c r="D6" s="3" t="inlineStr">
        <is>
          <t>HHD</t>
        </is>
      </c>
      <c r="E6" s="3" t="n">
        <v>10165.9109075592</v>
      </c>
      <c r="F6" s="3" t="n">
        <v>1443.56756594916</v>
      </c>
      <c r="G6" s="3" t="n">
        <v>10944.0505691902</v>
      </c>
      <c r="H6" s="3" t="n">
        <v>1438.16590027883</v>
      </c>
      <c r="I6" s="3" t="n">
        <v>1310.5595802392</v>
      </c>
      <c r="J6" s="3" t="n">
        <v>3581.62983038133</v>
      </c>
      <c r="K6" s="3" t="n">
        <v>19396.2694302428</v>
      </c>
      <c r="L6" s="3" t="n">
        <v>2354.30046622809</v>
      </c>
      <c r="M6" s="3" t="n">
        <v>2698.01204459543</v>
      </c>
      <c r="N6" s="3" t="n">
        <v>6.72958958603117e-06</v>
      </c>
      <c r="O6" s="3" t="n">
        <v>1274.90802843333</v>
      </c>
      <c r="P6" s="3" t="n">
        <v>14359.610352</v>
      </c>
      <c r="Q6" s="3" t="n">
        <v>4753.35956326229</v>
      </c>
      <c r="R6" s="3" t="n">
        <v>25.02473877478</v>
      </c>
      <c r="S6" s="3" t="n">
        <v>2622.80693833883</v>
      </c>
      <c r="T6" s="3" t="n">
        <v>4571.9641803464</v>
      </c>
      <c r="U6" s="3" t="n">
        <v>633.45705503211</v>
      </c>
      <c r="V6" s="3" t="n">
        <v>1.858994496159</v>
      </c>
      <c r="W6" s="3" t="n">
        <v>3766.22694179692</v>
      </c>
      <c r="X6" s="3" t="n">
        <v>2195.13105611959</v>
      </c>
      <c r="Y6" s="3" t="n">
        <v>6261.37751253199</v>
      </c>
      <c r="Z6" s="3" t="n">
        <v>428.14566144443</v>
      </c>
      <c r="AA6" s="3" t="n">
        <v>4803.40091449536</v>
      </c>
      <c r="AB6" s="3" t="n">
        <v>143.275472820164</v>
      </c>
      <c r="AC6" s="3" t="n">
        <v>4349.25126105109</v>
      </c>
      <c r="AD6" s="3" t="n">
        <v>6126.30103646739</v>
      </c>
      <c r="AE6" s="3" t="n">
        <v>4083.52369454838</v>
      </c>
      <c r="AF6" s="3" t="n">
        <v>654.29013332516</v>
      </c>
      <c r="AG6" s="3" t="n">
        <v>147.52338591319</v>
      </c>
      <c r="AH6" s="3" t="n">
        <v>4072.76052458125</v>
      </c>
      <c r="AI6" s="3" t="n">
        <v>1381.43194438154</v>
      </c>
      <c r="AJ6" s="3" t="n">
        <v>617.536900944971</v>
      </c>
      <c r="AK6" s="3" t="n">
        <v>34.75941515621</v>
      </c>
      <c r="AL6" s="3" t="n">
        <v>19937.9983142259</v>
      </c>
      <c r="AM6" s="3" t="n">
        <v>6956.66054705475</v>
      </c>
      <c r="AN6" s="3" t="n">
        <v>22.98052080897</v>
      </c>
      <c r="AO6" s="3" t="n">
        <v>66.746484617443</v>
      </c>
      <c r="AP6" s="3" t="n">
        <v>241.4513984691</v>
      </c>
      <c r="AQ6" s="3" t="n">
        <v>1061.438062644</v>
      </c>
      <c r="AR6" s="3" t="n">
        <v>1301.14957949276</v>
      </c>
      <c r="AS6" s="3" t="n">
        <v>1807.73810099607</v>
      </c>
      <c r="AT6" s="3" t="n">
        <v>624.5138300138329</v>
      </c>
      <c r="AU6" s="3" t="n">
        <v>11191.6882322928</v>
      </c>
      <c r="AV6" s="3" t="n">
        <v>222.618962422445</v>
      </c>
      <c r="AW6" s="3" t="n">
        <v>5410.58340982145</v>
      </c>
      <c r="AX6" s="3" t="n">
        <v>4385.82696826963</v>
      </c>
      <c r="AY6" s="3" t="n">
        <v>1367.76845295236</v>
      </c>
      <c r="AZ6" s="3" t="n">
        <v>1450.96487161176</v>
      </c>
      <c r="BA6" s="3" t="n">
        <v>1416.6379056627</v>
      </c>
      <c r="BB6" s="3" t="n">
        <v>1318.5303724799</v>
      </c>
      <c r="BC6" s="3" t="n">
        <v>12533.8765969059</v>
      </c>
      <c r="BD6" s="3" t="n">
        <v>1169.65213203638</v>
      </c>
      <c r="BE6" s="3" t="n">
        <v>2254.06276025391</v>
      </c>
      <c r="BF6" s="3" t="n">
        <v>1316.65433001827</v>
      </c>
      <c r="BG6" s="3" t="n">
        <v>8751.994593655951</v>
      </c>
      <c r="BH6" s="3" t="n">
        <v>15768.7809539836</v>
      </c>
      <c r="BI6" s="3" t="n">
        <v>11367.0447882308</v>
      </c>
      <c r="BJ6" s="3" t="n">
        <v>50.90339085766</v>
      </c>
      <c r="BK6" s="3" t="n">
        <v>19490.7297567692</v>
      </c>
      <c r="BL6" s="3" t="n">
        <v>2447.51612254602</v>
      </c>
      <c r="BM6" s="3" t="n">
        <v>3354.38477178339</v>
      </c>
      <c r="BN6" s="3" t="n">
        <v>11.627090127826</v>
      </c>
      <c r="BO6" s="3" t="n">
        <v>646.326383472676</v>
      </c>
      <c r="BP6" s="3" t="n">
        <v>960.954196042975</v>
      </c>
    </row>
    <row r="7">
      <c r="A7" s="3" t="inlineStr">
        <is>
          <t>egy.imports</t>
        </is>
      </c>
      <c r="B7" s="3" t="inlineStr">
        <is>
          <t>egy</t>
        </is>
      </c>
      <c r="C7" s="3" t="n">
        <v>2014</v>
      </c>
      <c r="D7" s="3" t="inlineStr">
        <is>
          <t>Imports</t>
        </is>
      </c>
      <c r="E7" s="3" t="n">
        <v>222.944656528178</v>
      </c>
      <c r="F7" s="3" t="n">
        <v>853.154955436231</v>
      </c>
      <c r="G7" s="3" t="n">
        <v>820.004747043013</v>
      </c>
      <c r="H7" s="3" t="n">
        <v>2247.17688862312</v>
      </c>
      <c r="I7" s="3" t="n">
        <v>23.878586644141</v>
      </c>
      <c r="J7" s="3" t="n">
        <v>7023.10907352244</v>
      </c>
      <c r="K7" s="3" t="n">
        <v>785.002184631309</v>
      </c>
      <c r="L7" s="3" t="n">
        <v>1457.9492019323</v>
      </c>
      <c r="M7" s="3" t="n">
        <v>376.446216636491</v>
      </c>
      <c r="N7" s="3" t="n">
        <v>59.76196825223</v>
      </c>
      <c r="O7" s="3" t="n">
        <v>117.175836562321</v>
      </c>
      <c r="P7" s="3" t="n">
        <v>2.82e-18</v>
      </c>
      <c r="Q7" s="3" t="n">
        <v>1514.37443811402</v>
      </c>
      <c r="R7" s="3" t="n">
        <v>2803.11849850744</v>
      </c>
      <c r="S7" s="3" t="n">
        <v>3642.16846215584</v>
      </c>
      <c r="T7" s="3" t="n">
        <v>15.234055365916</v>
      </c>
      <c r="U7" s="3" t="n">
        <v>1700.39779827529</v>
      </c>
      <c r="V7" s="3" t="n">
        <v>32.0884080618105</v>
      </c>
      <c r="W7" s="3" t="n">
        <v>11.2393159201859</v>
      </c>
      <c r="X7" s="3" t="n">
        <v>1956.15340043406</v>
      </c>
      <c r="Y7" s="3" t="n">
        <v>235.059395977171</v>
      </c>
      <c r="Z7" s="3" t="n">
        <v>5059.74582954506</v>
      </c>
      <c r="AA7" s="3" t="n">
        <v>1048.89472931388</v>
      </c>
      <c r="AB7" s="3" t="n">
        <v>661.382703799636</v>
      </c>
      <c r="AC7" s="3" t="n">
        <v>1860.55720626396</v>
      </c>
      <c r="AD7" s="3" t="n">
        <v>906.26293061531</v>
      </c>
      <c r="AE7" s="3" t="n">
        <v>5488.37657258279</v>
      </c>
      <c r="AF7" s="3" t="n">
        <v>2443.78364269034</v>
      </c>
      <c r="AG7" s="3" t="n">
        <v>4.099545908954</v>
      </c>
      <c r="AH7" s="3" t="n">
        <v>1160.75079939868</v>
      </c>
      <c r="AI7" s="3" t="n">
        <v>119.140038125468</v>
      </c>
      <c r="AJ7" s="3" t="n">
        <v>3116.13427672835</v>
      </c>
      <c r="AK7" s="3" t="n">
        <v>581.947630619346</v>
      </c>
      <c r="AL7" s="3" t="n">
        <v>1910.42455857773</v>
      </c>
      <c r="AM7" s="3" t="n">
        <v>298.410723071204</v>
      </c>
      <c r="AN7" s="3" t="n">
        <v>1519.37140041221</v>
      </c>
      <c r="AO7" s="3" t="n">
        <v>5952.59967718332</v>
      </c>
      <c r="AP7" s="3" t="n">
        <v>1035.35062865354</v>
      </c>
      <c r="AQ7" s="3" t="n">
        <v>183.220947464828</v>
      </c>
      <c r="AR7" s="3" t="n">
        <v>1183.84335100515</v>
      </c>
      <c r="AS7" s="3" t="n">
        <v>171.30523844383</v>
      </c>
      <c r="AT7" s="3" t="n">
        <v>574.18242929095</v>
      </c>
      <c r="AU7" s="3" t="n">
        <v>980.940876272324</v>
      </c>
      <c r="AV7" s="3" t="n">
        <v>804.3114469690699</v>
      </c>
      <c r="AW7" s="3" t="n">
        <v>6844.96740545013</v>
      </c>
      <c r="AX7" s="3" t="n">
        <v>27.2107315284243</v>
      </c>
      <c r="AY7" s="3" t="n">
        <v>0.5360927229137999</v>
      </c>
      <c r="AZ7" s="3" t="n">
        <v>186.518253373786</v>
      </c>
      <c r="BA7" s="3" t="n">
        <v>1606.47754865945</v>
      </c>
      <c r="BB7" s="3" t="n">
        <v>0.974656968595434</v>
      </c>
      <c r="BC7" s="3" t="n">
        <v>479.524043841509</v>
      </c>
      <c r="BD7" s="3" t="n">
        <v>2095.36658547833</v>
      </c>
      <c r="BE7" s="3" t="n">
        <v>103.210364369545</v>
      </c>
      <c r="BF7" s="3" t="n">
        <v>676.699248216612</v>
      </c>
      <c r="BG7" s="3" t="n">
        <v>3541.21767343163</v>
      </c>
      <c r="BH7" s="3" t="n">
        <v>418.738133965927</v>
      </c>
      <c r="BI7" s="3" t="n">
        <v>1051.48864866735</v>
      </c>
      <c r="BJ7" s="3" t="n">
        <v>2619.41457123674</v>
      </c>
      <c r="BK7" s="3" t="n">
        <v>1527.96729762568</v>
      </c>
      <c r="BL7" s="3" t="n">
        <v>159.227305516562</v>
      </c>
      <c r="BM7" s="3" t="n">
        <v>3121.04757634929</v>
      </c>
      <c r="BN7" s="3" t="n">
        <v>58.1040238452711</v>
      </c>
      <c r="BO7" s="3" t="n">
        <v>74.2538101795592</v>
      </c>
      <c r="BP7" s="3" t="n">
        <v>20.1841720220511</v>
      </c>
    </row>
    <row r="8">
      <c r="A8" s="3" t="inlineStr">
        <is>
          <t>egy.output</t>
        </is>
      </c>
      <c r="B8" s="3" t="inlineStr">
        <is>
          <t>egy</t>
        </is>
      </c>
      <c r="C8" s="3" t="n">
        <v>2014</v>
      </c>
      <c r="D8" s="3" t="inlineStr">
        <is>
          <t>Output</t>
        </is>
      </c>
      <c r="E8" s="3" t="n">
        <v>11118.5920944063</v>
      </c>
      <c r="F8" s="3" t="n">
        <v>3743.59820370452</v>
      </c>
      <c r="G8" s="3" t="n">
        <v>12005.1619527205</v>
      </c>
      <c r="H8" s="3" t="n">
        <v>2928.53164784511</v>
      </c>
      <c r="I8" s="3" t="n">
        <v>2668.77137679023</v>
      </c>
      <c r="J8" s="3" t="n">
        <v>11364.047462419</v>
      </c>
      <c r="K8" s="3" t="n">
        <v>26613.7729487535</v>
      </c>
      <c r="L8" s="3" t="n">
        <v>3162.35195783624</v>
      </c>
      <c r="M8" s="3" t="n">
        <v>31639.6107965168</v>
      </c>
      <c r="N8" s="3" t="n">
        <v>0.364476011830743</v>
      </c>
      <c r="O8" s="3" t="n">
        <v>1565.83426528876</v>
      </c>
      <c r="P8" s="3" t="n">
        <v>14959.5000094363</v>
      </c>
      <c r="Q8" s="3" t="n">
        <v>14311.580798484</v>
      </c>
      <c r="R8" s="3" t="n">
        <v>1724.96486394972</v>
      </c>
      <c r="S8" s="3" t="n">
        <v>7160.66023344278</v>
      </c>
      <c r="T8" s="3" t="n">
        <v>11086.6315280631</v>
      </c>
      <c r="U8" s="3" t="n">
        <v>7618.00287502288</v>
      </c>
      <c r="V8" s="3" t="n">
        <v>7.4169985019277</v>
      </c>
      <c r="W8" s="3" t="n">
        <v>5063.94060749023</v>
      </c>
      <c r="X8" s="3" t="n">
        <v>5621.02750804916</v>
      </c>
      <c r="Y8" s="3" t="n">
        <v>23295.4212674957</v>
      </c>
      <c r="Z8" s="3" t="n">
        <v>3308.99476099734</v>
      </c>
      <c r="AA8" s="3" t="n">
        <v>6078.97297878597</v>
      </c>
      <c r="AB8" s="3" t="n">
        <v>1480.43335103131</v>
      </c>
      <c r="AC8" s="3" t="n">
        <v>5784.92057713017</v>
      </c>
      <c r="AD8" s="3" t="n">
        <v>8368.452889451741</v>
      </c>
      <c r="AE8" s="3" t="n">
        <v>6462.82929327509</v>
      </c>
      <c r="AF8" s="3" t="n">
        <v>5741.43887148851</v>
      </c>
      <c r="AG8" s="3" t="n">
        <v>4811.41987183032</v>
      </c>
      <c r="AH8" s="3" t="n">
        <v>12249.7297172347</v>
      </c>
      <c r="AI8" s="3" t="n">
        <v>1514.50301444526</v>
      </c>
      <c r="AJ8" s="3" t="n">
        <v>10050.3583332992</v>
      </c>
      <c r="AK8" s="3" t="n">
        <v>418.334220871955</v>
      </c>
      <c r="AL8" s="3" t="n">
        <v>28747.2690491172</v>
      </c>
      <c r="AM8" s="3" t="n">
        <v>11962.10904049</v>
      </c>
      <c r="AN8" s="3" t="n">
        <v>17954.5374653309</v>
      </c>
      <c r="AO8" s="3" t="n">
        <v>704.6580456011</v>
      </c>
      <c r="AP8" s="3" t="n">
        <v>2009.9945093015</v>
      </c>
      <c r="AQ8" s="3" t="n">
        <v>1584.3147967698</v>
      </c>
      <c r="AR8" s="3" t="n">
        <v>3327.92476444899</v>
      </c>
      <c r="AS8" s="3" t="n">
        <v>17700.1430508588</v>
      </c>
      <c r="AT8" s="3" t="n">
        <v>1701.63150719922</v>
      </c>
      <c r="AU8" s="3" t="n">
        <v>22624.9741981104</v>
      </c>
      <c r="AV8" s="3" t="n">
        <v>1211.88543477432</v>
      </c>
      <c r="AW8" s="3" t="n">
        <v>14972.5248107399</v>
      </c>
      <c r="AX8" s="3" t="n">
        <v>4793.79806814776</v>
      </c>
      <c r="AY8" s="3" t="n">
        <v>6582.86359253731</v>
      </c>
      <c r="AZ8" s="3" t="n">
        <v>3956.81931888904</v>
      </c>
      <c r="BA8" s="3" t="n">
        <v>3228.74227541988</v>
      </c>
      <c r="BB8" s="3" t="n">
        <v>1876.77239319324</v>
      </c>
      <c r="BC8" s="3" t="n">
        <v>14317.1094828475</v>
      </c>
      <c r="BD8" s="3" t="n">
        <v>3574.91278825651</v>
      </c>
      <c r="BE8" s="3" t="n">
        <v>4337.10773664196</v>
      </c>
      <c r="BF8" s="3" t="n">
        <v>2170.64887417462</v>
      </c>
      <c r="BG8" s="3" t="n">
        <v>25339.2622208862</v>
      </c>
      <c r="BH8" s="3" t="n">
        <v>27147.8024377108</v>
      </c>
      <c r="BI8" s="3" t="n">
        <v>19624.1310491952</v>
      </c>
      <c r="BJ8" s="3" t="n">
        <v>426.001131792896</v>
      </c>
      <c r="BK8" s="3" t="n">
        <v>25965.6057780989</v>
      </c>
      <c r="BL8" s="3" t="n">
        <v>4492.10693465126</v>
      </c>
      <c r="BM8" s="3" t="n">
        <v>5949.82580287834</v>
      </c>
      <c r="BN8" s="3" t="n">
        <v>45.3451424626189</v>
      </c>
      <c r="BO8" s="3" t="n">
        <v>2070.79068751595</v>
      </c>
      <c r="BP8" s="3" t="n">
        <v>3740.27526064954</v>
      </c>
    </row>
    <row r="9">
      <c r="A9" s="3" t="inlineStr">
        <is>
          <t>egy.totd</t>
        </is>
      </c>
      <c r="B9" s="3" t="inlineStr">
        <is>
          <t>egy</t>
        </is>
      </c>
      <c r="C9" s="3" t="n">
        <v>2014</v>
      </c>
      <c r="D9" s="3" t="inlineStr">
        <is>
          <t>TOTD</t>
        </is>
      </c>
      <c r="E9" s="3" t="n">
        <v>10212.2328443059</v>
      </c>
      <c r="F9" s="3" t="n">
        <v>1650.74236667995</v>
      </c>
      <c r="G9" s="3" t="n">
        <v>10945.9407035373</v>
      </c>
      <c r="H9" s="3" t="n">
        <v>1489.89660491296</v>
      </c>
      <c r="I9" s="3" t="n">
        <v>1316.50807179028</v>
      </c>
      <c r="J9" s="3" t="n">
        <v>3863.70433623588</v>
      </c>
      <c r="K9" s="3" t="n">
        <v>21846.3845822644</v>
      </c>
      <c r="L9" s="3" t="n">
        <v>2372.60010243235</v>
      </c>
      <c r="M9" s="3" t="n">
        <v>28154.1839430573</v>
      </c>
      <c r="N9" s="3" t="n">
        <v>6.72958958603259e-06</v>
      </c>
      <c r="O9" s="3" t="n">
        <v>1284.79321484951</v>
      </c>
      <c r="P9" s="3" t="n">
        <v>14371.1382799854</v>
      </c>
      <c r="Q9" s="3" t="n">
        <v>11213.6482974603</v>
      </c>
      <c r="R9" s="3" t="n">
        <v>66.048685256185</v>
      </c>
      <c r="S9" s="3" t="n">
        <v>2971.14428819959</v>
      </c>
      <c r="T9" s="3" t="n">
        <v>4571.9641803464</v>
      </c>
      <c r="U9" s="3" t="n">
        <v>2189.8388174288</v>
      </c>
      <c r="V9" s="3" t="n">
        <v>8.005779280154171</v>
      </c>
      <c r="W9" s="3" t="n">
        <v>3796.40933424978</v>
      </c>
      <c r="X9" s="3" t="n">
        <v>2203.54760086278</v>
      </c>
      <c r="Y9" s="3" t="n">
        <v>21633.2181365066</v>
      </c>
      <c r="Z9" s="3" t="n">
        <v>487.077179776964</v>
      </c>
      <c r="AA9" s="3" t="n">
        <v>4810.19676724562</v>
      </c>
      <c r="AB9" s="3" t="n">
        <v>150.478798705619</v>
      </c>
      <c r="AC9" s="3" t="n">
        <v>4734.25909052801</v>
      </c>
      <c r="AD9" s="3" t="n">
        <v>6173.35653539939</v>
      </c>
      <c r="AE9" s="3" t="n">
        <v>5384.92759747914</v>
      </c>
      <c r="AF9" s="3" t="n">
        <v>827.539673638629</v>
      </c>
      <c r="AG9" s="3" t="n">
        <v>147.52338591319</v>
      </c>
      <c r="AH9" s="3" t="n">
        <v>4299.03794878287</v>
      </c>
      <c r="AI9" s="3" t="n">
        <v>1392.10292841279</v>
      </c>
      <c r="AJ9" s="3" t="n">
        <v>1169.67477230193</v>
      </c>
      <c r="AK9" s="3" t="n">
        <v>34.7879406294588</v>
      </c>
      <c r="AL9" s="3" t="n">
        <v>20107.1075295594</v>
      </c>
      <c r="AM9" s="3" t="n">
        <v>7392.44717725868</v>
      </c>
      <c r="AN9" s="3" t="n">
        <v>22.98052080897</v>
      </c>
      <c r="AO9" s="3" t="n">
        <v>214.645072435325</v>
      </c>
      <c r="AP9" s="3" t="n">
        <v>408.583371438447</v>
      </c>
      <c r="AQ9" s="3" t="n">
        <v>1069.55350432865</v>
      </c>
      <c r="AR9" s="3" t="n">
        <v>1307.05257197105</v>
      </c>
      <c r="AS9" s="3" t="n">
        <v>16651.1816549717</v>
      </c>
      <c r="AT9" s="3" t="n">
        <v>1006.81122299794</v>
      </c>
      <c r="AU9" s="3" t="n">
        <v>12053.4435482047</v>
      </c>
      <c r="AV9" s="3" t="n">
        <v>224.818299621518</v>
      </c>
      <c r="AW9" s="3" t="n">
        <v>5410.58340982145</v>
      </c>
      <c r="AX9" s="3" t="n">
        <v>4424.46957969588</v>
      </c>
      <c r="AY9" s="3" t="n">
        <v>1373.97622213492</v>
      </c>
      <c r="AZ9" s="3" t="n">
        <v>1457.54418574081</v>
      </c>
      <c r="BA9" s="3" t="n">
        <v>1668.50280441236</v>
      </c>
      <c r="BB9" s="3" t="n">
        <v>1328.81063668743</v>
      </c>
      <c r="BC9" s="3" t="n">
        <v>12625.8817037152</v>
      </c>
      <c r="BD9" s="3" t="n">
        <v>1367.19729481246</v>
      </c>
      <c r="BE9" s="3" t="n">
        <v>2447.10151679834</v>
      </c>
      <c r="BF9" s="3" t="n">
        <v>1328.13354004624</v>
      </c>
      <c r="BG9" s="3" t="n">
        <v>8814.707197427821</v>
      </c>
      <c r="BH9" s="3" t="n">
        <v>19180.8483193621</v>
      </c>
      <c r="BI9" s="3" t="n">
        <v>11418.6219070105</v>
      </c>
      <c r="BJ9" s="3" t="n">
        <v>51.2829306278481</v>
      </c>
      <c r="BK9" s="3" t="n">
        <v>19695.366681614</v>
      </c>
      <c r="BL9" s="3" t="n">
        <v>2552.87012435511</v>
      </c>
      <c r="BM9" s="3" t="n">
        <v>3367.43858627224</v>
      </c>
      <c r="BN9" s="3" t="n">
        <v>14.8106633907683</v>
      </c>
      <c r="BO9" s="3" t="n">
        <v>796.2279365265219</v>
      </c>
      <c r="BP9" s="3" t="n">
        <v>1253.10844611561</v>
      </c>
    </row>
    <row r="10">
      <c r="A10" s="3" t="inlineStr">
        <is>
          <t>egy.coa.leontiefs</t>
        </is>
      </c>
      <c r="B10" s="3" t="inlineStr">
        <is>
          <t>egy</t>
        </is>
      </c>
      <c r="C10" s="3" t="n">
        <v>2014</v>
      </c>
      <c r="D10" s="3" t="inlineStr">
        <is>
          <t>coa</t>
        </is>
      </c>
      <c r="E10" s="3" t="n">
        <v>0.000723486729071478</v>
      </c>
      <c r="F10" s="3" t="n">
        <v>0.00397825729531387</v>
      </c>
      <c r="G10" s="3" t="n">
        <v>0.00149832912174611</v>
      </c>
      <c r="H10" s="3" t="n">
        <v>0.00239619075701408</v>
      </c>
      <c r="I10" s="3" t="n">
        <v>0.0009957843274301481</v>
      </c>
      <c r="J10" s="3" t="n">
        <v>0.00541523749809975</v>
      </c>
      <c r="K10" s="3" t="n">
        <v>0.000777415064297085</v>
      </c>
      <c r="L10" s="3" t="n">
        <v>0.000308506584273488</v>
      </c>
      <c r="M10" s="3" t="n">
        <v>0.00504300729513811</v>
      </c>
      <c r="N10" s="3" t="n">
        <v>1.05858650497857</v>
      </c>
      <c r="O10" s="3" t="n">
        <v>0.000851120190662193</v>
      </c>
      <c r="P10" s="3" t="n">
        <v>0.00032489583084908</v>
      </c>
      <c r="Q10" s="3" t="n">
        <v>0.0010548731916222</v>
      </c>
      <c r="R10" s="3" t="n">
        <v>0.00632070715667421</v>
      </c>
      <c r="S10" s="3" t="n">
        <v>0.00392738156583487</v>
      </c>
      <c r="T10" s="3" t="n">
        <v>0.00477434122645987</v>
      </c>
      <c r="U10" s="3" t="n">
        <v>0.00693053568082318</v>
      </c>
      <c r="V10" s="3" t="n">
        <v>0.00182193560090233</v>
      </c>
      <c r="W10" s="3" t="n">
        <v>0.000637980611798162</v>
      </c>
      <c r="X10" s="3" t="n">
        <v>0.000868413374794244</v>
      </c>
      <c r="Y10" s="3" t="n">
        <v>0.00193671801944339</v>
      </c>
      <c r="Z10" s="3" t="n">
        <v>0.008983304175458029</v>
      </c>
      <c r="AA10" s="3" t="n">
        <v>0.000440950818022484</v>
      </c>
      <c r="AB10" s="3" t="n">
        <v>0.00253695760585518</v>
      </c>
      <c r="AC10" s="3" t="n">
        <v>0.00344453578329355</v>
      </c>
      <c r="AD10" s="3" t="n">
        <v>0.00068393880421176</v>
      </c>
      <c r="AE10" s="3" t="n">
        <v>0.00549747878936842</v>
      </c>
      <c r="AF10" s="3" t="n">
        <v>0.0107772898042735</v>
      </c>
      <c r="AG10" s="3" t="n">
        <v>0.00191421576214889</v>
      </c>
      <c r="AH10" s="3" t="n">
        <v>0.00220365300893285</v>
      </c>
      <c r="AI10" s="3" t="n">
        <v>0.000979911837474416</v>
      </c>
      <c r="AJ10" s="3" t="n">
        <v>0.00107273069530607</v>
      </c>
      <c r="AK10" s="3" t="n">
        <v>0.000329257069803622</v>
      </c>
      <c r="AL10" s="3" t="n">
        <v>0.00224294177052631</v>
      </c>
      <c r="AM10" s="3" t="n">
        <v>0.000351134159602725</v>
      </c>
      <c r="AN10" s="3" t="n">
        <v>0.000425157774701964</v>
      </c>
      <c r="AO10" s="3" t="n">
        <v>0.00738499852550274</v>
      </c>
      <c r="AP10" s="3" t="n">
        <v>0.00977873546362047</v>
      </c>
      <c r="AQ10" s="3" t="n">
        <v>0.000204883933153012</v>
      </c>
      <c r="AR10" s="3" t="n">
        <v>0.000603525885467187</v>
      </c>
      <c r="AS10" s="3" t="n">
        <v>0.00198274470028134</v>
      </c>
      <c r="AT10" s="3" t="n">
        <v>0.0054237828950749</v>
      </c>
      <c r="AU10" s="3" t="n">
        <v>0.00292384983887647</v>
      </c>
      <c r="AV10" s="3" t="n">
        <v>0.00319711499791659</v>
      </c>
      <c r="AW10" s="3" t="n">
        <v>0.00453659880131827</v>
      </c>
      <c r="AX10" s="3" t="n">
        <v>0.00119951900270512</v>
      </c>
      <c r="AY10" s="3" t="n">
        <v>0.000741405811177991</v>
      </c>
      <c r="AZ10" s="3" t="n">
        <v>0.00209272809070836</v>
      </c>
      <c r="BA10" s="3" t="n">
        <v>0.0030350895064165</v>
      </c>
      <c r="BB10" s="3" t="n">
        <v>0.000859974968424062</v>
      </c>
      <c r="BC10" s="3" t="n">
        <v>0.00115625289333655</v>
      </c>
      <c r="BD10" s="3" t="n">
        <v>0.00515188469899366</v>
      </c>
      <c r="BE10" s="3" t="n">
        <v>0.000327917992223212</v>
      </c>
      <c r="BF10" s="3" t="n">
        <v>0.00194350634996115</v>
      </c>
      <c r="BG10" s="3" t="n">
        <v>0.00170026611819323</v>
      </c>
      <c r="BH10" s="3" t="n">
        <v>0.000704048617123254</v>
      </c>
      <c r="BI10" s="3" t="n">
        <v>0.00063737307934753</v>
      </c>
      <c r="BJ10" s="3" t="n">
        <v>0.000611687376948864</v>
      </c>
      <c r="BK10" s="3" t="n">
        <v>0.00190888662339354</v>
      </c>
      <c r="BL10" s="3" t="n">
        <v>0.00221065065911793</v>
      </c>
      <c r="BM10" s="3" t="n">
        <v>0.00116602834965779</v>
      </c>
      <c r="BN10" s="3" t="n">
        <v>0.00297546381777209</v>
      </c>
      <c r="BO10" s="3" t="n">
        <v>0.0040954257484986</v>
      </c>
      <c r="BP10" s="3" t="n">
        <v>0.00378224021503994</v>
      </c>
    </row>
    <row r="11">
      <c r="A11" s="3" t="inlineStr">
        <is>
          <t>egy.ely.leontiefs</t>
        </is>
      </c>
      <c r="B11" s="3" t="inlineStr">
        <is>
          <t>egy</t>
        </is>
      </c>
      <c r="C11" s="3" t="n">
        <v>2014</v>
      </c>
      <c r="D11" s="3" t="inlineStr">
        <is>
          <t>ely</t>
        </is>
      </c>
      <c r="E11" s="3" t="n">
        <v>0.0053405985801631</v>
      </c>
      <c r="F11" s="3" t="n">
        <v>0.00251007283297355</v>
      </c>
      <c r="G11" s="3" t="n">
        <v>0.00178912958497562</v>
      </c>
      <c r="H11" s="3" t="n">
        <v>0.00354861170781153</v>
      </c>
      <c r="I11" s="3" t="n">
        <v>0.00197253093085185</v>
      </c>
      <c r="J11" s="3" t="n">
        <v>0.0105672699275261</v>
      </c>
      <c r="K11" s="3" t="n">
        <v>0.00145090221456182</v>
      </c>
      <c r="L11" s="3" t="n">
        <v>0.00148851045029614</v>
      </c>
      <c r="M11" s="3" t="n">
        <v>0.00447554316316344</v>
      </c>
      <c r="N11" s="3" t="n">
        <v>0.00561745716612701</v>
      </c>
      <c r="O11" s="3" t="n">
        <v>0.00183145150123089</v>
      </c>
      <c r="P11" s="3" t="n">
        <v>0.000396724646028365</v>
      </c>
      <c r="Q11" s="3" t="n">
        <v>0.00587280050672041</v>
      </c>
      <c r="R11" s="3" t="n">
        <v>0.0080513134938344</v>
      </c>
      <c r="S11" s="3" t="n">
        <v>0.0107976331145341</v>
      </c>
      <c r="T11" s="3" t="n">
        <v>1.00674421498411</v>
      </c>
      <c r="U11" s="3" t="n">
        <v>0.00692409002443715</v>
      </c>
      <c r="V11" s="3" t="n">
        <v>0.00318025775940891</v>
      </c>
      <c r="W11" s="3" t="n">
        <v>0.00541079546053829</v>
      </c>
      <c r="X11" s="3" t="n">
        <v>0.0018359855438289</v>
      </c>
      <c r="Y11" s="3" t="n">
        <v>0.00436397155207421</v>
      </c>
      <c r="Z11" s="3" t="n">
        <v>0.0221644164968166</v>
      </c>
      <c r="AA11" s="3" t="n">
        <v>0.00137912459893987</v>
      </c>
      <c r="AB11" s="3" t="n">
        <v>0.00286077361472647</v>
      </c>
      <c r="AC11" s="3" t="n">
        <v>0.00423123294599251</v>
      </c>
      <c r="AD11" s="3" t="n">
        <v>0.00169536472714972</v>
      </c>
      <c r="AE11" s="3" t="n">
        <v>0.00621839216564152</v>
      </c>
      <c r="AF11" s="3" t="n">
        <v>0.0137661555074806</v>
      </c>
      <c r="AG11" s="3" t="n">
        <v>0.000441826366854551</v>
      </c>
      <c r="AH11" s="3" t="n">
        <v>0.00478427472862505</v>
      </c>
      <c r="AI11" s="3" t="n">
        <v>0.00191371536915629</v>
      </c>
      <c r="AJ11" s="3" t="n">
        <v>0.00206762822529075</v>
      </c>
      <c r="AK11" s="3" t="n">
        <v>0.000721982759140559</v>
      </c>
      <c r="AL11" s="3" t="n">
        <v>0.0031789179861689</v>
      </c>
      <c r="AM11" s="3" t="n">
        <v>0.00151535738741394</v>
      </c>
      <c r="AN11" s="3" t="n">
        <v>0.000508710761389153</v>
      </c>
      <c r="AO11" s="3" t="n">
        <v>0.00808603618801699</v>
      </c>
      <c r="AP11" s="3" t="n">
        <v>0.0183722757621935</v>
      </c>
      <c r="AQ11" s="3" t="n">
        <v>0.000825492932474971</v>
      </c>
      <c r="AR11" s="3" t="n">
        <v>0.00132167792176624</v>
      </c>
      <c r="AS11" s="3" t="n">
        <v>0.00443911368850096</v>
      </c>
      <c r="AT11" s="3" t="n">
        <v>0.00679949641534759</v>
      </c>
      <c r="AU11" s="3" t="n">
        <v>0.00254960688937018</v>
      </c>
      <c r="AV11" s="3" t="n">
        <v>0.0147930350362524</v>
      </c>
      <c r="AW11" s="3" t="n">
        <v>0.000643130604557073</v>
      </c>
      <c r="AX11" s="3" t="n">
        <v>0.00204004172725758</v>
      </c>
      <c r="AY11" s="3" t="n">
        <v>0.0014113709485892</v>
      </c>
      <c r="AZ11" s="3" t="n">
        <v>0.00422987625914248</v>
      </c>
      <c r="BA11" s="3" t="n">
        <v>0.00883796674641766</v>
      </c>
      <c r="BB11" s="3" t="n">
        <v>0.00183467431415716</v>
      </c>
      <c r="BC11" s="3" t="n">
        <v>0.00510179182450642</v>
      </c>
      <c r="BD11" s="3" t="n">
        <v>0.00697816342089469</v>
      </c>
      <c r="BE11" s="3" t="n">
        <v>0.00415695019560504</v>
      </c>
      <c r="BF11" s="3" t="n">
        <v>0.00293507526118323</v>
      </c>
      <c r="BG11" s="3" t="n">
        <v>0.00337248453177331</v>
      </c>
      <c r="BH11" s="3" t="n">
        <v>0.00397955310858113</v>
      </c>
      <c r="BI11" s="3" t="n">
        <v>0.00128254228516543</v>
      </c>
      <c r="BJ11" s="3" t="n">
        <v>0.00132780230847301</v>
      </c>
      <c r="BK11" s="3" t="n">
        <v>0.00277158329330643</v>
      </c>
      <c r="BL11" s="3" t="n">
        <v>0.00387879050902881</v>
      </c>
      <c r="BM11" s="3" t="n">
        <v>0.00242867481203488</v>
      </c>
      <c r="BN11" s="3" t="n">
        <v>0.00371621522937951</v>
      </c>
      <c r="BO11" s="3" t="n">
        <v>0.00286351223575759</v>
      </c>
      <c r="BP11" s="3" t="n">
        <v>0.013543159901449</v>
      </c>
    </row>
    <row r="12">
      <c r="A12" s="3" t="inlineStr">
        <is>
          <t>egy.nga.leontiefs</t>
        </is>
      </c>
      <c r="B12" s="3" t="inlineStr">
        <is>
          <t>egy</t>
        </is>
      </c>
      <c r="C12" s="3" t="n">
        <v>2014</v>
      </c>
      <c r="D12" s="3" t="inlineStr">
        <is>
          <t>nga</t>
        </is>
      </c>
      <c r="E12" s="3" t="n">
        <v>0.00281969261228521</v>
      </c>
      <c r="F12" s="3" t="n">
        <v>0.00972707549236562</v>
      </c>
      <c r="G12" s="3" t="n">
        <v>0.00230701962839435</v>
      </c>
      <c r="H12" s="3" t="n">
        <v>0.0204389436624927</v>
      </c>
      <c r="I12" s="3" t="n">
        <v>0.00346306365389957</v>
      </c>
      <c r="J12" s="3" t="n">
        <v>0.0353853507449608</v>
      </c>
      <c r="K12" s="3" t="n">
        <v>0.00134864295936206</v>
      </c>
      <c r="L12" s="3" t="n">
        <v>0.00131392920713338</v>
      </c>
      <c r="M12" s="3" t="n">
        <v>0.00644775567059032</v>
      </c>
      <c r="N12" s="3" t="n">
        <v>0.00573007191392898</v>
      </c>
      <c r="O12" s="3" t="n">
        <v>0.00285934280773798</v>
      </c>
      <c r="P12" s="3" t="n">
        <v>0.000561074173144626</v>
      </c>
      <c r="Q12" s="3" t="n">
        <v>0.00370299432883559</v>
      </c>
      <c r="R12" s="3" t="n">
        <v>0.008318249551678021</v>
      </c>
      <c r="S12" s="3" t="n">
        <v>0.00780582663882542</v>
      </c>
      <c r="T12" s="3" t="n">
        <v>0.334214554378925</v>
      </c>
      <c r="U12" s="3" t="n">
        <v>0.0114715692316955</v>
      </c>
      <c r="V12" s="3" t="n">
        <v>0.00319402161366975</v>
      </c>
      <c r="W12" s="3" t="n">
        <v>0.00318646220589443</v>
      </c>
      <c r="X12" s="3" t="n">
        <v>0.00317953708279652</v>
      </c>
      <c r="Y12" s="3" t="n">
        <v>0.00502664450152384</v>
      </c>
      <c r="Z12" s="3" t="n">
        <v>0.0225682837953831</v>
      </c>
      <c r="AA12" s="3" t="n">
        <v>0.00106516453666648</v>
      </c>
      <c r="AB12" s="3" t="n">
        <v>0.00431645748674885</v>
      </c>
      <c r="AC12" s="3" t="n">
        <v>0.00576881877028261</v>
      </c>
      <c r="AD12" s="3" t="n">
        <v>0.0020650559722329</v>
      </c>
      <c r="AE12" s="3" t="n">
        <v>0.00703086261973187</v>
      </c>
      <c r="AF12" s="3" t="n">
        <v>0.0143150118439924</v>
      </c>
      <c r="AG12" s="3" t="n">
        <v>1.05378162090448</v>
      </c>
      <c r="AH12" s="3" t="n">
        <v>0.00738926848653442</v>
      </c>
      <c r="AI12" s="3" t="n">
        <v>0.00308267763004466</v>
      </c>
      <c r="AJ12" s="3" t="n">
        <v>0.00191704672490001</v>
      </c>
      <c r="AK12" s="3" t="n">
        <v>0.00108777809003651</v>
      </c>
      <c r="AL12" s="3" t="n">
        <v>0.00533899682485737</v>
      </c>
      <c r="AM12" s="3" t="n">
        <v>0.0009784567981833111</v>
      </c>
      <c r="AN12" s="3" t="n">
        <v>0.00669882712103215</v>
      </c>
      <c r="AO12" s="3" t="n">
        <v>0.007902437568467421</v>
      </c>
      <c r="AP12" s="3" t="n">
        <v>0.0238231805882763</v>
      </c>
      <c r="AQ12" s="3" t="n">
        <v>0.000785547159686055</v>
      </c>
      <c r="AR12" s="3" t="n">
        <v>0.00217849727874758</v>
      </c>
      <c r="AS12" s="3" t="n">
        <v>0.00364893755665008</v>
      </c>
      <c r="AT12" s="3" t="n">
        <v>0.00691569510528019</v>
      </c>
      <c r="AU12" s="3" t="n">
        <v>0.00772061170059618</v>
      </c>
      <c r="AV12" s="3" t="n">
        <v>0.0132053599914682</v>
      </c>
      <c r="AW12" s="3" t="n">
        <v>0.0113506647420324</v>
      </c>
      <c r="AX12" s="3" t="n">
        <v>0.00340146934940344</v>
      </c>
      <c r="AY12" s="3" t="n">
        <v>0.00250205186167301</v>
      </c>
      <c r="AZ12" s="3" t="n">
        <v>0.00741624617339238</v>
      </c>
      <c r="BA12" s="3" t="n">
        <v>0.0111937541056109</v>
      </c>
      <c r="BB12" s="3" t="n">
        <v>0.00287389386746147</v>
      </c>
      <c r="BC12" s="3" t="n">
        <v>0.00403296095333187</v>
      </c>
      <c r="BD12" s="3" t="n">
        <v>0.0270116288957349</v>
      </c>
      <c r="BE12" s="3" t="n">
        <v>0.00180752170892827</v>
      </c>
      <c r="BF12" s="3" t="n">
        <v>0.00496231976540241</v>
      </c>
      <c r="BG12" s="3" t="n">
        <v>0.00395735086464049</v>
      </c>
      <c r="BH12" s="3" t="n">
        <v>0.00220802849735374</v>
      </c>
      <c r="BI12" s="3" t="n">
        <v>0.00220755243207458</v>
      </c>
      <c r="BJ12" s="3" t="n">
        <v>0.00219305544701005</v>
      </c>
      <c r="BK12" s="3" t="n">
        <v>0.00390520786509406</v>
      </c>
      <c r="BL12" s="3" t="n">
        <v>0.00394453084794182</v>
      </c>
      <c r="BM12" s="3" t="n">
        <v>0.00389390946012191</v>
      </c>
      <c r="BN12" s="3" t="n">
        <v>0.00449392120933414</v>
      </c>
      <c r="BO12" s="3" t="n">
        <v>0.0098898755634715</v>
      </c>
      <c r="BP12" s="3" t="n">
        <v>0.00879304656191293</v>
      </c>
    </row>
    <row r="13">
      <c r="A13" s="3" t="inlineStr">
        <is>
          <t>egy.oil.leontiefs</t>
        </is>
      </c>
      <c r="B13" s="3" t="inlineStr">
        <is>
          <t>egy</t>
        </is>
      </c>
      <c r="C13" s="3" t="n">
        <v>2014</v>
      </c>
      <c r="D13" s="3" t="inlineStr">
        <is>
          <t>oil</t>
        </is>
      </c>
      <c r="E13" s="3" t="n">
        <v>0.0106955371875243</v>
      </c>
      <c r="F13" s="3" t="n">
        <v>0.222697251784159</v>
      </c>
      <c r="G13" s="3" t="n">
        <v>0.0112141862111815</v>
      </c>
      <c r="H13" s="3" t="n">
        <v>0.0265076698797824</v>
      </c>
      <c r="I13" s="3" t="n">
        <v>0.0341336025349338</v>
      </c>
      <c r="J13" s="3" t="n">
        <v>0.136711703269024</v>
      </c>
      <c r="K13" s="3" t="n">
        <v>0.00754533161710084</v>
      </c>
      <c r="L13" s="3" t="n">
        <v>0.00643163072382741</v>
      </c>
      <c r="M13" s="3" t="n">
        <v>0.0342689731089583</v>
      </c>
      <c r="N13" s="3" t="n">
        <v>0.0377679872591264</v>
      </c>
      <c r="O13" s="3" t="n">
        <v>0.0274614000213885</v>
      </c>
      <c r="P13" s="3" t="n">
        <v>0.00233970115091248</v>
      </c>
      <c r="Q13" s="3" t="n">
        <v>0.0161867967435026</v>
      </c>
      <c r="R13" s="3" t="n">
        <v>0.0361274466360235</v>
      </c>
      <c r="S13" s="3" t="n">
        <v>0.0292981369646088</v>
      </c>
      <c r="T13" s="3" t="n">
        <v>0.466652413692541</v>
      </c>
      <c r="U13" s="3" t="n">
        <v>0.0495657237185948</v>
      </c>
      <c r="V13" s="3" t="n">
        <v>0.0425493170116134</v>
      </c>
      <c r="W13" s="3" t="n">
        <v>0.0212697417196848</v>
      </c>
      <c r="X13" s="3" t="n">
        <v>0.0317204831990698</v>
      </c>
      <c r="Y13" s="3" t="n">
        <v>0.020332069680456</v>
      </c>
      <c r="Z13" s="3" t="n">
        <v>0.09001654321035001</v>
      </c>
      <c r="AA13" s="3" t="n">
        <v>0.008997851491063139</v>
      </c>
      <c r="AB13" s="3" t="n">
        <v>0.0231000688041314</v>
      </c>
      <c r="AC13" s="3" t="n">
        <v>0.034408106538954</v>
      </c>
      <c r="AD13" s="3" t="n">
        <v>0.0116997474212412</v>
      </c>
      <c r="AE13" s="3" t="n">
        <v>0.0311354442357618</v>
      </c>
      <c r="AF13" s="3" t="n">
        <v>0.0600831873398946</v>
      </c>
      <c r="AG13" s="3" t="n">
        <v>0.0371639026388107</v>
      </c>
      <c r="AH13" s="3" t="n">
        <v>0.0407308321410655</v>
      </c>
      <c r="AI13" s="3" t="n">
        <v>0.0282502947036171</v>
      </c>
      <c r="AJ13" s="3" t="n">
        <v>0.0136022493350944</v>
      </c>
      <c r="AK13" s="3" t="n">
        <v>0.010392889865034</v>
      </c>
      <c r="AL13" s="3" t="n">
        <v>0.0350663850374647</v>
      </c>
      <c r="AM13" s="3" t="n">
        <v>0.00666866651002091</v>
      </c>
      <c r="AN13" s="3" t="n">
        <v>1.00922627131105</v>
      </c>
      <c r="AO13" s="3" t="n">
        <v>0.0332173842026137</v>
      </c>
      <c r="AP13" s="3" t="n">
        <v>0.0898016964281536</v>
      </c>
      <c r="AQ13" s="3" t="n">
        <v>0.00417265794475718</v>
      </c>
      <c r="AR13" s="3" t="n">
        <v>0.0215064286834857</v>
      </c>
      <c r="AS13" s="3" t="n">
        <v>0.0197357551196909</v>
      </c>
      <c r="AT13" s="3" t="n">
        <v>0.0277851277201818</v>
      </c>
      <c r="AU13" s="3" t="n">
        <v>0.173386457854751</v>
      </c>
      <c r="AV13" s="3" t="n">
        <v>0.153064071185822</v>
      </c>
      <c r="AW13" s="3" t="n">
        <v>0.891363177216101</v>
      </c>
      <c r="AX13" s="3" t="n">
        <v>0.0279514302279785</v>
      </c>
      <c r="AY13" s="3" t="n">
        <v>0.0244893458567188</v>
      </c>
      <c r="AZ13" s="3" t="n">
        <v>0.0739826311078204</v>
      </c>
      <c r="BA13" s="3" t="n">
        <v>0.0479712518193673</v>
      </c>
      <c r="BB13" s="3" t="n">
        <v>0.027490090198906</v>
      </c>
      <c r="BC13" s="3" t="n">
        <v>0.0162496005008919</v>
      </c>
      <c r="BD13" s="3" t="n">
        <v>0.038522363036603</v>
      </c>
      <c r="BE13" s="3" t="n">
        <v>0.00678935200069094</v>
      </c>
      <c r="BF13" s="3" t="n">
        <v>0.038637080243721</v>
      </c>
      <c r="BG13" s="3" t="n">
        <v>0.0255057126423185</v>
      </c>
      <c r="BH13" s="3" t="n">
        <v>0.0152108488648852</v>
      </c>
      <c r="BI13" s="3" t="n">
        <v>0.0217226797412293</v>
      </c>
      <c r="BJ13" s="3" t="n">
        <v>0.0215576266922547</v>
      </c>
      <c r="BK13" s="3" t="n">
        <v>0.019579925175574</v>
      </c>
      <c r="BL13" s="3" t="n">
        <v>0.0170476347495902</v>
      </c>
      <c r="BM13" s="3" t="n">
        <v>0.0384841043192818</v>
      </c>
      <c r="BN13" s="3" t="n">
        <v>0.0523540016402061</v>
      </c>
      <c r="BO13" s="3" t="n">
        <v>0.182754419902911</v>
      </c>
      <c r="BP13" s="3" t="n">
        <v>0.039123395406452</v>
      </c>
    </row>
    <row r="14">
      <c r="A14" s="3" t="inlineStr">
        <is>
          <t>egy.p_c.leontiefs</t>
        </is>
      </c>
      <c r="B14" s="3" t="inlineStr">
        <is>
          <t>egy</t>
        </is>
      </c>
      <c r="C14" s="3" t="n">
        <v>2014</v>
      </c>
      <c r="D14" s="3" t="inlineStr">
        <is>
          <t>p_c</t>
        </is>
      </c>
      <c r="E14" s="3" t="n">
        <v>0.0155049347522624</v>
      </c>
      <c r="F14" s="3" t="n">
        <v>0.310145781343056</v>
      </c>
      <c r="G14" s="3" t="n">
        <v>0.017259134360627</v>
      </c>
      <c r="H14" s="3" t="n">
        <v>0.0399583279796415</v>
      </c>
      <c r="I14" s="3" t="n">
        <v>0.0476265476994172</v>
      </c>
      <c r="J14" s="3" t="n">
        <v>0.197856373339138</v>
      </c>
      <c r="K14" s="3" t="n">
        <v>0.0113863522737978</v>
      </c>
      <c r="L14" s="3" t="n">
        <v>0.0090609190504005</v>
      </c>
      <c r="M14" s="3" t="n">
        <v>0.0537275591978862</v>
      </c>
      <c r="N14" s="3" t="n">
        <v>0.0540239741300362</v>
      </c>
      <c r="O14" s="3" t="n">
        <v>0.0380991255316416</v>
      </c>
      <c r="P14" s="3" t="n">
        <v>0.00367405733032075</v>
      </c>
      <c r="Q14" s="3" t="n">
        <v>0.0228941852544118</v>
      </c>
      <c r="R14" s="3" t="n">
        <v>0.0584821857980451</v>
      </c>
      <c r="S14" s="3" t="n">
        <v>0.0454595941932638</v>
      </c>
      <c r="T14" s="3" t="n">
        <v>0.589788113088845</v>
      </c>
      <c r="U14" s="3" t="n">
        <v>0.0788756230343212</v>
      </c>
      <c r="V14" s="3" t="n">
        <v>0.059573059227029</v>
      </c>
      <c r="W14" s="3" t="n">
        <v>0.0284820120622573</v>
      </c>
      <c r="X14" s="3" t="n">
        <v>0.0436335607465496</v>
      </c>
      <c r="Y14" s="3" t="n">
        <v>0.0303057866837537</v>
      </c>
      <c r="Z14" s="3" t="n">
        <v>0.132097519128475</v>
      </c>
      <c r="AA14" s="3" t="n">
        <v>0.0131112605987121</v>
      </c>
      <c r="AB14" s="3" t="n">
        <v>0.0352029833062089</v>
      </c>
      <c r="AC14" s="3" t="n">
        <v>0.053078226649894</v>
      </c>
      <c r="AD14" s="3" t="n">
        <v>0.0170849068351908</v>
      </c>
      <c r="AE14" s="3" t="n">
        <v>0.0495243680747139</v>
      </c>
      <c r="AF14" s="3" t="n">
        <v>0.101653648705323</v>
      </c>
      <c r="AG14" s="3" t="n">
        <v>0.0453277265269219</v>
      </c>
      <c r="AH14" s="3" t="n">
        <v>0.0585562279882097</v>
      </c>
      <c r="AI14" s="3" t="n">
        <v>0.0395271598595529</v>
      </c>
      <c r="AJ14" s="3" t="n">
        <v>0.0203095536554996</v>
      </c>
      <c r="AK14" s="3" t="n">
        <v>0.0143421766814367</v>
      </c>
      <c r="AL14" s="3" t="n">
        <v>0.0522255075394264</v>
      </c>
      <c r="AM14" s="3" t="n">
        <v>0.00970058819319994</v>
      </c>
      <c r="AN14" s="3" t="n">
        <v>0.0122092525069807</v>
      </c>
      <c r="AO14" s="3" t="n">
        <v>0.0568901682830709</v>
      </c>
      <c r="AP14" s="3" t="n">
        <v>0.141793925382003</v>
      </c>
      <c r="AQ14" s="3" t="n">
        <v>0.00589820976697364</v>
      </c>
      <c r="AR14" s="3" t="n">
        <v>0.0295288945655001</v>
      </c>
      <c r="AS14" s="3" t="n">
        <v>0.0290423221495558</v>
      </c>
      <c r="AT14" s="3" t="n">
        <v>0.044931886122637</v>
      </c>
      <c r="AU14" s="3" t="n">
        <v>0.228872616945174</v>
      </c>
      <c r="AV14" s="3" t="n">
        <v>0.205561622463974</v>
      </c>
      <c r="AW14" s="3" t="n">
        <v>1.0367226975543</v>
      </c>
      <c r="AX14" s="3" t="n">
        <v>0.0402170324460762</v>
      </c>
      <c r="AY14" s="3" t="n">
        <v>0.0345493433983841</v>
      </c>
      <c r="AZ14" s="3" t="n">
        <v>0.102614603911626</v>
      </c>
      <c r="BA14" s="3" t="n">
        <v>0.0711872649135438</v>
      </c>
      <c r="BB14" s="3" t="n">
        <v>0.0381647905184745</v>
      </c>
      <c r="BC14" s="3" t="n">
        <v>0.0234955354971126</v>
      </c>
      <c r="BD14" s="3" t="n">
        <v>0.0602111431838218</v>
      </c>
      <c r="BE14" s="3" t="n">
        <v>0.00965645231293027</v>
      </c>
      <c r="BF14" s="3" t="n">
        <v>0.0560451994685985</v>
      </c>
      <c r="BG14" s="3" t="n">
        <v>0.0368347248019593</v>
      </c>
      <c r="BH14" s="3" t="n">
        <v>0.0220009224355531</v>
      </c>
      <c r="BI14" s="3" t="n">
        <v>0.0301875151966365</v>
      </c>
      <c r="BJ14" s="3" t="n">
        <v>0.029635229128332</v>
      </c>
      <c r="BK14" s="3" t="n">
        <v>0.0294896798480372</v>
      </c>
      <c r="BL14" s="3" t="n">
        <v>0.02584447653045</v>
      </c>
      <c r="BM14" s="3" t="n">
        <v>0.0529487563020483</v>
      </c>
      <c r="BN14" s="3" t="n">
        <v>0.073487241242691</v>
      </c>
      <c r="BO14" s="3" t="n">
        <v>0.267074558670548</v>
      </c>
      <c r="BP14" s="3" t="n">
        <v>0.0585879310413168</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2026-10-29T14:55:47Z</dcterms:created>
  <dcterms:modified xmlns:dcterms="http://purl.org/dc/terms/" xmlns:xsi="http://www.w3.org/2001/XMLSchema-instance" xsi:type="dcterms:W3CDTF">2026-10-29T15:07:16Z</dcterms:modified>
</cp:coreProperties>
</file>