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defaultThemeVersion="166925"/>
  <xr:revisionPtr revIDLastSave="104" documentId="8_{077D098C-9BBF-4674-B99C-58E5DF332262}" xr6:coauthVersionLast="47" xr6:coauthVersionMax="47" xr10:uidLastSave="{7A90C963-41DC-492E-A09C-D6593CE766F2}"/>
  <bookViews>
    <workbookView xWindow="-120" yWindow="-120" windowWidth="29040" windowHeight="15840" tabRatio="432" xr2:uid="{3D373464-7BBD-4C50-89C2-63BFB797B3C7}"/>
  </bookViews>
  <sheets>
    <sheet name="Watch List de Acciones" sheetId="1" r:id="rId1"/>
    <sheet name="Cartera de Acciones" sheetId="2" r:id="rId2"/>
    <sheet name="Cartera de Fondos" sheetId="3" r:id="rId3"/>
    <sheet name="Cartera Indexada" sheetId="7" r:id="rId4"/>
    <sheet name="Movimientos" sheetId="8" r:id="rId5"/>
    <sheet name="Divisa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3" i="8" l="1"/>
  <c r="A5" i="2" a="1"/>
  <c r="A5" i="2" s="1"/>
  <c r="C5" i="2" a="1"/>
  <c r="C5" i="2" s="1"/>
  <c r="M5" i="2" a="1"/>
  <c r="M5" i="2" s="1"/>
  <c r="D5" i="2" l="1"/>
  <c r="E5" i="2"/>
  <c r="J5" i="2"/>
  <c r="F5" i="2" l="1"/>
  <c r="N5" i="2"/>
  <c r="S5" i="2" l="1"/>
  <c r="F6" i="7" l="1"/>
  <c r="F7" i="7"/>
  <c r="F8" i="7"/>
  <c r="F9" i="7"/>
  <c r="F10" i="7"/>
  <c r="E6" i="7"/>
  <c r="E7" i="7"/>
  <c r="E8" i="7"/>
  <c r="E9" i="7"/>
  <c r="E10" i="7"/>
  <c r="E5" i="7"/>
  <c r="F3" i="3"/>
  <c r="E4" i="8"/>
  <c r="E5" i="8"/>
  <c r="E6" i="8"/>
  <c r="E7" i="8"/>
  <c r="E8" i="8"/>
  <c r="E3" i="8"/>
  <c r="F5" i="7" s="1"/>
  <c r="E2" i="8"/>
  <c r="E10" i="8" l="1"/>
  <c r="E9" i="8"/>
  <c r="E11" i="8"/>
  <c r="E12" i="8"/>
  <c r="A6" i="2" a="1"/>
  <c r="A6" i="2" s="1"/>
  <c r="C6" i="2" a="1"/>
  <c r="C6" i="2" s="1"/>
  <c r="M6" i="2" a="1"/>
  <c r="M6" i="2" s="1"/>
  <c r="R2" i="1" a="1"/>
  <c r="R2" i="1" s="1"/>
  <c r="R3" i="1" a="1"/>
  <c r="R3" i="1" s="1"/>
  <c r="R4" i="1" a="1"/>
  <c r="R4" i="1" s="1"/>
  <c r="R5" i="1" a="1"/>
  <c r="R5" i="1" s="1"/>
  <c r="R6" i="1" a="1"/>
  <c r="R6" i="1" s="1"/>
  <c r="R7" i="1" a="1"/>
  <c r="R7" i="1" s="1"/>
  <c r="R8" i="1" a="1"/>
  <c r="R8" i="1" s="1"/>
  <c r="D6" i="1" a="1"/>
  <c r="D6" i="1" s="1"/>
  <c r="G6" i="1" s="1"/>
  <c r="D7" i="1" a="1"/>
  <c r="D7" i="1" s="1"/>
  <c r="G7" i="1" s="1"/>
  <c r="A7" i="1" a="1"/>
  <c r="A7" i="1" s="1"/>
  <c r="H8" i="1"/>
  <c r="H2" i="1"/>
  <c r="H4" i="1"/>
  <c r="H3" i="1"/>
  <c r="H5" i="1"/>
  <c r="H6" i="1"/>
  <c r="H7" i="1"/>
  <c r="E7" i="1" a="1"/>
  <c r="E7" i="1" s="1"/>
  <c r="L7" i="1" a="1"/>
  <c r="L7" i="1" s="1"/>
  <c r="M7" i="1" a="1"/>
  <c r="M7" i="1" s="1"/>
  <c r="N7" i="1" a="1"/>
  <c r="N7" i="1" s="1"/>
  <c r="O7" i="1" a="1"/>
  <c r="O7" i="1" s="1"/>
  <c r="Q7" i="1" a="1"/>
  <c r="Q7" i="1" s="1"/>
  <c r="A6" i="1" a="1"/>
  <c r="A6" i="1" s="1"/>
  <c r="E6" i="1" a="1"/>
  <c r="E6" i="1" s="1"/>
  <c r="L6" i="1" a="1"/>
  <c r="L6" i="1" s="1"/>
  <c r="M6" i="1" a="1"/>
  <c r="M6" i="1" s="1"/>
  <c r="N6" i="1" a="1"/>
  <c r="N6" i="1" s="1"/>
  <c r="O6" i="1" a="1"/>
  <c r="O6" i="1" s="1"/>
  <c r="Q6" i="1" a="1"/>
  <c r="Q6" i="1" s="1"/>
  <c r="D4" i="1" a="1"/>
  <c r="D4" i="1" s="1"/>
  <c r="G4" i="1" s="1"/>
  <c r="J11" i="7"/>
  <c r="K8" i="7" s="1"/>
  <c r="E11" i="7"/>
  <c r="M10" i="7"/>
  <c r="G10" i="7"/>
  <c r="M9" i="7"/>
  <c r="G9" i="7"/>
  <c r="M8" i="7"/>
  <c r="G8" i="7"/>
  <c r="M7" i="7"/>
  <c r="G7" i="7"/>
  <c r="M6" i="7"/>
  <c r="G6" i="7"/>
  <c r="M5" i="7"/>
  <c r="G5" i="7"/>
  <c r="D6" i="2" l="1"/>
  <c r="E6" i="2"/>
  <c r="J6" i="2"/>
  <c r="P7" i="1"/>
  <c r="K7" i="1"/>
  <c r="P6" i="1"/>
  <c r="K6" i="1"/>
  <c r="O5" i="7"/>
  <c r="K7" i="7"/>
  <c r="K6" i="7"/>
  <c r="O6" i="7"/>
  <c r="K5" i="7"/>
  <c r="K9" i="7"/>
  <c r="O7" i="7"/>
  <c r="O8" i="7"/>
  <c r="K10" i="7"/>
  <c r="O9" i="7"/>
  <c r="O10" i="7"/>
  <c r="C11" i="7"/>
  <c r="G11" i="7"/>
  <c r="H6" i="7" s="1"/>
  <c r="M11" i="7"/>
  <c r="N7" i="7" s="1"/>
  <c r="E4" i="3"/>
  <c r="K3" i="3"/>
  <c r="G3" i="3"/>
  <c r="A3" i="2" a="1"/>
  <c r="A3" i="2" s="1"/>
  <c r="A4" i="2" a="1"/>
  <c r="A4" i="2" s="1"/>
  <c r="D4" i="2" l="1"/>
  <c r="E4" i="2"/>
  <c r="D3" i="2"/>
  <c r="E3" i="2"/>
  <c r="J3" i="2"/>
  <c r="J4" i="2"/>
  <c r="F6" i="2"/>
  <c r="N6" i="2"/>
  <c r="C7" i="1"/>
  <c r="C6" i="1"/>
  <c r="K11" i="7"/>
  <c r="O11" i="7"/>
  <c r="K4" i="3"/>
  <c r="L3" i="3" s="1"/>
  <c r="L4" i="3" s="1"/>
  <c r="M3" i="3"/>
  <c r="M4" i="3" s="1"/>
  <c r="G4" i="3"/>
  <c r="H3" i="3" s="1"/>
  <c r="N6" i="7"/>
  <c r="P6" i="7" s="1"/>
  <c r="R6" i="7" s="1"/>
  <c r="N5" i="7"/>
  <c r="N8" i="7"/>
  <c r="P8" i="7" s="1"/>
  <c r="R8" i="7" s="1"/>
  <c r="N9" i="7"/>
  <c r="P9" i="7" s="1"/>
  <c r="R9" i="7" s="1"/>
  <c r="N10" i="7"/>
  <c r="P10" i="7" s="1"/>
  <c r="R10" i="7" s="1"/>
  <c r="H5" i="7"/>
  <c r="H10" i="7"/>
  <c r="H8" i="7"/>
  <c r="H7" i="7"/>
  <c r="H9" i="7"/>
  <c r="P7" i="7"/>
  <c r="R7" i="7" s="1"/>
  <c r="J7" i="2" l="1"/>
  <c r="S6" i="2"/>
  <c r="S7" i="7"/>
  <c r="Q7" i="7"/>
  <c r="S10" i="7"/>
  <c r="Q10" i="7"/>
  <c r="S9" i="7"/>
  <c r="Q9" i="7"/>
  <c r="S8" i="7"/>
  <c r="Q8" i="7"/>
  <c r="S6" i="7"/>
  <c r="Q6" i="7"/>
  <c r="H11" i="7"/>
  <c r="N11" i="7"/>
  <c r="P5" i="7"/>
  <c r="D7" i="2"/>
  <c r="A2" i="5" a="1"/>
  <c r="A2" i="5" s="1"/>
  <c r="A3" i="5" a="1"/>
  <c r="A3" i="5" s="1"/>
  <c r="C3" i="2" a="1"/>
  <c r="C3" i="2" s="1"/>
  <c r="C4" i="2" a="1"/>
  <c r="C4" i="2" s="1"/>
  <c r="F4" i="2"/>
  <c r="M4" i="2" a="1"/>
  <c r="M4" i="2" s="1"/>
  <c r="N4" i="2" s="1"/>
  <c r="C2" i="5" a="1"/>
  <c r="C2" i="5" s="1"/>
  <c r="C3" i="5" a="1"/>
  <c r="C3" i="5" s="1"/>
  <c r="F3" i="2"/>
  <c r="M3" i="2" a="1"/>
  <c r="M3" i="2" s="1"/>
  <c r="N3" i="2" s="1"/>
  <c r="G5" i="2" l="1"/>
  <c r="H5" i="2" s="1"/>
  <c r="K5" i="2"/>
  <c r="O5" i="2"/>
  <c r="O6" i="2"/>
  <c r="G6" i="2"/>
  <c r="H6" i="2" s="1"/>
  <c r="K6" i="2"/>
  <c r="S4" i="2"/>
  <c r="S3" i="2"/>
  <c r="R5" i="7"/>
  <c r="Q5" i="7" s="1"/>
  <c r="P11" i="7" a="1"/>
  <c r="P11" i="7" s="1"/>
  <c r="G3" i="2"/>
  <c r="H3" i="2" s="1"/>
  <c r="G4" i="2"/>
  <c r="H4" i="2" s="1"/>
  <c r="O4" i="2"/>
  <c r="O3" i="2"/>
  <c r="K4" i="2"/>
  <c r="K3" i="2"/>
  <c r="C2" i="1"/>
  <c r="Q5" i="2" l="1"/>
  <c r="R5" i="2" s="1"/>
  <c r="T5" i="2" a="1"/>
  <c r="T5" i="2" s="1"/>
  <c r="Q3" i="2"/>
  <c r="Q4" i="2"/>
  <c r="R4" i="2" s="1"/>
  <c r="Q6" i="2"/>
  <c r="R6" i="2" s="1"/>
  <c r="T3" i="2" a="1"/>
  <c r="T3" i="2" s="1"/>
  <c r="T4" i="2" a="1"/>
  <c r="T4" i="2" s="1"/>
  <c r="T6" i="2" a="1"/>
  <c r="T6" i="2" s="1"/>
  <c r="R11" i="7"/>
  <c r="S5" i="7"/>
  <c r="S7" i="2"/>
  <c r="H7" i="2"/>
  <c r="O7" i="2"/>
  <c r="K7" i="2"/>
  <c r="C44" i="1" a="1"/>
  <c r="C44" i="1" s="1"/>
  <c r="Q5" i="1" a="1"/>
  <c r="Q5" i="1" s="1"/>
  <c r="O5" i="1" a="1"/>
  <c r="O5" i="1" s="1"/>
  <c r="N5" i="1" a="1"/>
  <c r="N5" i="1" s="1"/>
  <c r="M5" i="1" a="1"/>
  <c r="M5" i="1" s="1"/>
  <c r="L5" i="1" a="1"/>
  <c r="L5" i="1" s="1"/>
  <c r="E5" i="1" a="1"/>
  <c r="E5" i="1" s="1"/>
  <c r="D5" i="1" a="1"/>
  <c r="D5" i="1" s="1"/>
  <c r="A5" i="1" a="1"/>
  <c r="A5" i="1" s="1"/>
  <c r="C5" i="1" s="1"/>
  <c r="Q3" i="1" a="1"/>
  <c r="Q3" i="1" s="1"/>
  <c r="O3" i="1" a="1"/>
  <c r="O3" i="1" s="1"/>
  <c r="N3" i="1" a="1"/>
  <c r="N3" i="1" s="1"/>
  <c r="M3" i="1" a="1"/>
  <c r="M3" i="1" s="1"/>
  <c r="L3" i="1" a="1"/>
  <c r="L3" i="1" s="1"/>
  <c r="E3" i="1" a="1"/>
  <c r="E3" i="1" s="1"/>
  <c r="D3" i="1" a="1"/>
  <c r="D3" i="1" s="1"/>
  <c r="A3" i="1" a="1"/>
  <c r="A3" i="1" s="1"/>
  <c r="C3" i="1" s="1"/>
  <c r="Q4" i="1" a="1"/>
  <c r="Q4" i="1" s="1"/>
  <c r="O4" i="1" a="1"/>
  <c r="O4" i="1" s="1"/>
  <c r="N4" i="1" a="1"/>
  <c r="N4" i="1" s="1"/>
  <c r="M4" i="1" a="1"/>
  <c r="M4" i="1" s="1"/>
  <c r="L4" i="1" a="1"/>
  <c r="L4" i="1" s="1"/>
  <c r="E4" i="1" a="1"/>
  <c r="E4" i="1" s="1"/>
  <c r="A4" i="1" a="1"/>
  <c r="A4" i="1" s="1"/>
  <c r="C4" i="1" s="1"/>
  <c r="Q2" i="1" a="1"/>
  <c r="Q2" i="1" s="1"/>
  <c r="O2" i="1" a="1"/>
  <c r="O2" i="1" s="1"/>
  <c r="N2" i="1" a="1"/>
  <c r="N2" i="1" s="1"/>
  <c r="M2" i="1" a="1"/>
  <c r="M2" i="1" s="1"/>
  <c r="L2" i="1" a="1"/>
  <c r="L2" i="1" s="1"/>
  <c r="E2" i="1" a="1"/>
  <c r="E2" i="1" s="1"/>
  <c r="D2" i="1" a="1"/>
  <c r="D2" i="1" s="1"/>
  <c r="Q8" i="1" a="1"/>
  <c r="Q8" i="1" s="1"/>
  <c r="O8" i="1" a="1"/>
  <c r="O8" i="1" s="1"/>
  <c r="N8" i="1" a="1"/>
  <c r="N8" i="1" s="1"/>
  <c r="M8" i="1" a="1"/>
  <c r="M8" i="1" s="1"/>
  <c r="L8" i="1" a="1"/>
  <c r="L8" i="1" s="1"/>
  <c r="E8" i="1" a="1"/>
  <c r="E8" i="1" s="1"/>
  <c r="D8" i="1" a="1"/>
  <c r="D8" i="1" s="1"/>
  <c r="A8" i="1" a="1"/>
  <c r="A8" i="1" s="1"/>
  <c r="C8" i="1" s="1"/>
  <c r="L4" i="2" l="1"/>
  <c r="L5" i="2"/>
  <c r="I4" i="2"/>
  <c r="I5" i="2"/>
  <c r="P6" i="2"/>
  <c r="P5" i="2"/>
  <c r="Q7" i="2"/>
  <c r="R3" i="2"/>
  <c r="R7" i="2" s="1"/>
  <c r="L6" i="2"/>
  <c r="L3" i="2"/>
  <c r="I6" i="2"/>
  <c r="I3" i="2"/>
  <c r="T7" i="2"/>
  <c r="G8" i="1"/>
  <c r="G5" i="1"/>
  <c r="G3" i="1"/>
  <c r="G2" i="1"/>
  <c r="S11" i="7"/>
  <c r="T5" i="7" s="1"/>
  <c r="P3" i="2"/>
  <c r="P4" i="2"/>
  <c r="K5" i="1"/>
  <c r="P2" i="1"/>
  <c r="P3" i="1"/>
  <c r="K4" i="1"/>
  <c r="P8" i="1"/>
  <c r="P5" i="1"/>
  <c r="K2" i="1"/>
  <c r="P4" i="1"/>
  <c r="K8" i="1"/>
  <c r="K3" i="1"/>
  <c r="T9" i="7" l="1"/>
  <c r="T10" i="7"/>
  <c r="T8" i="7"/>
  <c r="T7" i="7"/>
  <c r="T6" i="7"/>
  <c r="P7" i="2"/>
  <c r="I7" i="2"/>
  <c r="L7" i="2"/>
  <c r="T11"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2"/>
        </ext>
      </extLst>
    </bk>
    <bk>
      <extLst>
        <ext uri="{3e2802c4-a4d2-4d8b-9148-e3be6c30e623}">
          <xlrd:rvb i="24"/>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<sst xmlns="http://schemas.openxmlformats.org/spreadsheetml/2006/main" count="166" uniqueCount="96">
  <si>
    <t>Empresa</t>
  </si>
  <si>
    <t>Precio</t>
  </si>
  <si>
    <t>Cambio (%)</t>
  </si>
  <si>
    <t>PER</t>
  </si>
  <si>
    <t>Pay-out</t>
  </si>
  <si>
    <t>BPA</t>
  </si>
  <si>
    <t>Dividendo</t>
  </si>
  <si>
    <t>RPD</t>
  </si>
  <si>
    <t>Moneda</t>
  </si>
  <si>
    <t>Mínimo</t>
  </si>
  <si>
    <t>Máximo en 52 semanas</t>
  </si>
  <si>
    <t>Mediana en 52 semanas</t>
  </si>
  <si>
    <t>Mínimo en 52 semanas</t>
  </si>
  <si>
    <t>BMWG</t>
  </si>
  <si>
    <t>Cantidad</t>
  </si>
  <si>
    <t>Ingresos Dividendos</t>
  </si>
  <si>
    <t>Precio Actual</t>
  </si>
  <si>
    <t>Valor Actual</t>
  </si>
  <si>
    <t>Rentabilidad</t>
  </si>
  <si>
    <t>Rentabilidad sin Div</t>
  </si>
  <si>
    <t>Total</t>
  </si>
  <si>
    <t>En Cartera</t>
  </si>
  <si>
    <t>Símbolo</t>
  </si>
  <si>
    <t>Divisa</t>
  </si>
  <si>
    <t>EUR/EUR</t>
  </si>
  <si>
    <t>Símbolo bursátil</t>
  </si>
  <si>
    <t>EUREUR</t>
  </si>
  <si>
    <t>Ingresos Dividendos €</t>
  </si>
  <si>
    <t>Valor Actual €</t>
  </si>
  <si>
    <t>Nombre del Fondo</t>
  </si>
  <si>
    <t>Renta 4 Multigestión Numantia Patrimonio Global Fi</t>
  </si>
  <si>
    <t>ISIN</t>
  </si>
  <si>
    <t>EUR</t>
  </si>
  <si>
    <t>Índice</t>
  </si>
  <si>
    <t>Capitalización Índice</t>
  </si>
  <si>
    <t>ES0173311103</t>
  </si>
  <si>
    <t>MSCI World</t>
  </si>
  <si>
    <t>IE00BYX5MX67</t>
  </si>
  <si>
    <t>IE0007987708</t>
  </si>
  <si>
    <t>IE00BYX5N771</t>
  </si>
  <si>
    <t>IE00BDRK7R97</t>
  </si>
  <si>
    <t>IE00BYWYCC39</t>
  </si>
  <si>
    <t>IE00B42W4L06</t>
  </si>
  <si>
    <t>TER</t>
  </si>
  <si>
    <t>Fidelity S&amp;P 500 Index Fund P-ACC-EUR</t>
  </si>
  <si>
    <t>Vanguard European Stock Index Fund EUR Acc</t>
  </si>
  <si>
    <t>Fidelity MSCI Japan Index Fund P-ACC-EUR</t>
  </si>
  <si>
    <t>iShares Pacific Index Fund D Acc</t>
  </si>
  <si>
    <t>iShares Emerging Markets Index Fund D Acc</t>
  </si>
  <si>
    <t>Vanguard Global Small-Cap Index Fund EUR Acc</t>
  </si>
  <si>
    <t>S&amp;P 500</t>
  </si>
  <si>
    <t>MSCI Europe</t>
  </si>
  <si>
    <t>MSCI Emerging Markets</t>
  </si>
  <si>
    <t>MSCI Pacific ex Japan</t>
  </si>
  <si>
    <t>MSCI World Small Cap</t>
  </si>
  <si>
    <t>MSCI Japan</t>
  </si>
  <si>
    <t>Rebalanceo</t>
  </si>
  <si>
    <t>ÍNCIDE</t>
  </si>
  <si>
    <t>Precio Medio</t>
  </si>
  <si>
    <t>Peso Ínidce</t>
  </si>
  <si>
    <t>SITUACION ACTUAL</t>
  </si>
  <si>
    <t>Cantidad Compra</t>
  </si>
  <si>
    <t>Valor Tras Compra</t>
  </si>
  <si>
    <t>Peso Tras Compra</t>
  </si>
  <si>
    <t>SITACION INICIAL COMPRA</t>
  </si>
  <si>
    <t>Valor Compra</t>
  </si>
  <si>
    <t>PRÓXIMA COMPRA</t>
  </si>
  <si>
    <t>Objetivo</t>
  </si>
  <si>
    <t>Máximo2</t>
  </si>
  <si>
    <t>Sector</t>
  </si>
  <si>
    <t>Activo</t>
  </si>
  <si>
    <t>Fecha</t>
  </si>
  <si>
    <t>ITX</t>
  </si>
  <si>
    <t>Compra</t>
  </si>
  <si>
    <t>BBVA</t>
  </si>
  <si>
    <t>MMM</t>
  </si>
  <si>
    <t>Tipo</t>
  </si>
  <si>
    <t>Acción</t>
  </si>
  <si>
    <t>Valor</t>
  </si>
  <si>
    <t>Operación</t>
  </si>
  <si>
    <t>Variación Día €</t>
  </si>
  <si>
    <t>Valor Actual + Div €</t>
  </si>
  <si>
    <t>Fondo</t>
  </si>
  <si>
    <t>Efectivo Disponible Para Invertir en Cartera</t>
  </si>
  <si>
    <t>Peso</t>
  </si>
  <si>
    <t>Peso Actual</t>
  </si>
  <si>
    <t>ÍNDICE</t>
  </si>
  <si>
    <t>SITUACIÓN ACTUAL</t>
  </si>
  <si>
    <t>FONDO</t>
  </si>
  <si>
    <t>ACCIÓN</t>
  </si>
  <si>
    <t>Precio Medio €</t>
  </si>
  <si>
    <t>Valor €</t>
  </si>
  <si>
    <t>SITUACIÓN INICIAL COMPRA</t>
  </si>
  <si>
    <t>DIVIDENDOS</t>
  </si>
  <si>
    <t>Peso Dividendos</t>
  </si>
  <si>
    <t>MBG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</si>
</sst>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8" formatCode="#,##0.00\ &quot;€&quot;;[Red]\-#,##0.00\ &quot;€&quot;"/>
    <numFmt numFmtId="44" formatCode="_-* #,##0.00\ &quot;€&quot;_-;\-* #,##0.00\ &quot;€&quot;_-;_-* &quot;-&quot;??\ &quot;€&quot;_-;_-@_-"/>
    <numFmt numFmtId="43" formatCode="_-* #,##0.00_-;\-* #,##0.00_-;_-* &quot;-&quot;??_-;_-@_-"/>
    <numFmt numFmtId="164" formatCode="_([$$-409]* #,##0.00_);_([$$-409]* \(#,##0.00\);_([$$-409]* &quot;-&quot;??_);_(@_)"/>
    <numFmt numFmtId="165" formatCode="_([$€-2]\ * #,##0.00_);_([$€-2]\ * \(#,##0.00\);_([$€-2]\ * &quot;-&quot;??_);_(@_)"/>
    <numFmt numFmtId="166" formatCode="_-[$$-540A]* #,##0.00_ ;_-[$$-540A]* \-#,##0.00\ ;_-[$$-540A]* &quot;-&quot;??_ ;_-@_ "/>
    <numFmt numFmtId="167" formatCode="_-[$$-409]* #,##0.00_ ;_-[$$-409]* \-#,##0.00\ ;_-[$$-409]* &quot;-&quot;??_ ;_-@_ "/>
    <numFmt numFmtId="168" formatCode="#,##0.00\ &quot;€&quot;"/>
    <numFmt numFmtId="169" formatCode="_-* #,##0.00\ [$€-C0A]_-;\-* #,##0.00\ [$€-C0A]_-;_-* &quot;-&quot;??\ [$€-C0A]_-;_-@_-"/>
    <numFmt numFmtId="170" formatCode="_-[$€-2]\ * #,##0.00_-;\-[$€-2]\ * #,##0.00_-;_-[$€-2]\ *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b/>
      <sz val="11"/>
      <color theme="0"/>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theme="9"/>
      </patternFill>
    </fill>
    <fill>
      <patternFill patternType="solid">
        <fgColor theme="4"/>
        <bgColor theme="4"/>
      </patternFill>
    </fill>
    <fill>
      <patternFill patternType="solid">
        <fgColor theme="4" tint="0.79998168889431442"/>
        <bgColor theme="4" tint="0.79998168889431442"/>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
      <left/>
      <right style="thin">
        <color theme="4" tint="0.39997558519241921"/>
      </right>
      <top/>
      <bottom/>
      <diagonal/>
    </border>
    <border>
      <left/>
      <right/>
      <top style="thin">
        <color theme="0"/>
      </top>
      <bottom/>
      <diagonal/>
    </border>
    <border>
      <left/>
      <right/>
      <top style="thin">
        <color theme="2"/>
      </top>
      <bottom/>
      <diagonal/>
    </border>
    <border>
      <left/>
      <right style="thin">
        <color theme="2"/>
      </right>
      <top style="thin">
        <color theme="4" tint="0.39997558519241921"/>
      </top>
      <bottom style="thin">
        <color theme="4" tint="0.39997558519241921"/>
      </bottom>
      <diagonal/>
    </border>
    <border>
      <left style="thin">
        <color theme="2"/>
      </left>
      <right/>
      <top style="thin">
        <color theme="4" tint="0.39997558519241921"/>
      </top>
      <bottom style="thin">
        <color theme="4" tint="0.39997558519241921"/>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43" fontId="1" fillId="0" borderId="0" applyFont="0" applyFill="0" applyBorder="0" applyAlignment="0" applyProtection="0"/>
    <xf numFmtId="0" fontId="4" fillId="2" borderId="0" applyNumberFormat="0" applyBorder="0" applyAlignment="0" applyProtection="0"/>
  </cellStyleXfs>
  <cellXfs count="53">
    <xf numFmtId="0" fontId="0" fillId="0" borderId="0" xfId="0"/>
    <xf numFmtId="165" fontId="0" fillId="0" borderId="0" xfId="0" applyNumberFormat="1"/>
    <xf numFmtId="10" fontId="0" fillId="0" borderId="0" xfId="0" applyNumberFormat="1"/>
    <xf numFmtId="10" fontId="0" fillId="0" borderId="0" xfId="2" applyNumberFormat="1" applyFont="1"/>
    <xf numFmtId="164" fontId="0" fillId="0" borderId="0" xfId="0" applyNumberFormat="1"/>
    <xf numFmtId="166" fontId="0" fillId="0" borderId="0" xfId="1" applyNumberFormat="1" applyFont="1"/>
    <xf numFmtId="9" fontId="0" fillId="0" borderId="0" xfId="2" applyFont="1"/>
    <xf numFmtId="9" fontId="0" fillId="0" borderId="0" xfId="0" applyNumberFormat="1"/>
    <xf numFmtId="0" fontId="0" fillId="0" borderId="0" xfId="0" applyAlignment="1">
      <alignment horizontal="center"/>
    </xf>
    <xf numFmtId="0" fontId="0" fillId="0" borderId="0" xfId="0" applyAlignment="1">
      <alignment horizontal="left"/>
    </xf>
    <xf numFmtId="0" fontId="0" fillId="0" borderId="0" xfId="0" applyAlignment="1">
      <alignment horizontal="left" indent="2"/>
    </xf>
    <xf numFmtId="0" fontId="0" fillId="0" borderId="0" xfId="0" applyFill="1"/>
    <xf numFmtId="164" fontId="2" fillId="0" borderId="0" xfId="3" applyNumberFormat="1" applyFill="1"/>
    <xf numFmtId="165" fontId="0" fillId="0" borderId="0" xfId="0" applyNumberFormat="1" applyFill="1"/>
    <xf numFmtId="164" fontId="0" fillId="0" borderId="0" xfId="0" applyNumberFormat="1" applyFill="1"/>
    <xf numFmtId="2" fontId="0" fillId="0" borderId="0" xfId="0" applyNumberFormat="1"/>
    <xf numFmtId="8" fontId="0" fillId="0" borderId="0" xfId="0" applyNumberFormat="1"/>
    <xf numFmtId="0" fontId="2" fillId="0" borderId="0" xfId="3"/>
    <xf numFmtId="167" fontId="0" fillId="0" borderId="0" xfId="4" applyNumberFormat="1" applyFont="1"/>
    <xf numFmtId="0" fontId="2" fillId="0" borderId="0" xfId="0" applyFont="1"/>
    <xf numFmtId="167" fontId="0" fillId="0" borderId="0" xfId="0" applyNumberFormat="1"/>
    <xf numFmtId="9" fontId="2" fillId="0" borderId="0" xfId="3" applyNumberFormat="1"/>
    <xf numFmtId="0" fontId="2" fillId="0" borderId="0" xfId="3" applyFill="1"/>
    <xf numFmtId="10" fontId="0" fillId="0" borderId="0" xfId="0" applyNumberFormat="1" applyFont="1"/>
    <xf numFmtId="169" fontId="0" fillId="4" borderId="3" xfId="2" applyNumberFormat="1" applyFont="1" applyFill="1" applyBorder="1"/>
    <xf numFmtId="0" fontId="3" fillId="3" borderId="1" xfId="0" applyFont="1" applyFill="1" applyBorder="1" applyAlignment="1"/>
    <xf numFmtId="168" fontId="4" fillId="2" borderId="0" xfId="5" applyNumberFormat="1"/>
    <xf numFmtId="168" fontId="0" fillId="0" borderId="0" xfId="0" applyNumberFormat="1" applyFont="1"/>
    <xf numFmtId="9" fontId="0" fillId="0" borderId="0" xfId="0" applyNumberFormat="1" applyFont="1"/>
    <xf numFmtId="0" fontId="0" fillId="0" borderId="0" xfId="0" applyNumberFormat="1" applyAlignment="1">
      <alignment horizontal="center"/>
    </xf>
    <xf numFmtId="169" fontId="0" fillId="0" borderId="0" xfId="0" applyNumberFormat="1"/>
    <xf numFmtId="0" fontId="0" fillId="0" borderId="0" xfId="0" applyNumberFormat="1" applyAlignment="1">
      <alignment horizontal="right"/>
    </xf>
    <xf numFmtId="169" fontId="0" fillId="0" borderId="0" xfId="2" applyNumberFormat="1" applyFont="1"/>
    <xf numFmtId="14" fontId="0" fillId="0" borderId="0" xfId="0" applyNumberFormat="1"/>
    <xf numFmtId="170" fontId="0" fillId="0" borderId="0" xfId="0" applyNumberFormat="1"/>
    <xf numFmtId="43" fontId="0" fillId="0" borderId="0" xfId="4" applyFont="1"/>
    <xf numFmtId="43" fontId="0" fillId="0" borderId="0" xfId="4" applyNumberFormat="1" applyFont="1"/>
    <xf numFmtId="170" fontId="0" fillId="0" borderId="0" xfId="4" applyNumberFormat="1" applyFont="1"/>
    <xf numFmtId="14" fontId="0" fillId="0" borderId="0" xfId="4" applyNumberFormat="1" applyFont="1"/>
    <xf numFmtId="0" fontId="3" fillId="3" borderId="4" xfId="0" applyFont="1" applyFill="1" applyBorder="1" applyAlignment="1"/>
    <xf numFmtId="0" fontId="0" fillId="0" borderId="6" xfId="0" applyBorder="1"/>
    <xf numFmtId="0" fontId="0" fillId="0" borderId="0" xfId="0" applyBorder="1"/>
    <xf numFmtId="0" fontId="0" fillId="0" borderId="7" xfId="0" applyBorder="1"/>
    <xf numFmtId="0" fontId="0" fillId="0" borderId="0" xfId="0" applyNumberFormat="1"/>
    <xf numFmtId="9" fontId="0" fillId="0" borderId="0" xfId="2" applyNumberFormat="1" applyFont="1"/>
    <xf numFmtId="0" fontId="3" fillId="3" borderId="9" xfId="0" applyFont="1" applyFill="1" applyBorder="1" applyAlignment="1">
      <alignment horizontal="center"/>
    </xf>
    <xf numFmtId="0" fontId="3" fillId="3" borderId="2" xfId="0" applyFont="1" applyFill="1" applyBorder="1" applyAlignment="1">
      <alignment horizontal="center"/>
    </xf>
    <xf numFmtId="0" fontId="3" fillId="3" borderId="8" xfId="0" applyFont="1" applyFill="1" applyBorder="1" applyAlignment="1">
      <alignment horizontal="center"/>
    </xf>
    <xf numFmtId="0" fontId="3" fillId="3" borderId="4" xfId="0" applyFont="1" applyFill="1" applyBorder="1" applyAlignment="1">
      <alignment horizontal="center"/>
    </xf>
    <xf numFmtId="0" fontId="3" fillId="3" borderId="0" xfId="0" applyFont="1" applyFill="1" applyBorder="1" applyAlignment="1">
      <alignment horizontal="center"/>
    </xf>
    <xf numFmtId="0" fontId="3" fillId="3" borderId="5" xfId="0" applyFont="1" applyFill="1" applyBorder="1" applyAlignment="1">
      <alignment horizontal="center"/>
    </xf>
    <xf numFmtId="0" fontId="3" fillId="3" borderId="1" xfId="0" applyFont="1" applyFill="1" applyBorder="1" applyAlignment="1">
      <alignment horizontal="center"/>
    </xf>
    <xf numFmtId="0" fontId="3" fillId="3" borderId="3" xfId="0" applyFont="1" applyFill="1" applyBorder="1" applyAlignment="1">
      <alignment horizontal="center"/>
    </xf>
  </cellXfs>
  <cellStyles count="6">
    <cellStyle name="Énfasis6" xfId="5" builtinId="49"/>
    <cellStyle name="Hipervínculo" xfId="3" builtinId="8"/>
    <cellStyle name="Millares" xfId="4" builtinId="3"/>
    <cellStyle name="Moneda" xfId="1" builtinId="4"/>
    <cellStyle name="Normal" xfId="0" builtinId="0"/>
    <cellStyle name="Porcentaje" xfId="2" builtinId="5"/>
  </cellStyles>
  <dxfs count="175">
    <dxf>
      <numFmt numFmtId="165" formatCode="_([$€-2]\ * #,##0.00_);_([$€-2]\ * \(#,##0.00\);_([$€-2]\ * &quot;-&quot;??_);_(@_)"/>
    </dxf>
    <dxf>
      <numFmt numFmtId="19" formatCode="dd/mm/yyyy"/>
    </dxf>
    <dxf>
      <numFmt numFmtId="170" formatCode="_-[$€-2]\ * #,##0.00_-;\-[$€-2]\ * #,##0.00_-;_-[$€-2]\ * &quot;-&quot;??_-;_-@_-"/>
    </dxf>
    <dxf>
      <numFmt numFmtId="35" formatCode="_-* #,##0.00_-;\-* #,##0.00_-;_-* &quot;-&quot;??_-;_-@_-"/>
    </dxf>
    <dxf>
      <font>
        <b val="0"/>
        <i val="0"/>
        <strike val="0"/>
        <condense val="0"/>
        <extend val="0"/>
        <outline val="0"/>
        <shadow val="0"/>
        <u val="none"/>
        <vertAlign val="baseline"/>
        <sz val="11"/>
        <color theme="1"/>
        <name val="Calibri"/>
        <family val="2"/>
        <scheme val="minor"/>
      </font>
      <numFmt numFmtId="13" formatCode="0%"/>
    </dxf>
    <dxf>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68" formatCode="#,##0.00\ &quot;€&quot;"/>
    </dxf>
    <dxf>
      <numFmt numFmtId="168" formatCode="#,##0.00\ &quot;€&quot;"/>
    </dxf>
    <dxf>
      <numFmt numFmtId="14" formatCode="0.00%"/>
    </dxf>
    <dxf>
      <font>
        <b val="0"/>
        <i val="0"/>
        <strike val="0"/>
        <condense val="0"/>
        <extend val="0"/>
        <outline val="0"/>
        <shadow val="0"/>
        <u val="none"/>
        <vertAlign val="baseline"/>
        <sz val="11"/>
        <color theme="1"/>
        <name val="Calibri"/>
        <family val="2"/>
        <scheme val="minor"/>
      </font>
      <numFmt numFmtId="2" formatCode="0.00"/>
    </dxf>
    <dxf>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font>
        <b val="0"/>
        <i val="0"/>
        <strike val="0"/>
        <condense val="0"/>
        <extend val="0"/>
        <outline val="0"/>
        <shadow val="0"/>
        <u val="none"/>
        <vertAlign val="baseline"/>
        <sz val="11"/>
        <color theme="1"/>
        <name val="Calibri"/>
        <family val="2"/>
        <scheme val="minor"/>
      </font>
      <numFmt numFmtId="14" formatCode="0.00%"/>
    </dxf>
    <dxf>
      <numFmt numFmtId="12" formatCode="#,##0.00\ &quot;€&quot;;[Red]\-#,##0.00\ &quot;€&quot;"/>
    </dxf>
    <dxf>
      <numFmt numFmtId="12" formatCode="#,##0.00\ &quot;€&quot;;[Red]\-#,##0.00\ &quot;€&quo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7" formatCode="_-[$$-409]* #,##0.00_ ;_-[$$-409]* \-#,##0.00\ ;_-[$$-409]* &quot;-&quot;??_ ;_-@_ "/>
    </dxf>
    <dxf>
      <numFmt numFmtId="167" formatCode="_-[$$-409]* #,##0.00_ ;_-[$$-409]* \-#,##0.00\ ;_-[$$-409]* &quot;-&quot;??_ ;_-@_ "/>
    </dxf>
    <dxf>
      <font>
        <b val="0"/>
        <i val="0"/>
        <strike val="0"/>
        <condense val="0"/>
        <extend val="0"/>
        <outline val="0"/>
        <shadow val="0"/>
        <u/>
        <vertAlign val="baseline"/>
        <sz val="11"/>
        <color theme="10"/>
        <name val="Calibri"/>
        <family val="2"/>
        <scheme val="minor"/>
      </font>
    </dxf>
    <dxf>
      <numFmt numFmtId="13" formatCode="0%"/>
    </dxf>
    <dxf>
      <font>
        <b val="0"/>
        <i val="0"/>
        <strike val="0"/>
        <condense val="0"/>
        <extend val="0"/>
        <outline val="0"/>
        <shadow val="0"/>
        <u val="none"/>
        <vertAlign val="baseline"/>
        <sz val="11"/>
        <color theme="1"/>
        <name val="Calibri"/>
        <family val="2"/>
        <scheme val="minor"/>
      </font>
      <numFmt numFmtId="13" formatCode="0%"/>
    </dxf>
    <dxf>
      <numFmt numFmtId="12" formatCode="#,##0.00\ &quot;€&quot;;[Red]\-#,##0.00\ &quot;€&quot;"/>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alignment horizontal="center" vertical="bottom" textRotation="0" wrapText="0" indent="0" justifyLastLine="0" shrinkToFit="0" readingOrder="0"/>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3" formatCode="0%"/>
    </dxf>
    <dxf>
      <numFmt numFmtId="12" formatCode="#,##0.00\ &quot;€&quot;;[Red]\-#,##0.00\ &quot;€&quot;"/>
    </dxf>
    <dxf>
      <numFmt numFmtId="12" formatCode="#,##0.00\ &quot;€&quot;;[Red]\-#,##0.00\ &quot;€&quot;"/>
    </dxf>
    <dxf>
      <font>
        <b val="0"/>
        <i val="0"/>
        <strike val="0"/>
        <condense val="0"/>
        <extend val="0"/>
        <outline val="0"/>
        <shadow val="0"/>
        <u/>
        <vertAlign val="baseline"/>
        <sz val="11"/>
        <color theme="10"/>
        <name val="Calibri"/>
        <family val="2"/>
        <scheme val="minor"/>
      </font>
    </dxf>
    <dxf>
      <font>
        <b val="0"/>
        <i val="0"/>
        <strike val="0"/>
        <condense val="0"/>
        <extend val="0"/>
        <outline val="0"/>
        <shadow val="0"/>
        <u val="none"/>
        <vertAlign val="baseline"/>
        <sz val="11"/>
        <color theme="1"/>
        <name val="Calibri"/>
        <family val="2"/>
        <scheme val="minor"/>
      </font>
    </dxf>
    <dxf>
      <numFmt numFmtId="12" formatCode="#,##0.00\ &quot;€&quot;;[Red]\-#,##0.00\ &quot;€&quot;"/>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14" formatCode="0.00%"/>
    </dxf>
    <dxf>
      <alignment horizontal="center" vertical="bottom" textRotation="0" wrapText="0" indent="0" justifyLastLine="0" shrinkToFit="0" readingOrder="0"/>
    </dxf>
    <dxf>
      <numFmt numFmtId="14" formatCode="0.00%"/>
      <alignment horizontal="center" vertical="bottom" textRotation="0" wrapText="0" indent="0" justifyLastLine="0" shrinkToFit="0" readingOrder="0"/>
    </dxf>
    <dxf>
      <font>
        <b val="0"/>
        <i val="0"/>
        <strike val="0"/>
        <condense val="0"/>
        <extend val="0"/>
        <outline val="0"/>
        <shadow val="0"/>
        <u/>
        <vertAlign val="baseline"/>
        <sz val="11"/>
        <color theme="10"/>
        <name val="Calibri"/>
        <family val="2"/>
        <scheme val="minor"/>
      </font>
    </dxf>
    <dxf>
      <font>
        <color rgb="FF9C0006"/>
      </font>
    </dxf>
    <dxf>
      <font>
        <color theme="9" tint="-0.499984740745262"/>
      </font>
    </dxf>
    <dxf>
      <font>
        <color rgb="FF006100"/>
      </font>
      <fill>
        <patternFill>
          <bgColor rgb="FFC6EFCE"/>
        </patternFill>
      </fill>
    </dxf>
    <dxf>
      <font>
        <color rgb="FF9C0006"/>
      </font>
      <fill>
        <patternFill>
          <bgColor rgb="FFFFC7CE"/>
        </patternFill>
      </fill>
    </dxf>
    <dxf>
      <numFmt numFmtId="169" formatCode="_-* #,##0.00\ [$€-C0A]_-;\-* #,##0.00\ [$€-C0A]_-;_-* &quot;-&quot;??\ [$€-C0A]_-;_-@_-"/>
    </dxf>
    <dxf>
      <numFmt numFmtId="169" formatCode="_-* #,##0.00\ [$€-C0A]_-;\-* #,##0.00\ [$€-C0A]_-;_-* &quot;-&quot;??\ [$€-C0A]_-;_-@_-"/>
    </dxf>
    <dxf>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4" formatCode="0.00%"/>
    </dxf>
    <dxf>
      <numFmt numFmtId="14" formatCode="0.00%"/>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3" formatCode="0%"/>
    </dxf>
    <dxf>
      <numFmt numFmtId="13" formatCode="0%"/>
    </dxf>
    <dxf>
      <numFmt numFmtId="165" formatCode="_([$€-2]\ * #,##0.00_);_([$€-2]\ * \(#,##0.00\);_([$€-2]\ * &quot;-&quot;??_);_(@_)"/>
    </dxf>
    <dxf>
      <numFmt numFmtId="165" formatCode="_([$€-2]\ * #,##0.00_);_([$€-2]\ * \(#,##0.00\);_([$€-2]\ * &quot;-&quot;??_);_(@_)"/>
    </dxf>
    <dxf>
      <numFmt numFmtId="165" formatCode="_([$€-2]\ * #,##0.00_);_([$€-2]\ * \(#,##0.00\);_([$€-2]\ * &quot;-&quot;??_);_(@_)"/>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165" formatCode="_([$€-2]\ * #,##0.00_);_([$€-2]\ * \(#,##0.00\);_([$€-2]\ * &quot;-&quot;??_);_(@_)"/>
    </dxf>
    <dxf>
      <numFmt numFmtId="0" formatCode="General"/>
    </dxf>
    <dxf>
      <numFmt numFmtId="165" formatCode="_([$€-2]\ * #,##0.00_);_([$€-2]\ * \(#,##0.00\);_([$€-2]\ * &quot;-&quot;??_);_(@_)"/>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theme="9" tint="-0.499984740745262"/>
      </font>
    </dxf>
    <dxf>
      <fill>
        <patternFill patternType="none">
          <fgColor indexed="64"/>
          <bgColor indexed="65"/>
        </patternFill>
      </fill>
    </dxf>
    <dxf>
      <numFmt numFmtId="164" formatCode="_([$$-409]* #,##0.00_);_([$$-409]* \(#,##0.00\);_([$$-409]* &quot;-&quot;??_);_(@_)"/>
      <fill>
        <patternFill patternType="none">
          <fgColor indexed="64"/>
          <bgColor indexed="65"/>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numFmt numFmtId="14" formatCode="0.00%"/>
    </dxf>
    <dxf>
      <numFmt numFmtId="164" formatCode="_([$$-409]* #,##0.00_);_([$$-409]* \(#,##0.00\);_([$$-409]* &quot;-&quot;??_);_(@_)"/>
    </dxf>
    <dxf>
      <numFmt numFmtId="166" formatCode="_-[$$-540A]* #,##0.00_ ;_-[$$-540A]* \-#,##0.00\ ;_-[$$-540A]* &quot;-&quot;??_ ;_-@_ "/>
    </dxf>
    <dxf>
      <numFmt numFmtId="14" formatCode="0.00%"/>
    </dxf>
    <dxf>
      <numFmt numFmtId="14" formatCode="0.00%"/>
    </dxf>
    <dxf>
      <alignment horizontal="right" vertical="bottom" textRotation="0" wrapText="0" indent="0" justifyLastLine="0" shrinkToFit="0" readingOrder="0"/>
    </dxf>
    <dxf>
      <numFmt numFmtId="165" formatCode="_([$€-2]\ * #,##0.00_);_([$€-2]\ * \(#,##0.00\);_([$€-2]\ * &quot;-&quot;??_);_(@_)"/>
      <alignment horizontal="right" vertical="bottom" textRotation="0" wrapText="0" indent="0" justifyLastLine="0" shrinkToFit="0" readingOrder="0"/>
    </dxf>
    <dxf>
      <numFmt numFmtId="14" formatCode="0.00%"/>
    </dxf>
    <dxf>
      <numFmt numFmtId="165" formatCode="_([$€-2]\ * #,##0.00_);_([$€-2]\ * \(#,##0.00\);_([$€-2]\ * &quot;-&quot;??_);_(@_)"/>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64" formatCode="_([$$-409]* #,##0.00_);_([$$-409]* \(#,##0.00\);_([$$-409]* &quot;-&quot;??_);_(@_)"/>
      <fill>
        <patternFill patternType="none">
          <fgColor indexed="64"/>
          <bgColor auto="1"/>
        </patternFill>
      </fill>
    </dxf>
    <dxf>
      <fill>
        <patternFill patternType="solid">
          <fgColor rgb="FFC6EFCE"/>
          <bgColor rgb="FF000000"/>
        </patternFill>
      </fill>
    </dxf>
    <dxf>
      <alignment horizontal="left"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s-ES"/>
        </a:p>
      </c:txPr>
    </c:title>
    <c:autoTitleDeleted val="0"/>
    <c:plotArea>
      <c:layout/>
      <c:pieChart>
        <c:varyColors val="1"/>
        <c:ser>
          <c:idx val="3"/>
          <c:order val="3"/>
          <c:tx>
            <c:strRef>
              <c:f>'Cartera de Acciones'!$G$2</c:f>
              <c:strCache>
                <c:ptCount val="1"/>
                <c:pt idx="0">
                  <c:v>Precio Medio €</c:v>
                </c:pt>
              </c:strCache>
            </c:strRef>
          </c:tx>
          <c:cat>
            <c:strRef>
              <c:f>'Cartera de Acciones'!$B$3:$B$6</c:f>
              <c:strCache>
                <c:ptCount val="4"/>
                <c:pt idx="0">
                  <c:v>Industria de Diseño Textil, S.A. (BMEX:ITX)</c:v>
                </c:pt>
                <c:pt idx="1">
                  <c:v>Banco Bilbao Vizcaya Argentaria, S.A. (BMEX:BBVA)</c:v>
                </c:pt>
                <c:pt idx="2">
                  <c:v>Mercedes Benz Group AG (XFRA:MBG)</c:v>
                </c:pt>
                <c:pt idx="3">
                  <c:v>3M COMPANY (XNYS:MMM)</c:v>
                </c:pt>
              </c:strCache>
            </c:strRef>
          </c:cat>
          <c:val>
            <c:numRef>
              <c:f>'Cartera de Acciones'!$G$3:$G$6</c:f>
            </c:numRef>
          </c:val>
          <c:extLst>
            <c:ext xmlns:c16="http://schemas.microsoft.com/office/drawing/2014/chart" uri="{C3380CC4-5D6E-409C-BE32-E72D297353CC}">
              <c16:uniqueId val="{00000003-D3F5-4F45-9C23-7080DD1A3155}"/>
            </c:ext>
          </c:extLst>
        </c:ser>
        <c:ser>
          <c:idx val="7"/>
          <c:order val="7"/>
          <c:tx>
            <c:strRef>
              <c:f>'Cartera de Acciones'!$K$2</c:f>
              <c:strCache>
                <c:ptCount val="1"/>
                <c:pt idx="0">
                  <c:v>Ingresos Dividendos €</c:v>
                </c:pt>
              </c:strCache>
            </c:strRef>
          </c:tx>
          <c:cat>
            <c:strRef>
              <c:f>'Cartera de Acciones'!$B$3:$B$6</c:f>
              <c:strCache>
                <c:ptCount val="4"/>
                <c:pt idx="0">
                  <c:v>Industria de Diseño Textil, S.A. (BMEX:ITX)</c:v>
                </c:pt>
                <c:pt idx="1">
                  <c:v>Banco Bilbao Vizcaya Argentaria, S.A. (BMEX:BBVA)</c:v>
                </c:pt>
                <c:pt idx="2">
                  <c:v>Mercedes Benz Group AG (XFRA:MBG)</c:v>
                </c:pt>
                <c:pt idx="3">
                  <c:v>3M COMPANY (XNYS:MMM)</c:v>
                </c:pt>
              </c:strCache>
            </c:strRef>
          </c:cat>
          <c:val>
            <c:numRef>
              <c:f>'Cartera de Acciones'!$K$3:$K$6</c:f>
            </c:numRef>
          </c:val>
          <c:extLst>
            <c:ext xmlns:c16="http://schemas.microsoft.com/office/drawing/2014/chart" uri="{C3380CC4-5D6E-409C-BE32-E72D297353CC}">
              <c16:uniqueId val="{00000016-D3F5-4F45-9C23-7080DD1A3155}"/>
            </c:ext>
          </c:extLst>
        </c:ser>
        <c:ser>
          <c:idx val="12"/>
          <c:order val="12"/>
          <c:tx>
            <c:strRef>
              <c:f>'Cartera de Acciones'!$P$2</c:f>
              <c:strCache>
                <c:ptCount val="1"/>
                <c:pt idx="0">
                  <c:v>Peso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87E8-42F2-90D5-6473F7ADE5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de Acciones'!$B$3:$B$6</c:f>
              <c:strCache>
                <c:ptCount val="4"/>
                <c:pt idx="0">
                  <c:v>Industria de Diseño Textil, S.A. (BMEX:ITX)</c:v>
                </c:pt>
                <c:pt idx="1">
                  <c:v>Banco Bilbao Vizcaya Argentaria, S.A. (BMEX:BBVA)</c:v>
                </c:pt>
                <c:pt idx="2">
                  <c:v>Mercedes Benz Group AG (XFRA:MBG)</c:v>
                </c:pt>
                <c:pt idx="3">
                  <c:v>3M COMPANY (XNYS:MMM)</c:v>
                </c:pt>
              </c:strCache>
            </c:strRef>
          </c:cat>
          <c:val>
            <c:numRef>
              <c:f>'Cartera de Acciones'!$P$3:$P$6</c:f>
              <c:numCache>
                <c:formatCode>0%</c:formatCode>
                <c:ptCount val="4"/>
                <c:pt idx="0">
                  <c:v>0.24986119977209525</c:v>
                </c:pt>
                <c:pt idx="1">
                  <c:v>0.24528363341304799</c:v>
                </c:pt>
                <c:pt idx="2">
                  <c:v>0.25265891734805956</c:v>
                </c:pt>
                <c:pt idx="3">
                  <c:v>0.25219624946679708</c:v>
                </c:pt>
              </c:numCache>
            </c:numRef>
          </c:val>
          <c:extLst>
            <c:ext xmlns:c16="http://schemas.microsoft.com/office/drawing/2014/chart" uri="{C3380CC4-5D6E-409C-BE32-E72D297353CC}">
              <c16:uniqueId val="{0000001B-D3F5-4F45-9C23-7080DD1A3155}"/>
            </c:ext>
          </c:extLst>
        </c:ser>
        <c:dLbls>
          <c:showLegendKey val="0"/>
          <c:showVal val="0"/>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'Cartera de Acciones'!$D$2</c15:sqref>
                        </c15:formulaRef>
                      </c:ext>
                    </c:extLst>
                    <c:strCache>
                      <c:ptCount val="1"/>
                      <c:pt idx="0">
                        <c:v>Cantidad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F-87E8-42F2-90D5-6473F7ADE510}"/>
                    </c:ext>
                  </c:extLst>
                </c:dPt>
                <c:cat>
                  <c:strRef>
                    <c:extLst>
                      <c:ex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c:ext uri="{02D57815-91ED-43cb-92C2-25804820EDAC}">
                        <c15:formulaRef>
                          <c15:sqref>'Cartera de Acciones'!$D$3:$D$6</c15:sqref>
                        </c15:formulaRef>
                      </c:ext>
                    </c:extLst>
                    <c:numCache>
                      <c:formatCode>General</c:formatCode>
                      <c:ptCount val="4"/>
                      <c:pt idx="0">
                        <c:v>100</c:v>
                      </c:pt>
                      <c:pt idx="1">
                        <c:v>500</c:v>
                      </c:pt>
                      <c:pt idx="2">
                        <c:v>40</c:v>
                      </c:pt>
                      <c:pt idx="3">
                        <c:v>18</c:v>
                      </c:pt>
                    </c:numCache>
                  </c:numRef>
                </c:val>
                <c:extLst>
                  <c:ext xmlns:c16="http://schemas.microsoft.com/office/drawing/2014/chart" uri="{C3380CC4-5D6E-409C-BE32-E72D297353CC}">
                    <c16:uniqueId val="{00000000-D3F5-4F45-9C23-7080DD1A3155}"/>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'Cartera de Acciones'!$E$2</c15:sqref>
                        </c15:formulaRef>
                      </c:ext>
                    </c:extLst>
                    <c:strCache>
                      <c:ptCount val="1"/>
                      <c:pt idx="0">
                        <c:v>Precio Medio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Acciones'!$E$3:$E$6</c15:sqref>
                        </c15:formulaRef>
                      </c:ext>
                    </c:extLst>
                    <c:numCache>
                      <c:formatCode>_([$€-2]\ * #,##0.00_);_([$€-2]\ * \(#,##0.00\);_([$€-2]\ * "-"??_);_(@_)</c:formatCode>
                      <c:ptCount val="4"/>
                      <c:pt idx="0">
                        <c:v>22</c:v>
                      </c:pt>
                      <c:pt idx="1">
                        <c:v>4.24</c:v>
                      </c:pt>
                      <c:pt idx="2">
                        <c:v>55</c:v>
                      </c:pt>
                      <c:pt idx="3" formatCode="_-[$$-409]* #,##0.00_ ;_-[$$-409]* \-#,##0.00\ ;_-[$$-409]* &quot;-&quot;??_ ;_-@_ ">
                        <c:v>128</c:v>
                      </c:pt>
                    </c:numCache>
                  </c:numRef>
                </c:val>
                <c:extLst xmlns:c15="http://schemas.microsoft.com/office/drawing/2012/chart">
                  <c:ext xmlns:c16="http://schemas.microsoft.com/office/drawing/2014/chart" uri="{C3380CC4-5D6E-409C-BE32-E72D297353CC}">
                    <c16:uniqueId val="{00000001-D3F5-4F45-9C23-7080DD1A3155}"/>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'Cartera de Acciones'!$F$2</c15:sqref>
                        </c15:formulaRef>
                      </c:ext>
                    </c:extLst>
                    <c:strCache>
                      <c:ptCount val="1"/>
                      <c:pt idx="0">
                        <c:v>Valor</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Acciones'!$F$3:$F$6</c15:sqref>
                        </c15:formulaRef>
                      </c:ext>
                    </c:extLst>
                    <c:numCache>
                      <c:formatCode>_([$€-2]\ * #,##0.00_);_([$€-2]\ * \(#,##0.00\);_([$€-2]\ * "-"??_);_(@_)</c:formatCode>
                      <c:ptCount val="4"/>
                      <c:pt idx="0">
                        <c:v>2200</c:v>
                      </c:pt>
                      <c:pt idx="1">
                        <c:v>2120</c:v>
                      </c:pt>
                      <c:pt idx="2">
                        <c:v>2200</c:v>
                      </c:pt>
                      <c:pt idx="3" formatCode="_-[$$-409]* #,##0.00_ ;_-[$$-409]* \-#,##0.00\ ;_-[$$-409]* &quot;-&quot;??_ ;_-@_ ">
                        <c:v>2304</c:v>
                      </c:pt>
                    </c:numCache>
                  </c:numRef>
                </c:val>
                <c:extLst xmlns:c15="http://schemas.microsoft.com/office/drawing/2012/chart">
                  <c:ext xmlns:c16="http://schemas.microsoft.com/office/drawing/2014/chart" uri="{C3380CC4-5D6E-409C-BE32-E72D297353CC}">
                    <c16:uniqueId val="{00000002-D3F5-4F45-9C23-7080DD1A3155}"/>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'Cartera de Acciones'!$H$2</c15:sqref>
                        </c15:formulaRef>
                      </c:ext>
                    </c:extLst>
                    <c:strCache>
                      <c:ptCount val="1"/>
                      <c:pt idx="0">
                        <c:v>Valor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Acciones'!$H$3:$H$6</c15:sqref>
                        </c15:formulaRef>
                      </c:ext>
                    </c:extLst>
                    <c:numCache>
                      <c:formatCode>_([$€-2]\ * #,##0.00_);_([$€-2]\ * \(#,##0.00\);_([$€-2]\ * "-"??_);_(@_)</c:formatCode>
                      <c:ptCount val="4"/>
                      <c:pt idx="0">
                        <c:v>2200</c:v>
                      </c:pt>
                      <c:pt idx="1">
                        <c:v>2120</c:v>
                      </c:pt>
                      <c:pt idx="2">
                        <c:v>2200</c:v>
                      </c:pt>
                      <c:pt idx="3">
                        <c:v>2209.0751999999998</c:v>
                      </c:pt>
                    </c:numCache>
                  </c:numRef>
                </c:val>
                <c:extLst xmlns:c15="http://schemas.microsoft.com/office/drawing/2012/chart">
                  <c:ext xmlns:c16="http://schemas.microsoft.com/office/drawing/2014/chart" uri="{C3380CC4-5D6E-409C-BE32-E72D297353CC}">
                    <c16:uniqueId val="{00000013-D3F5-4F45-9C23-7080DD1A3155}"/>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'Cartera de Acciones'!$I$2</c15:sqref>
                        </c15:formulaRef>
                      </c:ext>
                    </c:extLst>
                    <c:strCache>
                      <c:ptCount val="1"/>
                      <c:pt idx="0">
                        <c:v>Peso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Acciones'!$I$3:$I$6</c15:sqref>
                        </c15:formulaRef>
                      </c:ext>
                    </c:extLst>
                    <c:numCache>
                      <c:formatCode>0%</c:formatCode>
                      <c:ptCount val="4"/>
                      <c:pt idx="0">
                        <c:v>0.25203128047287304</c:v>
                      </c:pt>
                      <c:pt idx="1">
                        <c:v>0.24286650663749582</c:v>
                      </c:pt>
                      <c:pt idx="2">
                        <c:v>0.25203128047287304</c:v>
                      </c:pt>
                      <c:pt idx="3">
                        <c:v>0.25307093241675821</c:v>
                      </c:pt>
                    </c:numCache>
                  </c:numRef>
                </c:val>
                <c:extLst xmlns:c15="http://schemas.microsoft.com/office/drawing/2012/chart">
                  <c:ext xmlns:c16="http://schemas.microsoft.com/office/drawing/2014/chart" uri="{C3380CC4-5D6E-409C-BE32-E72D297353CC}">
                    <c16:uniqueId val="{00000014-D3F5-4F45-9C23-7080DD1A3155}"/>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'Cartera de Acciones'!$J$2</c15:sqref>
                        </c15:formulaRef>
                      </c:ext>
                    </c:extLst>
                    <c:strCache>
                      <c:ptCount val="1"/>
                      <c:pt idx="0">
                        <c:v>Ingresos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Acciones'!$J$3:$J$6</c15:sqref>
                        </c15:formulaRef>
                      </c:ext>
                    </c:extLst>
                    <c:numCache>
                      <c:formatCode>_([$€-2]\ * #,##0.00_);_([$€-2]\ * \(#,##0.00\);_([$€-2]\ * "-"??_);_(@_)</c:formatCode>
                      <c:ptCount val="4"/>
                      <c:pt idx="0">
                        <c:v>1.5</c:v>
                      </c:pt>
                      <c:pt idx="1">
                        <c:v>0</c:v>
                      </c:pt>
                      <c:pt idx="2">
                        <c:v>0</c:v>
                      </c:pt>
                      <c:pt idx="3" formatCode="_-[$$-409]* #,##0.00_ ;_-[$$-409]* \-#,##0.00\ ;_-[$$-409]* &quot;-&quot;??_ ;_-@_ ">
                        <c:v>0</c:v>
                      </c:pt>
                    </c:numCache>
                  </c:numRef>
                </c:val>
                <c:extLst xmlns:c15="http://schemas.microsoft.com/office/drawing/2012/chart">
                  <c:ext xmlns:c16="http://schemas.microsoft.com/office/drawing/2014/chart" uri="{C3380CC4-5D6E-409C-BE32-E72D297353CC}">
                    <c16:uniqueId val="{00000015-D3F5-4F45-9C23-7080DD1A3155}"/>
                  </c:ext>
                </c:extLst>
              </c15:ser>
            </c15:filteredPieSeries>
            <c15:filteredPieSeries>
              <c15:ser>
                <c:idx val="8"/>
                <c:order val="8"/>
                <c:tx>
                  <c:strRef>
                    <c:extLst xmlns:c15="http://schemas.microsoft.com/office/drawing/2012/chart">
                      <c:ext xmlns:c15="http://schemas.microsoft.com/office/drawing/2012/chart" uri="{02D57815-91ED-43cb-92C2-25804820EDAC}">
                        <c15:formulaRef>
                          <c15:sqref>'Cartera de Acciones'!$L$2</c15:sqref>
                        </c15:formulaRef>
                      </c:ext>
                    </c:extLst>
                    <c:strCache>
                      <c:ptCount val="1"/>
                      <c:pt idx="0">
                        <c:v>Peso Dividendos</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3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Acciones'!$L$3:$L$6</c15:sqref>
                        </c15:formulaRef>
                      </c:ext>
                    </c:extLst>
                    <c:numCache>
                      <c:formatCode>0%</c:formatCode>
                      <c:ptCount val="4"/>
                      <c:pt idx="0">
                        <c:v>1</c:v>
                      </c:pt>
                      <c:pt idx="1">
                        <c:v>0</c:v>
                      </c:pt>
                      <c:pt idx="2">
                        <c:v>0</c:v>
                      </c:pt>
                      <c:pt idx="3">
                        <c:v>0</c:v>
                      </c:pt>
                    </c:numCache>
                  </c:numRef>
                </c:val>
                <c:extLst xmlns:c15="http://schemas.microsoft.com/office/drawing/2012/chart">
                  <c:ext xmlns:c16="http://schemas.microsoft.com/office/drawing/2014/chart" uri="{C3380CC4-5D6E-409C-BE32-E72D297353CC}">
                    <c16:uniqueId val="{00000017-D3F5-4F45-9C23-7080DD1A3155}"/>
                  </c:ext>
                </c:extLst>
              </c15:ser>
            </c15:filteredPieSeries>
            <c15:filteredPieSeries>
              <c15:ser>
                <c:idx val="9"/>
                <c:order val="9"/>
                <c:tx>
                  <c:strRef>
                    <c:extLst xmlns:c15="http://schemas.microsoft.com/office/drawing/2012/chart">
                      <c:ext xmlns:c15="http://schemas.microsoft.com/office/drawing/2012/chart" uri="{02D57815-91ED-43cb-92C2-25804820EDAC}">
                        <c15:formulaRef>
                          <c15:sqref>'Cartera de Acciones'!$M$2</c15:sqref>
                        </c15:formulaRef>
                      </c:ext>
                    </c:extLst>
                    <c:strCache>
                      <c:ptCount val="1"/>
                      <c:pt idx="0">
                        <c:v>Precio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4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4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Acciones'!$M$3:$M$6</c15:sqref>
                        </c15:formulaRef>
                      </c:ext>
                    </c:extLst>
                    <c:numCache>
                      <c:formatCode>_([$€-2]\ * #,##0.00_);_([$€-2]\ * \(#,##0.00\);_([$€-2]\ * "-"??_);_(@_)</c:formatCode>
                      <c:ptCount val="4"/>
                      <c:pt idx="0">
                        <c:v>21.97</c:v>
                      </c:pt>
                      <c:pt idx="1">
                        <c:v>4.3135000000000003</c:v>
                      </c:pt>
                      <c:pt idx="2">
                        <c:v>55.54</c:v>
                      </c:pt>
                      <c:pt idx="3" formatCode="_-[$$-409]* #,##0.00_ ;_-[$$-409]* \-#,##0.00\ ;_-[$$-409]* &quot;-&quot;??_ ;_-@_ ">
                        <c:v>128.49</c:v>
                      </c:pt>
                    </c:numCache>
                  </c:numRef>
                </c:val>
                <c:extLst xmlns:c15="http://schemas.microsoft.com/office/drawing/2012/chart">
                  <c:ext xmlns:c16="http://schemas.microsoft.com/office/drawing/2014/chart" uri="{C3380CC4-5D6E-409C-BE32-E72D297353CC}">
                    <c16:uniqueId val="{00000018-D3F5-4F45-9C23-7080DD1A3155}"/>
                  </c:ext>
                </c:extLst>
              </c15:ser>
            </c15:filteredPieSeries>
            <c15:filteredPieSeries>
              <c15:ser>
                <c:idx val="10"/>
                <c:order val="10"/>
                <c:tx>
                  <c:strRef>
                    <c:extLst xmlns:c15="http://schemas.microsoft.com/office/drawing/2012/chart">
                      <c:ext xmlns:c15="http://schemas.microsoft.com/office/drawing/2012/chart" uri="{02D57815-91ED-43cb-92C2-25804820EDAC}">
                        <c15:formulaRef>
                          <c15:sqref>'Cartera de Acciones'!$N$2</c15:sqref>
                        </c15:formulaRef>
                      </c:ext>
                    </c:extLst>
                    <c:strCache>
                      <c:ptCount val="1"/>
                      <c:pt idx="0">
                        <c:v>Valor Actual</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4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4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Acciones'!$N$3:$N$6</c15:sqref>
                        </c15:formulaRef>
                      </c:ext>
                    </c:extLst>
                    <c:numCache>
                      <c:formatCode>_([$€-2]\ * #,##0.00_);_([$€-2]\ * \(#,##0.00\);_([$€-2]\ * "-"??_);_(@_)</c:formatCode>
                      <c:ptCount val="4"/>
                      <c:pt idx="0">
                        <c:v>2197</c:v>
                      </c:pt>
                      <c:pt idx="1">
                        <c:v>2156.75</c:v>
                      </c:pt>
                      <c:pt idx="2">
                        <c:v>2221.6</c:v>
                      </c:pt>
                      <c:pt idx="3" formatCode="_-[$$-409]* #,##0.00_ ;_-[$$-409]* \-#,##0.00\ ;_-[$$-409]* &quot;-&quot;??_ ;_-@_ ">
                        <c:v>2312.8200000000002</c:v>
                      </c:pt>
                    </c:numCache>
                  </c:numRef>
                </c:val>
                <c:extLst xmlns:c15="http://schemas.microsoft.com/office/drawing/2012/chart">
                  <c:ext xmlns:c16="http://schemas.microsoft.com/office/drawing/2014/chart" uri="{C3380CC4-5D6E-409C-BE32-E72D297353CC}">
                    <c16:uniqueId val="{00000019-D3F5-4F45-9C23-7080DD1A3155}"/>
                  </c:ext>
                </c:extLst>
              </c15:ser>
            </c15:filteredPieSeries>
            <c15:filteredPieSeries>
              <c15:ser>
                <c:idx val="11"/>
                <c:order val="11"/>
                <c:tx>
                  <c:strRef>
                    <c:extLst xmlns:c15="http://schemas.microsoft.com/office/drawing/2012/chart">
                      <c:ext xmlns:c15="http://schemas.microsoft.com/office/drawing/2012/chart" uri="{02D57815-91ED-43cb-92C2-25804820EDAC}">
                        <c15:formulaRef>
                          <c15:sqref>'Cartera de Acciones'!$O$2</c15:sqref>
                        </c15:formulaRef>
                      </c:ext>
                    </c:extLst>
                    <c:strCache>
                      <c:ptCount val="1"/>
                      <c:pt idx="0">
                        <c:v>Valor Actual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5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5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5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5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Acciones'!$O$3:$O$6</c15:sqref>
                        </c15:formulaRef>
                      </c:ext>
                    </c:extLst>
                    <c:numCache>
                      <c:formatCode>_([$€-2]\ * #,##0.00_);_([$€-2]\ * \(#,##0.00\);_([$€-2]\ * "-"??_);_(@_)</c:formatCode>
                      <c:ptCount val="4"/>
                      <c:pt idx="0">
                        <c:v>2197</c:v>
                      </c:pt>
                      <c:pt idx="1">
                        <c:v>2156.75</c:v>
                      </c:pt>
                      <c:pt idx="2">
                        <c:v>2221.6</c:v>
                      </c:pt>
                      <c:pt idx="3">
                        <c:v>2217.5318160000002</c:v>
                      </c:pt>
                    </c:numCache>
                  </c:numRef>
                </c:val>
                <c:extLst xmlns:c15="http://schemas.microsoft.com/office/drawing/2012/chart">
                  <c:ext xmlns:c16="http://schemas.microsoft.com/office/drawing/2014/chart" uri="{C3380CC4-5D6E-409C-BE32-E72D297353CC}">
                    <c16:uniqueId val="{0000001A-D3F5-4F45-9C23-7080DD1A3155}"/>
                  </c:ext>
                </c:extLst>
              </c15:ser>
            </c15:filteredPieSeries>
            <c15:filteredPieSeries>
              <c15:ser>
                <c:idx val="13"/>
                <c:order val="13"/>
                <c:tx>
                  <c:strRef>
                    <c:extLst xmlns:c15="http://schemas.microsoft.com/office/drawing/2012/chart">
                      <c:ext xmlns:c15="http://schemas.microsoft.com/office/drawing/2012/chart" uri="{02D57815-91ED-43cb-92C2-25804820EDAC}">
                        <c15:formulaRef>
                          <c15:sqref>'Cartera de Acciones'!$Q$2</c15:sqref>
                        </c15:formulaRef>
                      </c:ext>
                    </c:extLst>
                    <c:strCache>
                      <c:ptCount val="1"/>
                      <c:pt idx="0">
                        <c:v>Valor Actual + Div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5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5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5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5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Acciones'!$Q$3:$Q$6</c15:sqref>
                        </c15:formulaRef>
                      </c:ext>
                    </c:extLst>
                    <c:numCache>
                      <c:formatCode>_([$€-2]\ * #,##0.00_);_([$€-2]\ * \(#,##0.00\);_([$€-2]\ * "-"??_);_(@_)</c:formatCode>
                      <c:ptCount val="4"/>
                      <c:pt idx="0">
                        <c:v>2198.5</c:v>
                      </c:pt>
                      <c:pt idx="1">
                        <c:v>2156.75</c:v>
                      </c:pt>
                      <c:pt idx="2">
                        <c:v>2221.6</c:v>
                      </c:pt>
                      <c:pt idx="3">
                        <c:v>2217.5318160000002</c:v>
                      </c:pt>
                    </c:numCache>
                  </c:numRef>
                </c:val>
                <c:extLst xmlns:c15="http://schemas.microsoft.com/office/drawing/2012/chart">
                  <c:ext xmlns:c16="http://schemas.microsoft.com/office/drawing/2014/chart" uri="{C3380CC4-5D6E-409C-BE32-E72D297353CC}">
                    <c16:uniqueId val="{0000001C-D3F5-4F45-9C23-7080DD1A3155}"/>
                  </c:ext>
                </c:extLst>
              </c15:ser>
            </c15:filteredPieSeries>
            <c15:filteredPieSeries>
              <c15:ser>
                <c:idx val="14"/>
                <c:order val="14"/>
                <c:tx>
                  <c:strRef>
                    <c:extLst xmlns:c15="http://schemas.microsoft.com/office/drawing/2012/chart">
                      <c:ext xmlns:c15="http://schemas.microsoft.com/office/drawing/2012/chart" uri="{02D57815-91ED-43cb-92C2-25804820EDAC}">
                        <c15:formulaRef>
                          <c15:sqref>'Cartera de Acciones'!$R$2</c15:sqref>
                        </c15:formulaRef>
                      </c:ext>
                    </c:extLst>
                    <c:strCache>
                      <c:ptCount val="1"/>
                      <c:pt idx="0">
                        <c:v>Rentabilidad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6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6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6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6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Acciones'!$R$3:$R$6</c15:sqref>
                        </c15:formulaRef>
                      </c:ext>
                    </c:extLst>
                    <c:numCache>
                      <c:formatCode>0.00%</c:formatCode>
                      <c:ptCount val="4"/>
                      <c:pt idx="0">
                        <c:v>-6.8181818181818187E-4</c:v>
                      </c:pt>
                      <c:pt idx="1">
                        <c:v>1.7334905660377358E-2</c:v>
                      </c:pt>
                      <c:pt idx="2">
                        <c:v>9.8181818181817763E-3</c:v>
                      </c:pt>
                      <c:pt idx="3">
                        <c:v>3.828125000000179E-3</c:v>
                      </c:pt>
                    </c:numCache>
                  </c:numRef>
                </c:val>
                <c:extLst xmlns:c15="http://schemas.microsoft.com/office/drawing/2012/chart">
                  <c:ext xmlns:c16="http://schemas.microsoft.com/office/drawing/2014/chart" uri="{C3380CC4-5D6E-409C-BE32-E72D297353CC}">
                    <c16:uniqueId val="{0000001D-D3F5-4F45-9C23-7080DD1A3155}"/>
                  </c:ext>
                </c:extLst>
              </c15:ser>
            </c15:filteredPieSeries>
            <c15:filteredPieSeries>
              <c15:ser>
                <c:idx val="15"/>
                <c:order val="15"/>
                <c:tx>
                  <c:strRef>
                    <c:extLst xmlns:c15="http://schemas.microsoft.com/office/drawing/2012/chart">
                      <c:ext xmlns:c15="http://schemas.microsoft.com/office/drawing/2012/chart" uri="{02D57815-91ED-43cb-92C2-25804820EDAC}">
                        <c15:formulaRef>
                          <c15:sqref>'Cartera de Acciones'!$S$2</c15:sqref>
                        </c15:formulaRef>
                      </c:ext>
                    </c:extLst>
                    <c:strCache>
                      <c:ptCount val="1"/>
                      <c:pt idx="0">
                        <c:v>Rentabilidad sin Div</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69-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6B-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6D-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6F-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Acciones'!$S$3:$S$6</c15:sqref>
                        </c15:formulaRef>
                      </c:ext>
                    </c:extLst>
                    <c:numCache>
                      <c:formatCode>0.00%</c:formatCode>
                      <c:ptCount val="4"/>
                      <c:pt idx="0">
                        <c:v>-1.3636363636363637E-3</c:v>
                      </c:pt>
                      <c:pt idx="1">
                        <c:v>1.7334905660377358E-2</c:v>
                      </c:pt>
                      <c:pt idx="2">
                        <c:v>9.8181818181817763E-3</c:v>
                      </c:pt>
                      <c:pt idx="3">
                        <c:v>3.8281250000000711E-3</c:v>
                      </c:pt>
                    </c:numCache>
                  </c:numRef>
                </c:val>
                <c:extLst xmlns:c15="http://schemas.microsoft.com/office/drawing/2012/chart">
                  <c:ext xmlns:c16="http://schemas.microsoft.com/office/drawing/2014/chart" uri="{C3380CC4-5D6E-409C-BE32-E72D297353CC}">
                    <c16:uniqueId val="{0000001E-D3F5-4F45-9C23-7080DD1A3155}"/>
                  </c:ext>
                </c:extLst>
              </c15:ser>
            </c15:filteredPieSeries>
            <c15:filteredPieSeries>
              <c15:ser>
                <c:idx val="16"/>
                <c:order val="16"/>
                <c:tx>
                  <c:strRef>
                    <c:extLst xmlns:c15="http://schemas.microsoft.com/office/drawing/2012/chart">
                      <c:ext xmlns:c15="http://schemas.microsoft.com/office/drawing/2012/chart" uri="{02D57815-91ED-43cb-92C2-25804820EDAC}">
                        <c15:formulaRef>
                          <c15:sqref>'Cartera de Acciones'!$T$2</c15:sqref>
                        </c15:formulaRef>
                      </c:ext>
                    </c:extLst>
                    <c:strCache>
                      <c:ptCount val="1"/>
                      <c:pt idx="0">
                        <c:v>Variación Día €</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71-87E8-42F2-90D5-6473F7ADE510}"/>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73-87E8-42F2-90D5-6473F7ADE510}"/>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75-87E8-42F2-90D5-6473F7ADE510}"/>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77-87E8-42F2-90D5-6473F7ADE510}"/>
                    </c:ext>
                  </c:extLst>
                </c:dPt>
                <c:cat>
                  <c:strRef>
                    <c:extLst xmlns:c15="http://schemas.microsoft.com/office/drawing/2012/chart">
                      <c:ext xmlns:c15="http://schemas.microsoft.com/office/drawing/2012/chart" uri="{02D57815-91ED-43cb-92C2-25804820EDAC}">
                        <c15:formulaRef>
                          <c15:sqref>'Cartera de Acciones'!$B$3:$B$6</c15:sqref>
                        </c15:formulaRef>
                      </c:ext>
                    </c:extLst>
                    <c:strCache>
                      <c:ptCount val="4"/>
                      <c:pt idx="0">
                        <c:v>Industria de Diseño Textil, S.A. (BMEX:ITX)</c:v>
                      </c:pt>
                      <c:pt idx="1">
                        <c:v>Banco Bilbao Vizcaya Argentaria, S.A. (BMEX:BBVA)</c:v>
                      </c:pt>
                      <c:pt idx="2">
                        <c:v>Mercedes Benz Group AG (XFRA:MBG)</c:v>
                      </c:pt>
                      <c:pt idx="3">
                        <c:v>3M COMPANY (XNYS:MMM)</c:v>
                      </c:pt>
                    </c:strCache>
                  </c:strRef>
                </c:cat>
                <c:val>
                  <c:numRef>
                    <c:extLst xmlns:c15="http://schemas.microsoft.com/office/drawing/2012/chart">
                      <c:ext xmlns:c15="http://schemas.microsoft.com/office/drawing/2012/chart" uri="{02D57815-91ED-43cb-92C2-25804820EDAC}">
                        <c15:formulaRef>
                          <c15:sqref>'Cartera de Acciones'!$T$3:$T$6</c15:sqref>
                        </c15:formulaRef>
                      </c:ext>
                    </c:extLst>
                    <c:numCache>
                      <c:formatCode>_-* #,##0.00\ [$€-C0A]_-;\-* #,##0.00\ [$€-C0A]_-;_-* "-"??\ [$€-C0A]_-;_-@_-</c:formatCode>
                      <c:ptCount val="4"/>
                      <c:pt idx="0">
                        <c:v>38.669396999999996</c:v>
                      </c:pt>
                      <c:pt idx="1">
                        <c:v>-8.4674005000000001</c:v>
                      </c:pt>
                      <c:pt idx="2">
                        <c:v>9.2374127999999995</c:v>
                      </c:pt>
                      <c:pt idx="3">
                        <c:v>-15.764433679944</c:v>
                      </c:pt>
                    </c:numCache>
                  </c:numRef>
                </c:val>
                <c:extLst xmlns:c15="http://schemas.microsoft.com/office/drawing/2012/chart">
                  <c:ext xmlns:c16="http://schemas.microsoft.com/office/drawing/2014/chart" uri="{C3380CC4-5D6E-409C-BE32-E72D297353CC}">
                    <c16:uniqueId val="{0000001F-D3F5-4F45-9C23-7080DD1A3155}"/>
                  </c:ext>
                </c:extLst>
              </c15:ser>
            </c15:filteredPieSeries>
          </c:ext>
        </c:extLst>
      </c:pieChart>
      <c:spPr>
        <a:noFill/>
        <a:ln>
          <a:noFill/>
        </a:ln>
        <a:effectLst/>
      </c:spPr>
    </c:plotArea>
    <c:legend>
      <c:legendPos val="r"/>
      <c:layout>
        <c:manualLayout>
          <c:xMode val="edge"/>
          <c:yMode val="edge"/>
          <c:x val="0.58250584961934282"/>
          <c:y val="0.33692421991084698"/>
          <c:w val="0.38139637792587555"/>
          <c:h val="0.39990832786425712"/>
        </c:manualLayout>
      </c:layout>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s-ES"/>
        </a:p>
      </c:txPr>
    </c:title>
    <c:autoTitleDeleted val="0"/>
    <c:plotArea>
      <c:layout/>
      <c:pieChart>
        <c:varyColors val="1"/>
        <c:ser>
          <c:idx val="11"/>
          <c:order val="0"/>
          <c:tx>
            <c:strRef>
              <c:f>'Cartera Indexada'!$N$4</c:f>
              <c:strCache>
                <c:ptCount val="1"/>
                <c:pt idx="0">
                  <c:v>Peso Actual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8AE-4E5A-B032-842704A2CA5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8AE-4E5A-B032-842704A2CA5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8AE-4E5A-B032-842704A2CA5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8AE-4E5A-B032-842704A2CA5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8AE-4E5A-B032-842704A2CA5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8AE-4E5A-B032-842704A2CA5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'Cartera Indexada'!$A$5:$A$10</c:f>
              <c:strCache>
                <c:ptCount val="6"/>
                <c:pt idx="0">
                  <c:v>Fidelity S&amp;P 500 Index Fund P-ACC-EUR</c:v>
                </c:pt>
                <c:pt idx="1">
                  <c:v>Vanguard European Stock Index Fund EUR Acc</c:v>
                </c:pt>
                <c:pt idx="2">
                  <c:v>iShares Emerging Markets Index Fund D Acc</c:v>
                </c:pt>
                <c:pt idx="3">
                  <c:v>iShares Pacific Index Fund D Acc</c:v>
                </c:pt>
                <c:pt idx="4">
                  <c:v>Vanguard Global Small-Cap Index Fund EUR Acc</c:v>
                </c:pt>
                <c:pt idx="5">
                  <c:v>Fidelity MSCI Japan Index Fund P-ACC-EUR</c:v>
                </c:pt>
              </c:strCache>
            </c:strRef>
          </c:cat>
          <c:val>
            <c:numRef>
              <c:f>'Cartera Indexada'!$N$5:$N$10</c:f>
              <c:numCache>
                <c:formatCode>0.00%</c:formatCode>
                <c:ptCount val="6"/>
                <c:pt idx="0">
                  <c:v>0.555396453166489</c:v>
                </c:pt>
                <c:pt idx="1">
                  <c:v>0.14841564706285967</c:v>
                </c:pt>
                <c:pt idx="2">
                  <c:v>0.10615138674824418</c:v>
                </c:pt>
                <c:pt idx="3">
                  <c:v>2.9738549533188784E-2</c:v>
                </c:pt>
                <c:pt idx="4">
                  <c:v>0.11051411753059912</c:v>
                </c:pt>
                <c:pt idx="5">
                  <c:v>4.9783845958619406E-2</c:v>
                </c:pt>
              </c:numCache>
            </c:numRef>
          </c:val>
          <c:extLst>
            <c:ext xmlns:c16="http://schemas.microsoft.com/office/drawing/2014/chart" uri="{C3380CC4-5D6E-409C-BE32-E72D297353CC}">
              <c16:uniqueId val="{0000000C-38AE-4E5A-B032-842704A2CA5E}"/>
            </c:ext>
          </c:extLst>
        </c:ser>
        <c:dLbls>
          <c:dLblPos val="inEnd"/>
          <c:showLegendKey val="0"/>
          <c:showVal val="0"/>
          <c:showCatName val="0"/>
          <c:showSerName val="0"/>
          <c:showPercent val="1"/>
          <c:showBubbleSize val="0"/>
          <c:showLeaderLines val="1"/>
        </c:dLbls>
        <c:firstSliceAng val="0"/>
        <c:extLst/>
      </c:pieChart>
      <c:spPr>
        <a:noFill/>
        <a:ln>
          <a:noFill/>
        </a:ln>
        <a:effectLst/>
      </c:spPr>
    </c:plotArea>
    <c:legend>
      <c:legendPos val="r"/>
      <c:layout>
        <c:manualLayout>
          <c:xMode val="edge"/>
          <c:yMode val="edge"/>
          <c:x val="0.61835325868994484"/>
          <c:y val="0.22746352306726225"/>
          <c:w val="0.35205203993143652"/>
          <c:h val="0.6234462723627342"/>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978185</xdr:colOff>
      <xdr:row>9</xdr:row>
      <xdr:rowOff>14342</xdr:rowOff>
    </xdr:from>
    <xdr:to>
      <xdr:col>18</xdr:col>
      <xdr:colOff>1327077</xdr:colOff>
      <xdr:row>31</xdr:row>
      <xdr:rowOff>0</xdr:rowOff>
    </xdr:to>
    <xdr:graphicFrame macro="">
      <xdr:nvGraphicFramePr>
        <xdr:cNvPr id="6" name="Gráfico 5">
          <a:extLst>
            <a:ext uri="{FF2B5EF4-FFF2-40B4-BE49-F238E27FC236}">
              <a16:creationId xmlns:a16="http://schemas.microsoft.com/office/drawing/2014/main" id="{A12D7004-40F4-B497-A5CB-575B175375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666749</xdr:colOff>
      <xdr:row>13</xdr:row>
      <xdr:rowOff>171450</xdr:rowOff>
    </xdr:from>
    <xdr:to>
      <xdr:col>18</xdr:col>
      <xdr:colOff>663133</xdr:colOff>
      <xdr:row>38</xdr:row>
      <xdr:rowOff>48228</xdr:rowOff>
    </xdr:to>
    <xdr:graphicFrame macro="">
      <xdr:nvGraphicFramePr>
        <xdr:cNvPr id="2" name="Gráfico 1">
          <a:extLst>
            <a:ext uri="{FF2B5EF4-FFF2-40B4-BE49-F238E27FC236}">
              <a16:creationId xmlns:a16="http://schemas.microsoft.com/office/drawing/2014/main" id="{23BFD49A-254E-44CD-B151-C8BD751797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https://www.bing.com/financeapi/forcetrigger?t=af5lim&amp;q=XFRA%3aBMW&amp;form=skydnc</v>
    <v>Learn more on Bing</v>
  </rv>
  <rv s="1">
    <v>es-ES</v>
    <v>af5lim</v>
    <v>268435456</v>
    <v>1</v>
    <v>Con tecnología de Refinitiv</v>
    <v>0</v>
    <v>1</v>
    <v>Bayerische Motoren Werke AG (XFRA:BMW)</v>
    <v>3</v>
    <v>4</v>
    <v>Finance</v>
    <v>5</v>
    <v>XFRA</v>
    <v>661399500</v>
    <v>1995</v>
    <v>72.95</v>
    <v>1.1989000000000001</v>
    <v>0.12</v>
    <v>1.6259999999999998E-3</v>
    <v>48478300000</v>
    <v>73.8</v>
    <v>Bayerische Motoren Werke Aktiengesellschaft es una empresa alemana que fabrica automóviles y motocicletas. Divide sus actividades en cuatro segmentos: Automóviles, Motocicletas, Servicios financieros y Otras entidades. El segmento de Automóviles desarrolla, fabrica, monta y vende coches y vehículos todoterrenos bajo la marca BMW, MINI and Rolls-Royce, así como piezas de repuestos y accesorios. El segmento de Motocicletas desarrolla, fabrica, monta y vende motocicletas, así como piezas de repuestos y accesorios. El segmento de Servicios financieros se centra en alquiler de coches, financiamiento de multimarcas, negocio de flotas, financiamiento de clientes minoristas y distribuidores, depósitos de clientes y seguros. El segmento de Otras entidades comprende otras empresas operativas, como BMW Services Ltd, BMW (UK) Investments Ltd, Bavaria Lloyd Reisebuero GmbH y MITEC Mikroelektronik Mikrotechnik Informatik.</v>
    <v>118909</v>
    <v>XFRA</v>
    <v>44743.836805555555</v>
    <v>Deutsche Boerse AG</v>
    <v>0</v>
    <v>73.930000000000007</v>
    <v>100.44</v>
    <v>72.2</v>
    <v>36.884999999999998</v>
    <v>EUR</v>
    <v>Bayerische Motoren Werke AG</v>
    <v>Bayerische Motoren Werke AG</v>
    <v>2.48</v>
    <v>73.92</v>
    <v>Automobiles &amp; Auto Parts</v>
    <v>Petuelring 130, MUENCHEN, BAYERN, 80788 DE</v>
    <v>BMW</v>
    <v>Acciones</v>
    <v>Bayerische Motoren Werke AG (XFRA:BMW)</v>
    <v>4081</v>
    <v>1653950</v>
  </rv>
  <rv s="2">
    <v>1</v>
  </rv>
  <rv s="0">
    <v>https://www.bing.com/financeapi/forcetrigger?t=amfs1h&amp;q=BMEX%3aBBVA&amp;form=skydnc</v>
    <v>Learn more on Bing</v>
  </rv>
  <rv s="3">
    <v>es-ES</v>
    <v>amfs1h</v>
    <v>268435456</v>
    <v>1</v>
    <v>Con tecnología de Refinitiv</v>
    <v>6</v>
    <v>7</v>
    <v>Banco Bilbao Vizcaya Argentaria, S.A. (BMEX:BBVA)</v>
    <v>3</v>
    <v>8</v>
    <v>Finance</v>
    <v>9</v>
    <v>BMEX</v>
    <v>6386668000</v>
    <v>2000</v>
    <v>4.3025000000000002</v>
    <v>1.8894</v>
    <v>-1.7000000000000001E-2</v>
    <v>4.3235999999999997E-2</v>
    <v>-3.9259999999999998E-3</v>
    <v>0.1865</v>
    <v>27548890000</v>
    <v>4.3304999999999998</v>
    <v>Banco Bilbao Vizcaya Argentaria S.A. (BBVA) es una empresa financiera internacional diversificada dedicada a la banca minorista, banca mayorista, gestión de activos y banca privada. Sus segmentos incluyen Actividad de la banca en España, Actividad inmobiliaria en España, los Estados Unidos, Turquía, México, América del Sur y Resto de Eurasia. Su Actividad de la banca en España incluye la Red de Banca Minorista en España, Banca Corporativa y de Negocios, así como unidades de BBVA Seguros y Gestión de Activos en España. Su Actividad inmobiliaria en España consiste de gestión especial de activos inmobiliarios en el país. En los Estados Unidos ofrece servicios a través de BBVA Compass Bancshares Inc. y filial de BBVA Nueva York. El segmento de Turquía representa su participación en el banco turco Turkiye Garanti Bankasi A.S. Ofrece negocios de seguros y banca en México. En América del Sur proporciona negocios de seguros y banca. El segmento del Resto de Eurasia incluye actividades de negocio en el resto de Europa y Asia.</v>
    <v>111402</v>
    <v>BMEX</v>
    <v>44743.715514050782</v>
    <v>Bolsas y Mercados Espanoles</v>
    <v>3</v>
    <v>4.4234999999999998</v>
    <v>6.2919999999999998</v>
    <v>4.2755000000000001</v>
    <v>4.1280000000000001</v>
    <v>EUR</v>
    <v>Banco Bilbao Vizcaya Argentaria, S.A.</v>
    <v>Banco Bilbao Vizcaya Argentaria, S.A.</v>
    <v>6.0029000000000003</v>
    <v>4.3135000000000003</v>
    <v>4.5</v>
    <v>Banking Services</v>
    <v>Calle Azul 4, MADRID, MADRID, 28050 ES</v>
    <v>BBVA</v>
    <v>Acciones</v>
    <v>Banco Bilbao Vizcaya Argentaria, S.A. (BMEX:BBVA)</v>
    <v>16958707</v>
    <v>18759510</v>
  </rv>
  <rv s="2">
    <v>4</v>
  </rv>
  <rv s="0">
    <v>https://www.bing.com/financeapi/forcetrigger?t=af7stc&amp;q=XFRA%3aMBG&amp;form=skydnc</v>
    <v>Learn more on Bing</v>
  </rv>
  <rv s="1">
    <v>es-ES</v>
    <v>af7stc</v>
    <v>268435456</v>
    <v>1</v>
    <v>Con tecnología de Refinitiv</v>
    <v>0</v>
    <v>1</v>
    <v>Mercedes Benz Group AG (XFRA:MBG)</v>
    <v>3</v>
    <v>4</v>
    <v>Finance</v>
    <v>5</v>
    <v>XFRA</v>
    <v>1069837000</v>
    <v>1998</v>
    <v>55</v>
    <v>1.3781000000000001</v>
    <v>0.23</v>
    <v>4.1580000000000002E-3</v>
    <v>58841060000</v>
    <v>55.31</v>
    <v>Daimler AG es una empresa de ingeniería automotriz. La empresa se dedica al desarrollo, producción y distribución de automóviles, camiones y furgonetas en Alemania y a la gestión del grupo Daimler. Los segmentos de Daimler son automóviles Mercedes-Benz, camiones Daimler, furgonetas Mercedes-Benz, autobuses Daimler y servicios financieros Daimler. Los productos suministrados por la división de automóviles Mercedes-Benz incluyen un espectro de vehículos premium de la marca Mercedes Benz y sus submarcas Mercedes AMG y Mercedes Maybach. Daimler Trucks distribuye sus camiones con las marcas Mercedes Benz, Freightliner, FUSO, Western Star, Thomas Built Buses y BharatBenz. Las furgonetas del segmento Mercedes Benz Vans se venden con los nombres de la marca Mercedes Benz Freightliner. Daimler Buses vende autobuses completamente desarrollados con las marcas Mercedes Benz y Setra. El segmento Daimler Financial Services brinda soporte a las ventas de los segmentos vehiculares de la empresa en más de 40 países.</v>
    <v>173000</v>
    <v>XFRA</v>
    <v>44743.836805555555</v>
    <v>Deutsche Boerse AG</v>
    <v>6</v>
    <v>55.54</v>
    <v>91.52</v>
    <v>54.42</v>
    <v>21.055</v>
    <v>EUR</v>
    <v>Mercedes Benz Group AG</v>
    <v>Mercedes Benz Group AG</v>
    <v>5.24</v>
    <v>55.54</v>
    <v>Automobiles &amp; Auto Parts</v>
    <v>Mercedesstrasse 120, STUTTGART, BADEN-WUERTTEMBERG, 70372 DE</v>
    <v>MBG</v>
    <v>Acciones</v>
    <v>Mercedes Benz Group AG (XFRA:MBG)</v>
    <v>14183</v>
    <v>3743470</v>
  </rv>
  <rv s="2">
    <v>7</v>
  </rv>
  <rv s="0">
    <v>https://www.bing.com/financeapi/forcetrigger?t=a1xroc&amp;q=XNYS%3aMMM&amp;form=skydnc</v>
    <v>Learn more on Bing</v>
  </rv>
  <rv s="3">
    <v>es-ES</v>
    <v>a1xroc</v>
    <v>268435456</v>
    <v>1</v>
    <v>Con tecnología de Refinitiv</v>
    <v>6</v>
    <v>7</v>
    <v>3M COMPANY (XNYS:MMM)</v>
    <v>3</v>
    <v>10</v>
    <v>Finance</v>
    <v>11</v>
    <v>XNYS</v>
    <v>569058800</v>
    <v>1929</v>
    <v>129.41</v>
    <v>0.94779999999999998</v>
    <v>-0.92</v>
    <v>1.4010000000000001E-3</v>
    <v>-7.1089999999999999E-3</v>
    <v>0.18</v>
    <v>73118380000</v>
    <v>129.41</v>
    <v>3M COMPANY es una empresa de tecnología. Opera a través de cinco segmentos. El segmento Industrial atiende a una gama de mercados, como productor automotriz de equipo original y mercado de posventa de automoción, electrodoméstico, papel e imprenta, embalaje, comida y bebidas y construcción. El segmento de Seguridad y Diseño Gráfico atiende a una gama de marcados mercados de la seguridad, vigilancia y productividad de gente, de servicios y de sistemas. El segmento de Atención Médica atiende a mercados que incluyen clínicas médicas y hospitales, farmacéuticos, sistemas de información sobre salud y manufactura y prueba de comida. El segmento de Consumidor atiende a mercados que incluyen comercio minorista, oficina negocio a negocio, mejora de casa, medicamento y farmacia de venta al público y otros mercados.</v>
    <v>95000</v>
    <v>XNYS</v>
    <v>44743.999664930467</v>
    <v>New York Stock Exchange</v>
    <v>9</v>
    <v>129.83000000000001</v>
    <v>203.21</v>
    <v>126.61</v>
    <v>126.61</v>
    <v>USD</v>
    <v>3M COMPANY</v>
    <v>3M COMPANY</v>
    <v>13.4757</v>
    <v>128.49</v>
    <v>128.66999999999999</v>
    <v>Consumer Goods Conglomerates</v>
    <v>3M Center, Bldg. 220-13E-26A, SAINT PAUL, MN, 55144-1000 US</v>
    <v>MMM</v>
    <v>Acciones</v>
    <v>3M COMPANY (XNYS:MMM)</v>
    <v>3720829</v>
    <v>2948924</v>
  </rv>
  <rv s="2">
    <v>10</v>
  </rv>
  <rv s="0">
    <v>https://www.bing.com/financeapi/forcetrigger?t=amfq8m&amp;q=BMEX%3aACS&amp;form=skydnc</v>
    <v>Learn more on Bing</v>
  </rv>
  <rv s="1">
    <v>es-ES</v>
    <v>amfq8m</v>
    <v>268435456</v>
    <v>1</v>
    <v>Con tecnología de Refinitiv</v>
    <v>0</v>
    <v>1</v>
    <v>ACS, ACTIVIDADES DE CONSTRUCCIÓN Y SERVICIOS, S.A. (BMEX:ACS)</v>
    <v>3</v>
    <v>4</v>
    <v>Finance</v>
    <v>5</v>
    <v>BMEX</v>
    <v>294664600</v>
    <v>1942</v>
    <v>21.72</v>
    <v>1.246</v>
    <v>-0.06</v>
    <v>-2.771E-3</v>
    <v>6361809000</v>
    <v>21.65</v>
    <v>ACS, ACTIVIDADES DE CONSTRUCCIÓN Y SERVICIOS, S.A., anteriormente ACS Actividades de Construccion y Servicios SA, es una sociedad controladora radicada en España que se dedica principalmente al sector de la construcción y la ingeniería, así como a las comunicaciones. El negocio de la empresa se divide en tres segmentos: Construcción, que incluye obras de construcción civil, edificios residenciales y no residenciales, actividades de concesión, minería y bienes raíces; Servicios industriales, que se dedica a los sectores de ingeniería, instalación y mantenimiento de infraestructuras industriales de energía, comunicación y sistemas de control; y Medioambiente, que comprende servicios tales como limpieza urbana, recolección y transporte de residuos, reciclado de residuos, gestión comercial e industrial de circulación del agua y paisajismo urbano.</v>
    <v>122502</v>
    <v>BMEX</v>
    <v>44743.666666666664</v>
    <v>Bolsas y Mercados Espanoles</v>
    <v>12</v>
    <v>21.78</v>
    <v>25.256</v>
    <v>21.46</v>
    <v>18.605</v>
    <v>EUR</v>
    <v>ACS, ACTIVIDADES DE CONSTRUCCIÓN Y SERVICIOS, S.A.</v>
    <v>ACS, ACTIVIDADES DE CONSTRUCCIÓN Y SERVICIOS, S.A.</v>
    <v>2.2244999999999999</v>
    <v>21.59</v>
    <v>Construction &amp; Engineering</v>
    <v>Avda. Pio XII, n 102, MADRID, MADRID, 28036 ES</v>
    <v>ACS</v>
    <v>Acciones</v>
    <v>ACS, ACTIVIDADES DE CONSTRUCCIÓN Y SERVICIOS, S.A. (BMEX:ACS)</v>
    <v>957478</v>
    <v>767720</v>
  </rv>
  <rv s="2">
    <v>13</v>
  </rv>
  <rv s="0">
    <v>https://www.bing.com/financeapi/forcetrigger?t=a25obh&amp;q=XNYS%3aVZ&amp;form=skydnc</v>
    <v>Learn more on Bing</v>
  </rv>
  <rv s="3">
    <v>es-ES</v>
    <v>a25obh</v>
    <v>268435456</v>
    <v>1</v>
    <v>Con tecnología de Refinitiv</v>
    <v>6</v>
    <v>7</v>
    <v>VERIZON COMMUNICATIONS INC. (XNYS:VZ)</v>
    <v>3</v>
    <v>10</v>
    <v>Finance</v>
    <v>11</v>
    <v>XNYS</v>
    <v>4199644000</v>
    <v>1983</v>
    <v>50.96</v>
    <v>0.37809999999999999</v>
    <v>0.89</v>
    <v>-1.1620000000000001E-3</v>
    <v>1.7537000000000001E-2</v>
    <v>-0.06</v>
    <v>216869600000</v>
    <v>50.75</v>
    <v>VERIZON COMMUNICATIONS INC. es una empresa controladora. La Empresa, a través de sus filiales, proporciona productos de comunicaciones, información y entretenimiento, así como servicios a consumidores, empresas y agencias gubernamentales. Sus segmentos incluyen Inalámbrico y Fijo. El segmento Inalámbrico ofrece productos de comunicaciones y servicios, incluyendo servicios inalámbricos de voz y datos y ventas de equipos que se proporcionan a los consumidores, empresas y clientes de gobierno en todo Estados Unidos. El segmento Fijo ofrece productos y servicios de comunicaciones de voz, datos y video, como servicios de video de banda ancha, centro de datos y servicios de nube, seguridad y servicios de red gestionados y servicios de voz locales y de larga distancia. La Empresa ha combinado activos operativos de Yahoo! Inc. con su negocio existente de AOL Inc. para crear una nueva filial, Oath Inc., que posee una gama diversa de más de 50 marcas de medios y tecnología. La cartera de Oath incluye HuffPost, Yahoo Sports, AOL.com, MAKERS, Tumblr, Yahoo Finance y Yahoo Mail.</v>
    <v>118400</v>
    <v>XNYS</v>
    <v>44743.999665578121</v>
    <v>New York Stock Exchange</v>
    <v>15</v>
    <v>51.77</v>
    <v>56.85</v>
    <v>50.58</v>
    <v>45.548900000000003</v>
    <v>USD</v>
    <v>VERIZON COMMUNICATIONS INC.</v>
    <v>VERIZON COMMUNICATIONS INC.</v>
    <v>9.8725000000000005</v>
    <v>51.64</v>
    <v>51.58</v>
    <v>Telecommunications Services</v>
    <v>29TH FLOOR, 140 WEST STREET, NEW YORK, NY, 10007 US</v>
    <v>VZ</v>
    <v>Acciones</v>
    <v>VERIZON COMMUNICATIONS INC. (XNYS:VZ)</v>
    <v>14189318</v>
    <v>19437573</v>
  </rv>
  <rv s="2">
    <v>16</v>
  </rv>
  <rv s="0">
    <v>https://www.bing.com/financeapi/forcetrigger?t=amfy2w&amp;q=BMEX%3aITX&amp;form=skydnc</v>
    <v>Learn more on Bing</v>
  </rv>
  <rv s="3">
    <v>es-ES</v>
    <v>amfy2w</v>
    <v>268435456</v>
    <v>1</v>
    <v>Con tecnología de Refinitiv</v>
    <v>6</v>
    <v>7</v>
    <v>Industria de Diseño Textil, S.A. (BMEX:ITX)</v>
    <v>3</v>
    <v>8</v>
    <v>Finance</v>
    <v>9</v>
    <v>BMEX</v>
    <v>3116652000</v>
    <v>1985</v>
    <v>21.47</v>
    <v>1.1072</v>
    <v>0.38</v>
    <v>9.2399000000000009E-2</v>
    <v>1.7600999999999999E-2</v>
    <v>2.0299999999999998</v>
    <v>68472840000</v>
    <v>21.59</v>
    <v>Industria de Diseño Textil, S.A., conocida como Inditex S.A., es una compañía con sede en España dedicada principalmente a la industria textil. Las actividades de la Compañía incluyen el diseño, la confección, la fabricación, la distribución y la venta minorista de ropa, calzado y accesorios de moda para hombres, mujeres y niños, así como muebles y productos textiles para el hogar. La Compañía se divide en tres segmentos: Zara, que ofrece varios artículos de moda y para el hogar bajo la marca Zara; Bershka, que ofrece ropa bajo la marca Bershka, destinada a adolescentes, y Otros, que vende prendas al por menor bajo las marcas Stradivarius, Oysho, Pull&amp;Bear y Massimo Dutti, entre otros. La Compañía opera en todo el mundo a través de numerosas filiales. Es controlada por Pontegadea Inversiones S.L.</v>
    <v>165042</v>
    <v>BMEX</v>
    <v>44743.715514050782</v>
    <v>Bolsas y Mercados Espanoles</v>
    <v>18</v>
    <v>22.15</v>
    <v>32.630000000000003</v>
    <v>21.37</v>
    <v>18.545000000000002</v>
    <v>EUR</v>
    <v>Industria de Diseño Textil, S.A.</v>
    <v>Industria de Diseño Textil, S.A.</v>
    <v>18.764099999999999</v>
    <v>21.97</v>
    <v>24</v>
    <v>Specialty Retailers</v>
    <v>Edificio Inditex, Avda. Diputacion, s/n, ARTEIXO, LA CORUNA, 15143 ES</v>
    <v>ITX</v>
    <v>Acciones</v>
    <v>Industria de Diseño Textil, S.A. (BMEX:ITX)</v>
    <v>2600117</v>
    <v>3117120</v>
  </rv>
  <rv s="2">
    <v>19</v>
  </rv>
  <rv s="4">
    <v>es-ES</v>
    <v>avyn9c</v>
    <v>268435456</v>
    <v>1</v>
    <v>Con tecnología de Refinitiv</v>
    <v>12</v>
    <v>13</v>
    <v>USD/EUR</v>
    <v>14</v>
    <v>15</v>
    <v>Finance</v>
    <v>16</v>
    <v>0</v>
    <v>0</v>
    <v>0.95879999999999999</v>
    <v>USD</v>
    <v>44743.874965277777</v>
    <v>0.96609999999999996</v>
    <v>0.83699999999999997</v>
    <v>EUR</v>
    <v>US Dollar/Euro FX Cross Rate</v>
    <v>0.95879999999999999</v>
    <v>USDEUR</v>
    <v>Par de divisa</v>
    <v>USD/EUR</v>
  </rv>
  <rv s="2">
    <v>21</v>
  </rv>
  <rv s="5">
    <v>es-ES</v>
    <v>avycmw</v>
    <v>268435456</v>
    <v>1</v>
    <v>Con tecnología de Refinitiv</v>
    <v>17</v>
    <v>18</v>
    <v>GBP/EUR</v>
    <v>14</v>
    <v>19</v>
    <v>Finance</v>
    <v>16</v>
    <v>1.1595</v>
    <v>0</v>
    <v>0</v>
    <v>1.1595</v>
    <v>GBP</v>
    <v>44743.875</v>
    <v>1.1595</v>
    <v>1.2191000000000001</v>
    <v>1.1600999999999999</v>
    <v>1.1459999999999999</v>
    <v>EUR</v>
    <v>UK Pound Sterling/Euro FX Cross Rate</v>
    <v>1.1595</v>
    <v>GBPEUR</v>
    <v>Par de divisa</v>
    <v>GBP/EUR</v>
  </rv>
  <rv s="2">
    <v>23</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Sector" t="s"/>
    <k n="Sede central" t="s"/>
    <k n="Símbolo bursátil" t="s"/>
    <k n="Tipo de instrumento" t="s"/>
    <k n="UniqueName" t="s"/>
    <k n="Volumen"/>
    <k n="Volumen pro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breviatura de intercambio" t="s"/>
    <k n="Acciones en circulación"/>
    <k n="Año de constitución"/>
    <k n="Apertura"/>
    <k n="Beta"/>
    <k n="Cambio"/>
    <k n="Cambio % (horario ampliado)"/>
    <k n="Cambio (%)"/>
    <k n="Cambio (horario ampliado)"/>
    <k n="Capitalización de mercado"/>
    <k n="Cierre anterior"/>
    <k n="Descripción" t="s"/>
    <k n="Empleados"/>
    <k n="ExchangeID" t="s"/>
    <k n="Hora de la última operación"/>
    <k n="Intercambio" t="s"/>
    <k n="LearnMoreOnLink" t="r"/>
    <k n="Máximo"/>
    <k n="Máximo en 52 semanas"/>
    <k n="Mínimo"/>
    <k n="Mínimo en 52 semanas"/>
    <k n="Moneda" t="s"/>
    <k n="Nombre" t="s"/>
    <k n="Nombre oficial" t="s"/>
    <k n="P/I"/>
    <k n="Precio"/>
    <k n="Precio (horario ampliado)"/>
    <k n="Sector" t="s"/>
    <k n="Sede central" t="s"/>
    <k n="Símbolo bursátil" t="s"/>
    <k n="Tipo de instrumento" t="s"/>
    <k n="UniqueName" t="s"/>
    <k n="Volumen"/>
    <k n="Volumen promedio"/>
  </s>
  <s t="_linkedentitycore">
    <k n="%EntityCulture" t="s"/>
    <k n="%EntityId" t="s"/>
    <k n="%EntityServiceId"/>
    <k n="%IsRefreshable" t="b"/>
    <k n="%ProviderInfo" t="s"/>
    <k n="_CanonicalPropertyNames" t="spb"/>
    <k n="_Display" t="spb"/>
    <k n="_DisplayString" t="s"/>
    <k n="_Flags" t="spb"/>
    <k n="_Format" t="spb"/>
    <k n="_Icon" t="s"/>
    <k n="_SubLabel" t="spb"/>
    <k n="Cambio"/>
    <k n="Cambio (%)"/>
    <k n="Cierre anterior"/>
    <k n="De la moneda" t="s"/>
    <k n="Hora de la última operación"/>
    <k n="Máximo en 52 semanas"/>
    <k n="Mínimo en 52 semanas"/>
    <k n="Moneda" t="s"/>
    <k n="Nombre" t="s"/>
    <k n="Precio"/>
    <k n="Símbolo bursátil" t="s"/>
    <k n="Tipo de instrumento" t="s"/>
    <k n="UniqueName" t="s"/>
  </s>
  <s t="_linkedentitycore">
    <k n="%EntityCulture" t="s"/>
    <k n="%EntityId" t="s"/>
    <k n="%EntityServiceId"/>
    <k n="%IsRefreshable" t="b"/>
    <k n="%ProviderInfo" t="s"/>
    <k n="_CanonicalPropertyNames" t="spb"/>
    <k n="_Display" t="spb"/>
    <k n="_DisplayString" t="s"/>
    <k n="_Flags" t="spb"/>
    <k n="_Format" t="spb"/>
    <k n="_Icon" t="s"/>
    <k n="_SubLabel" t="spb"/>
    <k n="Apertura"/>
    <k n="Cambio"/>
    <k n="Cambio (%)"/>
    <k n="Cierre anterior"/>
    <k n="De la moneda" t="s"/>
    <k n="Hora de la última operación"/>
    <k n="Máximo"/>
    <k n="Máximo en 52 semanas"/>
    <k n="Mínimo"/>
    <k n="Mínimo en 52 semanas"/>
    <k n="Moneda" t="s"/>
    <k n="Nombre" t="s"/>
    <k n="Precio"/>
    <k n="Símbolo bursátil" t="s"/>
    <k n="Tipo de instrumento" t="s"/>
    <k n="UniqueName" t="s"/>
  </s>
</rvStructures>
</file>

<file path=xl/richData/rdsupportingpropertybag.xml><?xml version="1.0" encoding="utf-8"?>
<supportingPropertyBags xmlns="http://schemas.microsoft.com/office/spreadsheetml/2017/richdata2">
  <spbArrays count="4">
    <a count="43">
      <v t="s">%EntityServiceId</v>
      <v t="s">_Format</v>
      <v t="s">%IsRefreshable</v>
      <v t="s">_CanonicalPropertyNames</v>
      <v t="s">%EntityCulture</v>
      <v t="s">%EntityId</v>
      <v t="s">_Icon</v>
      <v t="s">_Display</v>
      <v t="s">Nombre</v>
      <v t="s">_SubLabel</v>
      <v t="s">Precio</v>
      <v t="s">Intercambio</v>
      <v t="s">Nombre oficial</v>
      <v t="s">Hora de la última operación</v>
      <v t="s">Símbolo bursátil</v>
      <v t="s">Abreviatura de intercambio</v>
      <v t="s">Cambio</v>
      <v t="s">Cambio (%)</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46">
      <v t="s">%EntityServiceId</v>
      <v t="s">_Format</v>
      <v t="s">%IsRefreshable</v>
      <v t="s">_CanonicalPropertyNames</v>
      <v t="s">%EntityCulture</v>
      <v t="s">%EntityId</v>
      <v t="s">_Icon</v>
      <v t="s">_Display</v>
      <v t="s">Nombre</v>
      <v t="s">_SubLabel</v>
      <v t="s">Precio</v>
      <v t="s">Precio (horario ampliado)</v>
      <v t="s">Intercambio</v>
      <v t="s">Nombre oficial</v>
      <v t="s">Hora de la última operación</v>
      <v t="s">Símbolo bursátil</v>
      <v t="s">Abreviatura de intercambio</v>
      <v t="s">Cambio</v>
      <v t="s">Cambio (horario ampliado)</v>
      <v t="s">Cambio (%)</v>
      <v t="s">Cambio % (horario ampliado)</v>
      <v t="s">Moneda</v>
      <v t="s">Cierre anterior</v>
      <v t="s">Apertura</v>
      <v t="s">Máximo</v>
      <v t="s">Mínimo</v>
      <v t="s">Máximo en 52 semanas</v>
      <v t="s">Mínimo en 52 semanas</v>
      <v t="s">Volumen</v>
      <v t="s">Volumen promedio</v>
      <v t="s">Capitalización de mercado</v>
      <v t="s">Beta</v>
      <v t="s">P/I</v>
      <v t="s">Acciones en circulación</v>
      <v t="s">Descripción</v>
      <v t="s">Empleados</v>
      <v t="s">Sede central</v>
      <v t="s">Sector</v>
      <v t="s">Tipo de instrumento</v>
      <v t="s">Año de constitución</v>
      <v t="s">_Flags</v>
      <v t="s">UniqueName</v>
      <v t="s">_DisplayString</v>
      <v t="s">LearnMoreOnLink</v>
      <v t="s">ExchangeID</v>
      <v t="s">%ProviderInfo</v>
    </a>
    <a count="25">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Máximo en 52 semanas</v>
      <v t="s">Mínimo en 52 semanas</v>
      <v t="s">Tipo de instrumento</v>
      <v t="s">_Flags</v>
      <v t="s">UniqueName</v>
      <v t="s">_DisplayString</v>
      <v t="s">%ProviderInfo</v>
    </a>
    <a count="28">
      <v t="s">%EntityServiceId</v>
      <v t="s">_Format</v>
      <v t="s">%IsRefreshable</v>
      <v t="s">_CanonicalPropertyNames</v>
      <v t="s">%EntityCulture</v>
      <v t="s">%EntityId</v>
      <v t="s">_Icon</v>
      <v t="s">_Display</v>
      <v t="s">Nombre</v>
      <v t="s">Precio</v>
      <v t="s">_SubLabel</v>
      <v t="s">Hora de la última operación</v>
      <v t="s">Símbolo bursátil</v>
      <v t="s">Cambio</v>
      <v t="s">Cambio (%)</v>
      <v t="s">Moneda</v>
      <v t="s">De la moneda</v>
      <v t="s">Cierre anterior</v>
      <v t="s">Apertura</v>
      <v t="s">Máximo</v>
      <v t="s">Mínimo</v>
      <v t="s">Máximo en 52 semanas</v>
      <v t="s">Mínimo en 52 semanas</v>
      <v t="s">Tipo de instrumento</v>
      <v t="s">_Flags</v>
      <v t="s">UniqueName</v>
      <v t="s">_DisplayString</v>
      <v t="s">%ProviderInfo</v>
    </a>
  </spbArrays>
  <spbData count="20">
    <spb s="0">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Market cap</v>
      <v>Exchange abbreviation</v>
      <v>Last trade time</v>
    </spb>
    <spb s="1">
      <v>0</v>
      <v>Name</v>
      <v>LearnMoreOnLink</v>
    </spb>
    <spb s="2">
      <v>0</v>
      <v>0</v>
      <v>0</v>
    </spb>
    <spb s="3">
      <v>2</v>
      <v>2</v>
      <v>2</v>
      <v>2</v>
    </spb>
    <spb s="4">
      <v>1</v>
      <v>1</v>
      <v>2</v>
      <v>2</v>
      <v>2</v>
      <v>3</v>
      <v>2</v>
      <v>4</v>
      <v>2</v>
      <v>4</v>
      <v>5</v>
      <v>2</v>
      <v>4</v>
      <v>6</v>
      <v>7</v>
      <v>2</v>
      <v>2</v>
      <v>4</v>
      <v>8</v>
      <v>9</v>
    </spb>
    <spb s="5">
      <v xml:space="preserve">desde el cierre anterior </v>
      <v>Retrasado 15 minutos</v>
      <v xml:space="preserve">desde el cierre anterior </v>
      <v>GMT</v>
    </spb>
    <spb s="6">
      <v>P/E</v>
      <v>Beta</v>
      <v>Change</v>
      <v>Currency</v>
      <v>High</v>
      <v>Low</v>
      <v>Name</v>
      <v>Price</v>
      <v>Industry</v>
      <v>Volume</v>
      <v>Open</v>
      <v>Employees</v>
      <v>Change (%)</v>
      <v>ExchangeID</v>
      <v>UniqueName</v>
      <v>Description</v>
      <v>Exchange</v>
      <v>Headquarters</v>
      <v>%ProviderInfo</v>
      <v>Official name</v>
      <v>Previous close</v>
      <v>LearnMoreOnLink</v>
      <v>Ticker symbol</v>
      <v>Volume average</v>
      <v>Year incorporated</v>
      <v>Instrument type</v>
      <v>52 week high</v>
      <v>52 week low</v>
      <v>Shares outstanding</v>
      <v>Change (Extended hours)</v>
      <v>Market cap</v>
      <v>Price (Extended hours)</v>
      <v>Exchange abbreviation</v>
      <v>Change % (Extended hours)</v>
      <v>Last trade time</v>
    </spb>
    <spb s="1">
      <v>1</v>
      <v>Name</v>
      <v>LearnMoreOnLink</v>
    </spb>
    <spb s="7">
      <v>1</v>
      <v>1</v>
      <v>2</v>
      <v>2</v>
      <v>2</v>
      <v>3</v>
      <v>2</v>
      <v>4</v>
      <v>2</v>
      <v>4</v>
      <v>5</v>
      <v>2</v>
      <v>4</v>
      <v>6</v>
      <v>7</v>
      <v>2</v>
      <v>2</v>
      <v>4</v>
      <v>2</v>
      <v>8</v>
      <v>2</v>
      <v>5</v>
      <v>9</v>
    </spb>
    <spb s="8">
      <v xml:space="preserve">desde el cierre anterior </v>
      <v xml:space="preserve">al cierre </v>
      <v xml:space="preserve">desde el cierre anterior </v>
      <v xml:space="preserve">desde el cierre </v>
      <v>Retrasado 15 minutos</v>
      <v xml:space="preserve">desde el cierre </v>
      <v>GMT</v>
    </spb>
    <spb s="7">
      <v>1</v>
      <v>1</v>
      <v>10</v>
      <v>10</v>
      <v>10</v>
      <v>3</v>
      <v>10</v>
      <v>4</v>
      <v>10</v>
      <v>4</v>
      <v>5</v>
      <v>10</v>
      <v>4</v>
      <v>6</v>
      <v>7</v>
      <v>10</v>
      <v>10</v>
      <v>4</v>
      <v>10</v>
      <v>11</v>
      <v>10</v>
      <v>5</v>
      <v>9</v>
    </spb>
    <spb s="9">
      <v xml:space="preserve">desde el cierre anterior </v>
      <v xml:space="preserve">al cierre </v>
      <v xml:space="preserve">desde el cierre anterior </v>
      <v>Origen: Nasdaq</v>
      <v xml:space="preserve">desde el cierre </v>
      <v>Retrasado 15 minutos</v>
      <v xml:space="preserve">desde el cierre </v>
      <v>GMT</v>
    </spb>
    <spb s="10">
      <v>Change</v>
      <v>Currency</v>
      <v>Name</v>
      <v>Price</v>
      <v>Change (%)</v>
      <v>UniqueName</v>
      <v>From currency</v>
      <v>%ProviderInfo</v>
      <v>Previous close</v>
      <v>Ticker symbol</v>
      <v>Instrument type</v>
      <v>52 week high</v>
      <v>52 week low</v>
      <v>Last trade time</v>
    </spb>
    <spb s="11">
      <v>2</v>
      <v>Name</v>
    </spb>
    <spb s="12">
      <v>2</v>
      <v>2</v>
    </spb>
    <spb s="13">
      <v>2</v>
      <v>3</v>
      <v>2</v>
      <v>5</v>
      <v>2</v>
      <v>6</v>
      <v>2</v>
      <v>2</v>
      <v>9</v>
    </spb>
    <spb s="14">
      <v>GMT</v>
    </spb>
    <spb s="15">
      <v>Change</v>
      <v>Currency</v>
      <v>High</v>
      <v>Low</v>
      <v>Name</v>
      <v>Price</v>
      <v>Open</v>
      <v>Change (%)</v>
      <v>UniqueName</v>
      <v>From currency</v>
      <v>%ProviderInfo</v>
      <v>Previous close</v>
      <v>Ticker symbol</v>
      <v>Instrument type</v>
      <v>52 week high</v>
      <v>52 week low</v>
      <v>Last trade time</v>
    </spb>
    <spb s="11">
      <v>3</v>
      <v>Name</v>
    </spb>
    <spb s="16">
      <v>2</v>
      <v>2</v>
      <v>2</v>
      <v>3</v>
      <v>2</v>
      <v>2</v>
      <v>5</v>
      <v>2</v>
      <v>6</v>
      <v>2</v>
      <v>2</v>
      <v>9</v>
    </spb>
  </spbData>
</supportingPropertyBags>
</file>

<file path=xl/richData/rdsupportingpropertybagstructure.xml><?xml version="1.0" encoding="utf-8"?>
<spbStructures xmlns="http://schemas.microsoft.com/office/spreadsheetml/2017/richdata2" count="17">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pitalización de mercado" t="s"/>
    <k n="Abreviatura de intercambio" t="s"/>
    <k n="Hora de la última operación" t="s"/>
  </s>
  <s>
    <k n="^Order" t="spba"/>
    <k n="TitleProperty" t="s"/>
    <k n="SubTitleProperty" t="s"/>
  </s>
  <s>
    <k n="ShowInCardView" t="b"/>
    <k n="ShowInDotNotation" t="b"/>
    <k n="ShowInAutoComplete" t="b"/>
  </s>
  <s>
    <k n="ExchangeID" t="spb"/>
    <k n="UniqueName" t="spb"/>
    <k n="`%ProviderInfo" t="spb"/>
    <k n="LearnMoreOnLink" t="spb"/>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pitalización de mercado" t="i"/>
    <k n="Hora de la última operación" t="i"/>
  </s>
  <s>
    <k n="Cambio" t="s"/>
    <k n="Precio" t="s"/>
    <k n="Cambio (%)" t="s"/>
    <k n="Hora de la última operación" t="s"/>
  </s>
  <s>
    <k n="P/I" t="s"/>
    <k n="Beta" t="s"/>
    <k n="Cambio" t="s"/>
    <k n="Moneda" t="s"/>
    <k n="Máximo" t="s"/>
    <k n="Mínimo" t="s"/>
    <k n="Nombre" t="s"/>
    <k n="Precio" t="s"/>
    <k n="Sector" t="s"/>
    <k n="Volumen" t="s"/>
    <k n="Apertura" t="s"/>
    <k n="Empleados" t="s"/>
    <k n="Cambio (%)" t="s"/>
    <k n="ExchangeID" t="s"/>
    <k n="UniqueName" t="s"/>
    <k n="Descripción" t="s"/>
    <k n="Intercambio" t="s"/>
    <k n="Sede central" t="s"/>
    <k n="%ProviderInfo" t="s"/>
    <k n="Nombre oficial" t="s"/>
    <k n="Cierre anterior" t="s"/>
    <k n="LearnMoreOnLink" t="s"/>
    <k n="Símbolo bursátil" t="s"/>
    <k n="Volumen promedio" t="s"/>
    <k n="Año de constitución" t="s"/>
    <k n="Tipo de instrumento" t="s"/>
    <k n="Máximo en 52 semanas" t="s"/>
    <k n="Mínimo en 52 semanas" t="s"/>
    <k n="Acciones en circulación" t="s"/>
    <k n="Cambio (horario ampliado)" t="s"/>
    <k n="Capitalización de mercado" t="s"/>
    <k n="Precio (horario ampliado)" t="s"/>
    <k n="Abreviatura de intercambio" t="s"/>
    <k n="Cambio % (horario ampliado)" t="s"/>
    <k n="Hora de la última operación" t="s"/>
  </s>
  <s>
    <k n="P/I" t="i"/>
    <k n="Beta" t="i"/>
    <k n="Cambio" t="i"/>
    <k n="Máximo" t="i"/>
    <k n="Mínimo" t="i"/>
    <k n="Nombre" t="i"/>
    <k n="Precio" t="i"/>
    <k n="Volumen" t="i"/>
    <k n="Apertura" t="i"/>
    <k n="Empleados" t="i"/>
    <k n="Cambio (%)" t="i"/>
    <k n="Cierre anterior" t="i"/>
    <k n="Volumen promedio" t="i"/>
    <k n="`%EntityServiceId" t="i"/>
    <k n="Año de constitución" t="i"/>
    <k n="Máximo en 52 semanas" t="i"/>
    <k n="Mínimo en 52 semanas" t="i"/>
    <k n="Acciones en circulación" t="i"/>
    <k n="Cambio (horario ampliado)" t="i"/>
    <k n="Capitalización de mercado" t="i"/>
    <k n="Precio (horario ampliado)" t="i"/>
    <k n="Cambio % (horario ampliado)" t="i"/>
    <k n="Hora de la última operación" t="i"/>
  </s>
  <s>
    <k n="Cambio" t="s"/>
    <k n="Precio" t="s"/>
    <k n="Cambio (%)" t="s"/>
    <k n="Cambio (horario ampliado)" t="s"/>
    <k n="Precio (horario ampliado)" t="s"/>
    <k n="Cambio % (horario ampliado)" t="s"/>
    <k n="Hora de la última operación" t="s"/>
  </s>
  <s>
    <k n="Cambio" t="s"/>
    <k n="Precio" t="s"/>
    <k n="Cambio (%)" t="s"/>
    <k n="ExchangeID" t="s"/>
    <k n="Cambio (horario ampliado)" t="s"/>
    <k n="Precio (horario ampliado)" t="s"/>
    <k n="Cambio % (horario ampliado)" t="s"/>
    <k n="Hora de la última operación" t="s"/>
  </s>
  <s>
    <k n="Cambio" t="s"/>
    <k n="Moneda" t="s"/>
    <k n="Nombre" t="s"/>
    <k n="Precio" t="s"/>
    <k n="Cambio (%)" t="s"/>
    <k n="UniqueName" t="s"/>
    <k n="De la moneda" t="s"/>
    <k n="%ProviderInfo" t="s"/>
    <k n="Cierre anterior" t="s"/>
    <k n="Símbolo bursátil" t="s"/>
    <k n="Tipo de instrumento" t="s"/>
    <k n="Máximo en 52 semanas" t="s"/>
    <k n="Mínimo en 52 semanas" t="s"/>
    <k n="Hora de la última operación" t="s"/>
  </s>
  <s>
    <k n="^Order" t="spba"/>
    <k n="TitleProperty" t="s"/>
  </s>
  <s>
    <k n="UniqueName" t="spb"/>
    <k n="`%ProviderInfo" t="spb"/>
  </s>
  <s>
    <k n="Cambio" t="i"/>
    <k n="Nombre" t="i"/>
    <k n="Precio" t="i"/>
    <k n="Cambio (%)" t="i"/>
    <k n="Cierre anterior" t="i"/>
    <k n="`%EntityServiceId" t="i"/>
    <k n="Máximo en 52 semanas" t="i"/>
    <k n="Mínimo en 52 semanas" t="i"/>
    <k n="Hora de la última operación" t="i"/>
  </s>
  <s>
    <k n="Hora de la última operación" t="s"/>
  </s>
  <s>
    <k n="Cambio" t="s"/>
    <k n="Moneda" t="s"/>
    <k n="Máximo" t="s"/>
    <k n="Mínimo" t="s"/>
    <k n="Nombre" t="s"/>
    <k n="Precio" t="s"/>
    <k n="Apertura" t="s"/>
    <k n="Cambio (%)" t="s"/>
    <k n="UniqueName" t="s"/>
    <k n="De la moneda" t="s"/>
    <k n="%ProviderInfo" t="s"/>
    <k n="Cierre anterior" t="s"/>
    <k n="Símbolo bursátil" t="s"/>
    <k n="Tipo de instrumento" t="s"/>
    <k n="Máximo en 52 semanas" t="s"/>
    <k n="Mínimo en 52 semanas" t="s"/>
    <k n="Hora de la última operación" t="s"/>
  </s>
  <s>
    <k n="Cambio" t="i"/>
    <k n="Máximo" t="i"/>
    <k n="Mínimo" t="i"/>
    <k n="Nombre" t="i"/>
    <k n="Precio" t="i"/>
    <k n="Apertura" t="i"/>
    <k n="Cambio (%)" t="i"/>
    <k n="Cierre anterior" t="i"/>
    <k n="`%EntityServiceId" t="i"/>
    <k n="Máximo en 52 semanas" t="i"/>
    <k n="Mínimo en 52 semanas" t="i"/>
    <k n="Hora de la última operación"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0" formatCode="General"/>
    </x:dxf>
    <x:dxf>
      <x:numFmt numFmtId="3" formatCode="#,##0"/>
    </x:dxf>
    <x:dxf>
      <x:numFmt numFmtId="14" formatCode="0.00%"/>
    </x:dxf>
    <x:dxf>
      <x:numFmt numFmtId="2" formatCode="0.00"/>
    </x:dxf>
    <x:dxf>
      <x:numFmt numFmtId="1" formatCode="0"/>
    </x:dxf>
    <x:dxf>
      <x:numFmt numFmtId="27" formatCode="dd/mm/yyyy\ h:mm"/>
    </x:dxf>
  </dxfs>
  <richProperties>
    <rPr n="NumberFormat" t="s"/>
    <rPr n="IsTitleField" t="b"/>
  </richProperties>
  <richStyles>
    <rSty dxfid="0">
      <rpv i="0">#,##0.00</rpv>
    </rSty>
    <rSty dxfid="1">
      <rpv i="0">_([$€-x-euro2] * #,##0.00_);_([$€-x-euro2] * (#,##0.00);_([$€-x-euro2] * "-"??_);_(@_)</rpv>
    </rSty>
    <rSty>
      <rpv i="1">1</rpv>
    </rSty>
    <rSty dxfid="2">
      <rpv i="0">#,##0</rpv>
    </rSty>
    <rSty dxfid="3"/>
    <rSty dxfid="4">
      <rpv i="0">0.00</rpv>
    </rSty>
    <rSty dxfid="5">
      <rpv i="0">0</rpv>
    </rSty>
    <rSty dxfid="1">
      <rpv i="0">_([$€-x-euro2] * #,##0_);_([$€-x-euro2] * (#,##0);_([$€-x-euro2] * "-"_);_(@_)</rpv>
    </rSty>
    <rSty dxfid="6"/>
    <rSty dxfid="1">
      <rpv i="0">_([$$-en-US]* #,##0.00_);_([$$-en-US]* (#,##0.00);_([$$-en-US]* "-"??_);_(@_)</rpv>
    </rSty>
    <rSty dxfid="1">
      <rpv i="0">_([$$-en-US]* #,##0_);_([$$-en-US]* (#,##0);_([$$-en-US]*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E33134-101C-44ED-8321-39D209B566B5}" name="Watchlist" displayName="Watchlist" ref="A1:R8" totalsRowShown="0" headerRowDxfId="132">
  <autoFilter ref="A1:R8" xr:uid="{CE5F8BD3-8DC9-4C3D-A914-2B0936C9D7FF}"/>
  <sortState xmlns:xlrd2="http://schemas.microsoft.com/office/spreadsheetml/2017/richdata2" ref="A2:Q8">
    <sortCondition sortBy="cellColor" ref="D2:D8" dxfId="131"/>
  </sortState>
  <tableColumns count="18">
    <tableColumn id="18" xr3:uid="{81771CDD-1C00-4B8F-B185-9D356821CBE6}" name="Símbolo" dataDxfId="130" totalsRowDxfId="129" dataCellStyle="Hipervínculo" totalsRowCellStyle="Hipervínculo">
      <calculatedColumnFormula array="1">_FV(Watchlist[[#This Row],[Empresa]],"Símbolo bursátil",TRUE)</calculatedColumnFormula>
    </tableColumn>
    <tableColumn id="1" xr3:uid="{DF95E967-4F23-491B-A9E5-AC952506C19B}" name="Empresa" dataDxfId="128" totalsRowDxfId="127"/>
    <tableColumn id="7" xr3:uid="{9E043296-9841-4E80-84AA-F4F92AB6978B}" name="En Cartera" dataDxfId="126" totalsRowDxfId="125">
      <calculatedColumnFormula>IF(ISTEXT(VLOOKUP(Watchlist[[#This Row],[Símbolo]],'Cartera de Acciones'!A:A,1,FALSE)),1,0)</calculatedColumnFormula>
    </tableColumn>
    <tableColumn id="2" xr3:uid="{2FE3BA21-FFB6-433B-B578-7244344FBD88}" name="Precio" dataDxfId="124">
      <calculatedColumnFormula array="1">_FV(Watchlist[[#This Row],[Empresa]],"Precio")</calculatedColumnFormula>
    </tableColumn>
    <tableColumn id="3" xr3:uid="{CD579538-7F3F-42D4-B412-6C00D0272561}" name="Cambio (%)" dataDxfId="123">
      <calculatedColumnFormula array="1">_FV(Watchlist[[#This Row],[Empresa]],"Cambio (%)",TRUE)</calculatedColumnFormula>
    </tableColumn>
    <tableColumn id="12" xr3:uid="{06E8B854-0F27-4265-9743-A37D918EDF55}" name="Objetivo" dataDxfId="122" totalsRowDxfId="121"/>
    <tableColumn id="4" xr3:uid="{1637119B-896C-4B02-A505-C58F0CCACFF0}" name="PER" dataDxfId="120" dataCellStyle="Porcentaje" totalsRowCellStyle="Porcentaje">
      <calculatedColumnFormula>IFERROR(Watchlist[[#This Row],[Precio]]/Watchlist[[#This Row],[BPA]]/100,0)</calculatedColumnFormula>
    </tableColumn>
    <tableColumn id="5" xr3:uid="{F3CCD785-2334-4092-B8BC-C60D8E013A46}" name="Pay-out" dataDxfId="119" dataCellStyle="Porcentaje" totalsRowCellStyle="Porcentaje">
      <calculatedColumnFormula>IFERROR(Watchlist[[#This Row],[Dividendo]]/Watchlist[[#This Row],[BPA]],0)</calculatedColumnFormula>
    </tableColumn>
    <tableColumn id="6" xr3:uid="{6B77D193-C2E8-488F-AAEE-FE85B70AD0F2}" name="BPA" dataDxfId="118" dataCellStyle="Moneda" totalsRowCellStyle="Moneda"/>
    <tableColumn id="8" xr3:uid="{DF34E194-68F5-430D-A310-28B4D793CD98}" name="Dividendo" dataDxfId="117"/>
    <tableColumn id="10" xr3:uid="{19A85500-333B-4C3A-88E1-C0BC8BCEF8B7}" name="RPD" dataDxfId="116" dataCellStyle="Porcentaje" totalsRowCellStyle="Porcentaje">
      <calculatedColumnFormula>Watchlist[[#This Row],[Dividendo]]/Watchlist[[#This Row],[Precio]]</calculatedColumnFormula>
    </tableColumn>
    <tableColumn id="11" xr3:uid="{A27897EB-3EA0-4D0B-9849-27D784615272}" name="Moneda">
      <calculatedColumnFormula array="1">_FV(Watchlist[[#This Row],[Empresa]],"Moneda")</calculatedColumnFormula>
    </tableColumn>
    <tableColumn id="14" xr3:uid="{379F329C-92E7-44A3-877A-5CC7FF1CB17C}" name="Máximo2" dataDxfId="115" totalsRowDxfId="114">
      <calculatedColumnFormula array="1">_FV(Watchlist[[#This Row],[Empresa]],"Máximo")</calculatedColumnFormula>
    </tableColumn>
    <tableColumn id="13" xr3:uid="{233921E3-6B0A-4240-89DC-1878C4CCA97F}" name="Mínimo" dataDxfId="113" totalsRowDxfId="112">
      <calculatedColumnFormula array="1">_FV(Watchlist[[#This Row],[Empresa]],"Mínimo")</calculatedColumnFormula>
    </tableColumn>
    <tableColumn id="15" xr3:uid="{7656195C-A127-436D-AF15-36950680B078}" name="Máximo en 52 semanas" dataDxfId="111" totalsRowDxfId="110">
      <calculatedColumnFormula array="1">_FV(Watchlist[[#This Row],[Empresa]],"Máximo en 52 semanas",TRUE)</calculatedColumnFormula>
    </tableColumn>
    <tableColumn id="17" xr3:uid="{D25E99B2-1FBC-4DEF-ADAC-56DA94D91FF3}" name="Mediana en 52 semanas" dataDxfId="109" totalsRowDxfId="108">
      <calculatedColumnFormula>(Watchlist[[#This Row],[Mínimo en 52 semanas]]+Watchlist[[#This Row],[Máximo en 52 semanas]])/2</calculatedColumnFormula>
    </tableColumn>
    <tableColumn id="16" xr3:uid="{DEB6E767-6817-41A9-B0A7-137D5B82D925}" name="Mínimo en 52 semanas" dataDxfId="107" totalsRowDxfId="106">
      <calculatedColumnFormula array="1">_FV(Watchlist[[#This Row],[Empresa]],"Mínimo en 52 semanas",TRUE)</calculatedColumnFormula>
    </tableColumn>
    <tableColumn id="22" xr3:uid="{D3A8C35F-57A1-42E7-98E8-F4FC224066F0}" name="Sector" dataDxfId="105" totalsRowDxfId="104">
      <calculatedColumnFormula array="1">_FV(Watchlist[[#This Row],[Empresa]],"Sector")</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7CA7F9-4962-473A-9485-8A660D5AF319}" name="Tabla2" displayName="Tabla2" ref="A2:T7" totalsRowCount="1">
  <autoFilter ref="A2:T6" xr:uid="{847CA7F9-4962-473A-9485-8A660D5AF319}"/>
  <tableColumns count="20">
    <tableColumn id="4" xr3:uid="{D980E86D-8C97-4E66-BFB5-2EF586CE6FF7}" name="Símbolo" totalsRowLabel="Total" dataDxfId="87" totalsRowDxfId="86">
      <calculatedColumnFormula array="1">_FV(Tabla2[[#This Row],[Empresa]],"Símbolo bursátil",TRUE)</calculatedColumnFormula>
    </tableColumn>
    <tableColumn id="1" xr3:uid="{C2F283C2-F09B-4FDD-BF82-86B2AB2BAA35}" name="Empresa" dataDxfId="85" totalsRowDxfId="84"/>
    <tableColumn id="17" xr3:uid="{8C5313CE-F8EC-44BE-9F04-6061CE6A523E}" name="Moneda" dataDxfId="83">
      <calculatedColumnFormula array="1">_FV(Tabla2[[#This Row],[Empresa]],"Moneda")</calculatedColumnFormula>
    </tableColumn>
    <tableColumn id="2" xr3:uid="{8FB53429-8851-4FC5-A56E-9A674A9CBB9A}" name="Cantidad" totalsRowFunction="sum" dataDxfId="82">
      <calculatedColumnFormula>SUMIFS(Movimientos!C:C,Movimientos!A:A,"Acción",Movimientos!B:B,Tabla2[[#This Row],[Símbolo]],Movimientos!G:G,"Compra")</calculatedColumnFormula>
    </tableColumn>
    <tableColumn id="10" xr3:uid="{6338FE3A-E152-425C-8993-BCDEB9CD3C44}" name="Precio Medio" dataDxfId="81" totalsRowDxfId="80">
      <calculatedColumnFormula>IFERROR(SUMIFS(Movimientos!E:E,Movimientos!B:B,Tabla2[[#This Row],[Símbolo]],Movimientos!A:A,"Acción",Movimientos!G:G,"Compra")/SUMIFS(Movimientos!C:C,Movimientos!B:B,Tabla2[[#This Row],[Símbolo]],Movimientos!A:A,"Acción",Movimientos!G:G,"Compra"),0)</calculatedColumnFormula>
    </tableColumn>
    <tableColumn id="6" xr3:uid="{2385BAC6-8AD2-4563-946A-41975088A938}" name="Valor" totalsRowDxfId="79">
      <calculatedColumnFormula>Tabla2[[#This Row],[Cantidad]]*Tabla2[[#This Row],[Precio Medio]]</calculatedColumnFormula>
    </tableColumn>
    <tableColumn id="18" xr3:uid="{826CD403-78BA-4440-AB5D-40C96D02DA89}" name="Precio Medio €" dataDxfId="78">
      <calculatedColumnFormula>VLOOKUP(Tabla2[[#This Row],[Moneda]] &amp; "EUR",Divisas!A:C,3,FALSE) * Tabla2[[#This Row],[Precio Medio]]</calculatedColumnFormula>
    </tableColumn>
    <tableColumn id="3" xr3:uid="{39518533-245B-418D-ABFD-20D4F383564C}" name="Valor €" totalsRowFunction="sum" dataDxfId="77" totalsRowDxfId="76">
      <calculatedColumnFormula>Tabla2[[#This Row],[Cantidad]]*Tabla2[[#This Row],[Precio Medio €]]</calculatedColumnFormula>
    </tableColumn>
    <tableColumn id="7" xr3:uid="{D005E0F5-5BC5-4B23-BE8D-95AA14BC3581}" name="Peso" totalsRowFunction="sum" dataDxfId="75" totalsRowDxfId="74" dataCellStyle="Porcentaje">
      <calculatedColumnFormula>IFERROR(Tabla2[[#This Row],[Valor €]]/Tabla2[[#Totals],[Valor €]],0)</calculatedColumnFormula>
    </tableColumn>
    <tableColumn id="8" xr3:uid="{049B9BDC-1F7D-455E-8FAE-D5AC714D56FB}" name="Ingresos Dividendos" totalsRowFunction="sum" totalsRowDxfId="73">
      <calculatedColumnFormula>SUMIFS(Movimientos!D:D,Movimientos!A:A,"Acción",Movimientos!B:B,Tabla2[[#This Row],[Símbolo]],Movimientos!G:G,"Dividendo")</calculatedColumnFormula>
    </tableColumn>
    <tableColumn id="19" xr3:uid="{7ACE5D8D-C26F-49C7-8D0F-515CB3B82CE2}" name="Ingresos Dividendos €" totalsRowFunction="sum" dataDxfId="72" totalsRowDxfId="71">
      <calculatedColumnFormula>VLOOKUP(Tabla2[[#This Row],[Moneda]] &amp; "EUR",Divisas!A:C,3,FALSE) * Tabla2[[#This Row],[Ingresos Dividendos]]</calculatedColumnFormula>
    </tableColumn>
    <tableColumn id="9" xr3:uid="{23FA7DBC-9BF5-4327-92B1-49BFA7221614}" name="Peso Dividendos" totalsRowFunction="sum" dataDxfId="70" totalsRowDxfId="69" dataCellStyle="Porcentaje">
      <calculatedColumnFormula>IFERROR(Tabla2[[#This Row],[Ingresos Dividendos €]]/Tabla2[[#Totals],[Ingresos Dividendos €]],0)</calculatedColumnFormula>
    </tableColumn>
    <tableColumn id="5" xr3:uid="{EDBD48D5-0008-4221-8538-B0B8EF06F662}" name="Precio Actual" dataDxfId="68">
      <calculatedColumnFormula array="1">_FV(Tabla2[[#This Row],[Empresa]],"Precio")</calculatedColumnFormula>
    </tableColumn>
    <tableColumn id="11" xr3:uid="{7D07301B-A1C9-4607-A2F6-44858C1A35FF}" name="Valor Actual" totalsRowDxfId="67">
      <calculatedColumnFormula>Tabla2[[#This Row],[Cantidad]]*Tabla2[[#This Row],[Precio Actual]]</calculatedColumnFormula>
    </tableColumn>
    <tableColumn id="21" xr3:uid="{60E9F500-2527-4755-B733-CEA027DAED22}" name="Valor Actual €" totalsRowFunction="sum" dataDxfId="66" totalsRowDxfId="65">
      <calculatedColumnFormula>VLOOKUP(Tabla2[[#This Row],[Moneda]] &amp; "EUR",Divisas!A:C,3,FALSE) * Tabla2[[#This Row],[Valor Actual]]</calculatedColumnFormula>
    </tableColumn>
    <tableColumn id="12" xr3:uid="{981B4E7F-35BF-478C-8BD7-FD1E6A2E0ABC}" name="Peso Actual" totalsRowFunction="sum" dataDxfId="64" totalsRowDxfId="63" dataCellStyle="Porcentaje">
      <calculatedColumnFormula>Tabla2[[#This Row],[Valor Actual €]]/Tabla2[[#Totals],[Valor Actual €]]</calculatedColumnFormula>
    </tableColumn>
    <tableColumn id="13" xr3:uid="{C0194B0E-F73D-443A-9ED5-C6792E867404}" name="Valor Actual + Div €" totalsRowFunction="sum" dataDxfId="62" totalsRowDxfId="61">
      <calculatedColumnFormula>Tabla2[[#This Row],[Valor Actual €]]+Tabla2[[#This Row],[Ingresos Dividendos €]]</calculatedColumnFormula>
    </tableColumn>
    <tableColumn id="14" xr3:uid="{E8CF29C7-8ABF-4A7D-A670-EA32B7427168}" name="Rentabilidad" totalsRowFunction="custom" dataDxfId="60" totalsRowDxfId="59" dataCellStyle="Porcentaje">
      <calculatedColumnFormula>IFERROR((Tabla2[[#This Row],[Valor Actual + Div €]]-Tabla2[[#This Row],[Valor €]])/Tabla2[[#This Row],[Valor €]],0)</calculatedColumnFormula>
      <totalsRowFormula>SUMPRODUCT(Tabla2[Rentabilidad],Tabla2[Valor Actual €]) / SUM(Tabla2[Valor Actual €])</totalsRowFormula>
    </tableColumn>
    <tableColumn id="15" xr3:uid="{C411D320-C7C1-4C60-A711-1411AE21BED3}" name="Rentabilidad sin Div" totalsRowFunction="custom" dataDxfId="58" totalsRowDxfId="57" dataCellStyle="Porcentaje">
      <calculatedColumnFormula>IFERROR((Tabla2[[#This Row],[Valor Actual]]-Tabla2[[#This Row],[Valor]])/Tabla2[[#This Row],[Valor]],0)</calculatedColumnFormula>
      <totalsRowFormula>SUMPRODUCT(Tabla2[Rentabilidad sin Div],Tabla2[Valor Actual €]) / SUM(Tabla2[Valor Actual €])</totalsRowFormula>
    </tableColumn>
    <tableColumn id="16" xr3:uid="{7C8F93E6-8C0D-493B-87AA-641A51204C06}" name="Variación Día €" totalsRowFunction="sum" dataDxfId="56" totalsRowDxfId="55" dataCellStyle="Porcentaje">
      <calculatedColumnFormula array="1">Tabla2[[#This Row],[Valor Actual €]]*_FV(Tabla2[[#This Row],[Empresa]],"Cambio (%)",TRUE)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019DE6-AC45-4767-A630-406B5C6DCF1F}" name="Tabla4" displayName="Tabla4" ref="A2:M4" totalsRowCount="1">
  <autoFilter ref="A2:M3" xr:uid="{62019DE6-AC45-4767-A630-406B5C6DCF1F}"/>
  <tableColumns count="13">
    <tableColumn id="1" xr3:uid="{3A406A96-6F14-47A8-9BEA-D0EAE96E0279}" name="Nombre del Fondo" totalsRowDxfId="50" dataCellStyle="Hipervínculo"/>
    <tableColumn id="3" xr3:uid="{106CD027-F92D-4E3E-91EB-E4ABB1922358}" name="ISIN" totalsRowLabel="Total"/>
    <tableColumn id="2" xr3:uid="{B6EDC192-A528-4838-92B9-10787DB6D96A}" name="TER" dataDxfId="49" totalsRowDxfId="48" dataCellStyle="Porcentaje"/>
    <tableColumn id="6" xr3:uid="{7A14813E-AACA-46AA-8866-43BCF0E3FCEC}" name="Moneda" dataDxfId="47" dataCellStyle="Porcentaje"/>
    <tableColumn id="4" xr3:uid="{C0015893-5201-4192-AF74-6BCB9FC66DA6}" name="Cantidad" totalsRowFunction="sum" dataDxfId="46" totalsRowDxfId="45"/>
    <tableColumn id="5" xr3:uid="{E0D4D994-23D2-4313-BECF-49F3E0EE446A}" name="Precio Medio">
      <calculatedColumnFormula>IFERROR(SUMIFS(Movimientos!E:E,Movimientos!B:B,Tabla4[[#This Row],[Nombre del Fondo]],Movimientos!A:A,"Fondo",Movimientos!G:G,"Compra")/SUMIFS(Movimientos!C:C,Movimientos!B:B,Tabla4[[#This Row],[Nombre del Fondo]],Movimientos!A:A,"Fondo",Movimientos!G:G,"Compra"),0)</calculatedColumnFormula>
    </tableColumn>
    <tableColumn id="8" xr3:uid="{5F496697-5F75-4E1D-9272-1F5368EB43F4}" name="Valor" totalsRowFunction="sum" totalsRowDxfId="44">
      <calculatedColumnFormula>Tabla4[[#This Row],[Cantidad]]*Tabla4[[#This Row],[Precio Medio]]</calculatedColumnFormula>
    </tableColumn>
    <tableColumn id="17" xr3:uid="{A88EDBE5-8B0F-4C55-97E5-F97B58EECD92}" name="Peso" dataDxfId="43" dataCellStyle="Porcentaje">
      <calculatedColumnFormula>IFERROR(Tabla4[[#This Row],[Valor]]/Tabla4[[#Totals],[Valor]],0)</calculatedColumnFormula>
    </tableColumn>
    <tableColumn id="11" xr3:uid="{4890FEC1-A5DB-44FA-A183-AFB1D2CB57F5}" name="Índice" totalsRowDxfId="42" dataCellStyle="Hipervínculo"/>
    <tableColumn id="12" xr3:uid="{0D2D0C3F-AAE6-42B2-92D1-B59EF00A7148}" name="Precio Actual" dataDxfId="41"/>
    <tableColumn id="13" xr3:uid="{167EE080-C67E-459C-942A-1581D18140B6}" name="Valor Actual" totalsRowFunction="sum" totalsRowDxfId="40">
      <calculatedColumnFormula>Tabla4[[#This Row],[Precio Actual]]*Tabla4[[#This Row],[Cantidad]]</calculatedColumnFormula>
    </tableColumn>
    <tableColumn id="15" xr3:uid="{FB871CB4-595C-4395-A71D-9E302911F8F1}" name="Peso Actual" totalsRowFunction="sum" totalsRowDxfId="39" dataCellStyle="Porcentaje">
      <calculatedColumnFormula>IFERROR(Tabla4[[#This Row],[Valor Actual]]/Tabla4[[#Totals],[Valor Actual]],0)</calculatedColumnFormula>
    </tableColumn>
    <tableColumn id="16" xr3:uid="{CA8DCD1A-3F94-4006-9C47-3E9296C13564}" name="Rentabilidad" totalsRowFunction="custom" dataDxfId="38" totalsRowDxfId="37" dataCellStyle="Porcentaje">
      <calculatedColumnFormula>IFERROR((Tabla4[[#This Row],[Valor Actual]]-Tabla4[[#This Row],[Valor]])/Tabla4[[#This Row],[Valor]],0)</calculatedColumnFormula>
      <totalsRowFormula>SUMPRODUCT(Tabla4[Rentabilidad],Tabla4[Valor Actual]) / SUM(Tabla4[Valor Actual])</totalsRow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D70E12-D5D1-41F1-9DB7-1FC761D85A8A}" name="Tabla467" displayName="Tabla467" ref="A4:T11" totalsRowCount="1">
  <autoFilter ref="A4:T10" xr:uid="{62019DE6-AC45-4767-A630-406B5C6DCF1F}"/>
  <tableColumns count="20">
    <tableColumn id="1" xr3:uid="{4698CD60-BB2E-4439-B1A5-7D9A1EE9259C}" name="Nombre del Fondo" totalsRowLabel="Total" dataCellStyle="Hipervínculo"/>
    <tableColumn id="3" xr3:uid="{4B50C69E-B0FC-4782-A851-F223FC89C3FE}" name="ISIN" totalsRowLabel="Total"/>
    <tableColumn id="7" xr3:uid="{8CD2363C-3FF2-49E7-987B-938A58FAFDD6}" name="TER" totalsRowFunction="custom" dataDxfId="32" totalsRowDxfId="31" dataCellStyle="Porcentaje">
      <totalsRowFormula>IFERROR(SUMPRODUCT(Tabla467[TER],Tabla467[Valor Actual]) / SUM(Tabla467[Valor Actual]),0)</totalsRowFormula>
    </tableColumn>
    <tableColumn id="6" xr3:uid="{8709351D-B9B4-41BB-9832-5652A1A94B65}" name="Moneda" dataDxfId="30" dataCellStyle="Porcentaje"/>
    <tableColumn id="4" xr3:uid="{69B789B0-5B8C-480A-9188-FB39000EE6F7}" name="Cantidad" totalsRowFunction="sum" dataDxfId="29" totalsRowDxfId="28">
      <calculatedColumnFormula>SUMIFS(Movimientos!C:C,Movimientos!A:A,"Fondo",Movimientos!B:B,Tabla467[[#This Row],[Nombre del Fondo]],Movimientos!G:G,"Compra")</calculatedColumnFormula>
    </tableColumn>
    <tableColumn id="5" xr3:uid="{5C43DDA1-3148-46CB-898C-1E05F12E4B4F}" name="Precio Medio">
      <calculatedColumnFormula>IFERROR(SUMIFS(Movimientos!E:E,Movimientos!B:B,Tabla467[[#This Row],[Nombre del Fondo]],Movimientos!A:A,"Fondo",Movimientos!G:G,"Compra")/SUMIFS(Movimientos!C:C,Movimientos!B:B,Tabla467[[#This Row],[Nombre del Fondo]],Movimientos!A:A,"Fondo",Movimientos!G:G,"Compra"),0)</calculatedColumnFormula>
    </tableColumn>
    <tableColumn id="8" xr3:uid="{1992BFF4-9A02-4EA4-894B-F957E89BE119}" name="Valor" totalsRowFunction="sum" totalsRowDxfId="27">
      <calculatedColumnFormula>Tabla467[[#This Row],[Cantidad]]*Tabla467[[#This Row],[Precio Medio]]</calculatedColumnFormula>
    </tableColumn>
    <tableColumn id="17" xr3:uid="{97CDB3C3-ACCF-40D3-8C1B-09BFC83BE1B2}" name="Peso" totalsRowFunction="sum" dataDxfId="26" totalsRowDxfId="25" dataCellStyle="Porcentaje">
      <calculatedColumnFormula>IFERROR(Tabla467[[#This Row],[Valor]]/Tabla467[[#Totals],[Valor]],0)</calculatedColumnFormula>
    </tableColumn>
    <tableColumn id="11" xr3:uid="{0BEB18F5-4CCD-435F-8B44-40320755F6F6}" name="Índice" totalsRowDxfId="24" dataCellStyle="Hipervínculo"/>
    <tableColumn id="10" xr3:uid="{E42262E8-F5DE-47E7-AEA5-7F44D17D8154}" name="Capitalización Índice" totalsRowFunction="sum" dataDxfId="23" totalsRowDxfId="22" dataCellStyle="Millares"/>
    <tableColumn id="18" xr3:uid="{D9606018-809E-47F5-B3D2-8657127C878D}" name="Peso Ínidce" totalsRowFunction="sum" dataDxfId="21" totalsRowDxfId="20" dataCellStyle="Porcentaje">
      <calculatedColumnFormula>IFERROR(Tabla467[[#This Row],[Capitalización Índice]]/Tabla467[[#Totals],[Capitalización Índice]],0)</calculatedColumnFormula>
    </tableColumn>
    <tableColumn id="12" xr3:uid="{29B8DE8A-33BF-49FE-9414-2ADEE30A04BE}" name="Precio Actual" dataDxfId="19"/>
    <tableColumn id="13" xr3:uid="{DE1E3B15-C4BE-4BA5-B856-244A4F2C6F13}" name="Valor Actual" totalsRowFunction="sum" totalsRowDxfId="18">
      <calculatedColumnFormula>Tabla467[[#This Row],[Precio Actual]]*Tabla467[[#This Row],[Cantidad]]</calculatedColumnFormula>
    </tableColumn>
    <tableColumn id="15" xr3:uid="{C16046FB-B9FA-4C93-9040-5AA24005AEFD}" name="Peso Actual" totalsRowFunction="sum" dataDxfId="17" totalsRowDxfId="16" dataCellStyle="Porcentaje">
      <calculatedColumnFormula>IFERROR(Tabla467[[#This Row],[Valor Actual]]/Tabla467[[#Totals],[Valor Actual]],0)</calculatedColumnFormula>
    </tableColumn>
    <tableColumn id="16" xr3:uid="{50B62543-BD44-4A66-8755-E63086EF06E3}" name="Rentabilidad" totalsRowFunction="custom" dataDxfId="15" totalsRowDxfId="14" dataCellStyle="Porcentaje">
      <calculatedColumnFormula>IFERROR((Tabla467[[#This Row],[Valor Actual]]-Tabla467[[#This Row],[Valor]])/Tabla467[[#This Row],[Valor]],0)</calculatedColumnFormula>
      <totalsRowFormula>SUMPRODUCT(Tabla467[Rentabilidad],Tabla467[Valor Actual]) / SUM(Tabla467[Valor Actual])</totalsRowFormula>
    </tableColumn>
    <tableColumn id="2" xr3:uid="{5F058DEC-ABF7-4D21-A053-17E33738AE58}" name="Rebalanceo" totalsRowFunction="custom" dataDxfId="13" totalsRowDxfId="12" dataCellStyle="Porcentaje">
      <calculatedColumnFormula>Tabla467[[#This Row],[Peso Ínidce]]-Tabla467[[#This Row],[Peso Actual]]</calculatedColumnFormula>
      <totalsRowFormula array="1">AVERAGE(ABS(Tabla467[Rebalanceo]))</totalsRowFormula>
    </tableColumn>
    <tableColumn id="20" xr3:uid="{CE0E6510-00F5-43F2-893D-03456CFAC6D4}" name="Cantidad Compra" dataDxfId="11" totalsRowDxfId="10" dataCellStyle="Millares">
      <calculatedColumnFormula>Tabla467[[#This Row],[Valor Compra]]/Tabla467[[#This Row],[Precio Actual]]</calculatedColumnFormula>
    </tableColumn>
    <tableColumn id="9" xr3:uid="{3E4AB3CE-CD5A-48A4-92EA-83A78697279E}" name="Valor Compra" totalsRowFunction="sum" dataDxfId="9" totalsRowDxfId="8" dataCellStyle="Énfasis6">
      <calculatedColumnFormula>Tabla467[[#This Row],[Rebalanceo]]*Tabla467[[#Totals],[Valor Actual]] + $B$1 * Tabla467[[#This Row],[Peso Ínidce]]</calculatedColumnFormula>
    </tableColumn>
    <tableColumn id="14" xr3:uid="{2D60AF42-E005-4CD3-AFC7-FBFC6C360110}" name="Valor Tras Compra" totalsRowFunction="sum" dataDxfId="7" totalsRowDxfId="6">
      <calculatedColumnFormula>Tabla467[[#This Row],[Valor Actual]]+Tabla467[[#This Row],[Valor Compra]]</calculatedColumnFormula>
    </tableColumn>
    <tableColumn id="19" xr3:uid="{C13A00B5-6678-4A8D-B6BB-41E835A26E5E}" name="Peso Tras Compra" totalsRowFunction="sum" dataDxfId="5" totalsRowDxfId="4" dataCellStyle="Porcentaje">
      <calculatedColumnFormula>Tabla467[[#This Row],[Valor Tras Compra]]/Tabla467[[#Totals],[Valor Tras Compra]]</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607FED-345B-4165-95CB-6BFFF07C9FBA}" name="Tabla5" displayName="Tabla5" ref="A1:G13" totalsRowShown="0">
  <autoFilter ref="A1:G13" xr:uid="{37607FED-345B-4165-95CB-6BFFF07C9FBA}"/>
  <sortState xmlns:xlrd2="http://schemas.microsoft.com/office/spreadsheetml/2017/richdata2" ref="A2:G13">
    <sortCondition ref="F1:F13"/>
  </sortState>
  <tableColumns count="7">
    <tableColumn id="6" xr3:uid="{58160017-836F-460C-807A-05B0BE7152B0}" name="Tipo"/>
    <tableColumn id="1" xr3:uid="{7898B948-45A8-4EED-B605-AE642ACFD1BC}" name="Activo"/>
    <tableColumn id="2" xr3:uid="{938ACDD4-EEFF-4844-A0FF-A55F460433BB}" name="Cantidad" dataDxfId="3" dataCellStyle="Millares"/>
    <tableColumn id="3" xr3:uid="{40B55C34-A67F-437C-AEFA-444877DD8CC2}" name="Precio" dataCellStyle="Millares"/>
    <tableColumn id="7" xr3:uid="{AA6E5001-2092-4A2D-BF12-80619FD0BBDB}" name="Valor" dataDxfId="2" dataCellStyle="Millares">
      <calculatedColumnFormula>Tabla5[[#This Row],[Cantidad]]*Tabla5[[#This Row],[Precio]]</calculatedColumnFormula>
    </tableColumn>
    <tableColumn id="4" xr3:uid="{ADAF6F34-5DA0-4C2E-A3D6-604D954B8D8B}" name="Fecha" dataDxfId="1"/>
    <tableColumn id="5" xr3:uid="{E067FB4D-E606-4A53-BD53-2B4DC3954505}" name="Operación"/>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71FD9A-C52F-46E3-8F87-03DDA9D35F78}" name="Tabla3" displayName="Tabla3" ref="A1:C4" totalsRowShown="0">
  <autoFilter ref="A1:C4" xr:uid="{8671FD9A-C52F-46E3-8F87-03DDA9D35F78}"/>
  <tableColumns count="3">
    <tableColumn id="8" xr3:uid="{02406679-0349-4790-99DD-FF90CA1A45A1}" name="Símbolo bursátil">
      <calculatedColumnFormula array="1">_FV(Tabla3[[#This Row],[Divisa]],"Símbolo bursátil",TRUE)</calculatedColumnFormula>
    </tableColumn>
    <tableColumn id="1" xr3:uid="{55E3E810-6F77-4FB8-9C5D-3099348116E7}" name="Divisa"/>
    <tableColumn id="7" xr3:uid="{A0A09831-6156-479A-BADC-7470EF995456}" name="Precio" dataDxfId="0">
      <calculatedColumnFormula array="1">_FV(Tabla3[[#This Row],[Divisa]],"Precio")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es.investing.com/equities/daimler" TargetMode="External"/><Relationship Id="rId7" Type="http://schemas.openxmlformats.org/officeDocument/2006/relationships/hyperlink" Target="https://www.investing.com/equities/verizon-communications" TargetMode="External"/><Relationship Id="rId2" Type="http://schemas.openxmlformats.org/officeDocument/2006/relationships/hyperlink" Target="https://es.investing.com/equities/bay-mot-werke" TargetMode="External"/><Relationship Id="rId1" Type="http://schemas.openxmlformats.org/officeDocument/2006/relationships/hyperlink" Target="https://es.investing.com/equities/inditex" TargetMode="External"/><Relationship Id="rId6" Type="http://schemas.openxmlformats.org/officeDocument/2006/relationships/hyperlink" Target="https://es.investing.com/equities/acs-cons-y-serv" TargetMode="External"/><Relationship Id="rId5" Type="http://schemas.openxmlformats.org/officeDocument/2006/relationships/hyperlink" Target="https://es.investing.com/equities/3m-co" TargetMode="External"/><Relationship Id="rId4" Type="http://schemas.openxmlformats.org/officeDocument/2006/relationships/hyperlink" Target="https://es.investing.com/equities/bbva"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investing.com/funds/renta-4-multigestion-num-pat-gl-chart" TargetMode="External"/><Relationship Id="rId1" Type="http://schemas.openxmlformats.org/officeDocument/2006/relationships/hyperlink" Target="https://www.msci.com/resources/factsheets/index_fact_sheet/msci-world-index.pdf"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msci.com/resources/factsheets/index_fact_sheet/msci-europe-index.pdf" TargetMode="External"/><Relationship Id="rId13" Type="http://schemas.openxmlformats.org/officeDocument/2006/relationships/printerSettings" Target="../printerSettings/printerSettings4.bin"/><Relationship Id="rId3" Type="http://schemas.openxmlformats.org/officeDocument/2006/relationships/hyperlink" Target="https://es.investing.com/funds/ie00bywycc39" TargetMode="External"/><Relationship Id="rId7" Type="http://schemas.openxmlformats.org/officeDocument/2006/relationships/hyperlink" Target="https://es.investing.com/funds/ie00bdrk7r97" TargetMode="External"/><Relationship Id="rId12" Type="http://schemas.openxmlformats.org/officeDocument/2006/relationships/hyperlink" Target="http://www.msci.com/resources/factsheets/index_fact_sheet/msci-japan-index.pdf" TargetMode="External"/><Relationship Id="rId2" Type="http://schemas.openxmlformats.org/officeDocument/2006/relationships/hyperlink" Target="https://es.investing.com/funds/ie00byx5mx67" TargetMode="External"/><Relationship Id="rId1" Type="http://schemas.openxmlformats.org/officeDocument/2006/relationships/hyperlink" Target="https://www.spglobal.com/spdji/en/indices/equity/sp-500/" TargetMode="External"/><Relationship Id="rId6" Type="http://schemas.openxmlformats.org/officeDocument/2006/relationships/hyperlink" Target="https://es.investing.com/funds/ie00b42w4l06" TargetMode="External"/><Relationship Id="rId11" Type="http://schemas.openxmlformats.org/officeDocument/2006/relationships/hyperlink" Target="https://www.msci.com/resources/factsheets/index_fact_sheet/msci-world-small-cap-index.pdf" TargetMode="External"/><Relationship Id="rId5" Type="http://schemas.openxmlformats.org/officeDocument/2006/relationships/hyperlink" Target="https://es.investing.com/funds/ie00byx5n771" TargetMode="External"/><Relationship Id="rId15" Type="http://schemas.openxmlformats.org/officeDocument/2006/relationships/table" Target="../tables/table4.xml"/><Relationship Id="rId10" Type="http://schemas.openxmlformats.org/officeDocument/2006/relationships/hyperlink" Target="http://www.msci.com/resources/factsheets/index_fact_sheet/msci-pacific-ex-japan-index-net.pdf" TargetMode="External"/><Relationship Id="rId4" Type="http://schemas.openxmlformats.org/officeDocument/2006/relationships/hyperlink" Target="https://es.investing.com/funds/vanguard-european-stock-inst-acc" TargetMode="External"/><Relationship Id="rId9" Type="http://schemas.openxmlformats.org/officeDocument/2006/relationships/hyperlink" Target="http://www.msci.com/resources/factsheets/index_fact_sheet/msci-emerging-markets-index-usd-net.pdf" TargetMode="External"/><Relationship Id="rId1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E585-43FC-43BA-9FBF-A14A3F2B8A13}">
  <dimension ref="A1:R44"/>
  <sheetViews>
    <sheetView tabSelected="1" zoomScale="85" zoomScaleNormal="85" workbookViewId="0">
      <pane xSplit="1" topLeftCell="B1" activePane="topRight" state="frozen"/>
      <selection pane="topRight" activeCell="M31" sqref="M31"/>
    </sheetView>
  </sheetViews>
  <sheetFormatPr baseColWidth="10" defaultRowHeight="15" x14ac:dyDescent="0.25"/>
  <cols>
    <col min="1" max="1" width="10.5703125" bestFit="1" customWidth="1"/>
    <col min="2" max="2" width="64.42578125" bestFit="1" customWidth="1"/>
    <col min="3" max="3" width="12.28515625" style="8" bestFit="1" customWidth="1"/>
    <col min="4" max="4" width="10.140625" bestFit="1" customWidth="1"/>
    <col min="5" max="5" width="13.42578125" bestFit="1" customWidth="1"/>
    <col min="6" max="6" width="8.7109375" style="31" bestFit="1" customWidth="1"/>
    <col min="7" max="7" width="11" bestFit="1" customWidth="1"/>
    <col min="8" max="8" width="10.140625" bestFit="1" customWidth="1"/>
    <col min="9" max="9" width="10.28515625" customWidth="1"/>
    <col min="10" max="10" width="12.42578125" bestFit="1" customWidth="1"/>
    <col min="14" max="14" width="10.28515625" bestFit="1" customWidth="1"/>
    <col min="15" max="15" width="24.140625" customWidth="1"/>
    <col min="16" max="17" width="23.85546875" bestFit="1" customWidth="1"/>
    <col min="18" max="18" width="31.85546875" bestFit="1" customWidth="1"/>
  </cols>
  <sheetData>
    <row r="1" spans="1:18" s="9" customFormat="1" x14ac:dyDescent="0.25">
      <c r="A1" s="9" t="s">
        <v>22</v>
      </c>
      <c r="B1" s="9" t="s">
        <v>0</v>
      </c>
      <c r="C1" s="9" t="s">
        <v>21</v>
      </c>
      <c r="D1" s="9" t="s">
        <v>1</v>
      </c>
      <c r="E1" s="9" t="s">
        <v>2</v>
      </c>
      <c r="F1" s="31" t="s">
        <v>67</v>
      </c>
      <c r="G1" s="9" t="s">
        <v>3</v>
      </c>
      <c r="H1" s="9" t="s">
        <v>4</v>
      </c>
      <c r="I1" s="9" t="s">
        <v>5</v>
      </c>
      <c r="J1" s="9" t="s">
        <v>6</v>
      </c>
      <c r="K1" s="9" t="s">
        <v>7</v>
      </c>
      <c r="L1" s="9" t="s">
        <v>8</v>
      </c>
      <c r="M1" s="9" t="s">
        <v>68</v>
      </c>
      <c r="N1" s="9" t="s">
        <v>9</v>
      </c>
      <c r="O1" s="9" t="s">
        <v>10</v>
      </c>
      <c r="P1" s="9" t="s">
        <v>11</v>
      </c>
      <c r="Q1" s="9" t="s">
        <v>12</v>
      </c>
      <c r="R1" s="9" t="s">
        <v>69</v>
      </c>
    </row>
    <row r="2" spans="1:18" x14ac:dyDescent="0.25">
      <c r="A2" s="12" t="s">
        <v>13</v>
      </c>
      <c r="B2" s="11" t="e" vm="1">
        <v>#VALUE!</v>
      </c>
      <c r="C2" s="8">
        <f>IF(ISTEXT(VLOOKUP(Watchlist[[#This Row],[Símbolo]],'Cartera de Acciones'!A:A,1,FALSE)),1,0)</f>
        <v>0</v>
      </c>
      <c r="D2" s="1" cm="1">
        <f t="array" ref="D2">_FV(Watchlist[[#This Row],[Empresa]],"Precio")</f>
        <v>73.92</v>
      </c>
      <c r="E2" s="2" cm="1">
        <f t="array" ref="E2">_FV(Watchlist[[#This Row],[Empresa]],"Cambio (%)",TRUE)</f>
        <v>1.6259999999999998E-3</v>
      </c>
      <c r="F2" s="1">
        <v>77.5</v>
      </c>
      <c r="G2" s="3">
        <f>IFERROR(Watchlist[[#This Row],[Precio]]/Watchlist[[#This Row],[BPA]]/100,0)</f>
        <v>3.9381992541289296E-2</v>
      </c>
      <c r="H2" s="3">
        <f>IFERROR(Watchlist[[#This Row],[Dividendo]]/Watchlist[[#This Row],[BPA]],0)</f>
        <v>0.30900372935535431</v>
      </c>
      <c r="I2" s="1">
        <v>18.77</v>
      </c>
      <c r="J2" s="1">
        <v>5.8</v>
      </c>
      <c r="K2" s="3">
        <f>Watchlist[[#This Row],[Dividendo]]/Watchlist[[#This Row],[Precio]]</f>
        <v>7.8463203463203457E-2</v>
      </c>
      <c r="L2" t="str" cm="1">
        <f t="array" ref="L2">_FV(Watchlist[[#This Row],[Empresa]],"Moneda")</f>
        <v>EUR</v>
      </c>
      <c r="M2" s="13" cm="1">
        <f t="array" ref="M2">_FV(Watchlist[[#This Row],[Empresa]],"Máximo")</f>
        <v>73.930000000000007</v>
      </c>
      <c r="N2" s="13" cm="1">
        <f t="array" ref="N2">_FV(Watchlist[[#This Row],[Empresa]],"Mínimo")</f>
        <v>72.2</v>
      </c>
      <c r="O2" s="13" cm="1">
        <f t="array" ref="O2">_FV(Watchlist[[#This Row],[Empresa]],"Máximo en 52 semanas",TRUE)</f>
        <v>100.44</v>
      </c>
      <c r="P2" s="13">
        <f>(Watchlist[[#This Row],[Mínimo en 52 semanas]]+Watchlist[[#This Row],[Máximo en 52 semanas]])/2</f>
        <v>68.662499999999994</v>
      </c>
      <c r="Q2" s="13" cm="1">
        <f t="array" ref="Q2">_FV(Watchlist[[#This Row],[Empresa]],"Mínimo en 52 semanas",TRUE)</f>
        <v>36.884999999999998</v>
      </c>
      <c r="R2" s="14" t="str" cm="1">
        <f t="array" ref="R2">_FV(Watchlist[[#This Row],[Empresa]],"Sector")</f>
        <v>Automobiles &amp; Auto Parts</v>
      </c>
    </row>
    <row r="3" spans="1:18" x14ac:dyDescent="0.25">
      <c r="A3" s="12" t="str" cm="1">
        <f t="array" ref="A3">_FV(Watchlist[[#This Row],[Empresa]],"Símbolo bursátil",TRUE)</f>
        <v>BBVA</v>
      </c>
      <c r="B3" s="11" t="e" vm="2">
        <v>#VALUE!</v>
      </c>
      <c r="C3" s="8">
        <f>IF(ISTEXT(VLOOKUP(Watchlist[[#This Row],[Símbolo]],'Cartera de Acciones'!A:A,1,FALSE)),1,0)</f>
        <v>1</v>
      </c>
      <c r="D3" s="1" cm="1">
        <f t="array" ref="D3">_FV(Watchlist[[#This Row],[Empresa]],"Precio")</f>
        <v>4.3135000000000003</v>
      </c>
      <c r="E3" s="2" cm="1">
        <f t="array" ref="E3">_FV(Watchlist[[#This Row],[Empresa]],"Cambio (%)",TRUE)</f>
        <v>-3.9259999999999998E-3</v>
      </c>
      <c r="F3" s="1">
        <v>4.5</v>
      </c>
      <c r="G3" s="3">
        <f>IFERROR(Watchlist[[#This Row],[Precio]]/Watchlist[[#This Row],[BPA]]/100,0)</f>
        <v>6.9572580645161294E-2</v>
      </c>
      <c r="H3" s="3">
        <f>IFERROR(Watchlist[[#This Row],[Dividendo]]/Watchlist[[#This Row],[BPA]],0)</f>
        <v>0.64516129032258074</v>
      </c>
      <c r="I3" s="1">
        <v>0.62</v>
      </c>
      <c r="J3" s="1">
        <v>0.4</v>
      </c>
      <c r="K3" s="3">
        <f>Watchlist[[#This Row],[Dividendo]]/Watchlist[[#This Row],[Precio]]</f>
        <v>9.2732120088095518E-2</v>
      </c>
      <c r="L3" t="str" cm="1">
        <f t="array" ref="L3">_FV(Watchlist[[#This Row],[Empresa]],"Moneda")</f>
        <v>EUR</v>
      </c>
      <c r="M3" s="13" cm="1">
        <f t="array" ref="M3">_FV(Watchlist[[#This Row],[Empresa]],"Máximo")</f>
        <v>4.4234999999999998</v>
      </c>
      <c r="N3" s="13" cm="1">
        <f t="array" ref="N3">_FV(Watchlist[[#This Row],[Empresa]],"Mínimo")</f>
        <v>4.2755000000000001</v>
      </c>
      <c r="O3" s="13" cm="1">
        <f t="array" ref="O3">_FV(Watchlist[[#This Row],[Empresa]],"Máximo en 52 semanas",TRUE)</f>
        <v>6.2919999999999998</v>
      </c>
      <c r="P3" s="13">
        <f>(Watchlist[[#This Row],[Mínimo en 52 semanas]]+Watchlist[[#This Row],[Máximo en 52 semanas]])/2</f>
        <v>5.21</v>
      </c>
      <c r="Q3" s="13" cm="1">
        <f t="array" ref="Q3">_FV(Watchlist[[#This Row],[Empresa]],"Mínimo en 52 semanas",TRUE)</f>
        <v>4.1280000000000001</v>
      </c>
      <c r="R3" s="14" t="str" cm="1">
        <f t="array" ref="R3">_FV(Watchlist[[#This Row],[Empresa]],"Sector")</f>
        <v>Banking Services</v>
      </c>
    </row>
    <row r="4" spans="1:18" x14ac:dyDescent="0.25">
      <c r="A4" s="12" t="str" cm="1">
        <f t="array" ref="A4">_FV(Watchlist[[#This Row],[Empresa]],"Símbolo bursátil",TRUE)</f>
        <v>MBG</v>
      </c>
      <c r="B4" s="11" t="e" vm="3">
        <v>#VALUE!</v>
      </c>
      <c r="C4" s="8">
        <f>IF(ISTEXT(VLOOKUP(Watchlist[[#This Row],[Símbolo]],'Cartera de Acciones'!A:A,1,FALSE)),1,0)</f>
        <v>1</v>
      </c>
      <c r="D4" s="1" cm="1">
        <f t="array" ref="D4">_FV(Watchlist[[#This Row],[Empresa]],"Precio")</f>
        <v>55.54</v>
      </c>
      <c r="E4" s="2" cm="1">
        <f t="array" ref="E4">_FV(Watchlist[[#This Row],[Empresa]],"Cambio (%)",TRUE)</f>
        <v>4.1580000000000002E-3</v>
      </c>
      <c r="F4" s="1">
        <v>55</v>
      </c>
      <c r="G4" s="3">
        <f>IFERROR(Watchlist[[#This Row],[Precio]]/Watchlist[[#This Row],[BPA]]/100,0)</f>
        <v>5.5763052208835331E-2</v>
      </c>
      <c r="H4" s="3">
        <f>IFERROR(Watchlist[[#This Row],[Dividendo]]/Watchlist[[#This Row],[BPA]],0)</f>
        <v>0.50200803212851397</v>
      </c>
      <c r="I4" s="1">
        <v>9.9600000000000009</v>
      </c>
      <c r="J4" s="1">
        <v>5</v>
      </c>
      <c r="K4" s="3">
        <f>Watchlist[[#This Row],[Dividendo]]/Watchlist[[#This Row],[Precio]]</f>
        <v>9.0025207057976231E-2</v>
      </c>
      <c r="L4" t="str" cm="1">
        <f t="array" ref="L4">_FV(Watchlist[[#This Row],[Empresa]],"Moneda")</f>
        <v>EUR</v>
      </c>
      <c r="M4" s="13" cm="1">
        <f t="array" ref="M4">_FV(Watchlist[[#This Row],[Empresa]],"Máximo")</f>
        <v>55.54</v>
      </c>
      <c r="N4" s="13" cm="1">
        <f t="array" ref="N4">_FV(Watchlist[[#This Row],[Empresa]],"Mínimo")</f>
        <v>54.42</v>
      </c>
      <c r="O4" s="13" cm="1">
        <f t="array" ref="O4">_FV(Watchlist[[#This Row],[Empresa]],"Máximo en 52 semanas",TRUE)</f>
        <v>91.52</v>
      </c>
      <c r="P4" s="13">
        <f>(Watchlist[[#This Row],[Mínimo en 52 semanas]]+Watchlist[[#This Row],[Máximo en 52 semanas]])/2</f>
        <v>56.287499999999994</v>
      </c>
      <c r="Q4" s="13" cm="1">
        <f t="array" ref="Q4">_FV(Watchlist[[#This Row],[Empresa]],"Mínimo en 52 semanas",TRUE)</f>
        <v>21.055</v>
      </c>
      <c r="R4" s="14" t="str" cm="1">
        <f t="array" ref="R4">_FV(Watchlist[[#This Row],[Empresa]],"Sector")</f>
        <v>Automobiles &amp; Auto Parts</v>
      </c>
    </row>
    <row r="5" spans="1:18" x14ac:dyDescent="0.25">
      <c r="A5" s="12" t="str" cm="1">
        <f t="array" ref="A5">_FV(Watchlist[[#This Row],[Empresa]],"Símbolo bursátil",TRUE)</f>
        <v>MMM</v>
      </c>
      <c r="B5" s="11" t="e" vm="4">
        <v>#VALUE!</v>
      </c>
      <c r="C5" s="8">
        <f>IF(ISTEXT(VLOOKUP(Watchlist[[#This Row],[Símbolo]],'Cartera de Acciones'!A:A,1,FALSE)),1,0)</f>
        <v>1</v>
      </c>
      <c r="D5" s="4" cm="1">
        <f t="array" ref="D5">_FV(Watchlist[[#This Row],[Empresa]],"Precio")</f>
        <v>128.49</v>
      </c>
      <c r="E5" s="2" cm="1">
        <f t="array" ref="E5">_FV(Watchlist[[#This Row],[Empresa]],"Cambio (%)",TRUE)</f>
        <v>-7.1089999999999999E-3</v>
      </c>
      <c r="F5" s="5">
        <v>130</v>
      </c>
      <c r="G5" s="3">
        <f>IFERROR(Watchlist[[#This Row],[Precio]]/Watchlist[[#This Row],[BPA]]/100,0)</f>
        <v>0.12659113300492611</v>
      </c>
      <c r="H5" s="3">
        <f>IFERROR(Watchlist[[#This Row],[Dividendo]]/Watchlist[[#This Row],[BPA]],0)</f>
        <v>0.587192118226601</v>
      </c>
      <c r="I5" s="5">
        <v>10.15</v>
      </c>
      <c r="J5" s="4">
        <v>5.96</v>
      </c>
      <c r="K5" s="3">
        <f>Watchlist[[#This Row],[Dividendo]]/Watchlist[[#This Row],[Precio]]</f>
        <v>4.6384932679585954E-2</v>
      </c>
      <c r="L5" t="str" cm="1">
        <f t="array" ref="L5">_FV(Watchlist[[#This Row],[Empresa]],"Moneda")</f>
        <v>USD</v>
      </c>
      <c r="M5" s="14" cm="1">
        <f t="array" ref="M5">_FV(Watchlist[[#This Row],[Empresa]],"Máximo")</f>
        <v>129.83000000000001</v>
      </c>
      <c r="N5" s="14" cm="1">
        <f t="array" ref="N5">_FV(Watchlist[[#This Row],[Empresa]],"Mínimo")</f>
        <v>126.61</v>
      </c>
      <c r="O5" s="14" cm="1">
        <f t="array" ref="O5">_FV(Watchlist[[#This Row],[Empresa]],"Máximo en 52 semanas",TRUE)</f>
        <v>203.21</v>
      </c>
      <c r="P5" s="14">
        <f>(Watchlist[[#This Row],[Mínimo en 52 semanas]]+Watchlist[[#This Row],[Máximo en 52 semanas]])/2</f>
        <v>164.91</v>
      </c>
      <c r="Q5" s="14" cm="1">
        <f t="array" ref="Q5">_FV(Watchlist[[#This Row],[Empresa]],"Mínimo en 52 semanas",TRUE)</f>
        <v>126.61</v>
      </c>
      <c r="R5" s="14" t="str" cm="1">
        <f t="array" ref="R5">_FV(Watchlist[[#This Row],[Empresa]],"Sector")</f>
        <v>Consumer Goods Conglomerates</v>
      </c>
    </row>
    <row r="6" spans="1:18" x14ac:dyDescent="0.25">
      <c r="A6" s="12" t="str" cm="1">
        <f t="array" ref="A6">_FV(Watchlist[[#This Row],[Empresa]],"Símbolo bursátil",TRUE)</f>
        <v>ACS</v>
      </c>
      <c r="B6" s="11" t="e" vm="5">
        <v>#VALUE!</v>
      </c>
      <c r="C6" s="29">
        <f>IF(ISTEXT(VLOOKUP(Watchlist[[#This Row],[Símbolo]],'Cartera de Acciones'!A:A,1,FALSE)),1,0)</f>
        <v>0</v>
      </c>
      <c r="D6" s="1" cm="1">
        <f t="array" ref="D6">_FV(Watchlist[[#This Row],[Empresa]],"Precio")</f>
        <v>21.59</v>
      </c>
      <c r="E6" s="2" cm="1">
        <f t="array" ref="E6">_FV(Watchlist[[#This Row],[Empresa]],"Cambio (%)",TRUE)</f>
        <v>-2.771E-3</v>
      </c>
      <c r="F6" s="1">
        <v>22</v>
      </c>
      <c r="G6" s="3">
        <f>IFERROR(Watchlist[[#This Row],[Precio]]/Watchlist[[#This Row],[BPA]]/100,0)</f>
        <v>9.1483050847457628E-2</v>
      </c>
      <c r="H6" s="3">
        <f>IFERROR(Watchlist[[#This Row],[Dividendo]]/Watchlist[[#This Row],[BPA]],0)</f>
        <v>0.84745762711864414</v>
      </c>
      <c r="I6" s="1">
        <v>2.36</v>
      </c>
      <c r="J6" s="1">
        <v>2</v>
      </c>
      <c r="K6" s="3">
        <f>Watchlist[[#This Row],[Dividendo]]/Watchlist[[#This Row],[Precio]]</f>
        <v>9.2635479388605835E-2</v>
      </c>
      <c r="L6" t="str" cm="1">
        <f t="array" ref="L6">_FV(Watchlist[[#This Row],[Empresa]],"Moneda")</f>
        <v>EUR</v>
      </c>
      <c r="M6" s="14" cm="1">
        <f t="array" ref="M6">_FV(Watchlist[[#This Row],[Empresa]],"Máximo")</f>
        <v>21.78</v>
      </c>
      <c r="N6" s="14" cm="1">
        <f t="array" ref="N6">_FV(Watchlist[[#This Row],[Empresa]],"Mínimo")</f>
        <v>21.46</v>
      </c>
      <c r="O6" s="14" cm="1">
        <f t="array" ref="O6">_FV(Watchlist[[#This Row],[Empresa]],"Máximo en 52 semanas",TRUE)</f>
        <v>25.256</v>
      </c>
      <c r="P6" s="14">
        <f>(Watchlist[[#This Row],[Mínimo en 52 semanas]]+Watchlist[[#This Row],[Máximo en 52 semanas]])/2</f>
        <v>21.930500000000002</v>
      </c>
      <c r="Q6" s="14" cm="1">
        <f t="array" ref="Q6">_FV(Watchlist[[#This Row],[Empresa]],"Mínimo en 52 semanas",TRUE)</f>
        <v>18.605</v>
      </c>
      <c r="R6" s="14" t="str" cm="1">
        <f t="array" ref="R6">_FV(Watchlist[[#This Row],[Empresa]],"Sector")</f>
        <v>Construction &amp; Engineering</v>
      </c>
    </row>
    <row r="7" spans="1:18" x14ac:dyDescent="0.25">
      <c r="A7" s="12" t="str" cm="1">
        <f t="array" ref="A7">_FV(Watchlist[[#This Row],[Empresa]],"Símbolo bursátil",TRUE)</f>
        <v>VZ</v>
      </c>
      <c r="B7" s="11" t="e" vm="6">
        <v>#VALUE!</v>
      </c>
      <c r="C7" s="8">
        <f>IF(ISTEXT(VLOOKUP(Watchlist[[#This Row],[Símbolo]],'Cartera de Acciones'!A:A,1,FALSE)),1,0)</f>
        <v>0</v>
      </c>
      <c r="D7" s="4" cm="1">
        <f t="array" ref="D7">_FV(Watchlist[[#This Row],[Empresa]],"Precio")</f>
        <v>51.64</v>
      </c>
      <c r="E7" s="2" cm="1">
        <f t="array" ref="E7">_FV(Watchlist[[#This Row],[Empresa]],"Cambio (%)",TRUE)</f>
        <v>1.7537000000000001E-2</v>
      </c>
      <c r="F7" s="5">
        <v>47.5</v>
      </c>
      <c r="G7" s="3">
        <f>IFERROR(Watchlist[[#This Row],[Precio]]/Watchlist[[#This Row],[BPA]]/100,0)</f>
        <v>0.10046692607003893</v>
      </c>
      <c r="H7" s="3">
        <f>IFERROR(Watchlist[[#This Row],[Dividendo]]/Watchlist[[#This Row],[BPA]],0)</f>
        <v>0.49805447470817127</v>
      </c>
      <c r="I7" s="5">
        <v>5.14</v>
      </c>
      <c r="J7" s="4">
        <v>2.56</v>
      </c>
      <c r="K7" s="3">
        <f>Watchlist[[#This Row],[Dividendo]]/Watchlist[[#This Row],[Precio]]</f>
        <v>4.9573973663826494E-2</v>
      </c>
      <c r="L7" t="str" cm="1">
        <f t="array" ref="L7">_FV(Watchlist[[#This Row],[Empresa]],"Moneda")</f>
        <v>USD</v>
      </c>
      <c r="M7" s="14" cm="1">
        <f t="array" ref="M7">_FV(Watchlist[[#This Row],[Empresa]],"Máximo")</f>
        <v>51.77</v>
      </c>
      <c r="N7" s="14" cm="1">
        <f t="array" ref="N7">_FV(Watchlist[[#This Row],[Empresa]],"Mínimo")</f>
        <v>50.58</v>
      </c>
      <c r="O7" s="14" cm="1">
        <f t="array" ref="O7">_FV(Watchlist[[#This Row],[Empresa]],"Máximo en 52 semanas",TRUE)</f>
        <v>56.85</v>
      </c>
      <c r="P7" s="14">
        <f>(Watchlist[[#This Row],[Mínimo en 52 semanas]]+Watchlist[[#This Row],[Máximo en 52 semanas]])/2</f>
        <v>51.199449999999999</v>
      </c>
      <c r="Q7" s="14" cm="1">
        <f t="array" ref="Q7">_FV(Watchlist[[#This Row],[Empresa]],"Mínimo en 52 semanas",TRUE)</f>
        <v>45.548900000000003</v>
      </c>
      <c r="R7" s="14" t="str" cm="1">
        <f t="array" ref="R7">_FV(Watchlist[[#This Row],[Empresa]],"Sector")</f>
        <v>Telecommunications Services</v>
      </c>
    </row>
    <row r="8" spans="1:18" x14ac:dyDescent="0.25">
      <c r="A8" s="12" t="str" cm="1">
        <f t="array" ref="A8">_FV(Watchlist[[#This Row],[Empresa]],"Símbolo bursátil",TRUE)</f>
        <v>ITX</v>
      </c>
      <c r="B8" s="11" t="e" vm="7">
        <v>#VALUE!</v>
      </c>
      <c r="C8" s="8">
        <f>IF(ISTEXT(VLOOKUP(Watchlist[[#This Row],[Símbolo]],'Cartera de Acciones'!A:A,1,FALSE)),1,0)</f>
        <v>1</v>
      </c>
      <c r="D8" s="1" cm="1">
        <f t="array" ref="D8">_FV(Watchlist[[#This Row],[Empresa]],"Precio")</f>
        <v>21.97</v>
      </c>
      <c r="E8" s="2" cm="1">
        <f t="array" ref="E8">_FV(Watchlist[[#This Row],[Empresa]],"Cambio (%)",TRUE)</f>
        <v>1.7600999999999999E-2</v>
      </c>
      <c r="F8" s="1">
        <v>20</v>
      </c>
      <c r="G8" s="3">
        <f>IFERROR(Watchlist[[#This Row],[Precio]]/Watchlist[[#This Row],[BPA]]/100,0)</f>
        <v>0.21124999999999997</v>
      </c>
      <c r="H8" s="3">
        <f>IFERROR(Watchlist[[#This Row],[Dividendo]]/Watchlist[[#This Row],[BPA]],0)</f>
        <v>0.72432692307692303</v>
      </c>
      <c r="I8" s="1">
        <v>1.04</v>
      </c>
      <c r="J8" s="1">
        <v>0.75329999999999997</v>
      </c>
      <c r="K8" s="3">
        <f>Watchlist[[#This Row],[Dividendo]]/Watchlist[[#This Row],[Precio]]</f>
        <v>3.428766499772417E-2</v>
      </c>
      <c r="L8" t="str" cm="1">
        <f t="array" ref="L8">_FV(Watchlist[[#This Row],[Empresa]],"Moneda")</f>
        <v>EUR</v>
      </c>
      <c r="M8" s="13" cm="1">
        <f t="array" ref="M8">_FV(Watchlist[[#This Row],[Empresa]],"Máximo")</f>
        <v>22.15</v>
      </c>
      <c r="N8" s="13" cm="1">
        <f t="array" ref="N8">_FV(Watchlist[[#This Row],[Empresa]],"Mínimo")</f>
        <v>21.37</v>
      </c>
      <c r="O8" s="13" cm="1">
        <f t="array" ref="O8">_FV(Watchlist[[#This Row],[Empresa]],"Máximo en 52 semanas",TRUE)</f>
        <v>32.630000000000003</v>
      </c>
      <c r="P8" s="13">
        <f>(Watchlist[[#This Row],[Mínimo en 52 semanas]]+Watchlist[[#This Row],[Máximo en 52 semanas]])/2</f>
        <v>25.587500000000002</v>
      </c>
      <c r="Q8" s="13" cm="1">
        <f t="array" ref="Q8">_FV(Watchlist[[#This Row],[Empresa]],"Mínimo en 52 semanas",TRUE)</f>
        <v>18.545000000000002</v>
      </c>
      <c r="R8" s="14" t="str" cm="1">
        <f t="array" ref="R8">_FV(Watchlist[[#This Row],[Empresa]],"Sector")</f>
        <v>Specialty Retailers</v>
      </c>
    </row>
    <row r="16" spans="1:18" x14ac:dyDescent="0.25">
      <c r="J16" s="3"/>
    </row>
    <row r="44" spans="3:3" x14ac:dyDescent="0.25">
      <c r="C44" t="e" cm="1">
        <f t="array" ref="C44">_xlfn.FILTERXML(SUBSTITUTE(SUBSTITUTE(_xlfn.WEBSERVICE("http://financials.morningstar.com/valuate/current-valuation-list.action?&amp;t=MMM&amp;region=USA&amp;culture=&amp;cur=&amp;adsFlag=true"),"&amp;",""),"""",""""),"//tbody/tr[2]/td[4]")</f>
        <v>#VALUE!</v>
      </c>
    </row>
  </sheetData>
  <phoneticPr fontId="5" type="noConversion"/>
  <conditionalFormatting sqref="G2 G7">
    <cfRule type="cellIs" dxfId="174" priority="82" operator="lessThan">
      <formula>0.15</formula>
    </cfRule>
    <cfRule type="cellIs" dxfId="173" priority="83" operator="greaterThan">
      <formula>0.2</formula>
    </cfRule>
    <cfRule type="cellIs" dxfId="172" priority="84" operator="between">
      <formula>15%</formula>
      <formula>20%</formula>
    </cfRule>
  </conditionalFormatting>
  <conditionalFormatting sqref="H2 H7">
    <cfRule type="cellIs" dxfId="171" priority="79" operator="greaterThan">
      <formula>1</formula>
    </cfRule>
    <cfRule type="cellIs" dxfId="170" priority="80" operator="between">
      <formula>0.5</formula>
      <formula>1</formula>
    </cfRule>
    <cfRule type="cellIs" dxfId="169" priority="81" operator="between">
      <formula>0</formula>
      <formula>0.5</formula>
    </cfRule>
  </conditionalFormatting>
  <conditionalFormatting sqref="G3">
    <cfRule type="cellIs" dxfId="168" priority="76" operator="lessThan">
      <formula>0.15</formula>
    </cfRule>
    <cfRule type="cellIs" dxfId="167" priority="77" operator="greaterThan">
      <formula>0.2</formula>
    </cfRule>
    <cfRule type="cellIs" dxfId="166" priority="78" operator="between">
      <formula>15%</formula>
      <formula>20%</formula>
    </cfRule>
  </conditionalFormatting>
  <conditionalFormatting sqref="H3">
    <cfRule type="cellIs" dxfId="165" priority="73" operator="greaterThan">
      <formula>1</formula>
    </cfRule>
    <cfRule type="cellIs" dxfId="164" priority="74" operator="between">
      <formula>0.5</formula>
      <formula>1</formula>
    </cfRule>
    <cfRule type="cellIs" dxfId="163" priority="75" operator="between">
      <formula>0</formula>
      <formula>0.5</formula>
    </cfRule>
  </conditionalFormatting>
  <conditionalFormatting sqref="G4">
    <cfRule type="cellIs" dxfId="162" priority="70" operator="lessThan">
      <formula>0.15</formula>
    </cfRule>
    <cfRule type="cellIs" dxfId="161" priority="71" operator="greaterThan">
      <formula>0.2</formula>
    </cfRule>
    <cfRule type="cellIs" dxfId="160" priority="72" operator="between">
      <formula>15%</formula>
      <formula>20%</formula>
    </cfRule>
  </conditionalFormatting>
  <conditionalFormatting sqref="H4">
    <cfRule type="cellIs" dxfId="159" priority="67" operator="greaterThan">
      <formula>1</formula>
    </cfRule>
    <cfRule type="cellIs" dxfId="158" priority="68" operator="between">
      <formula>0.5</formula>
      <formula>1</formula>
    </cfRule>
    <cfRule type="cellIs" dxfId="157" priority="69" operator="between">
      <formula>0</formula>
      <formula>0.5</formula>
    </cfRule>
  </conditionalFormatting>
  <conditionalFormatting sqref="G5">
    <cfRule type="cellIs" dxfId="156" priority="64" operator="lessThan">
      <formula>0.15</formula>
    </cfRule>
    <cfRule type="cellIs" dxfId="155" priority="65" operator="greaterThan">
      <formula>0.2</formula>
    </cfRule>
    <cfRule type="cellIs" dxfId="154" priority="66" operator="between">
      <formula>15%</formula>
      <formula>20%</formula>
    </cfRule>
  </conditionalFormatting>
  <conditionalFormatting sqref="H5">
    <cfRule type="cellIs" dxfId="153" priority="61" operator="greaterThan">
      <formula>1</formula>
    </cfRule>
    <cfRule type="cellIs" dxfId="152" priority="62" operator="between">
      <formula>0.5</formula>
      <formula>1</formula>
    </cfRule>
    <cfRule type="cellIs" dxfId="151" priority="63" operator="between">
      <formula>0</formula>
      <formula>0.5</formula>
    </cfRule>
  </conditionalFormatting>
  <conditionalFormatting sqref="G6">
    <cfRule type="cellIs" dxfId="150" priority="58" operator="lessThan">
      <formula>0.15</formula>
    </cfRule>
    <cfRule type="cellIs" dxfId="149" priority="59" operator="greaterThan">
      <formula>0.2</formula>
    </cfRule>
    <cfRule type="cellIs" dxfId="148" priority="60" operator="between">
      <formula>15%</formula>
      <formula>20%</formula>
    </cfRule>
  </conditionalFormatting>
  <conditionalFormatting sqref="H6">
    <cfRule type="cellIs" dxfId="147" priority="55" operator="greaterThan">
      <formula>1</formula>
    </cfRule>
    <cfRule type="cellIs" dxfId="146" priority="56" operator="between">
      <formula>0.5</formula>
      <formula>1</formula>
    </cfRule>
    <cfRule type="cellIs" dxfId="145" priority="57" operator="between">
      <formula>0</formula>
      <formula>0.5</formula>
    </cfRule>
  </conditionalFormatting>
  <conditionalFormatting sqref="G8">
    <cfRule type="cellIs" dxfId="144" priority="22" operator="lessThan">
      <formula>0.15</formula>
    </cfRule>
    <cfRule type="cellIs" dxfId="143" priority="23" operator="greaterThan">
      <formula>0.2</formula>
    </cfRule>
    <cfRule type="cellIs" dxfId="142" priority="24" operator="between">
      <formula>15%</formula>
      <formula>20%</formula>
    </cfRule>
  </conditionalFormatting>
  <conditionalFormatting sqref="H8">
    <cfRule type="cellIs" dxfId="141" priority="19" operator="greaterThan">
      <formula>1</formula>
    </cfRule>
    <cfRule type="cellIs" dxfId="140" priority="20" operator="between">
      <formula>0.5</formula>
      <formula>1</formula>
    </cfRule>
    <cfRule type="cellIs" dxfId="139" priority="21" operator="between">
      <formula>0</formula>
      <formula>0.5</formula>
    </cfRule>
  </conditionalFormatting>
  <conditionalFormatting sqref="C8">
    <cfRule type="iconSet" priority="18">
      <iconSet iconSet="3Symbols2" showValue="0">
        <cfvo type="percent" val="0"/>
        <cfvo type="num" val="0.1"/>
        <cfvo type="num" val="1"/>
      </iconSet>
    </cfRule>
  </conditionalFormatting>
  <conditionalFormatting sqref="C7">
    <cfRule type="iconSet" priority="91">
      <iconSet iconSet="3Symbols2" showValue="0">
        <cfvo type="percent" val="0"/>
        <cfvo type="num" val="0.1"/>
        <cfvo type="num" val="1"/>
      </iconSet>
    </cfRule>
  </conditionalFormatting>
  <conditionalFormatting sqref="C2:C6">
    <cfRule type="iconSet" priority="92">
      <iconSet iconSet="3Symbols2" showValue="0">
        <cfvo type="percent" val="0"/>
        <cfvo type="num" val="0.1"/>
        <cfvo type="num" val="1"/>
      </iconSet>
    </cfRule>
  </conditionalFormatting>
  <conditionalFormatting sqref="D2">
    <cfRule type="cellIs" dxfId="138" priority="4" operator="equal">
      <formula>F2</formula>
    </cfRule>
    <cfRule type="cellIs" dxfId="137" priority="11" operator="greaterThan">
      <formula>F2</formula>
    </cfRule>
    <cfRule type="cellIs" dxfId="136" priority="12" operator="lessThan">
      <formula>F2</formula>
    </cfRule>
  </conditionalFormatting>
  <conditionalFormatting sqref="D3:D8">
    <cfRule type="cellIs" dxfId="135" priority="1" operator="equal">
      <formula>F3</formula>
    </cfRule>
    <cfRule type="cellIs" dxfId="134" priority="2" operator="greaterThan">
      <formula>F3</formula>
    </cfRule>
    <cfRule type="cellIs" dxfId="133" priority="3" operator="lessThan">
      <formula>F3</formula>
    </cfRule>
  </conditionalFormatting>
  <hyperlinks>
    <hyperlink ref="A8" r:id="rId1" display="https://es.investing.com/equities/inditex" xr:uid="{A5002B29-7EB5-4C57-BDF1-BD865AB4E5EA}"/>
    <hyperlink ref="A2" r:id="rId2" display="BMW" xr:uid="{F8402C4E-8829-4B1C-BA15-456CADCA9E08}"/>
    <hyperlink ref="A4" r:id="rId3" display="https://es.investing.com/equities/daimler" xr:uid="{2E02A26D-15B3-4A2E-B557-369211BFBD3F}"/>
    <hyperlink ref="A3" r:id="rId4" display="https://es.investing.com/equities/bbva" xr:uid="{F5816E96-8D4D-47F8-B9E9-C3E9C33D014D}"/>
    <hyperlink ref="A5" r:id="rId5" display="https://es.investing.com/equities/3m-co" xr:uid="{12A7B486-EC5E-48C9-83C8-816FDF5F07DF}"/>
    <hyperlink ref="A6" r:id="rId6" display="https://es.investing.com/equities/acs-cons-y-serv" xr:uid="{4C85E36C-ABC8-4FC5-8F81-05C5A9D4B9C6}"/>
    <hyperlink ref="A7" r:id="rId7" display="https://www.investing.com/equities/verizon-communications" xr:uid="{51451E21-1641-4822-8FB2-9987648B7CA9}"/>
  </hyperlinks>
  <pageMargins left="0.7" right="0.7" top="0.75" bottom="0.75" header="0.3" footer="0.3"/>
  <pageSetup paperSize="9" orientation="portrait" horizontalDpi="4294967293" verticalDpi="0"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B710-DFE3-497D-9998-E5FABC241343}">
  <dimension ref="A1:T24"/>
  <sheetViews>
    <sheetView zoomScale="89" zoomScaleNormal="89" workbookViewId="0">
      <pane xSplit="1" topLeftCell="B1" activePane="topRight" state="frozen"/>
      <selection pane="topRight" activeCell="S39" sqref="S39"/>
    </sheetView>
  </sheetViews>
  <sheetFormatPr baseColWidth="10" defaultRowHeight="15" x14ac:dyDescent="0.25"/>
  <cols>
    <col min="1" max="1" width="11.28515625" bestFit="1" customWidth="1"/>
    <col min="2" max="2" width="49" bestFit="1" customWidth="1"/>
    <col min="3" max="4" width="11.140625" bestFit="1" customWidth="1"/>
    <col min="5" max="5" width="15.140625" bestFit="1" customWidth="1"/>
    <col min="6" max="6" width="11.7109375" bestFit="1" customWidth="1"/>
    <col min="7" max="7" width="16.7109375" hidden="1" customWidth="1"/>
    <col min="8" max="8" width="11.7109375" bestFit="1" customWidth="1"/>
    <col min="9" max="9" width="7.7109375" bestFit="1" customWidth="1"/>
    <col min="10" max="10" width="22" style="6" bestFit="1" customWidth="1"/>
    <col min="11" max="11" width="24.5703125" hidden="1" customWidth="1"/>
    <col min="12" max="12" width="18.42578125" bestFit="1" customWidth="1"/>
    <col min="13" max="13" width="15" bestFit="1" customWidth="1"/>
    <col min="14" max="14" width="14.85546875" bestFit="1" customWidth="1"/>
    <col min="15" max="15" width="15.85546875" bestFit="1" customWidth="1"/>
    <col min="16" max="16" width="13.85546875" bestFit="1" customWidth="1"/>
    <col min="17" max="17" width="20.5703125" style="6" bestFit="1" customWidth="1"/>
    <col min="18" max="18" width="14.85546875" bestFit="1" customWidth="1"/>
    <col min="19" max="19" width="21.42578125" bestFit="1" customWidth="1"/>
    <col min="20" max="20" width="16.7109375" bestFit="1" customWidth="1"/>
    <col min="21" max="21" width="16.28515625" bestFit="1" customWidth="1"/>
    <col min="22" max="22" width="14.5703125" bestFit="1" customWidth="1"/>
    <col min="23" max="23" width="21" bestFit="1" customWidth="1"/>
  </cols>
  <sheetData>
    <row r="1" spans="1:20" x14ac:dyDescent="0.25">
      <c r="A1" s="46" t="s">
        <v>89</v>
      </c>
      <c r="B1" s="46"/>
      <c r="C1" s="47"/>
      <c r="D1" s="45" t="s">
        <v>92</v>
      </c>
      <c r="E1" s="46"/>
      <c r="F1" s="46"/>
      <c r="G1" s="46"/>
      <c r="H1" s="46"/>
      <c r="I1" s="47"/>
      <c r="J1" s="45" t="s">
        <v>93</v>
      </c>
      <c r="K1" s="46"/>
      <c r="L1" s="47"/>
      <c r="M1" s="45" t="s">
        <v>87</v>
      </c>
      <c r="N1" s="46"/>
      <c r="O1" s="46"/>
      <c r="P1" s="46"/>
      <c r="Q1" s="46"/>
      <c r="R1" s="46"/>
      <c r="S1" s="46"/>
      <c r="T1" s="46"/>
    </row>
    <row r="2" spans="1:20" x14ac:dyDescent="0.25">
      <c r="A2" t="s">
        <v>22</v>
      </c>
      <c r="B2" t="s">
        <v>0</v>
      </c>
      <c r="C2" t="s">
        <v>8</v>
      </c>
      <c r="D2" s="41" t="s">
        <v>14</v>
      </c>
      <c r="E2" s="42" t="s">
        <v>58</v>
      </c>
      <c r="F2" t="s">
        <v>78</v>
      </c>
      <c r="G2" t="s">
        <v>90</v>
      </c>
      <c r="H2" t="s">
        <v>91</v>
      </c>
      <c r="I2" s="6" t="s">
        <v>84</v>
      </c>
      <c r="J2" t="s">
        <v>15</v>
      </c>
      <c r="K2" t="s">
        <v>27</v>
      </c>
      <c r="L2" t="s">
        <v>94</v>
      </c>
      <c r="M2" t="s">
        <v>16</v>
      </c>
      <c r="N2" t="s">
        <v>17</v>
      </c>
      <c r="O2" t="s">
        <v>28</v>
      </c>
      <c r="P2" s="6" t="s">
        <v>85</v>
      </c>
      <c r="Q2" t="s">
        <v>81</v>
      </c>
      <c r="R2" t="s">
        <v>18</v>
      </c>
      <c r="S2" t="s">
        <v>19</v>
      </c>
      <c r="T2" t="s">
        <v>80</v>
      </c>
    </row>
    <row r="3" spans="1:20" x14ac:dyDescent="0.25">
      <c r="A3" s="11" t="str" cm="1">
        <f t="array" ref="A3">_FV(Tabla2[[#This Row],[Empresa]],"Símbolo bursátil",TRUE)</f>
        <v>ITX</v>
      </c>
      <c r="B3" s="11" t="e" vm="7">
        <v>#VALUE!</v>
      </c>
      <c r="C3" s="1" t="str" cm="1">
        <f t="array" ref="C3">_FV(Tabla2[[#This Row],[Empresa]],"Moneda")</f>
        <v>EUR</v>
      </c>
      <c r="D3">
        <f>SUMIFS(Movimientos!C:C,Movimientos!A:A,"Acción",Movimientos!B:B,Tabla2[[#This Row],[Símbolo]],Movimientos!G:G,"Compra")</f>
        <v>100</v>
      </c>
      <c r="E3" s="1">
        <f>IFERROR(SUMIFS(Movimientos!E:E,Movimientos!B:B,Tabla2[[#This Row],[Símbolo]],Movimientos!A:A,"Acción",Movimientos!G:G,"Compra")/SUMIFS(Movimientos!C:C,Movimientos!B:B,Tabla2[[#This Row],[Símbolo]],Movimientos!A:A,"Acción",Movimientos!G:G,"Compra"),0)</f>
        <v>22</v>
      </c>
      <c r="F3" s="1">
        <f>Tabla2[[#This Row],[Cantidad]]*Tabla2[[#This Row],[Precio Medio]]</f>
        <v>2200</v>
      </c>
      <c r="G3" s="1">
        <f>VLOOKUP(Tabla2[[#This Row],[Moneda]] &amp; "EUR",Divisas!A:C,3,FALSE) * Tabla2[[#This Row],[Precio Medio]]</f>
        <v>22</v>
      </c>
      <c r="H3" s="1">
        <f>Tabla2[[#This Row],[Cantidad]]*Tabla2[[#This Row],[Precio Medio €]]</f>
        <v>2200</v>
      </c>
      <c r="I3" s="6">
        <f>IFERROR(Tabla2[[#This Row],[Valor €]]/Tabla2[[#Totals],[Valor €]],0)</f>
        <v>0.25203128047287304</v>
      </c>
      <c r="J3" s="1">
        <f>SUMIFS(Movimientos!D:D,Movimientos!A:A,"Acción",Movimientos!B:B,Tabla2[[#This Row],[Símbolo]],Movimientos!G:G,"Dividendo")</f>
        <v>1.5</v>
      </c>
      <c r="K3" s="1">
        <f>VLOOKUP(Tabla2[[#This Row],[Moneda]] &amp; "EUR",Divisas!A:C,3,FALSE) * Tabla2[[#This Row],[Ingresos Dividendos]]</f>
        <v>1.5</v>
      </c>
      <c r="L3" s="6">
        <f>IFERROR(Tabla2[[#This Row],[Ingresos Dividendos €]]/Tabla2[[#Totals],[Ingresos Dividendos €]],0)</f>
        <v>1</v>
      </c>
      <c r="M3" s="1" cm="1">
        <f t="array" ref="M3">_FV(Tabla2[[#This Row],[Empresa]],"Precio")</f>
        <v>21.97</v>
      </c>
      <c r="N3" s="1">
        <f>Tabla2[[#This Row],[Cantidad]]*Tabla2[[#This Row],[Precio Actual]]</f>
        <v>2197</v>
      </c>
      <c r="O3" s="1">
        <f>VLOOKUP(Tabla2[[#This Row],[Moneda]] &amp; "EUR",Divisas!A:C,3,FALSE) * Tabla2[[#This Row],[Valor Actual]]</f>
        <v>2197</v>
      </c>
      <c r="P3" s="6">
        <f>Tabla2[[#This Row],[Valor Actual €]]/Tabla2[[#Totals],[Valor Actual €]]</f>
        <v>0.24986119977209525</v>
      </c>
      <c r="Q3" s="1">
        <f>Tabla2[[#This Row],[Valor Actual €]]+Tabla2[[#This Row],[Ingresos Dividendos €]]</f>
        <v>2198.5</v>
      </c>
      <c r="R3" s="3">
        <f>IFERROR((Tabla2[[#This Row],[Valor Actual + Div €]]-Tabla2[[#This Row],[Valor €]])/Tabla2[[#This Row],[Valor €]],0)</f>
        <v>-6.8181818181818187E-4</v>
      </c>
      <c r="S3" s="3">
        <f>IFERROR((Tabla2[[#This Row],[Valor Actual]]-Tabla2[[#This Row],[Valor]])/Tabla2[[#This Row],[Valor]],0)</f>
        <v>-1.3636363636363637E-3</v>
      </c>
      <c r="T3" s="32" cm="1">
        <f t="array" ref="T3">Tabla2[[#This Row],[Valor Actual €]]*_FV(Tabla2[[#This Row],[Empresa]],"Cambio (%)",TRUE)</f>
        <v>38.669396999999996</v>
      </c>
    </row>
    <row r="4" spans="1:20" x14ac:dyDescent="0.25">
      <c r="A4" s="11" t="str" cm="1">
        <f t="array" ref="A4">_FV(Tabla2[[#This Row],[Empresa]],"Símbolo bursátil",TRUE)</f>
        <v>BBVA</v>
      </c>
      <c r="B4" s="11" t="e" vm="2">
        <v>#VALUE!</v>
      </c>
      <c r="C4" s="1" t="str" cm="1">
        <f t="array" ref="C4">_FV(Tabla2[[#This Row],[Empresa]],"Moneda")</f>
        <v>EUR</v>
      </c>
      <c r="D4">
        <f>SUMIFS(Movimientos!C:C,Movimientos!A:A,"Acción",Movimientos!B:B,Tabla2[[#This Row],[Símbolo]],Movimientos!G:G,"Compra")</f>
        <v>500</v>
      </c>
      <c r="E4" s="1">
        <f>IFERROR(SUMIFS(Movimientos!E:E,Movimientos!B:B,Tabla2[[#This Row],[Símbolo]],Movimientos!A:A,"Acción",Movimientos!G:G,"Compra")/SUMIFS(Movimientos!C:C,Movimientos!B:B,Tabla2[[#This Row],[Símbolo]],Movimientos!A:A,"Acción",Movimientos!G:G,"Compra"),0)</f>
        <v>4.24</v>
      </c>
      <c r="F4" s="1">
        <f>Tabla2[[#This Row],[Cantidad]]*Tabla2[[#This Row],[Precio Medio]]</f>
        <v>2120</v>
      </c>
      <c r="G4" s="1">
        <f>VLOOKUP(Tabla2[[#This Row],[Moneda]] &amp; "EUR",Divisas!A:C,3,FALSE) * Tabla2[[#This Row],[Precio Medio]]</f>
        <v>4.24</v>
      </c>
      <c r="H4" s="1">
        <f>Tabla2[[#This Row],[Cantidad]]*Tabla2[[#This Row],[Precio Medio €]]</f>
        <v>2120</v>
      </c>
      <c r="I4" s="6">
        <f>IFERROR(Tabla2[[#This Row],[Valor €]]/Tabla2[[#Totals],[Valor €]],0)</f>
        <v>0.24286650663749582</v>
      </c>
      <c r="J4" s="1">
        <f>SUMIFS(Movimientos!D:D,Movimientos!A:A,"Acción",Movimientos!B:B,Tabla2[[#This Row],[Símbolo]],Movimientos!G:G,"Dividendo")</f>
        <v>0</v>
      </c>
      <c r="K4" s="1">
        <f>VLOOKUP(Tabla2[[#This Row],[Moneda]] &amp; "EUR",Divisas!A:C,3,FALSE) * Tabla2[[#This Row],[Ingresos Dividendos]]</f>
        <v>0</v>
      </c>
      <c r="L4" s="6">
        <f>IFERROR(Tabla2[[#This Row],[Ingresos Dividendos €]]/Tabla2[[#Totals],[Ingresos Dividendos €]],0)</f>
        <v>0</v>
      </c>
      <c r="M4" s="1" cm="1">
        <f t="array" ref="M4">_FV(Tabla2[[#This Row],[Empresa]],"Precio")</f>
        <v>4.3135000000000003</v>
      </c>
      <c r="N4" s="1">
        <f>Tabla2[[#This Row],[Cantidad]]*Tabla2[[#This Row],[Precio Actual]]</f>
        <v>2156.75</v>
      </c>
      <c r="O4" s="1">
        <f>VLOOKUP(Tabla2[[#This Row],[Moneda]] &amp; "EUR",Divisas!A:C,3,FALSE) * Tabla2[[#This Row],[Valor Actual]]</f>
        <v>2156.75</v>
      </c>
      <c r="P4" s="6">
        <f>Tabla2[[#This Row],[Valor Actual €]]/Tabla2[[#Totals],[Valor Actual €]]</f>
        <v>0.24528363341304799</v>
      </c>
      <c r="Q4" s="1">
        <f>Tabla2[[#This Row],[Valor Actual €]]+Tabla2[[#This Row],[Ingresos Dividendos €]]</f>
        <v>2156.75</v>
      </c>
      <c r="R4" s="3">
        <f>IFERROR((Tabla2[[#This Row],[Valor Actual + Div €]]-Tabla2[[#This Row],[Valor €]])/Tabla2[[#This Row],[Valor €]],0)</f>
        <v>1.7334905660377358E-2</v>
      </c>
      <c r="S4" s="3">
        <f>IFERROR((Tabla2[[#This Row],[Valor Actual]]-Tabla2[[#This Row],[Valor]])/Tabla2[[#This Row],[Valor]],0)</f>
        <v>1.7334905660377358E-2</v>
      </c>
      <c r="T4" s="32" cm="1">
        <f t="array" ref="T4">Tabla2[[#This Row],[Valor Actual €]]*_FV(Tabla2[[#This Row],[Empresa]],"Cambio (%)",TRUE)</f>
        <v>-8.4674005000000001</v>
      </c>
    </row>
    <row r="5" spans="1:20" x14ac:dyDescent="0.25">
      <c r="A5" s="11" t="str" cm="1">
        <f t="array" ref="A5">_FV(Tabla2[[#This Row],[Empresa]],"Símbolo bursátil",TRUE)</f>
        <v>MBG</v>
      </c>
      <c r="B5" s="11" t="e" vm="3">
        <v>#VALUE!</v>
      </c>
      <c r="C5" s="13" t="str" cm="1">
        <f t="array" ref="C5">_FV(Tabla2[[#This Row],[Empresa]],"Moneda")</f>
        <v>EUR</v>
      </c>
      <c r="D5" s="43">
        <f>SUMIFS(Movimientos!C:C,Movimientos!A:A,"Acción",Movimientos!B:B,Tabla2[[#This Row],[Símbolo]],Movimientos!G:G,"Compra")</f>
        <v>40</v>
      </c>
      <c r="E5" s="1">
        <f>IFERROR(SUMIFS(Movimientos!E:E,Movimientos!B:B,Tabla2[[#This Row],[Símbolo]],Movimientos!A:A,"Acción",Movimientos!G:G,"Compra")/SUMIFS(Movimientos!C:C,Movimientos!B:B,Tabla2[[#This Row],[Símbolo]],Movimientos!A:A,"Acción",Movimientos!G:G,"Compra"),0)</f>
        <v>55</v>
      </c>
      <c r="F5" s="1">
        <f>Tabla2[[#This Row],[Cantidad]]*Tabla2[[#This Row],[Precio Medio]]</f>
        <v>2200</v>
      </c>
      <c r="G5" s="1">
        <f>VLOOKUP(Tabla2[[#This Row],[Moneda]] &amp; "EUR",Divisas!A:C,3,FALSE) * Tabla2[[#This Row],[Precio Medio]]</f>
        <v>55</v>
      </c>
      <c r="H5" s="1">
        <f>Tabla2[[#This Row],[Cantidad]]*Tabla2[[#This Row],[Precio Medio €]]</f>
        <v>2200</v>
      </c>
      <c r="I5" s="44">
        <f>IFERROR(Tabla2[[#This Row],[Valor €]]/Tabla2[[#Totals],[Valor €]],0)</f>
        <v>0.25203128047287304</v>
      </c>
      <c r="J5" s="1">
        <f>SUMIFS(Movimientos!D:D,Movimientos!A:A,"Acción",Movimientos!B:B,Tabla2[[#This Row],[Símbolo]],Movimientos!G:G,"Dividendo")</f>
        <v>0</v>
      </c>
      <c r="K5" s="1">
        <f>VLOOKUP(Tabla2[[#This Row],[Moneda]] &amp; "EUR",Divisas!A:C,3,FALSE) * Tabla2[[#This Row],[Ingresos Dividendos]]</f>
        <v>0</v>
      </c>
      <c r="L5" s="44">
        <f>IFERROR(Tabla2[[#This Row],[Ingresos Dividendos €]]/Tabla2[[#Totals],[Ingresos Dividendos €]],0)</f>
        <v>0</v>
      </c>
      <c r="M5" s="1" cm="1">
        <f t="array" ref="M5">_FV(Tabla2[[#This Row],[Empresa]],"Precio")</f>
        <v>55.54</v>
      </c>
      <c r="N5" s="1">
        <f>Tabla2[[#This Row],[Cantidad]]*Tabla2[[#This Row],[Precio Actual]]</f>
        <v>2221.6</v>
      </c>
      <c r="O5" s="1">
        <f>VLOOKUP(Tabla2[[#This Row],[Moneda]] &amp; "EUR",Divisas!A:C,3,FALSE) * Tabla2[[#This Row],[Valor Actual]]</f>
        <v>2221.6</v>
      </c>
      <c r="P5" s="6">
        <f>Tabla2[[#This Row],[Valor Actual €]]/Tabla2[[#Totals],[Valor Actual €]]</f>
        <v>0.25265891734805956</v>
      </c>
      <c r="Q5" s="1">
        <f>Tabla2[[#This Row],[Valor Actual €]]+Tabla2[[#This Row],[Ingresos Dividendos €]]</f>
        <v>2221.6</v>
      </c>
      <c r="R5" s="3">
        <f>IFERROR((Tabla2[[#This Row],[Valor Actual + Div €]]-Tabla2[[#This Row],[Valor €]])/Tabla2[[#This Row],[Valor €]],0)</f>
        <v>9.8181818181817763E-3</v>
      </c>
      <c r="S5" s="3">
        <f>IFERROR((Tabla2[[#This Row],[Valor Actual]]-Tabla2[[#This Row],[Valor]])/Tabla2[[#This Row],[Valor]],0)</f>
        <v>9.8181818181817763E-3</v>
      </c>
      <c r="T5" s="32" cm="1">
        <f t="array" ref="T5">Tabla2[[#This Row],[Valor Actual €]]*_FV(Tabla2[[#This Row],[Empresa]],"Cambio (%)",TRUE)</f>
        <v>9.2374127999999995</v>
      </c>
    </row>
    <row r="6" spans="1:20" x14ac:dyDescent="0.25">
      <c r="A6" s="11" t="str" cm="1">
        <f t="array" ref="A6">_FV(Tabla2[[#This Row],[Empresa]],"Símbolo bursátil",TRUE)</f>
        <v>MMM</v>
      </c>
      <c r="B6" s="11" t="e" vm="4">
        <v>#VALUE!</v>
      </c>
      <c r="C6" s="1" t="str" cm="1">
        <f t="array" ref="C6">_FV(Tabla2[[#This Row],[Empresa]],"Moneda")</f>
        <v>USD</v>
      </c>
      <c r="D6">
        <f>SUMIFS(Movimientos!C:C,Movimientos!A:A,"Acción",Movimientos!B:B,Tabla2[[#This Row],[Símbolo]],Movimientos!G:G,"Compra")</f>
        <v>18</v>
      </c>
      <c r="E6" s="20">
        <f>IFERROR(SUMIFS(Movimientos!E:E,Movimientos!B:B,Tabla2[[#This Row],[Símbolo]],Movimientos!A:A,"Acción",Movimientos!G:G,"Compra")/SUMIFS(Movimientos!C:C,Movimientos!B:B,Tabla2[[#This Row],[Símbolo]],Movimientos!A:A,"Acción",Movimientos!G:G,"Compra"),0)</f>
        <v>128</v>
      </c>
      <c r="F6" s="20">
        <f>Tabla2[[#This Row],[Cantidad]]*Tabla2[[#This Row],[Precio Medio]]</f>
        <v>2304</v>
      </c>
      <c r="G6" s="1">
        <f>VLOOKUP(Tabla2[[#This Row],[Moneda]] &amp; "EUR",Divisas!A:C,3,FALSE) * Tabla2[[#This Row],[Precio Medio]]</f>
        <v>122.7264</v>
      </c>
      <c r="H6" s="1">
        <f>Tabla2[[#This Row],[Cantidad]]*Tabla2[[#This Row],[Precio Medio €]]</f>
        <v>2209.0751999999998</v>
      </c>
      <c r="I6" s="6">
        <f>IFERROR(Tabla2[[#This Row],[Valor €]]/Tabla2[[#Totals],[Valor €]],0)</f>
        <v>0.25307093241675821</v>
      </c>
      <c r="J6" s="20">
        <f>SUMIFS(Movimientos!D:D,Movimientos!A:A,"Acción",Movimientos!B:B,Tabla2[[#This Row],[Símbolo]],Movimientos!G:G,"Dividendo")</f>
        <v>0</v>
      </c>
      <c r="K6" s="1">
        <f>VLOOKUP(Tabla2[[#This Row],[Moneda]] &amp; "EUR",Divisas!A:C,3,FALSE) * Tabla2[[#This Row],[Ingresos Dividendos]]</f>
        <v>0</v>
      </c>
      <c r="L6" s="6">
        <f>IFERROR(Tabla2[[#This Row],[Ingresos Dividendos €]]/Tabla2[[#Totals],[Ingresos Dividendos €]],0)</f>
        <v>0</v>
      </c>
      <c r="M6" s="20" cm="1">
        <f t="array" ref="M6">_FV(Tabla2[[#This Row],[Empresa]],"Precio")</f>
        <v>128.49</v>
      </c>
      <c r="N6" s="20">
        <f>Tabla2[[#This Row],[Cantidad]]*Tabla2[[#This Row],[Precio Actual]]</f>
        <v>2312.8200000000002</v>
      </c>
      <c r="O6" s="1">
        <f>VLOOKUP(Tabla2[[#This Row],[Moneda]] &amp; "EUR",Divisas!A:C,3,FALSE) * Tabla2[[#This Row],[Valor Actual]]</f>
        <v>2217.5318160000002</v>
      </c>
      <c r="P6" s="6">
        <f>Tabla2[[#This Row],[Valor Actual €]]/Tabla2[[#Totals],[Valor Actual €]]</f>
        <v>0.25219624946679708</v>
      </c>
      <c r="Q6" s="1">
        <f>Tabla2[[#This Row],[Valor Actual €]]+Tabla2[[#This Row],[Ingresos Dividendos €]]</f>
        <v>2217.5318160000002</v>
      </c>
      <c r="R6" s="3">
        <f>IFERROR((Tabla2[[#This Row],[Valor Actual + Div €]]-Tabla2[[#This Row],[Valor €]])/Tabla2[[#This Row],[Valor €]],0)</f>
        <v>3.828125000000179E-3</v>
      </c>
      <c r="S6" s="3">
        <f>IFERROR((Tabla2[[#This Row],[Valor Actual]]-Tabla2[[#This Row],[Valor]])/Tabla2[[#This Row],[Valor]],0)</f>
        <v>3.8281250000000711E-3</v>
      </c>
      <c r="T6" s="32" cm="1">
        <f t="array" ref="T6">Tabla2[[#This Row],[Valor Actual €]]*_FV(Tabla2[[#This Row],[Empresa]],"Cambio (%)",TRUE)</f>
        <v>-15.764433679944</v>
      </c>
    </row>
    <row r="7" spans="1:20" x14ac:dyDescent="0.25">
      <c r="A7" s="11" t="s">
        <v>20</v>
      </c>
      <c r="B7" s="11"/>
      <c r="D7">
        <f>SUBTOTAL(109,Tabla2[Cantidad])</f>
        <v>658</v>
      </c>
      <c r="E7" s="1"/>
      <c r="F7" s="1"/>
      <c r="H7" s="1">
        <f>SUBTOTAL(109,Tabla2[Valor €])</f>
        <v>8729.0751999999993</v>
      </c>
      <c r="I7" s="28">
        <f>SUBTOTAL(109,Tabla2[Peso])</f>
        <v>1</v>
      </c>
      <c r="J7" s="1">
        <f>SUBTOTAL(109,Tabla2[Ingresos Dividendos])</f>
        <v>1.5</v>
      </c>
      <c r="K7" s="1">
        <f>SUBTOTAL(109,Tabla2[Ingresos Dividendos €])</f>
        <v>1.5</v>
      </c>
      <c r="L7" s="7">
        <f>SUBTOTAL(109,Tabla2[Peso Dividendos])</f>
        <v>1</v>
      </c>
      <c r="N7" s="1"/>
      <c r="O7" s="1">
        <f>SUBTOTAL(109,Tabla2[Valor Actual €])</f>
        <v>8792.881816000001</v>
      </c>
      <c r="P7" s="28">
        <f>SUBTOTAL(109,Tabla2[Peso Actual])</f>
        <v>0.99999999999999989</v>
      </c>
      <c r="Q7" s="1">
        <f>SUBTOTAL(109,Tabla2[Valor Actual + Div €])</f>
        <v>8794.381816000001</v>
      </c>
      <c r="R7" s="2">
        <f>SUMPRODUCT(Tabla2[Rentabilidad],Tabla2[Valor Actual €]) / SUM(Tabla2[Valor Actual €])</f>
        <v>7.5276986923125885E-3</v>
      </c>
      <c r="S7" s="2">
        <f>SUMPRODUCT(Tabla2[Rentabilidad sin Div],Tabla2[Valor Actual €]) / SUM(Tabla2[Valor Actual €])</f>
        <v>7.3573387833770426E-3</v>
      </c>
      <c r="T7" s="30">
        <f>SUBTOTAL(109,Tabla2[Variación Día €])</f>
        <v>23.674975620055996</v>
      </c>
    </row>
    <row r="23" spans="6:7" x14ac:dyDescent="0.25">
      <c r="G23" s="42"/>
    </row>
    <row r="24" spans="6:7" x14ac:dyDescent="0.25">
      <c r="F24" s="40"/>
    </row>
  </sheetData>
  <mergeCells count="4">
    <mergeCell ref="M1:T1"/>
    <mergeCell ref="A1:C1"/>
    <mergeCell ref="D1:I1"/>
    <mergeCell ref="J1:L1"/>
  </mergeCells>
  <conditionalFormatting sqref="R7:S7">
    <cfRule type="cellIs" dxfId="103" priority="18" operator="greaterThan">
      <formula>0</formula>
    </cfRule>
    <cfRule type="cellIs" dxfId="102" priority="19" operator="lessThan">
      <formula>0</formula>
    </cfRule>
  </conditionalFormatting>
  <conditionalFormatting sqref="R3:R4 R5:T5">
    <cfRule type="cellIs" dxfId="101" priority="13" operator="lessThan">
      <formula>0</formula>
    </cfRule>
    <cfRule type="cellIs" dxfId="100" priority="14" operator="greaterThan">
      <formula>0</formula>
    </cfRule>
  </conditionalFormatting>
  <conditionalFormatting sqref="S3:S4">
    <cfRule type="cellIs" dxfId="99" priority="11" operator="lessThan">
      <formula>0</formula>
    </cfRule>
    <cfRule type="cellIs" dxfId="98" priority="12" operator="greaterThan">
      <formula>0</formula>
    </cfRule>
  </conditionalFormatting>
  <conditionalFormatting sqref="T7">
    <cfRule type="cellIs" dxfId="97" priority="9" operator="greaterThan">
      <formula>0</formula>
    </cfRule>
    <cfRule type="cellIs" dxfId="96" priority="10" operator="lessThan">
      <formula>0</formula>
    </cfRule>
  </conditionalFormatting>
  <conditionalFormatting sqref="T3:T4">
    <cfRule type="cellIs" dxfId="95" priority="7" operator="lessThan">
      <formula>0</formula>
    </cfRule>
    <cfRule type="cellIs" dxfId="94" priority="8" operator="greaterThan">
      <formula>0</formula>
    </cfRule>
  </conditionalFormatting>
  <conditionalFormatting sqref="R6">
    <cfRule type="cellIs" dxfId="93" priority="5" operator="lessThan">
      <formula>0</formula>
    </cfRule>
    <cfRule type="cellIs" dxfId="92" priority="6" operator="greaterThan">
      <formula>0</formula>
    </cfRule>
  </conditionalFormatting>
  <conditionalFormatting sqref="S6">
    <cfRule type="cellIs" dxfId="91" priority="3" operator="lessThan">
      <formula>0</formula>
    </cfRule>
    <cfRule type="cellIs" dxfId="90" priority="4" operator="greaterThan">
      <formula>0</formula>
    </cfRule>
  </conditionalFormatting>
  <conditionalFormatting sqref="T6">
    <cfRule type="cellIs" dxfId="89" priority="1" operator="lessThan">
      <formula>0</formula>
    </cfRule>
    <cfRule type="cellIs" dxfId="88" priority="2" operator="greaterThan">
      <formula>0</formula>
    </cfRule>
  </conditionalFormatting>
  <pageMargins left="0.7" right="0.7" top="0.75" bottom="0.75" header="0.3" footer="0.3"/>
  <pageSetup paperSize="9" orientation="portrait" horizontalDpi="4294967293"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79078-F6FD-4974-91A5-1E404A8A25CC}">
  <dimension ref="A1:M9"/>
  <sheetViews>
    <sheetView workbookViewId="0">
      <pane xSplit="1" topLeftCell="B1" activePane="topRight" state="frozen"/>
      <selection pane="topRight" activeCell="A37" sqref="A37"/>
    </sheetView>
  </sheetViews>
  <sheetFormatPr baseColWidth="10" defaultRowHeight="15" x14ac:dyDescent="0.25"/>
  <cols>
    <col min="1" max="1" width="47.85546875" bestFit="1" customWidth="1"/>
    <col min="2" max="2" width="13" bestFit="1" customWidth="1"/>
    <col min="3" max="3" width="6.42578125" bestFit="1" customWidth="1"/>
    <col min="4" max="4" width="10.7109375" bestFit="1" customWidth="1"/>
    <col min="5" max="5" width="11.140625" bestFit="1" customWidth="1"/>
    <col min="6" max="6" width="15.140625" bestFit="1" customWidth="1"/>
    <col min="7" max="7" width="9.5703125" bestFit="1" customWidth="1"/>
    <col min="8" max="8" width="7.5703125" bestFit="1" customWidth="1"/>
    <col min="9" max="9" width="11.28515625" bestFit="1" customWidth="1"/>
    <col min="10" max="10" width="14.85546875" bestFit="1" customWidth="1"/>
    <col min="11" max="11" width="14" bestFit="1" customWidth="1"/>
    <col min="12" max="12" width="13.5703125" bestFit="1" customWidth="1"/>
    <col min="13" max="15" width="14.5703125" bestFit="1" customWidth="1"/>
  </cols>
  <sheetData>
    <row r="1" spans="1:13" x14ac:dyDescent="0.25">
      <c r="A1" s="48" t="s">
        <v>88</v>
      </c>
      <c r="B1" s="49"/>
      <c r="C1" s="49"/>
      <c r="D1" s="50"/>
      <c r="E1" s="51" t="s">
        <v>64</v>
      </c>
      <c r="F1" s="46"/>
      <c r="G1" s="46"/>
      <c r="H1" s="52"/>
      <c r="I1" s="39" t="s">
        <v>86</v>
      </c>
      <c r="J1" s="51" t="s">
        <v>87</v>
      </c>
      <c r="K1" s="46"/>
      <c r="L1" s="46"/>
      <c r="M1" s="52"/>
    </row>
    <row r="2" spans="1:13" x14ac:dyDescent="0.25">
      <c r="A2" t="s">
        <v>29</v>
      </c>
      <c r="B2" t="s">
        <v>31</v>
      </c>
      <c r="C2" t="s">
        <v>43</v>
      </c>
      <c r="D2" t="s">
        <v>8</v>
      </c>
      <c r="E2" t="s">
        <v>14</v>
      </c>
      <c r="F2" t="s">
        <v>58</v>
      </c>
      <c r="G2" t="s">
        <v>78</v>
      </c>
      <c r="H2" t="s">
        <v>84</v>
      </c>
      <c r="I2" t="s">
        <v>33</v>
      </c>
      <c r="J2" t="s">
        <v>16</v>
      </c>
      <c r="K2" t="s">
        <v>17</v>
      </c>
      <c r="L2" t="s">
        <v>85</v>
      </c>
      <c r="M2" t="s">
        <v>18</v>
      </c>
    </row>
    <row r="3" spans="1:13" x14ac:dyDescent="0.25">
      <c r="A3" s="17" t="s">
        <v>30</v>
      </c>
      <c r="B3" t="s">
        <v>35</v>
      </c>
      <c r="C3" s="3">
        <v>1.6400000000000001E-2</v>
      </c>
      <c r="D3" t="s">
        <v>32</v>
      </c>
      <c r="E3" s="15">
        <v>100</v>
      </c>
      <c r="F3" s="16">
        <f>IFERROR(SUMIFS(Movimientos!E:E,Movimientos!B:B,Tabla4[[#This Row],[Nombre del Fondo]],Movimientos!A:A,"Fondo",Movimientos!G:G,"Compra")/SUMIFS(Movimientos!C:C,Movimientos!B:B,Tabla4[[#This Row],[Nombre del Fondo]],Movimientos!A:A,"Fondo",Movimientos!G:G,"Compra"),0)</f>
        <v>17.265640999999999</v>
      </c>
      <c r="G3" s="16">
        <f>Tabla4[[#This Row],[Cantidad]]*Tabla4[[#This Row],[Precio Medio]]</f>
        <v>1726.5640999999998</v>
      </c>
      <c r="H3" s="6">
        <f>IFERROR(Tabla4[[#This Row],[Valor]]/Tabla4[[#Totals],[Valor]],0)</f>
        <v>1</v>
      </c>
      <c r="I3" s="17" t="s">
        <v>36</v>
      </c>
      <c r="J3" s="16">
        <v>15.07075</v>
      </c>
      <c r="K3" s="16">
        <f>Tabla4[[#This Row],[Precio Actual]]*Tabla4[[#This Row],[Cantidad]]</f>
        <v>1507.075</v>
      </c>
      <c r="L3" s="6">
        <f>IFERROR(Tabla4[[#This Row],[Valor Actual]]/Tabla4[[#Totals],[Valor Actual]],0)</f>
        <v>1</v>
      </c>
      <c r="M3" s="3">
        <f>IFERROR((Tabla4[[#This Row],[Valor Actual]]-Tabla4[[#This Row],[Valor]])/Tabla4[[#This Row],[Valor]],0)</f>
        <v>-0.12712479079114397</v>
      </c>
    </row>
    <row r="4" spans="1:13" x14ac:dyDescent="0.25">
      <c r="A4" s="19"/>
      <c r="B4" t="s">
        <v>20</v>
      </c>
      <c r="C4" s="8"/>
      <c r="E4" s="15">
        <f>SUBTOTAL(109,Tabla4[Cantidad])</f>
        <v>100</v>
      </c>
      <c r="G4" s="16">
        <f>SUBTOTAL(109,Tabla4[Valor])</f>
        <v>1726.5640999999998</v>
      </c>
      <c r="I4" s="19"/>
      <c r="K4" s="16">
        <f>SUBTOTAL(109,Tabla4[Valor Actual])</f>
        <v>1507.075</v>
      </c>
      <c r="L4" s="7">
        <f>SUBTOTAL(109,Tabla4[Peso Actual])</f>
        <v>1</v>
      </c>
      <c r="M4" s="23">
        <f>SUMPRODUCT(Tabla4[Rentabilidad],Tabla4[Valor Actual]) / SUM(Tabla4[Valor Actual])</f>
        <v>-0.12712479079114397</v>
      </c>
    </row>
    <row r="5" spans="1:13" x14ac:dyDescent="0.25">
      <c r="C5" s="8"/>
      <c r="E5" s="8"/>
    </row>
    <row r="6" spans="1:13" x14ac:dyDescent="0.25">
      <c r="C6" s="8"/>
      <c r="E6" s="8"/>
    </row>
    <row r="7" spans="1:13" x14ac:dyDescent="0.25">
      <c r="C7" s="8"/>
      <c r="E7" s="8"/>
    </row>
    <row r="8" spans="1:13" x14ac:dyDescent="0.25">
      <c r="C8" s="8"/>
      <c r="E8" s="8"/>
    </row>
    <row r="9" spans="1:13" x14ac:dyDescent="0.25">
      <c r="C9" s="8"/>
      <c r="E9" s="8"/>
    </row>
  </sheetData>
  <mergeCells count="3">
    <mergeCell ref="A1:D1"/>
    <mergeCell ref="E1:H1"/>
    <mergeCell ref="J1:M1"/>
  </mergeCells>
  <conditionalFormatting sqref="M3">
    <cfRule type="cellIs" dxfId="54" priority="10" operator="lessThan">
      <formula>0</formula>
    </cfRule>
    <cfRule type="cellIs" dxfId="53" priority="11" operator="greaterThan">
      <formula>0</formula>
    </cfRule>
  </conditionalFormatting>
  <conditionalFormatting sqref="M4">
    <cfRule type="cellIs" dxfId="52" priority="8" operator="greaterThan">
      <formula>0</formula>
    </cfRule>
    <cfRule type="cellIs" dxfId="51" priority="9" operator="lessThan">
      <formula>0</formula>
    </cfRule>
  </conditionalFormatting>
  <conditionalFormatting sqref="C9 E9">
    <cfRule type="iconSet" priority="4">
      <iconSet iconSet="3Symbols2" showValue="0">
        <cfvo type="percent" val="0"/>
        <cfvo type="percent" val="33"/>
        <cfvo type="percent" val="67"/>
      </iconSet>
    </cfRule>
  </conditionalFormatting>
  <hyperlinks>
    <hyperlink ref="I3" r:id="rId1" xr:uid="{73BB4A26-C169-48A5-B5F1-4B6AB28438EE}"/>
    <hyperlink ref="A3" r:id="rId2" xr:uid="{B0CFAD5D-692B-4638-9B1A-9B4357B6067C}"/>
  </hyperlinks>
  <pageMargins left="0.7" right="0.7" top="0.75" bottom="0.75" header="0.3" footer="0.3"/>
  <pageSetup paperSize="9" orientation="portrait" horizontalDpi="4294967293" verticalDpi="0"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96C39-2E2C-4085-91B9-E4D4FBE4DF99}">
  <dimension ref="A1:T12"/>
  <sheetViews>
    <sheetView zoomScale="79" zoomScaleNormal="79" workbookViewId="0">
      <pane xSplit="1" topLeftCell="B1" activePane="topRight" state="frozen"/>
      <selection pane="topRight" activeCell="J28" sqref="J28"/>
    </sheetView>
  </sheetViews>
  <sheetFormatPr baseColWidth="10" defaultRowHeight="15" x14ac:dyDescent="0.25"/>
  <cols>
    <col min="1" max="1" width="48.85546875" bestFit="1" customWidth="1"/>
    <col min="2" max="2" width="15" bestFit="1" customWidth="1"/>
    <col min="3" max="3" width="8.42578125" bestFit="1" customWidth="1"/>
    <col min="4" max="4" width="11.42578125" bestFit="1" customWidth="1"/>
    <col min="5" max="5" width="11.140625" bestFit="1" customWidth="1"/>
    <col min="6" max="6" width="15.85546875" customWidth="1"/>
    <col min="7" max="7" width="10.5703125" bestFit="1" customWidth="1"/>
    <col min="8" max="8" width="8.28515625" bestFit="1" customWidth="1"/>
    <col min="9" max="9" width="17.140625" bestFit="1" customWidth="1"/>
    <col min="10" max="10" width="22" bestFit="1" customWidth="1"/>
    <col min="11" max="11" width="21.5703125" bestFit="1" customWidth="1"/>
    <col min="12" max="12" width="15.7109375" bestFit="1" customWidth="1"/>
    <col min="13" max="13" width="14.85546875" bestFit="1" customWidth="1"/>
    <col min="14" max="14" width="14.28515625" bestFit="1" customWidth="1"/>
    <col min="15" max="15" width="15.140625" bestFit="1" customWidth="1"/>
    <col min="16" max="16" width="14.5703125" bestFit="1" customWidth="1"/>
    <col min="17" max="17" width="18.85546875" bestFit="1" customWidth="1"/>
    <col min="18" max="18" width="15.85546875" bestFit="1" customWidth="1"/>
    <col min="19" max="19" width="19.5703125" customWidth="1"/>
    <col min="20" max="20" width="19" customWidth="1"/>
    <col min="21" max="21" width="19" bestFit="1" customWidth="1"/>
  </cols>
  <sheetData>
    <row r="1" spans="1:20" x14ac:dyDescent="0.25">
      <c r="A1" s="25" t="s">
        <v>83</v>
      </c>
      <c r="B1" s="24">
        <v>500</v>
      </c>
    </row>
    <row r="3" spans="1:20" x14ac:dyDescent="0.25">
      <c r="A3" s="48" t="s">
        <v>88</v>
      </c>
      <c r="B3" s="49"/>
      <c r="C3" s="49"/>
      <c r="D3" s="50"/>
      <c r="E3" s="51" t="s">
        <v>64</v>
      </c>
      <c r="F3" s="46"/>
      <c r="G3" s="46"/>
      <c r="H3" s="52"/>
      <c r="I3" s="51" t="s">
        <v>57</v>
      </c>
      <c r="J3" s="46"/>
      <c r="K3" s="46"/>
      <c r="L3" s="51" t="s">
        <v>60</v>
      </c>
      <c r="M3" s="46"/>
      <c r="N3" s="46"/>
      <c r="O3" s="52"/>
      <c r="P3" s="48" t="s">
        <v>66</v>
      </c>
      <c r="Q3" s="49"/>
      <c r="R3" s="49"/>
      <c r="S3" s="49"/>
      <c r="T3" s="49"/>
    </row>
    <row r="4" spans="1:20" x14ac:dyDescent="0.25">
      <c r="A4" t="s">
        <v>29</v>
      </c>
      <c r="B4" t="s">
        <v>31</v>
      </c>
      <c r="C4" t="s">
        <v>43</v>
      </c>
      <c r="D4" t="s">
        <v>8</v>
      </c>
      <c r="E4" t="s">
        <v>14</v>
      </c>
      <c r="F4" t="s">
        <v>58</v>
      </c>
      <c r="G4" t="s">
        <v>78</v>
      </c>
      <c r="H4" t="s">
        <v>84</v>
      </c>
      <c r="I4" t="s">
        <v>33</v>
      </c>
      <c r="J4" t="s">
        <v>34</v>
      </c>
      <c r="K4" t="s">
        <v>59</v>
      </c>
      <c r="L4" t="s">
        <v>16</v>
      </c>
      <c r="M4" t="s">
        <v>17</v>
      </c>
      <c r="N4" t="s">
        <v>85</v>
      </c>
      <c r="O4" t="s">
        <v>18</v>
      </c>
      <c r="P4" t="s">
        <v>56</v>
      </c>
      <c r="Q4" t="s">
        <v>61</v>
      </c>
      <c r="R4" t="s">
        <v>65</v>
      </c>
      <c r="S4" t="s">
        <v>62</v>
      </c>
      <c r="T4" t="s">
        <v>63</v>
      </c>
    </row>
    <row r="5" spans="1:20" x14ac:dyDescent="0.25">
      <c r="A5" s="17" t="s">
        <v>44</v>
      </c>
      <c r="B5" t="s">
        <v>37</v>
      </c>
      <c r="C5" s="3">
        <v>5.9999999999999995E-4</v>
      </c>
      <c r="D5" s="6" t="s">
        <v>32</v>
      </c>
      <c r="E5" s="15">
        <f>SUMIFS(Movimientos!C:C,Movimientos!A:A,"Fondo",Movimientos!B:B,Tabla467[[#This Row],[Nombre del Fondo]],Movimientos!G:G,"Compra")</f>
        <v>32.592834109531474</v>
      </c>
      <c r="F5" s="16">
        <f>IFERROR(SUMIFS(Movimientos!E:E,Movimientos!B:B,Tabla467[[#This Row],[Nombre del Fondo]],Movimientos!A:A,"Fondo",Movimientos!G:G,"Compra")/SUMIFS(Movimientos!C:C,Movimientos!B:B,Tabla467[[#This Row],[Nombre del Fondo]],Movimientos!A:A,"Fondo",Movimientos!G:G,"Compra"),0)</f>
        <v>8.5549999999999997</v>
      </c>
      <c r="G5" s="16">
        <f>Tabla467[[#This Row],[Cantidad]]*Tabla467[[#This Row],[Precio Medio]]</f>
        <v>278.83169580704174</v>
      </c>
      <c r="H5" s="6">
        <f>IFERROR(Tabla467[[#This Row],[Valor]]/Tabla467[[#Totals],[Valor]],0)</f>
        <v>0.55766339161408363</v>
      </c>
      <c r="I5" s="21" t="s">
        <v>50</v>
      </c>
      <c r="J5" s="18">
        <v>36693373.869999997</v>
      </c>
      <c r="K5" s="3">
        <f>IFERROR(Tabla467[[#This Row],[Capitalización Índice]]/Tabla467[[#Totals],[Capitalización Índice]],0)</f>
        <v>0.55732254212434795</v>
      </c>
      <c r="L5" s="16">
        <v>8.5939999999999994</v>
      </c>
      <c r="M5" s="16">
        <f>Tabla467[[#This Row],[Precio Actual]]*Tabla467[[#This Row],[Cantidad]]</f>
        <v>280.10281633731347</v>
      </c>
      <c r="N5" s="3">
        <f>IFERROR(Tabla467[[#This Row],[Valor Actual]]/Tabla467[[#Totals],[Valor Actual]],0)</f>
        <v>0.555396453166489</v>
      </c>
      <c r="O5" s="3">
        <f>IFERROR((Tabla467[[#This Row],[Valor Actual]]-Tabla467[[#This Row],[Valor]])/Tabla467[[#This Row],[Valor]],0)</f>
        <v>4.5587375803623721E-3</v>
      </c>
      <c r="P5" s="3">
        <f>Tabla467[[#This Row],[Peso Ínidce]]-Tabla467[[#This Row],[Peso Actual]]</f>
        <v>1.9260889578589513E-3</v>
      </c>
      <c r="Q5" s="15">
        <f>Tabla467[[#This Row],[Valor Compra]]/Tabla467[[#This Row],[Precio Actual]]</f>
        <v>32.538125965331147</v>
      </c>
      <c r="R5" s="26">
        <f>Tabla467[[#This Row],[Rebalanceo]]*Tabla467[[#Totals],[Valor Actual]] + $B$1 * Tabla467[[#This Row],[Peso Ínidce]]</f>
        <v>279.63265454605585</v>
      </c>
      <c r="S5" s="16">
        <f>Tabla467[[#This Row],[Valor Actual]]+Tabla467[[#This Row],[Valor Compra]]</f>
        <v>559.73547088336932</v>
      </c>
      <c r="T5" s="3">
        <f>Tabla467[[#This Row],[Valor Tras Compra]]/Tabla467[[#Totals],[Valor Tras Compra]]</f>
        <v>0.55732254212434806</v>
      </c>
    </row>
    <row r="6" spans="1:20" x14ac:dyDescent="0.25">
      <c r="A6" s="22" t="s">
        <v>45</v>
      </c>
      <c r="B6" t="s">
        <v>38</v>
      </c>
      <c r="C6" s="3">
        <v>1.1999999999999999E-3</v>
      </c>
      <c r="D6" t="s">
        <v>32</v>
      </c>
      <c r="E6" s="15">
        <f>SUMIFS(Movimientos!C:C,Movimientos!A:A,"Fondo",Movimientos!B:B,Tabla467[[#This Row],[Nombre del Fondo]],Movimientos!G:G,"Compra")</f>
        <v>3.1305972693413486</v>
      </c>
      <c r="F6" s="16">
        <f>IFERROR(SUMIFS(Movimientos!E:E,Movimientos!B:B,Tabla467[[#This Row],[Nombre del Fondo]],Movimientos!A:A,"Fondo",Movimientos!G:G,"Compra")/SUMIFS(Movimientos!C:C,Movimientos!B:B,Tabla467[[#This Row],[Nombre del Fondo]],Movimientos!A:A,"Fondo",Movimientos!G:G,"Compra"),0)</f>
        <v>23.5916</v>
      </c>
      <c r="G6" s="16">
        <f>Tabla467[[#This Row],[Cantidad]]*Tabla467[[#This Row],[Precio Medio]]</f>
        <v>73.855798539393362</v>
      </c>
      <c r="H6" s="6">
        <f>IFERROR(Tabla467[[#This Row],[Valor]]/Tabla467[[#Totals],[Valor]],0)</f>
        <v>0.14771159707878675</v>
      </c>
      <c r="I6" s="21" t="s">
        <v>51</v>
      </c>
      <c r="J6" s="18">
        <v>9732628.6699999999</v>
      </c>
      <c r="K6" s="3">
        <f>IFERROR(Tabla467[[#This Row],[Capitalización Índice]]/Tabla467[[#Totals],[Capitalización Índice]],0)</f>
        <v>0.14782541859285048</v>
      </c>
      <c r="L6" s="16">
        <v>23.909300000000002</v>
      </c>
      <c r="M6" s="16">
        <f>Tabla467[[#This Row],[Precio Actual]]*Tabla467[[#This Row],[Cantidad]]</f>
        <v>74.85038929186311</v>
      </c>
      <c r="N6" s="3">
        <f>IFERROR(Tabla467[[#This Row],[Valor Actual]]/Tabla467[[#Totals],[Valor Actual]],0)</f>
        <v>0.14841564706285967</v>
      </c>
      <c r="O6" s="3">
        <f>IFERROR((Tabla467[[#This Row],[Valor Actual]]-Tabla467[[#This Row],[Valor]])/Tabla467[[#This Row],[Valor]],0)</f>
        <v>1.3466657623900046E-2</v>
      </c>
      <c r="P6" s="3">
        <f>Tabla467[[#This Row],[Peso Ínidce]]-Tabla467[[#This Row],[Peso Actual]]</f>
        <v>-5.9022847000919643E-4</v>
      </c>
      <c r="Q6" s="15">
        <f>Tabla467[[#This Row],[Valor Compra]]/Tabla467[[#This Row],[Precio Actual]]</f>
        <v>3.0789291056784949</v>
      </c>
      <c r="R6" s="26">
        <f>Tabla467[[#This Row],[Rebalanceo]]*Tabla467[[#Totals],[Valor Actual]] + $B$1 * Tabla467[[#This Row],[Peso Ínidce]]</f>
        <v>73.615039666398843</v>
      </c>
      <c r="S6" s="16">
        <f>Tabla467[[#This Row],[Valor Actual]]+Tabla467[[#This Row],[Valor Compra]]</f>
        <v>148.46542895826195</v>
      </c>
      <c r="T6" s="3">
        <f>Tabla467[[#This Row],[Valor Tras Compra]]/Tabla467[[#Totals],[Valor Tras Compra]]</f>
        <v>0.1478254185928505</v>
      </c>
    </row>
    <row r="7" spans="1:20" x14ac:dyDescent="0.25">
      <c r="A7" s="17" t="s">
        <v>48</v>
      </c>
      <c r="B7" t="s">
        <v>41</v>
      </c>
      <c r="C7" s="3">
        <v>2E-3</v>
      </c>
      <c r="D7" t="s">
        <v>32</v>
      </c>
      <c r="E7" s="15">
        <f>SUMIFS(Movimientos!C:C,Movimientos!A:A,"Fondo",Movimientos!B:B,Tabla467[[#This Row],[Nombre del Fondo]],Movimientos!G:G,"Compra")</f>
        <v>4.5733193198255471</v>
      </c>
      <c r="F7" s="16">
        <f>IFERROR(SUMIFS(Movimientos!E:E,Movimientos!B:B,Tabla467[[#This Row],[Nombre del Fondo]],Movimientos!A:A,"Fondo",Movimientos!G:G,"Compra")/SUMIFS(Movimientos!C:C,Movimientos!B:B,Tabla467[[#This Row],[Nombre del Fondo]],Movimientos!A:A,"Fondo",Movimientos!G:G,"Compra"),0)</f>
        <v>11.438000000000001</v>
      </c>
      <c r="G7" s="16">
        <f>Tabla467[[#This Row],[Cantidad]]*Tabla467[[#This Row],[Precio Medio]]</f>
        <v>52.309626380164609</v>
      </c>
      <c r="H7" s="6">
        <f>IFERROR(Tabla467[[#This Row],[Valor]]/Tabla467[[#Totals],[Valor]],0)</f>
        <v>0.10461925276032924</v>
      </c>
      <c r="I7" s="21" t="s">
        <v>52</v>
      </c>
      <c r="J7" s="18">
        <v>6893299.9100000001</v>
      </c>
      <c r="K7" s="3">
        <f>IFERROR(Tabla467[[#This Row],[Capitalización Índice]]/Tabla467[[#Totals],[Capitalización Índice]],0)</f>
        <v>0.10469986878496708</v>
      </c>
      <c r="L7" s="16">
        <v>11.706</v>
      </c>
      <c r="M7" s="16">
        <f>Tabla467[[#This Row],[Precio Actual]]*Tabla467[[#This Row],[Cantidad]]</f>
        <v>53.53527595787785</v>
      </c>
      <c r="N7" s="3">
        <f>IFERROR(Tabla467[[#This Row],[Valor Actual]]/Tabla467[[#Totals],[Valor Actual]],0)</f>
        <v>0.10615138674824418</v>
      </c>
      <c r="O7" s="3">
        <f>IFERROR((Tabla467[[#This Row],[Valor Actual]]-Tabla467[[#This Row],[Valor]])/Tabla467[[#This Row],[Valor]],0)</f>
        <v>2.3430669697499462E-2</v>
      </c>
      <c r="P7" s="3">
        <f>Tabla467[[#This Row],[Peso Ínidce]]-Tabla467[[#This Row],[Peso Actual]]</f>
        <v>-1.4515179632770964E-3</v>
      </c>
      <c r="Q7" s="15">
        <f>Tabla467[[#This Row],[Valor Compra]]/Tabla467[[#This Row],[Precio Actual]]</f>
        <v>4.4095242663340031</v>
      </c>
      <c r="R7" s="26">
        <f>Tabla467[[#This Row],[Rebalanceo]]*Tabla467[[#Totals],[Valor Actual]] + $B$1 * Tabla467[[#This Row],[Peso Ínidce]]</f>
        <v>51.617891061705841</v>
      </c>
      <c r="S7" s="16">
        <f>Tabla467[[#This Row],[Valor Actual]]+Tabla467[[#This Row],[Valor Compra]]</f>
        <v>105.15316701958369</v>
      </c>
      <c r="T7" s="3">
        <f>Tabla467[[#This Row],[Valor Tras Compra]]/Tabla467[[#Totals],[Valor Tras Compra]]</f>
        <v>0.10469986878496709</v>
      </c>
    </row>
    <row r="8" spans="1:20" x14ac:dyDescent="0.25">
      <c r="A8" s="17" t="s">
        <v>47</v>
      </c>
      <c r="B8" t="s">
        <v>40</v>
      </c>
      <c r="C8" s="3">
        <v>1.5E-3</v>
      </c>
      <c r="D8" t="s">
        <v>32</v>
      </c>
      <c r="E8" s="15">
        <f>SUMIFS(Movimientos!C:C,Movimientos!A:A,"Fondo",Movimientos!B:B,Tabla467[[#This Row],[Nombre del Fondo]],Movimientos!G:G,"Compra")</f>
        <v>1.172912165494181</v>
      </c>
      <c r="F8" s="16">
        <f>IFERROR(SUMIFS(Movimientos!E:E,Movimientos!B:B,Tabla467[[#This Row],[Nombre del Fondo]],Movimientos!A:A,"Fondo",Movimientos!G:G,"Compra")/SUMIFS(Movimientos!C:C,Movimientos!B:B,Tabla467[[#This Row],[Nombre del Fondo]],Movimientos!A:A,"Fondo",Movimientos!G:G,"Compra"),0)</f>
        <v>12.468999999999999</v>
      </c>
      <c r="G8" s="16">
        <f>Tabla467[[#This Row],[Cantidad]]*Tabla467[[#This Row],[Precio Medio]]</f>
        <v>14.625041791546941</v>
      </c>
      <c r="H8" s="6">
        <f>IFERROR(Tabla467[[#This Row],[Valor]]/Tabla467[[#Totals],[Valor]],0)</f>
        <v>2.9250083583093889E-2</v>
      </c>
      <c r="I8" s="21" t="s">
        <v>53</v>
      </c>
      <c r="J8" s="18">
        <v>1927270.49</v>
      </c>
      <c r="K8" s="3">
        <f>IFERROR(Tabla467[[#This Row],[Capitalización Índice]]/Tabla467[[#Totals],[Capitalización Índice]],0)</f>
        <v>2.9272622698950465E-2</v>
      </c>
      <c r="L8" s="16">
        <v>12.787000000000001</v>
      </c>
      <c r="M8" s="16">
        <f>Tabla467[[#This Row],[Precio Actual]]*Tabla467[[#This Row],[Cantidad]]</f>
        <v>14.998027860174092</v>
      </c>
      <c r="N8" s="3">
        <f>IFERROR(Tabla467[[#This Row],[Valor Actual]]/Tabla467[[#Totals],[Valor Actual]],0)</f>
        <v>2.9738549533188784E-2</v>
      </c>
      <c r="O8" s="3">
        <f>IFERROR((Tabla467[[#This Row],[Valor Actual]]-Tabla467[[#This Row],[Valor]])/Tabla467[[#This Row],[Valor]],0)</f>
        <v>2.5503248055176949E-2</v>
      </c>
      <c r="P8" s="3">
        <f>Tabla467[[#This Row],[Peso Ínidce]]-Tabla467[[#This Row],[Peso Actual]]</f>
        <v>-4.6592683423831924E-4</v>
      </c>
      <c r="Q8" s="15">
        <f>Tabla467[[#This Row],[Valor Compra]]/Tabla467[[#This Row],[Precio Actual]]</f>
        <v>1.1262478064790529</v>
      </c>
      <c r="R8" s="26">
        <f>Tabla467[[#This Row],[Rebalanceo]]*Tabla467[[#Totals],[Valor Actual]] + $B$1 * Tabla467[[#This Row],[Peso Ínidce]]</f>
        <v>14.40133070144765</v>
      </c>
      <c r="S8" s="16">
        <f>Tabla467[[#This Row],[Valor Actual]]+Tabla467[[#This Row],[Valor Compra]]</f>
        <v>29.399358561621742</v>
      </c>
      <c r="T8" s="3">
        <f>Tabla467[[#This Row],[Valor Tras Compra]]/Tabla467[[#Totals],[Valor Tras Compra]]</f>
        <v>2.9272622698950469E-2</v>
      </c>
    </row>
    <row r="9" spans="1:20" x14ac:dyDescent="0.25">
      <c r="A9" s="17" t="s">
        <v>49</v>
      </c>
      <c r="B9" t="s">
        <v>42</v>
      </c>
      <c r="C9" s="3">
        <v>2.8999999999999998E-3</v>
      </c>
      <c r="D9" t="s">
        <v>32</v>
      </c>
      <c r="E9" s="15">
        <f>SUMIFS(Movimientos!C:C,Movimientos!A:A,"Fondo",Movimientos!B:B,Tabla467[[#This Row],[Nombre del Fondo]],Movimientos!G:G,"Compra")</f>
        <v>0.21385326969022125</v>
      </c>
      <c r="F9" s="16">
        <f>IFERROR(SUMIFS(Movimientos!E:E,Movimientos!B:B,Tabla467[[#This Row],[Nombre del Fondo]],Movimientos!A:A,"Fondo",Movimientos!G:G,"Compra")/SUMIFS(Movimientos!C:C,Movimientos!B:B,Tabla467[[#This Row],[Nombre del Fondo]],Movimientos!A:A,"Fondo",Movimientos!G:G,"Compra"),0)</f>
        <v>259.23849999999999</v>
      </c>
      <c r="G9" s="16">
        <f>Tabla467[[#This Row],[Cantidad]]*Tabla467[[#This Row],[Precio Medio]]</f>
        <v>55.439000854588421</v>
      </c>
      <c r="H9" s="6">
        <f>IFERROR(Tabla467[[#This Row],[Valor]]/Tabla467[[#Totals],[Valor]],0)</f>
        <v>0.11087800170917687</v>
      </c>
      <c r="I9" s="22" t="s">
        <v>54</v>
      </c>
      <c r="J9" s="18">
        <v>7305685.1299999999</v>
      </c>
      <c r="K9" s="3">
        <f>IFERROR(Tabla467[[#This Row],[Capitalización Índice]]/Tabla467[[#Totals],[Capitalización Índice]],0)</f>
        <v>0.11096344051209069</v>
      </c>
      <c r="L9" s="16">
        <v>260.62509999999997</v>
      </c>
      <c r="M9" s="16">
        <f>Tabla467[[#This Row],[Precio Actual]]*Tabla467[[#This Row],[Cantidad]]</f>
        <v>55.735529798340878</v>
      </c>
      <c r="N9" s="3">
        <f>IFERROR(Tabla467[[#This Row],[Valor Actual]]/Tabla467[[#Totals],[Valor Actual]],0)</f>
        <v>0.11051411753059912</v>
      </c>
      <c r="O9" s="3">
        <f>IFERROR((Tabla467[[#This Row],[Valor Actual]]-Tabla467[[#This Row],[Valor]])/Tabla467[[#This Row],[Valor]],0)</f>
        <v>5.3487425671726154E-3</v>
      </c>
      <c r="P9" s="3">
        <f>Tabla467[[#This Row],[Peso Ínidce]]-Tabla467[[#This Row],[Peso Actual]]</f>
        <v>4.4932298149157057E-4</v>
      </c>
      <c r="Q9" s="15">
        <f>Tabla467[[#This Row],[Valor Compra]]/Tabla467[[#This Row],[Precio Actual]]</f>
        <v>0.21374889483512857</v>
      </c>
      <c r="R9" s="26">
        <f>Tabla467[[#This Row],[Rebalanceo]]*Tabla467[[#Totals],[Valor Actual]] + $B$1 * Tabla467[[#This Row],[Peso Ínidce]]</f>
        <v>55.708327091294862</v>
      </c>
      <c r="S9" s="16">
        <f>Tabla467[[#This Row],[Valor Actual]]+Tabla467[[#This Row],[Valor Compra]]</f>
        <v>111.44385688963574</v>
      </c>
      <c r="T9" s="3">
        <f>Tabla467[[#This Row],[Valor Tras Compra]]/Tabla467[[#Totals],[Valor Tras Compra]]</f>
        <v>0.11096344051209071</v>
      </c>
    </row>
    <row r="10" spans="1:20" x14ac:dyDescent="0.25">
      <c r="A10" s="17" t="s">
        <v>46</v>
      </c>
      <c r="B10" t="s">
        <v>39</v>
      </c>
      <c r="C10" s="3">
        <v>1E-3</v>
      </c>
      <c r="D10" t="s">
        <v>32</v>
      </c>
      <c r="E10" s="15">
        <f>SUMIFS(Movimientos!C:C,Movimientos!A:A,"Fondo",Movimientos!B:B,Tabla467[[#This Row],[Nombre del Fondo]],Movimientos!G:G,"Compra")</f>
        <v>4.4375154141040607</v>
      </c>
      <c r="F10" s="16">
        <f>IFERROR(SUMIFS(Movimientos!E:E,Movimientos!B:B,Tabla467[[#This Row],[Nombre del Fondo]],Movimientos!A:A,"Fondo",Movimientos!G:G,"Compra")/SUMIFS(Movimientos!C:C,Movimientos!B:B,Tabla467[[#This Row],[Nombre del Fondo]],Movimientos!A:A,"Fondo",Movimientos!G:G,"Compra"),0)</f>
        <v>5.62</v>
      </c>
      <c r="G10" s="16">
        <f>Tabla467[[#This Row],[Cantidad]]*Tabla467[[#This Row],[Precio Medio]]</f>
        <v>24.93883662726482</v>
      </c>
      <c r="H10" s="6">
        <f>IFERROR(Tabla467[[#This Row],[Valor]]/Tabla467[[#Totals],[Valor]],0)</f>
        <v>4.9877673254529652E-2</v>
      </c>
      <c r="I10" s="21" t="s">
        <v>55</v>
      </c>
      <c r="J10" s="18">
        <v>3286410.02</v>
      </c>
      <c r="K10" s="3">
        <f>IFERROR(Tabla467[[#This Row],[Capitalización Índice]]/Tabla467[[#Totals],[Capitalización Índice]],0)</f>
        <v>4.991610728679307E-2</v>
      </c>
      <c r="L10" s="16">
        <v>5.6580000000000004</v>
      </c>
      <c r="M10" s="16">
        <f>Tabla467[[#This Row],[Precio Actual]]*Tabla467[[#This Row],[Cantidad]]</f>
        <v>25.107462213000776</v>
      </c>
      <c r="N10" s="3">
        <f>IFERROR(Tabla467[[#This Row],[Valor Actual]]/Tabla467[[#Totals],[Valor Actual]],0)</f>
        <v>4.9783845958619406E-2</v>
      </c>
      <c r="O10" s="3">
        <f>IFERROR((Tabla467[[#This Row],[Valor Actual]]-Tabla467[[#This Row],[Valor]])/Tabla467[[#This Row],[Valor]],0)</f>
        <v>6.761565836299009E-3</v>
      </c>
      <c r="P10" s="3">
        <f>Tabla467[[#This Row],[Peso Ínidce]]-Tabla467[[#This Row],[Peso Actual]]</f>
        <v>1.3226132817366343E-4</v>
      </c>
      <c r="Q10" s="15">
        <f>Tabla467[[#This Row],[Valor Compra]]/Tabla467[[#This Row],[Precio Actual]]</f>
        <v>4.4228980086773779</v>
      </c>
      <c r="R10" s="26">
        <f>Tabla467[[#This Row],[Rebalanceo]]*Tabla467[[#Totals],[Valor Actual]] + $B$1 * Tabla467[[#This Row],[Peso Ínidce]]</f>
        <v>25.024756933096608</v>
      </c>
      <c r="S10" s="16">
        <f>Tabla467[[#This Row],[Valor Actual]]+Tabla467[[#This Row],[Valor Compra]]</f>
        <v>50.132219146097384</v>
      </c>
      <c r="T10" s="3">
        <f>Tabla467[[#This Row],[Valor Tras Compra]]/Tabla467[[#Totals],[Valor Tras Compra]]</f>
        <v>4.9916107286793084E-2</v>
      </c>
    </row>
    <row r="11" spans="1:20" x14ac:dyDescent="0.25">
      <c r="A11" t="s">
        <v>20</v>
      </c>
      <c r="B11" t="s">
        <v>20</v>
      </c>
      <c r="C11" s="2">
        <f>IFERROR(SUMPRODUCT(Tabla467[TER],Tabla467[Valor Actual]) / SUM(Tabla467[Valor Actual]),0)</f>
        <v>1.1385220329689532E-3</v>
      </c>
      <c r="E11" s="15">
        <f>SUBTOTAL(109,Tabla467[Cantidad])</f>
        <v>46.121031547986838</v>
      </c>
      <c r="G11" s="16">
        <f>SUBTOTAL(109,Tabla467[Valor])</f>
        <v>499.99999999999989</v>
      </c>
      <c r="H11" s="7">
        <f>SUBTOTAL(109,Tabla467[Peso])</f>
        <v>1</v>
      </c>
      <c r="I11" s="19"/>
      <c r="J11" s="20">
        <f>SUBTOTAL(109,Tabla467[Capitalización Índice])</f>
        <v>65838668.090000011</v>
      </c>
      <c r="K11" s="23">
        <f>SUBTOTAL(109,Tabla467[Peso Ínidce])</f>
        <v>0.99999999999999978</v>
      </c>
      <c r="M11" s="16">
        <f>SUBTOTAL(109,Tabla467[Valor Actual])</f>
        <v>504.32950145857012</v>
      </c>
      <c r="N11" s="7">
        <f>SUBTOTAL(109,Tabla467[Peso Actual])</f>
        <v>1.0000000000000002</v>
      </c>
      <c r="O11" s="23">
        <f>SUMPRODUCT(Tabla467[Rentabilidad],Tabla467[Valor Actual]) / SUM(Tabla467[Valor Actual])</f>
        <v>8.7039253911936777E-3</v>
      </c>
      <c r="P11" s="2" cm="1">
        <f t="array" ref="P11">AVERAGE(ABS(Tabla467[Rebalanceo]))</f>
        <v>8.3589108917479955E-4</v>
      </c>
      <c r="Q11" s="2"/>
      <c r="R11" s="27">
        <f>SUBTOTAL(109,Tabla467[Valor Compra])</f>
        <v>499.99999999999966</v>
      </c>
      <c r="S11" s="16">
        <f>SUBTOTAL(109,Tabla467[Valor Tras Compra])</f>
        <v>1004.3295014585699</v>
      </c>
      <c r="T11" s="28">
        <f>SUBTOTAL(109,Tabla467[Peso Tras Compra])</f>
        <v>0.99999999999999989</v>
      </c>
    </row>
    <row r="12" spans="1:20" x14ac:dyDescent="0.25">
      <c r="A12" s="8"/>
      <c r="C12" s="8"/>
    </row>
  </sheetData>
  <mergeCells count="5">
    <mergeCell ref="I3:K3"/>
    <mergeCell ref="L3:O3"/>
    <mergeCell ref="P3:T3"/>
    <mergeCell ref="A3:D3"/>
    <mergeCell ref="E3:H3"/>
  </mergeCells>
  <conditionalFormatting sqref="O5:O10">
    <cfRule type="cellIs" dxfId="36" priority="4" operator="lessThan">
      <formula>0</formula>
    </cfRule>
    <cfRule type="cellIs" dxfId="35" priority="5" operator="greaterThan">
      <formula>0</formula>
    </cfRule>
  </conditionalFormatting>
  <conditionalFormatting sqref="O11">
    <cfRule type="cellIs" dxfId="34" priority="2" operator="greaterThan">
      <formula>0</formula>
    </cfRule>
    <cfRule type="cellIs" dxfId="33" priority="3" operator="lessThan">
      <formula>0</formula>
    </cfRule>
  </conditionalFormatting>
  <hyperlinks>
    <hyperlink ref="I5" r:id="rId1" xr:uid="{C4543918-0612-4C42-A7EB-CFC5A4F20348}"/>
    <hyperlink ref="A5" r:id="rId2" xr:uid="{F0BAD742-47F5-44B3-8BCB-309C701A9FFD}"/>
    <hyperlink ref="A7" r:id="rId3" xr:uid="{980E21CD-BA44-41CC-9FB2-7DE95383F175}"/>
    <hyperlink ref="A6" r:id="rId4" xr:uid="{24F7CC41-DBC2-4576-8DD2-89E4CCBEBC64}"/>
    <hyperlink ref="A10" r:id="rId5" xr:uid="{81CF0E33-BBC2-4FC0-AAF1-A4D17EF5B387}"/>
    <hyperlink ref="A9" r:id="rId6" xr:uid="{0E0A9E2E-73AF-4F34-A0AC-C73A22455605}"/>
    <hyperlink ref="A8" r:id="rId7" xr:uid="{2400B834-47F3-4EF8-B350-E7FE1DD3E9F2}"/>
    <hyperlink ref="I6" r:id="rId8" xr:uid="{0F7654D3-D848-43AE-A5B5-7A3819189A6E}"/>
    <hyperlink ref="I7" r:id="rId9" xr:uid="{FE4668D8-6F28-4EF9-83E1-E4EDECD768B6}"/>
    <hyperlink ref="I8" r:id="rId10" xr:uid="{21FAB866-197D-4DF8-9144-0D152C45D9AF}"/>
    <hyperlink ref="I9" r:id="rId11" xr:uid="{3F98B7FC-F2FB-443A-8043-698759A4C409}"/>
    <hyperlink ref="I10" r:id="rId12" xr:uid="{97CE5EF1-5B63-4094-BC05-855AE934A604}"/>
  </hyperlinks>
  <pageMargins left="0.7" right="0.7" top="0.75" bottom="0.75" header="0.3" footer="0.3"/>
  <pageSetup paperSize="9" orientation="portrait" horizontalDpi="4294967293" verticalDpi="0" r:id="rId13"/>
  <drawing r:id="rId14"/>
  <tableParts count="1">
    <tablePart r:id="rId15"/>
  </tableParts>
  <extLst>
    <ext xmlns:x14="http://schemas.microsoft.com/office/spreadsheetml/2009/9/main" uri="{78C0D931-6437-407d-A8EE-F0AAD7539E65}">
      <x14:conditionalFormattings>
        <x14:conditionalFormatting xmlns:xm="http://schemas.microsoft.com/office/excel/2006/main">
          <x14:cfRule type="iconSet" priority="1" id="{AF4C7FA5-4B8F-4EEF-8A85-92F5BC4E329D}">
            <x14:iconSet iconSet="3Triangles">
              <x14:cfvo type="percent">
                <xm:f>0</xm:f>
              </x14:cfvo>
              <x14:cfvo type="num">
                <xm:f>0</xm:f>
              </x14:cfvo>
              <x14:cfvo type="num" gte="0">
                <xm:f>0</xm:f>
              </x14:cfvo>
            </x14:iconSet>
          </x14:cfRule>
          <xm:sqref>P5:P10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C978-1B69-4137-8513-55D242E0090B}">
  <dimension ref="A1:G13"/>
  <sheetViews>
    <sheetView workbookViewId="0">
      <selection activeCell="D13" sqref="D13"/>
    </sheetView>
  </sheetViews>
  <sheetFormatPr baseColWidth="10" defaultRowHeight="15" x14ac:dyDescent="0.25"/>
  <cols>
    <col min="1" max="1" width="7.140625" bestFit="1" customWidth="1"/>
    <col min="2" max="2" width="47.85546875" bestFit="1" customWidth="1"/>
    <col min="4" max="4" width="11.140625" bestFit="1" customWidth="1"/>
    <col min="5" max="5" width="11" bestFit="1" customWidth="1"/>
    <col min="6" max="6" width="10.7109375" style="35" bestFit="1" customWidth="1"/>
    <col min="7" max="8" width="17.42578125" bestFit="1" customWidth="1"/>
    <col min="11" max="11" width="12.7109375" bestFit="1" customWidth="1"/>
    <col min="12" max="12" width="11.85546875" bestFit="1" customWidth="1"/>
  </cols>
  <sheetData>
    <row r="1" spans="1:7" x14ac:dyDescent="0.25">
      <c r="A1" t="s">
        <v>76</v>
      </c>
      <c r="B1" t="s">
        <v>70</v>
      </c>
      <c r="C1" t="s">
        <v>14</v>
      </c>
      <c r="D1" t="s">
        <v>1</v>
      </c>
      <c r="E1" s="35" t="s">
        <v>78</v>
      </c>
      <c r="F1" t="s">
        <v>71</v>
      </c>
      <c r="G1" t="s">
        <v>79</v>
      </c>
    </row>
    <row r="2" spans="1:7" x14ac:dyDescent="0.25">
      <c r="A2" t="s">
        <v>82</v>
      </c>
      <c r="B2" t="s">
        <v>30</v>
      </c>
      <c r="C2" s="36">
        <v>100</v>
      </c>
      <c r="D2" s="34">
        <v>17.265640999999999</v>
      </c>
      <c r="E2" s="37">
        <f>Tabla5[[#This Row],[Cantidad]]*Tabla5[[#This Row],[Precio]]</f>
        <v>1726.5640999999998</v>
      </c>
      <c r="F2" s="38">
        <v>44652</v>
      </c>
      <c r="G2" t="s">
        <v>73</v>
      </c>
    </row>
    <row r="3" spans="1:7" x14ac:dyDescent="0.25">
      <c r="A3" t="s">
        <v>82</v>
      </c>
      <c r="B3" t="s">
        <v>44</v>
      </c>
      <c r="C3" s="15">
        <v>32.592834109531474</v>
      </c>
      <c r="D3" s="34">
        <v>8.5549999999999997</v>
      </c>
      <c r="E3" s="37">
        <f>Tabla5[[#This Row],[Cantidad]]*Tabla5[[#This Row],[Precio]]</f>
        <v>278.83169580704174</v>
      </c>
      <c r="F3" s="38">
        <v>44666</v>
      </c>
      <c r="G3" t="s">
        <v>73</v>
      </c>
    </row>
    <row r="4" spans="1:7" x14ac:dyDescent="0.25">
      <c r="A4" t="s">
        <v>82</v>
      </c>
      <c r="B4" t="s">
        <v>45</v>
      </c>
      <c r="C4" s="15">
        <v>3.1305972693413486</v>
      </c>
      <c r="D4" s="34">
        <v>23.5916</v>
      </c>
      <c r="E4" s="37">
        <f>Tabla5[[#This Row],[Cantidad]]*Tabla5[[#This Row],[Precio]]</f>
        <v>73.855798539393362</v>
      </c>
      <c r="F4" s="38">
        <v>44666</v>
      </c>
      <c r="G4" t="s">
        <v>73</v>
      </c>
    </row>
    <row r="5" spans="1:7" x14ac:dyDescent="0.25">
      <c r="A5" t="s">
        <v>82</v>
      </c>
      <c r="B5" t="s">
        <v>48</v>
      </c>
      <c r="C5" s="15">
        <v>4.5733193198255471</v>
      </c>
      <c r="D5" s="34">
        <v>11.438000000000001</v>
      </c>
      <c r="E5" s="37">
        <f>Tabla5[[#This Row],[Cantidad]]*Tabla5[[#This Row],[Precio]]</f>
        <v>52.309626380164609</v>
      </c>
      <c r="F5" s="38">
        <v>44666</v>
      </c>
      <c r="G5" t="s">
        <v>73</v>
      </c>
    </row>
    <row r="6" spans="1:7" x14ac:dyDescent="0.25">
      <c r="A6" t="s">
        <v>82</v>
      </c>
      <c r="B6" t="s">
        <v>47</v>
      </c>
      <c r="C6" s="15">
        <v>1.172912165494181</v>
      </c>
      <c r="D6" s="34">
        <v>12.468999999999999</v>
      </c>
      <c r="E6" s="37">
        <f>Tabla5[[#This Row],[Cantidad]]*Tabla5[[#This Row],[Precio]]</f>
        <v>14.625041791546941</v>
      </c>
      <c r="F6" s="38">
        <v>44666</v>
      </c>
      <c r="G6" t="s">
        <v>73</v>
      </c>
    </row>
    <row r="7" spans="1:7" x14ac:dyDescent="0.25">
      <c r="A7" t="s">
        <v>82</v>
      </c>
      <c r="B7" t="s">
        <v>49</v>
      </c>
      <c r="C7" s="15">
        <v>0.21385326969022125</v>
      </c>
      <c r="D7" s="34">
        <v>259.23849999999999</v>
      </c>
      <c r="E7" s="37">
        <f>Tabla5[[#This Row],[Cantidad]]*Tabla5[[#This Row],[Precio]]</f>
        <v>55.439000854588421</v>
      </c>
      <c r="F7" s="38">
        <v>44666</v>
      </c>
      <c r="G7" t="s">
        <v>73</v>
      </c>
    </row>
    <row r="8" spans="1:7" x14ac:dyDescent="0.25">
      <c r="A8" t="s">
        <v>82</v>
      </c>
      <c r="B8" t="s">
        <v>46</v>
      </c>
      <c r="C8" s="15">
        <v>4.4375154141040607</v>
      </c>
      <c r="D8" s="34">
        <v>5.62</v>
      </c>
      <c r="E8" s="37">
        <f>Tabla5[[#This Row],[Cantidad]]*Tabla5[[#This Row],[Precio]]</f>
        <v>24.93883662726482</v>
      </c>
      <c r="F8" s="38">
        <v>44666</v>
      </c>
      <c r="G8" t="s">
        <v>73</v>
      </c>
    </row>
    <row r="9" spans="1:7" x14ac:dyDescent="0.25">
      <c r="A9" t="s">
        <v>77</v>
      </c>
      <c r="B9" t="s">
        <v>72</v>
      </c>
      <c r="C9" s="36">
        <v>100</v>
      </c>
      <c r="D9" s="34">
        <v>22</v>
      </c>
      <c r="E9" s="34">
        <f>Tabla5[[#This Row],[Cantidad]]*Tabla5[[#This Row],[Precio]]</f>
        <v>2200</v>
      </c>
      <c r="F9" s="33">
        <v>44682</v>
      </c>
      <c r="G9" t="s">
        <v>73</v>
      </c>
    </row>
    <row r="10" spans="1:7" x14ac:dyDescent="0.25">
      <c r="A10" t="s">
        <v>77</v>
      </c>
      <c r="B10" t="s">
        <v>72</v>
      </c>
      <c r="C10" s="36"/>
      <c r="D10" s="34">
        <v>1.5</v>
      </c>
      <c r="E10" s="37">
        <f>Tabla5[[#This Row],[Cantidad]]*Tabla5[[#This Row],[Precio]]</f>
        <v>0</v>
      </c>
      <c r="F10" s="38">
        <v>44696</v>
      </c>
      <c r="G10" t="s">
        <v>6</v>
      </c>
    </row>
    <row r="11" spans="1:7" x14ac:dyDescent="0.25">
      <c r="A11" t="s">
        <v>77</v>
      </c>
      <c r="B11" s="11" t="s">
        <v>74</v>
      </c>
      <c r="C11" s="36">
        <v>500</v>
      </c>
      <c r="D11" s="34">
        <v>4.24</v>
      </c>
      <c r="E11" s="34">
        <f>Tabla5[[#This Row],[Cantidad]]*Tabla5[[#This Row],[Precio]]</f>
        <v>2120</v>
      </c>
      <c r="F11" s="33">
        <v>44713</v>
      </c>
      <c r="G11" t="s">
        <v>73</v>
      </c>
    </row>
    <row r="12" spans="1:7" x14ac:dyDescent="0.25">
      <c r="A12" t="s">
        <v>77</v>
      </c>
      <c r="B12" s="11" t="s">
        <v>75</v>
      </c>
      <c r="C12" s="36">
        <v>18</v>
      </c>
      <c r="D12" s="20">
        <v>128</v>
      </c>
      <c r="E12" s="20">
        <f>Tabla5[[#This Row],[Cantidad]]*Tabla5[[#This Row],[Precio]]</f>
        <v>2304</v>
      </c>
      <c r="F12" s="33">
        <v>44727</v>
      </c>
      <c r="G12" t="s">
        <v>73</v>
      </c>
    </row>
    <row r="13" spans="1:7" x14ac:dyDescent="0.25">
      <c r="A13" t="s">
        <v>77</v>
      </c>
      <c r="B13" t="s">
        <v>95</v>
      </c>
      <c r="C13" s="36">
        <v>40</v>
      </c>
      <c r="D13" s="34">
        <v>55</v>
      </c>
      <c r="E13" s="37">
        <f>Tabla5[[#This Row],[Cantidad]]*Tabla5[[#This Row],[Precio]]</f>
        <v>2200</v>
      </c>
      <c r="F13" s="38">
        <v>44737</v>
      </c>
      <c r="G13" t="s">
        <v>73</v>
      </c>
    </row>
  </sheetData>
  <pageMargins left="0.7" right="0.7" top="0.75" bottom="0.75" header="0.3" footer="0.3"/>
  <pageSetup paperSize="9"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9E3D-74DA-4BB4-A760-9A52508849CA}">
  <dimension ref="A1:C4"/>
  <sheetViews>
    <sheetView workbookViewId="0">
      <selection activeCell="H18" sqref="H18"/>
    </sheetView>
  </sheetViews>
  <sheetFormatPr baseColWidth="10" defaultRowHeight="15" x14ac:dyDescent="0.25"/>
  <cols>
    <col min="1" max="1" width="17.7109375" bestFit="1" customWidth="1"/>
    <col min="2" max="2" width="28.5703125" bestFit="1" customWidth="1"/>
  </cols>
  <sheetData>
    <row r="1" spans="1:3" x14ac:dyDescent="0.25">
      <c r="A1" t="s">
        <v>25</v>
      </c>
      <c r="B1" t="s">
        <v>23</v>
      </c>
      <c r="C1" t="s">
        <v>1</v>
      </c>
    </row>
    <row r="2" spans="1:3" x14ac:dyDescent="0.25">
      <c r="A2" t="str" cm="1">
        <f t="array" ref="A2">_FV(Tabla3[[#This Row],[Divisa]],"Símbolo bursátil",TRUE)</f>
        <v>USDEUR</v>
      </c>
      <c r="B2" t="e" vm="8">
        <v>#VALUE!</v>
      </c>
      <c r="C2" s="1" cm="1">
        <f t="array" ref="C2">_FV(Tabla3[[#This Row],[Divisa]],"Precio")</f>
        <v>0.95879999999999999</v>
      </c>
    </row>
    <row r="3" spans="1:3" x14ac:dyDescent="0.25">
      <c r="A3" t="str" cm="1">
        <f t="array" ref="A3">_FV(Tabla3[[#This Row],[Divisa]],"Símbolo bursátil",TRUE)</f>
        <v>GBPEUR</v>
      </c>
      <c r="B3" t="e" vm="9">
        <v>#VALUE!</v>
      </c>
      <c r="C3" s="1" cm="1">
        <f t="array" ref="C3">_FV(Tabla3[[#This Row],[Divisa]],"Precio")</f>
        <v>1.1595</v>
      </c>
    </row>
    <row r="4" spans="1:3" x14ac:dyDescent="0.25">
      <c r="A4" s="9" t="s">
        <v>26</v>
      </c>
      <c r="B4" s="10" t="s">
        <v>24</v>
      </c>
      <c r="C4" s="1">
        <v>1</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Watch List de Acciones</vt:lpstr>
      <vt:lpstr>Cartera de Acciones</vt:lpstr>
      <vt:lpstr>Cartera de Fondos</vt:lpstr>
      <vt:lpstr>Cartera Indexada</vt:lpstr>
      <vt:lpstr>Movimientos</vt:lpstr>
      <vt:lpstr>Divisas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2022-07-02T14:52:03Z</dcterms:created>
  <dcterms:modified xsi:type="dcterms:W3CDTF">2022-07-02T15:09:31Z</dcterms:modified>
</cp:coreProperties>
</file>