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593" documentId="8_{845E93E8-BECD-4084-9C96-09E6106BB1D8}" xr6:coauthVersionLast="47" xr6:coauthVersionMax="47" xr10:uidLastSave="{EEFD1A5C-84C5-4FA2-8A5A-E8909E24FBAC}"/>
  <bookViews>
    <workbookView xWindow="-120" yWindow="-120" windowWidth="29040" windowHeight="15840" xr2:uid="{312D8096-2593-403D-A6D8-53704A6A5A3C}"/>
  </bookViews>
  <sheets>
    <sheet name="Balance Mens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G40" i="1"/>
  <c r="H40" i="1"/>
  <c r="I40" i="1"/>
  <c r="J40" i="1"/>
  <c r="K40" i="1"/>
  <c r="L40" i="1"/>
  <c r="M40" i="1"/>
  <c r="N40" i="1"/>
  <c r="F36" i="1"/>
  <c r="G36" i="1"/>
  <c r="H36" i="1"/>
  <c r="I36" i="1"/>
  <c r="J36" i="1"/>
  <c r="K36" i="1"/>
  <c r="L36" i="1"/>
  <c r="M36" i="1"/>
  <c r="N36" i="1"/>
  <c r="F30" i="1"/>
  <c r="G30" i="1"/>
  <c r="H30" i="1"/>
  <c r="I30" i="1"/>
  <c r="J30" i="1"/>
  <c r="K30" i="1"/>
  <c r="L30" i="1"/>
  <c r="M30" i="1"/>
  <c r="N30" i="1"/>
  <c r="F22" i="1"/>
  <c r="G22" i="1"/>
  <c r="H22" i="1"/>
  <c r="I22" i="1"/>
  <c r="J22" i="1"/>
  <c r="K22" i="1"/>
  <c r="L22" i="1"/>
  <c r="M22" i="1"/>
  <c r="N22" i="1"/>
  <c r="F10" i="1"/>
  <c r="G10" i="1"/>
  <c r="H10" i="1"/>
  <c r="I10" i="1"/>
  <c r="J10" i="1"/>
  <c r="K10" i="1"/>
  <c r="L10" i="1"/>
  <c r="M10" i="1"/>
  <c r="N10" i="1"/>
  <c r="F14" i="1"/>
  <c r="G14" i="1"/>
  <c r="H14" i="1"/>
  <c r="I14" i="1"/>
  <c r="J14" i="1"/>
  <c r="K14" i="1"/>
  <c r="L14" i="1"/>
  <c r="M14" i="1"/>
  <c r="N14" i="1"/>
  <c r="E40" i="1"/>
  <c r="E36" i="1"/>
  <c r="E22" i="1"/>
  <c r="E14" i="1"/>
  <c r="E10" i="1"/>
  <c r="D10" i="1"/>
  <c r="D40" i="1"/>
  <c r="D22" i="1"/>
  <c r="D14" i="1"/>
  <c r="D36" i="1"/>
  <c r="C40" i="1"/>
  <c r="C22" i="1"/>
  <c r="C14" i="1"/>
  <c r="C36" i="1"/>
  <c r="C10" i="1"/>
  <c r="M32" i="1" l="1"/>
  <c r="G32" i="1"/>
  <c r="F32" i="1"/>
  <c r="N32" i="1"/>
  <c r="L32" i="1"/>
  <c r="C32" i="1"/>
  <c r="K32" i="1"/>
  <c r="J32" i="1"/>
  <c r="I32" i="1"/>
  <c r="H32" i="1"/>
  <c r="L4" i="1"/>
  <c r="N4" i="1"/>
  <c r="M4" i="1"/>
  <c r="K4" i="1"/>
  <c r="I4" i="1"/>
  <c r="F4" i="1"/>
  <c r="J4" i="1"/>
  <c r="H4" i="1"/>
  <c r="G4" i="1"/>
  <c r="E30" i="1"/>
  <c r="E4" i="1" s="1"/>
  <c r="E32" i="1"/>
  <c r="D32" i="1"/>
  <c r="D30" i="1" l="1"/>
  <c r="D4" i="1" s="1"/>
  <c r="D42" i="1" s="1"/>
  <c r="E42" i="1"/>
  <c r="C30" i="1"/>
  <c r="E43" i="1" l="1"/>
  <c r="C4" i="1"/>
  <c r="C42" i="1" s="1"/>
  <c r="D43" i="1" s="1"/>
</calcChain>
</file>

<file path=xl/sharedStrings.xml><?xml version="1.0" encoding="utf-8"?>
<sst xmlns="http://schemas.openxmlformats.org/spreadsheetml/2006/main" count="104" uniqueCount="38">
  <si>
    <t>Total</t>
  </si>
  <si>
    <t>Activos</t>
  </si>
  <si>
    <t>Vivienda</t>
  </si>
  <si>
    <t>Inversiones</t>
  </si>
  <si>
    <t>Otros Bienes</t>
  </si>
  <si>
    <t>Coche</t>
  </si>
  <si>
    <t>Ordenador</t>
  </si>
  <si>
    <t>Bicicleta</t>
  </si>
  <si>
    <t>Pasivos</t>
  </si>
  <si>
    <t>Patrimonio Neto</t>
  </si>
  <si>
    <t>Otras Deudas</t>
  </si>
  <si>
    <t>Cuenta Ahorro</t>
  </si>
  <si>
    <t>Liquidez</t>
  </si>
  <si>
    <t>Plan de Pensiones (- IRPF tramo 4)</t>
  </si>
  <si>
    <t>Fecha del Balance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</si>
  <si>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</si>
  <si>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</si>
  <si>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</si>
  <si>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</si>
  <si>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</si>
  <si>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</si>
  <si>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</si>
  <si>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</si>
  <si>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</si>
  <si>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</si>
  <si>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</si>
  <si>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</si>
  <si>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Cuenta Corriente</t>
  </si>
  <si>
    <t>Vivienda en Propiedad</t>
  </si>
  <si>
    <t>Cuadros</t>
  </si>
  <si>
    <t>Muebles</t>
  </si>
  <si>
    <t>Bitcoin</t>
  </si>
  <si>
    <t>Ethereum</t>
  </si>
  <si>
    <t>Acciones</t>
  </si>
  <si>
    <t>Hipoteca</t>
  </si>
  <si>
    <t>Prestamo</t>
  </si>
  <si>
    <t>Cuenta Inversión</t>
  </si>
  <si>
    <t>Fondo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</si>
</sst>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[$€-C0A]_-;\-* #,##0.00\ [$€-C0A]_-;_-* &quot;-&quot;??\ [$€-C0A]_-;_-@_-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-0.249977111117893"/>
        <b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4659260841701"/>
        <bgColor theme="5" tint="-0.2499465926084170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 vertical="center" indent="3"/>
    </xf>
    <xf numFmtId="165" fontId="0" fillId="0" borderId="0" xfId="0" applyNumberFormat="1" applyAlignment="1">
      <alignment horizontal="right" indent="3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1"/>
    </xf>
    <xf numFmtId="0" fontId="0" fillId="0" borderId="0" xfId="0" applyBorder="1"/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5" fontId="3" fillId="0" borderId="1" xfId="0" applyNumberFormat="1" applyFont="1" applyBorder="1" applyAlignment="1">
      <alignment horizontal="right" vertical="center" indent="3"/>
    </xf>
    <xf numFmtId="165" fontId="1" fillId="2" borderId="1" xfId="0" applyNumberFormat="1" applyFont="1" applyFill="1" applyBorder="1" applyAlignment="1">
      <alignment horizontal="left" indent="3"/>
    </xf>
    <xf numFmtId="165" fontId="1" fillId="2" borderId="1" xfId="0" applyNumberFormat="1" applyFont="1" applyFill="1" applyBorder="1" applyAlignment="1">
      <alignment horizontal="right" indent="3"/>
    </xf>
    <xf numFmtId="165" fontId="1" fillId="3" borderId="2" xfId="0" applyNumberFormat="1" applyFont="1" applyFill="1" applyBorder="1" applyAlignment="1">
      <alignment horizontal="right" indent="3"/>
    </xf>
    <xf numFmtId="10" fontId="3" fillId="0" borderId="1" xfId="1" applyNumberFormat="1" applyFont="1" applyBorder="1" applyAlignment="1">
      <alignment horizontal="right" vertical="center" indent="3"/>
    </xf>
    <xf numFmtId="0" fontId="5" fillId="0" borderId="1" xfId="0" applyFont="1" applyBorder="1"/>
    <xf numFmtId="14" fontId="5" fillId="0" borderId="1" xfId="0" applyNumberFormat="1" applyFont="1" applyBorder="1" applyAlignment="1">
      <alignment horizontal="right" indent="3"/>
    </xf>
    <xf numFmtId="0" fontId="1" fillId="5" borderId="1" xfId="0" applyFont="1" applyFill="1" applyBorder="1" applyAlignment="1">
      <alignment horizontal="left" indent="1"/>
    </xf>
    <xf numFmtId="0" fontId="2" fillId="4" borderId="5" xfId="0" applyFont="1" applyFill="1" applyBorder="1" applyAlignment="1">
      <alignment horizontal="left" vertical="center" indent="1"/>
    </xf>
    <xf numFmtId="0" fontId="2" fillId="4" borderId="3" xfId="0" applyFont="1" applyFill="1" applyBorder="1" applyAlignment="1">
      <alignment horizontal="left" vertical="center" indent="1"/>
    </xf>
  </cellXfs>
  <cellStyles count="2">
    <cellStyle name="Normal" xfId="0" builtinId="0"/>
    <cellStyle name="Porcentaje" xfId="1" builtinId="5"/>
  </cellStyles>
  <dxfs count="172"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numFmt numFmtId="165" formatCode="#,##0.00\ &quot;€&quot;"/>
      <alignment horizontal="right" vertical="bottom" textRotation="0" wrapText="0" indent="3" justifyLastLine="0" shrinkToFit="0" readingOrder="0"/>
    </dxf>
    <dxf>
      <alignment horizontal="left" vertical="bottom" textRotation="0" wrapText="0" indent="1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ont>
        <strike val="0"/>
        <color theme="5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strike val="0"/>
        <color theme="0"/>
      </font>
      <fill>
        <patternFill>
          <bgColor theme="5" tint="-0.24994659260841701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font>
        <b/>
        <i val="0"/>
        <strike val="0"/>
        <color theme="0"/>
      </font>
      <fill>
        <patternFill patternType="solid">
          <fgColor theme="5" tint="-0.24994659260841701"/>
          <bgColor theme="5" tint="-0.24994659260841701"/>
        </patternFill>
      </fill>
      <border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  <vertical style="thin">
          <color auto="1"/>
        </vertical>
        <horizontal style="thin">
          <color auto="1"/>
        </horizontal>
      </border>
    </dxf>
    <dxf>
      <font>
        <color theme="1"/>
      </font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 style="thin">
          <color theme="9" tint="-0.499984740745262"/>
        </vertical>
        <horizontal style="thin">
          <color theme="9" tint="-0.499984740745262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strike val="0"/>
        <color theme="9" tint="-0.499984740745262"/>
      </font>
    </dxf>
    <dxf>
      <font>
        <strike val="0"/>
        <color theme="9" tint="-0.499984740745262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strike val="0"/>
        <color theme="0"/>
      </font>
      <fill>
        <patternFill>
          <bgColor theme="9"/>
        </patternFill>
      </fill>
      <border>
        <top style="double">
          <color theme="9"/>
        </top>
      </border>
    </dxf>
    <dxf>
      <font>
        <b/>
        <i val="0"/>
        <strike val="0"/>
        <color theme="0"/>
      </font>
      <fill>
        <patternFill patternType="solid">
          <fgColor theme="9"/>
          <bgColor theme="9"/>
        </patternFill>
      </fill>
      <border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  <vertical style="thin">
          <color auto="1"/>
        </vertical>
        <horizontal style="thin">
          <color auto="1"/>
        </horizontal>
      </border>
    </dxf>
    <dxf>
      <font>
        <color theme="1"/>
      </font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 style="thin">
          <color theme="9" tint="-0.499984740745262"/>
        </vertical>
        <horizontal style="thin">
          <color theme="9" tint="-0.499984740745262"/>
        </horizontal>
      </border>
    </dxf>
  </dxfs>
  <tableStyles count="2" defaultTableStyle="TableStyleMedium2" defaultPivotStyle="PivotStyleLight16">
    <tableStyle name="Activos" pivot="0" count="8" xr9:uid="{0F591355-081F-403B-A6DB-13CB0B3585B6}">
      <tableStyleElement type="wholeTable" dxfId="171"/>
      <tableStyleElement type="headerRow" dxfId="170"/>
      <tableStyleElement type="totalRow" dxfId="169"/>
      <tableStyleElement type="firstColumn" dxfId="168"/>
      <tableStyleElement type="lastColumn" dxfId="167"/>
      <tableStyleElement type="firstRowStripe" dxfId="166"/>
      <tableStyleElement type="secondRowStripe" dxfId="165"/>
      <tableStyleElement type="firstColumnStripe" dxfId="164"/>
    </tableStyle>
    <tableStyle name="Pasivos" pivot="0" count="8" xr9:uid="{FDA1456D-B2D5-4C04-8E09-13EB2EAB87B2}">
      <tableStyleElement type="wholeTable" dxfId="163"/>
      <tableStyleElement type="headerRow" dxfId="162"/>
      <tableStyleElement type="totalRow" dxfId="161"/>
      <tableStyleElement type="firstColumn" dxfId="160"/>
      <tableStyleElement type="lastColumn" dxfId="159"/>
      <tableStyleElement type="firstRowStripe" dxfId="158"/>
      <tableStyleElement type="secondRowStripe" dxfId="157"/>
      <tableStyleElement type="firstColumn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90709-8E57-4EBD-9A17-5DE06A83787B}" name="Tabla1" displayName="Tabla1" ref="B6:N10" totalsRowCount="1">
  <autoFilter ref="B6:N9" xr:uid="{63890709-8E57-4EBD-9A17-5DE06A83787B}"/>
  <tableColumns count="13">
    <tableColumn id="1" xr3:uid="{54A7787E-684A-481A-B1E4-2EA38ABD4C35}" name="Liquidez" totalsRowLabel="Total" dataDxfId="155" totalsRowDxfId="25"/>
    <tableColumn id="2" xr3:uid="{31C53893-A42B-4843-88DF-6E642AC8F914}" name="Abril" totalsRowFunction="custom" dataDxfId="154" totalsRowDxfId="24">
      <totalsRowFormula>SUBTOTAL(9,Tabla1[Abril])</totalsRowFormula>
    </tableColumn>
    <tableColumn id="3" xr3:uid="{B76454A2-C220-47F6-BE9B-8F5ED1DB5B1D}" name="Mayo" totalsRowFunction="custom" dataDxfId="153" totalsRowDxfId="23">
      <totalsRowFormula>SUBTOTAL(9,Tabla1[Mayo])</totalsRowFormula>
    </tableColumn>
    <tableColumn id="4" xr3:uid="{7B95765C-21E1-4ADA-B91B-47E5F72E58BA}" name="Junio" totalsRowFunction="custom" dataDxfId="152" totalsRowDxfId="22">
      <totalsRowFormula>SUBTOTAL(9,Tabla1[Junio])</totalsRowFormula>
    </tableColumn>
    <tableColumn id="6" xr3:uid="{EBE38AC1-4D68-4E4A-A822-99A56AF0D274}" name="Julio" totalsRowFunction="custom" dataDxfId="151" totalsRowDxfId="21">
      <totalsRowFormula>SUBTOTAL(9,Tabla1[Julio])</totalsRowFormula>
    </tableColumn>
    <tableColumn id="7" xr3:uid="{DD976071-615E-43C7-AEBD-9B12D2834B43}" name="Agosto" totalsRowFunction="custom" dataDxfId="150" totalsRowDxfId="20">
      <totalsRowFormula>SUBTOTAL(9,Tabla1[Agosto])</totalsRowFormula>
    </tableColumn>
    <tableColumn id="8" xr3:uid="{097C4960-7836-4CC9-AD77-BBEC15C190F6}" name="Septiembre" totalsRowFunction="custom" dataDxfId="149" totalsRowDxfId="19">
      <totalsRowFormula>SUBTOTAL(9,Tabla1[Septiembre])</totalsRowFormula>
    </tableColumn>
    <tableColumn id="9" xr3:uid="{A698441C-B557-4043-86EB-F60048A2E343}" name="Octubre" totalsRowFunction="custom" dataDxfId="148" totalsRowDxfId="18">
      <totalsRowFormula>SUBTOTAL(9,Tabla1[Octubre])</totalsRowFormula>
    </tableColumn>
    <tableColumn id="10" xr3:uid="{F0D7266D-21D2-4C55-AAB4-93001B30DEF8}" name="Noviembre" totalsRowFunction="custom" dataDxfId="147" totalsRowDxfId="17">
      <totalsRowFormula>SUBTOTAL(9,Tabla1[Noviembre])</totalsRowFormula>
    </tableColumn>
    <tableColumn id="11" xr3:uid="{8A315AA9-6763-4534-9EB7-C9CABE6FA680}" name="Diciembre" totalsRowFunction="custom" dataDxfId="146" totalsRowDxfId="16">
      <totalsRowFormula>SUBTOTAL(9,Tabla1[Diciembre])</totalsRowFormula>
    </tableColumn>
    <tableColumn id="12" xr3:uid="{A4F99C51-1059-4410-9F3B-27E12F8E74FB}" name="Enero" totalsRowFunction="custom" dataDxfId="145" totalsRowDxfId="15">
      <totalsRowFormula>SUBTOTAL(9,Tabla1[Enero])</totalsRowFormula>
    </tableColumn>
    <tableColumn id="13" xr3:uid="{0771E7A9-4467-40B4-8C5D-4F097D571D2C}" name="Febrero" totalsRowFunction="custom" dataDxfId="144" totalsRowDxfId="14">
      <totalsRowFormula>SUBTOTAL(9,Tabla1[Febrero])</totalsRowFormula>
    </tableColumn>
    <tableColumn id="14" xr3:uid="{D97B5522-EFA5-4E17-A36E-12D16548E7B3}" name="Marzo" totalsRowFunction="custom" dataDxfId="143" totalsRowDxfId="13">
      <totalsRowFormula>SUBTOTAL(9,Tabla1[Marzo])</totalsRowFormula>
    </tableColumn>
  </tableColumns>
  <tableStyleInfo name="Activos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1E65D8-0246-408B-ADCA-246ABB6BB00C}" name="Tabla13" displayName="Tabla13" ref="B12:N14" totalsRowCount="1">
  <autoFilter ref="B12:N13" xr:uid="{6F1E65D8-0246-408B-ADCA-246ABB6BB00C}"/>
  <tableColumns count="13">
    <tableColumn id="1" xr3:uid="{5CD0B9F9-120C-4649-B3F0-7AE303EB15A2}" name="Vivienda" totalsRowLabel="Total" dataDxfId="142" totalsRowDxfId="77"/>
    <tableColumn id="2" xr3:uid="{2320AD3B-B219-4A83-865C-84F64A2860F7}" name="Abril" totalsRowFunction="sum" dataDxfId="141" totalsRowDxfId="76"/>
    <tableColumn id="3" xr3:uid="{E94C6BC3-9786-4833-AC82-1ADA6228CDAA}" name="Mayo" totalsRowFunction="sum" dataDxfId="140" totalsRowDxfId="75"/>
    <tableColumn id="4" xr3:uid="{41914B4A-35F1-49E2-A888-AE46A8E65A0F}" name="Junio" totalsRowFunction="sum" dataDxfId="139" totalsRowDxfId="74"/>
    <tableColumn id="5" xr3:uid="{0E958092-5258-445B-9058-677004110EB8}" name="Julio" totalsRowFunction="sum" dataDxfId="138" totalsRowDxfId="73"/>
    <tableColumn id="6" xr3:uid="{8198FE81-2935-4DE0-B31E-684C7BF0899B}" name="Agosto" totalsRowFunction="sum" dataDxfId="137" totalsRowDxfId="72"/>
    <tableColumn id="7" xr3:uid="{E33FB58D-F5B7-4E73-9730-744BE32AB722}" name="Septiembre" totalsRowFunction="sum" dataDxfId="136" totalsRowDxfId="71"/>
    <tableColumn id="8" xr3:uid="{9E877911-4CB1-4BEC-9D0F-43F187A57AAE}" name="Octubre" totalsRowFunction="sum" dataDxfId="135" totalsRowDxfId="70"/>
    <tableColumn id="9" xr3:uid="{FBF0382A-268E-40AE-AEE6-BE0E8757690A}" name="Noviembre" totalsRowFunction="sum" dataDxfId="134" totalsRowDxfId="69"/>
    <tableColumn id="10" xr3:uid="{3D691913-87CF-40E7-A58E-03357D83A809}" name="Diciembre" totalsRowFunction="sum" dataDxfId="133" totalsRowDxfId="68"/>
    <tableColumn id="11" xr3:uid="{F80E69A5-502B-4384-832A-88CE200943A6}" name="Enero" totalsRowFunction="sum" dataDxfId="132" totalsRowDxfId="67"/>
    <tableColumn id="12" xr3:uid="{9831C43B-6C92-4AA7-851D-309B59E23CE8}" name="Febrero" totalsRowFunction="sum" dataDxfId="131" totalsRowDxfId="66"/>
    <tableColumn id="13" xr3:uid="{4193A273-F564-498F-B2EC-34514E74281C}" name="Marzo" totalsRowFunction="sum" dataDxfId="130" totalsRowDxfId="65"/>
  </tableColumns>
  <tableStyleInfo name="Activos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1EECD5-F391-4F92-9208-6AC74C19BA56}" name="Tabla134" displayName="Tabla134" ref="B24:N30" totalsRowCount="1">
  <autoFilter ref="B24:N29" xr:uid="{731EECD5-F391-4F92-9208-6AC74C19BA56}"/>
  <tableColumns count="13">
    <tableColumn id="1" xr3:uid="{A593B590-B30B-4175-9C89-E42199C13DEF}" name="Inversiones" totalsRowLabel="Total" dataDxfId="129" totalsRowDxfId="12"/>
    <tableColumn id="2" xr3:uid="{1B2BBEA8-4F73-44C7-B9CD-E74B7DE61864}" name="Abril" totalsRowFunction="sum" dataDxfId="128" totalsRowDxfId="11"/>
    <tableColumn id="3" xr3:uid="{02AA88F9-07E6-4A08-8D08-EA6543F8AF0E}" name="Mayo" totalsRowFunction="sum" dataDxfId="127" totalsRowDxfId="10"/>
    <tableColumn id="4" xr3:uid="{006CD878-BA7D-4513-B545-4850B77B6B0B}" name="Junio" totalsRowFunction="sum" dataDxfId="126" totalsRowDxfId="9"/>
    <tableColumn id="5" xr3:uid="{BE38526F-EE55-4CDF-AB1D-1EFEBAEC754C}" name="Julio" totalsRowFunction="sum" dataDxfId="125" totalsRowDxfId="8"/>
    <tableColumn id="6" xr3:uid="{B6F28977-163D-46FF-80A3-9FA9370B1FCF}" name="Agosto" totalsRowFunction="sum" dataDxfId="124" totalsRowDxfId="7"/>
    <tableColumn id="7" xr3:uid="{AB1376FF-4FE7-47D8-A980-3006DC4821BA}" name="Septiembre" totalsRowFunction="sum" dataDxfId="123" totalsRowDxfId="6"/>
    <tableColumn id="8" xr3:uid="{41A857DC-CEE8-4C58-80CF-C372115BE8AC}" name="Octubre" totalsRowFunction="sum" dataDxfId="122" totalsRowDxfId="5"/>
    <tableColumn id="9" xr3:uid="{E766B3EB-FFAC-420D-8585-D56927EEC907}" name="Noviembre" totalsRowFunction="sum" dataDxfId="121" totalsRowDxfId="4"/>
    <tableColumn id="10" xr3:uid="{FE4DB89F-318E-4E55-81DF-84B69FE44B6E}" name="Diciembre" totalsRowFunction="sum" dataDxfId="120" totalsRowDxfId="3"/>
    <tableColumn id="11" xr3:uid="{91B10363-99D1-44D4-A260-9E17DAAC7308}" name="Enero" totalsRowFunction="sum" dataDxfId="119" totalsRowDxfId="2"/>
    <tableColumn id="12" xr3:uid="{EE0DB83C-21D4-4640-8324-018EA3CE1798}" name="Febrero" totalsRowFunction="sum" dataDxfId="118" totalsRowDxfId="1"/>
    <tableColumn id="13" xr3:uid="{AE2DFC3C-C86C-47F3-9FBC-4EEA73BC782C}" name="Marzo" totalsRowFunction="sum" dataDxfId="117" totalsRowDxfId="0"/>
  </tableColumns>
  <tableStyleInfo name="Activos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42B657-434A-4B09-8EB3-E8A734A0B7EE}" name="Tabla1345" displayName="Tabla1345" ref="B16:N22" totalsRowCount="1">
  <autoFilter ref="B16:N21" xr:uid="{0E42B657-434A-4B09-8EB3-E8A734A0B7EE}"/>
  <tableColumns count="13">
    <tableColumn id="1" xr3:uid="{30E757DA-D4AB-42C6-A1E2-342FC58029FA}" name="Otros Bienes" totalsRowLabel="Total" dataDxfId="116" totalsRowDxfId="64"/>
    <tableColumn id="2" xr3:uid="{27915272-9952-493A-9475-1E6A913EC157}" name="Abril" totalsRowFunction="sum" dataDxfId="115" totalsRowDxfId="63"/>
    <tableColumn id="3" xr3:uid="{F135F04B-BB0F-4311-B4EC-BDBFA578FA5A}" name="Mayo" totalsRowFunction="sum" dataDxfId="114" totalsRowDxfId="62"/>
    <tableColumn id="4" xr3:uid="{A031F45D-6DD1-4CC8-92D9-A8A6CC337D6E}" name="Junio" totalsRowFunction="sum" dataDxfId="113" totalsRowDxfId="61"/>
    <tableColumn id="5" xr3:uid="{063D8C0B-4E71-4F76-AB1D-8E24A7BE85F7}" name="Julio" totalsRowFunction="sum" dataDxfId="112" totalsRowDxfId="60"/>
    <tableColumn id="6" xr3:uid="{073E54EF-B1E9-400A-9931-1902FAF94444}" name="Agosto" totalsRowFunction="sum" dataDxfId="111" totalsRowDxfId="59"/>
    <tableColumn id="7" xr3:uid="{9145056E-84DF-4C13-8DFD-D82DAEB42DB9}" name="Septiembre" totalsRowFunction="sum" dataDxfId="110" totalsRowDxfId="58"/>
    <tableColumn id="8" xr3:uid="{A448626A-EE45-4B05-8BC2-96844EFF816C}" name="Octubre" totalsRowFunction="sum" dataDxfId="109" totalsRowDxfId="57"/>
    <tableColumn id="9" xr3:uid="{C4FB450E-6271-4508-84CE-2D8CD71E3FBC}" name="Noviembre" totalsRowFunction="sum" dataDxfId="108" totalsRowDxfId="56"/>
    <tableColumn id="10" xr3:uid="{A5EDF2CC-6CF5-4D58-8646-90FE5C295445}" name="Diciembre" totalsRowFunction="sum" dataDxfId="107" totalsRowDxfId="55"/>
    <tableColumn id="11" xr3:uid="{4B99C91A-21B6-4F02-A70B-3C9EB7EF1AE9}" name="Enero" totalsRowFunction="sum" dataDxfId="106" totalsRowDxfId="54"/>
    <tableColumn id="12" xr3:uid="{C7AE456C-323A-4194-8D82-F1DD92BA2CA3}" name="Febrero" totalsRowFunction="sum" dataDxfId="105" totalsRowDxfId="53"/>
    <tableColumn id="13" xr3:uid="{7BE74ED5-36A1-4385-9D78-86916C35DE5E}" name="Marzo" totalsRowFunction="sum" dataDxfId="104" totalsRowDxfId="52"/>
  </tableColumns>
  <tableStyleInfo name="Activos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31FAA-9BC7-45A9-9ABC-BEB609CF8A2C}" name="Tabla16" displayName="Tabla16" ref="B34:N36" totalsRowCount="1">
  <autoFilter ref="B34:N35" xr:uid="{65531FAA-9BC7-45A9-9ABC-BEB609CF8A2C}"/>
  <tableColumns count="13">
    <tableColumn id="1" xr3:uid="{A46881AB-8F58-42C2-ACFA-8632614490EE}" name="Vivienda" totalsRowLabel="Total" dataDxfId="103" totalsRowDxfId="51"/>
    <tableColumn id="2" xr3:uid="{C606B691-C1AF-4325-AE8A-47C9798727FF}" name="Abril" totalsRowFunction="sum" dataDxfId="102" totalsRowDxfId="50"/>
    <tableColumn id="3" xr3:uid="{5CA67E87-F766-453B-83B7-BC377F6E956B}" name="Mayo" totalsRowFunction="sum" dataDxfId="101" totalsRowDxfId="49"/>
    <tableColumn id="4" xr3:uid="{A09911E1-0809-4E85-9194-99BE0F3C3E09}" name="Junio" totalsRowFunction="sum" dataDxfId="100" totalsRowDxfId="48"/>
    <tableColumn id="5" xr3:uid="{BDC18CC3-979E-474A-B43D-C512CB2AB61A}" name="Julio" totalsRowFunction="sum" dataDxfId="99" totalsRowDxfId="47"/>
    <tableColumn id="6" xr3:uid="{B97C97CC-1EC1-4499-8C2D-6DA1B22C6E3C}" name="Agosto" totalsRowFunction="sum" dataDxfId="98" totalsRowDxfId="46"/>
    <tableColumn id="7" xr3:uid="{13EE5F17-DD57-4022-91DE-4A3F01A300C2}" name="Septiembre" totalsRowFunction="sum" dataDxfId="97" totalsRowDxfId="45"/>
    <tableColumn id="8" xr3:uid="{989738DF-1B11-47DC-97CE-DE36E959C95D}" name="Octubre" totalsRowFunction="sum" dataDxfId="96" totalsRowDxfId="44"/>
    <tableColumn id="9" xr3:uid="{2FCEB526-F080-4A40-9D4F-F261C95C80B4}" name="Noviembre" totalsRowFunction="sum" dataDxfId="95" totalsRowDxfId="43"/>
    <tableColumn id="10" xr3:uid="{DFC56DCB-49A1-4B7A-8EBE-DA31255102E3}" name="Diciembre" totalsRowFunction="sum" dataDxfId="94" totalsRowDxfId="42"/>
    <tableColumn id="11" xr3:uid="{6B836856-94FC-45FE-BB29-A25A0BAB574C}" name="Enero" totalsRowFunction="sum" dataDxfId="93" totalsRowDxfId="41"/>
    <tableColumn id="12" xr3:uid="{49652748-6C52-46E6-9E46-6017C664A526}" name="Febrero" totalsRowFunction="sum" dataDxfId="92" totalsRowDxfId="40"/>
    <tableColumn id="13" xr3:uid="{D9545BAA-59D3-4F84-83F6-4017D3B399DF}" name="Marzo" totalsRowFunction="sum" dataDxfId="91" totalsRowDxfId="39"/>
  </tableColumns>
  <tableStyleInfo name="Pasivos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5D7585-5A2C-4F57-8A85-01F7D5075422}" name="Tabla137" displayName="Tabla137" ref="B38:N40" totalsRowCount="1">
  <autoFilter ref="B38:N39" xr:uid="{5E5D7585-5A2C-4F57-8A85-01F7D5075422}"/>
  <tableColumns count="13">
    <tableColumn id="1" xr3:uid="{2EDFB110-29B8-48D2-8E50-7568EF925668}" name="Otras Deudas" totalsRowLabel="Total" dataDxfId="90" totalsRowDxfId="38"/>
    <tableColumn id="2" xr3:uid="{649B0EA8-F6CA-408D-8D21-96A3997130FC}" name="Abril" totalsRowFunction="sum" dataDxfId="89" totalsRowDxfId="37"/>
    <tableColumn id="3" xr3:uid="{F3D620BE-F255-4FBA-99A7-AB073CCBA133}" name="Mayo" totalsRowFunction="sum" dataDxfId="88" totalsRowDxfId="36"/>
    <tableColumn id="4" xr3:uid="{F69F1D75-F189-4356-81D0-1F1E65E9DAA4}" name="Junio" totalsRowFunction="sum" dataDxfId="87" totalsRowDxfId="35"/>
    <tableColumn id="5" xr3:uid="{2F407744-D132-4FF9-AB3E-288C0418CAF8}" name="Julio" totalsRowFunction="sum" dataDxfId="86" totalsRowDxfId="34"/>
    <tableColumn id="6" xr3:uid="{925A1E61-51AB-48F7-9DB9-B728FD54DA3F}" name="Agosto" totalsRowFunction="sum" dataDxfId="85" totalsRowDxfId="33"/>
    <tableColumn id="7" xr3:uid="{97BE593E-82A6-4355-8EAF-61D587CDE5D2}" name="Septiembre" totalsRowFunction="sum" dataDxfId="84" totalsRowDxfId="32"/>
    <tableColumn id="8" xr3:uid="{8A913433-86CA-404C-81EF-C3311CA7B69D}" name="Octubre" totalsRowFunction="sum" dataDxfId="83" totalsRowDxfId="31"/>
    <tableColumn id="9" xr3:uid="{8F5188CD-B6F0-46F9-8D8A-A099925727CC}" name="Noviembre" totalsRowFunction="sum" dataDxfId="82" totalsRowDxfId="30"/>
    <tableColumn id="10" xr3:uid="{5E58831F-69AF-4433-83E8-EF36DBF93896}" name="Diciembre" totalsRowFunction="sum" dataDxfId="81" totalsRowDxfId="29"/>
    <tableColumn id="11" xr3:uid="{DFAA100A-9B1D-425C-8B20-A2C088901ABB}" name="Enero" totalsRowFunction="sum" dataDxfId="80" totalsRowDxfId="28"/>
    <tableColumn id="12" xr3:uid="{C755AF3E-D030-42DE-98E0-119101BBF630}" name="Febrero" totalsRowFunction="sum" dataDxfId="79" totalsRowDxfId="27"/>
    <tableColumn id="13" xr3:uid="{157695B9-06AB-4575-AF0B-D7D1560F6DBA}" name="Marzo" totalsRowFunction="sum" dataDxfId="78" totalsRowDxfId="26"/>
  </tableColumns>
  <tableStyleInfo name="Pasivos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1559-EC46-452B-82CB-A11A98244B3B}">
  <dimension ref="B2:N44"/>
  <sheetViews>
    <sheetView tabSelected="1" zoomScale="82" zoomScaleNormal="82" workbookViewId="0">
      <selection activeCell="B29" sqref="B29"/>
    </sheetView>
  </sheetViews>
  <sheetFormatPr baseColWidth="10" defaultRowHeight="15" x14ac:dyDescent="0.25"/>
  <cols>
    <col min="1" max="1" width="3.5703125" customWidth="1"/>
    <col min="2" max="2" width="35.140625" bestFit="1" customWidth="1"/>
    <col min="3" max="3" width="19.7109375" style="1" customWidth="1"/>
    <col min="4" max="14" width="19.7109375" customWidth="1"/>
  </cols>
  <sheetData>
    <row r="2" spans="2:14" x14ac:dyDescent="0.25">
      <c r="B2" s="15" t="s">
        <v>14</v>
      </c>
      <c r="C2" s="16">
        <v>44656</v>
      </c>
      <c r="D2" s="16">
        <v>44686</v>
      </c>
      <c r="E2" s="16">
        <v>44717</v>
      </c>
      <c r="F2" s="16"/>
      <c r="G2" s="16"/>
      <c r="H2" s="16"/>
      <c r="I2" s="16"/>
      <c r="J2" s="16"/>
      <c r="K2" s="16"/>
      <c r="L2" s="16"/>
      <c r="M2" s="16"/>
      <c r="N2" s="16"/>
    </row>
    <row r="4" spans="2:14" x14ac:dyDescent="0.25">
      <c r="B4" s="6" t="s">
        <v>1</v>
      </c>
      <c r="C4" s="11">
        <f>SUM(C10,C14,C30,C22)</f>
        <v>165250</v>
      </c>
      <c r="D4" s="12">
        <f>SUM(D10,D14,D30,D22)</f>
        <v>165960</v>
      </c>
      <c r="E4" s="12">
        <f>SUM(E10,E14,E30,E22)</f>
        <v>165610</v>
      </c>
      <c r="F4" s="12">
        <f>SUM(F10,F14,F30,F22)</f>
        <v>0</v>
      </c>
      <c r="G4" s="12">
        <f>SUM(G10,G14,G30,G22)</f>
        <v>0</v>
      </c>
      <c r="H4" s="12">
        <f>SUM(H10,H14,H30,H22)</f>
        <v>0</v>
      </c>
      <c r="I4" s="12">
        <f>SUM(I10,I14,I30,I22)</f>
        <v>0</v>
      </c>
      <c r="J4" s="12">
        <f>SUM(J10,J14,J30,J22)</f>
        <v>0</v>
      </c>
      <c r="K4" s="12">
        <f>SUM(K10,K14,K30,K22)</f>
        <v>0</v>
      </c>
      <c r="L4" s="12">
        <f>SUM(L10,L14,L30,L22)</f>
        <v>0</v>
      </c>
      <c r="M4" s="12">
        <f>SUM(M10,M14,M30,M22)</f>
        <v>0</v>
      </c>
      <c r="N4" s="12">
        <f>SUM(N10,N14,N30,N22)</f>
        <v>0</v>
      </c>
    </row>
    <row r="5" spans="2:14" x14ac:dyDescent="0.25">
      <c r="B5" s="5"/>
      <c r="C5" s="5"/>
    </row>
    <row r="6" spans="2:14" x14ac:dyDescent="0.25">
      <c r="B6" s="2" t="s">
        <v>12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19</v>
      </c>
      <c r="H6" s="3" t="s">
        <v>20</v>
      </c>
      <c r="I6" s="3" t="s">
        <v>21</v>
      </c>
      <c r="J6" s="3" t="s">
        <v>22</v>
      </c>
      <c r="K6" s="3" t="s">
        <v>23</v>
      </c>
      <c r="L6" s="3" t="s">
        <v>24</v>
      </c>
      <c r="M6" s="3" t="s">
        <v>25</v>
      </c>
      <c r="N6" s="3" t="s">
        <v>26</v>
      </c>
    </row>
    <row r="7" spans="2:14" x14ac:dyDescent="0.25">
      <c r="B7" s="2" t="s">
        <v>27</v>
      </c>
      <c r="C7" s="4">
        <v>600</v>
      </c>
      <c r="D7" s="4">
        <v>700</v>
      </c>
      <c r="E7" s="4">
        <v>750</v>
      </c>
      <c r="F7" s="4"/>
      <c r="G7" s="4"/>
      <c r="H7" s="4"/>
      <c r="I7" s="4"/>
      <c r="J7" s="4"/>
      <c r="K7" s="4"/>
      <c r="L7" s="4"/>
      <c r="M7" s="4"/>
      <c r="N7" s="4"/>
    </row>
    <row r="8" spans="2:14" x14ac:dyDescent="0.25">
      <c r="B8" s="2" t="s">
        <v>11</v>
      </c>
      <c r="C8" s="4">
        <v>10000</v>
      </c>
      <c r="D8" s="4">
        <v>10200</v>
      </c>
      <c r="E8" s="4">
        <v>10350</v>
      </c>
      <c r="F8" s="4"/>
      <c r="G8" s="4"/>
      <c r="H8" s="4"/>
      <c r="I8" s="4"/>
      <c r="J8" s="4"/>
      <c r="K8" s="4"/>
      <c r="L8" s="4"/>
      <c r="M8" s="4"/>
      <c r="N8" s="4"/>
    </row>
    <row r="9" spans="2:14" x14ac:dyDescent="0.25">
      <c r="B9" s="2" t="s">
        <v>36</v>
      </c>
      <c r="C9" s="4">
        <v>200</v>
      </c>
      <c r="D9" s="4">
        <v>200</v>
      </c>
      <c r="E9" s="4">
        <v>200</v>
      </c>
      <c r="F9" s="4"/>
      <c r="G9" s="4"/>
      <c r="H9" s="4"/>
      <c r="I9" s="4"/>
      <c r="J9" s="4"/>
      <c r="K9" s="4"/>
      <c r="L9" s="4"/>
      <c r="M9" s="4"/>
      <c r="N9" s="4"/>
    </row>
    <row r="10" spans="2:14" x14ac:dyDescent="0.25">
      <c r="B10" s="2" t="s">
        <v>0</v>
      </c>
      <c r="C10" s="4">
        <f>SUBTOTAL(9,Tabla1[Abril])</f>
        <v>10800</v>
      </c>
      <c r="D10" s="4">
        <f>SUBTOTAL(9,Tabla1[Mayo])</f>
        <v>11100</v>
      </c>
      <c r="E10" s="4">
        <f>SUBTOTAL(9,Tabla1[Junio])</f>
        <v>11300</v>
      </c>
      <c r="F10" s="4">
        <f>SUBTOTAL(9,Tabla1[Julio])</f>
        <v>0</v>
      </c>
      <c r="G10" s="4">
        <f>SUBTOTAL(9,Tabla1[Agosto])</f>
        <v>0</v>
      </c>
      <c r="H10" s="4">
        <f>SUBTOTAL(9,Tabla1[Septiembre])</f>
        <v>0</v>
      </c>
      <c r="I10" s="4">
        <f>SUBTOTAL(9,Tabla1[Octubre])</f>
        <v>0</v>
      </c>
      <c r="J10" s="4">
        <f>SUBTOTAL(9,Tabla1[Noviembre])</f>
        <v>0</v>
      </c>
      <c r="K10" s="4">
        <f>SUBTOTAL(9,Tabla1[Diciembre])</f>
        <v>0</v>
      </c>
      <c r="L10" s="4">
        <f>SUBTOTAL(9,Tabla1[Enero])</f>
        <v>0</v>
      </c>
      <c r="M10" s="4">
        <f>SUBTOTAL(9,Tabla1[Febrero])</f>
        <v>0</v>
      </c>
      <c r="N10" s="4">
        <f>SUBTOTAL(9,Tabla1[Marzo])</f>
        <v>0</v>
      </c>
    </row>
    <row r="11" spans="2:14" x14ac:dyDescent="0.25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4" x14ac:dyDescent="0.25">
      <c r="B12" s="2" t="s">
        <v>2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H12" s="3" t="s">
        <v>20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25</v>
      </c>
      <c r="N12" s="3" t="s">
        <v>26</v>
      </c>
    </row>
    <row r="13" spans="2:14" x14ac:dyDescent="0.25">
      <c r="B13" s="2" t="s">
        <v>28</v>
      </c>
      <c r="C13" s="4">
        <v>120000</v>
      </c>
      <c r="D13" s="4">
        <v>120000</v>
      </c>
      <c r="E13" s="4">
        <v>120000</v>
      </c>
      <c r="F13" s="4"/>
      <c r="G13" s="4"/>
      <c r="H13" s="4"/>
      <c r="I13" s="4"/>
      <c r="J13" s="4"/>
      <c r="K13" s="4"/>
      <c r="L13" s="4"/>
      <c r="M13" s="4"/>
      <c r="N13" s="4"/>
    </row>
    <row r="14" spans="2:14" x14ac:dyDescent="0.25">
      <c r="B14" s="2" t="s">
        <v>0</v>
      </c>
      <c r="C14" s="4">
        <f>SUBTOTAL(109,Tabla13[Abril])</f>
        <v>120000</v>
      </c>
      <c r="D14" s="4">
        <f>SUBTOTAL(109,Tabla13[Mayo])</f>
        <v>120000</v>
      </c>
      <c r="E14" s="4">
        <f>SUBTOTAL(109,Tabla13[Junio])</f>
        <v>120000</v>
      </c>
      <c r="F14" s="4">
        <f>SUBTOTAL(109,Tabla13[Julio])</f>
        <v>0</v>
      </c>
      <c r="G14" s="4">
        <f>SUBTOTAL(109,Tabla13[Agosto])</f>
        <v>0</v>
      </c>
      <c r="H14" s="4">
        <f>SUBTOTAL(109,Tabla13[Septiembre])</f>
        <v>0</v>
      </c>
      <c r="I14" s="4">
        <f>SUBTOTAL(109,Tabla13[Octubre])</f>
        <v>0</v>
      </c>
      <c r="J14" s="4">
        <f>SUBTOTAL(109,Tabla13[Noviembre])</f>
        <v>0</v>
      </c>
      <c r="K14" s="4">
        <f>SUBTOTAL(109,Tabla13[Diciembre])</f>
        <v>0</v>
      </c>
      <c r="L14" s="4">
        <f>SUBTOTAL(109,Tabla13[Enero])</f>
        <v>0</v>
      </c>
      <c r="M14" s="4">
        <f>SUBTOTAL(109,Tabla13[Febrero])</f>
        <v>0</v>
      </c>
      <c r="N14" s="4">
        <f>SUBTOTAL(109,Tabla13[Marzo])</f>
        <v>0</v>
      </c>
    </row>
    <row r="16" spans="2:14" x14ac:dyDescent="0.25">
      <c r="B16" s="2" t="s">
        <v>4</v>
      </c>
      <c r="C16" s="3" t="s">
        <v>15</v>
      </c>
      <c r="D16" s="3" t="s">
        <v>16</v>
      </c>
      <c r="E16" s="3" t="s">
        <v>17</v>
      </c>
      <c r="F16" s="3" t="s">
        <v>18</v>
      </c>
      <c r="G16" s="3" t="s">
        <v>19</v>
      </c>
      <c r="H16" s="3" t="s">
        <v>20</v>
      </c>
      <c r="I16" s="3" t="s">
        <v>21</v>
      </c>
      <c r="J16" s="3" t="s">
        <v>22</v>
      </c>
      <c r="K16" s="3" t="s">
        <v>23</v>
      </c>
      <c r="L16" s="3" t="s">
        <v>24</v>
      </c>
      <c r="M16" s="3" t="s">
        <v>25</v>
      </c>
      <c r="N16" s="3" t="s">
        <v>26</v>
      </c>
    </row>
    <row r="17" spans="2:14" x14ac:dyDescent="0.25">
      <c r="B17" s="2" t="s">
        <v>5</v>
      </c>
      <c r="C17" s="4">
        <v>12000</v>
      </c>
      <c r="D17" s="4">
        <v>12000</v>
      </c>
      <c r="E17" s="4">
        <v>12000</v>
      </c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25">
      <c r="B18" s="2" t="s">
        <v>6</v>
      </c>
      <c r="C18" s="4">
        <v>600</v>
      </c>
      <c r="D18" s="4">
        <v>600</v>
      </c>
      <c r="E18" s="4">
        <v>600</v>
      </c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25">
      <c r="B19" s="2" t="s">
        <v>7</v>
      </c>
      <c r="C19" s="4">
        <v>50</v>
      </c>
      <c r="D19" s="4">
        <v>50</v>
      </c>
      <c r="E19" s="4">
        <v>50</v>
      </c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25">
      <c r="B20" s="2" t="s">
        <v>29</v>
      </c>
      <c r="C20" s="4">
        <v>1000</v>
      </c>
      <c r="D20" s="4">
        <v>1000</v>
      </c>
      <c r="E20" s="4">
        <v>1000</v>
      </c>
      <c r="F20" s="4"/>
      <c r="G20" s="4"/>
      <c r="H20" s="4"/>
      <c r="I20" s="4"/>
      <c r="J20" s="4"/>
      <c r="K20" s="4"/>
      <c r="L20" s="4"/>
      <c r="M20" s="4"/>
      <c r="N20" s="4"/>
    </row>
    <row r="21" spans="2:14" x14ac:dyDescent="0.25">
      <c r="B21" s="2" t="s">
        <v>30</v>
      </c>
      <c r="C21" s="4">
        <v>3000</v>
      </c>
      <c r="D21" s="4">
        <v>3000</v>
      </c>
      <c r="E21" s="4">
        <v>3000</v>
      </c>
      <c r="F21" s="4"/>
      <c r="G21" s="4"/>
      <c r="H21" s="4"/>
      <c r="I21" s="4"/>
      <c r="J21" s="4"/>
      <c r="K21" s="4"/>
      <c r="L21" s="4"/>
      <c r="M21" s="4"/>
      <c r="N21" s="4"/>
    </row>
    <row r="22" spans="2:14" x14ac:dyDescent="0.25">
      <c r="B22" s="2" t="s">
        <v>0</v>
      </c>
      <c r="C22" s="4">
        <f>SUBTOTAL(109,Tabla1345[Abril])</f>
        <v>16650</v>
      </c>
      <c r="D22" s="4">
        <f>SUBTOTAL(109,Tabla1345[Mayo])</f>
        <v>16650</v>
      </c>
      <c r="E22" s="4">
        <f>SUBTOTAL(109,Tabla1345[Junio])</f>
        <v>16650</v>
      </c>
      <c r="F22" s="4">
        <f>SUBTOTAL(109,Tabla1345[Julio])</f>
        <v>0</v>
      </c>
      <c r="G22" s="4">
        <f>SUBTOTAL(109,Tabla1345[Agosto])</f>
        <v>0</v>
      </c>
      <c r="H22" s="4">
        <f>SUBTOTAL(109,Tabla1345[Septiembre])</f>
        <v>0</v>
      </c>
      <c r="I22" s="4">
        <f>SUBTOTAL(109,Tabla1345[Octubre])</f>
        <v>0</v>
      </c>
      <c r="J22" s="4">
        <f>SUBTOTAL(109,Tabla1345[Noviembre])</f>
        <v>0</v>
      </c>
      <c r="K22" s="4">
        <f>SUBTOTAL(109,Tabla1345[Diciembre])</f>
        <v>0</v>
      </c>
      <c r="L22" s="4">
        <f>SUBTOTAL(109,Tabla1345[Enero])</f>
        <v>0</v>
      </c>
      <c r="M22" s="4">
        <f>SUBTOTAL(109,Tabla1345[Febrero])</f>
        <v>0</v>
      </c>
      <c r="N22" s="4">
        <f>SUBTOTAL(109,Tabla1345[Marzo])</f>
        <v>0</v>
      </c>
    </row>
    <row r="23" spans="2:14" x14ac:dyDescent="0.25">
      <c r="B23" s="2"/>
      <c r="C23" s="4"/>
    </row>
    <row r="24" spans="2:14" x14ac:dyDescent="0.25">
      <c r="B24" s="2" t="s">
        <v>3</v>
      </c>
      <c r="C24" s="3" t="s">
        <v>15</v>
      </c>
      <c r="D24" s="3" t="s">
        <v>16</v>
      </c>
      <c r="E24" s="3" t="s">
        <v>17</v>
      </c>
      <c r="F24" s="3" t="s">
        <v>18</v>
      </c>
      <c r="G24" s="3" t="s">
        <v>19</v>
      </c>
      <c r="H24" s="3" t="s">
        <v>20</v>
      </c>
      <c r="I24" s="3" t="s">
        <v>21</v>
      </c>
      <c r="J24" s="3" t="s">
        <v>22</v>
      </c>
      <c r="K24" s="3" t="s">
        <v>23</v>
      </c>
      <c r="L24" s="3" t="s">
        <v>24</v>
      </c>
      <c r="M24" s="3" t="s">
        <v>25</v>
      </c>
      <c r="N24" s="3" t="s">
        <v>26</v>
      </c>
    </row>
    <row r="25" spans="2:14" x14ac:dyDescent="0.25">
      <c r="B25" s="2" t="s">
        <v>31</v>
      </c>
      <c r="C25" s="4">
        <v>3000</v>
      </c>
      <c r="D25" s="4">
        <v>3100</v>
      </c>
      <c r="E25" s="4">
        <v>2800</v>
      </c>
      <c r="F25" s="4"/>
      <c r="G25" s="4"/>
      <c r="H25" s="4"/>
      <c r="I25" s="4"/>
      <c r="J25" s="4"/>
      <c r="K25" s="4"/>
      <c r="L25" s="4"/>
      <c r="M25" s="4"/>
      <c r="N25" s="4"/>
    </row>
    <row r="26" spans="2:14" x14ac:dyDescent="0.25">
      <c r="B26" s="2" t="s">
        <v>32</v>
      </c>
      <c r="C26" s="4">
        <v>500</v>
      </c>
      <c r="D26" s="4">
        <v>550</v>
      </c>
      <c r="E26" s="4">
        <v>475</v>
      </c>
      <c r="F26" s="4"/>
      <c r="G26" s="4"/>
      <c r="H26" s="4"/>
      <c r="I26" s="4"/>
      <c r="J26" s="4"/>
      <c r="K26" s="4"/>
      <c r="L26" s="4"/>
      <c r="M26" s="4"/>
      <c r="N26" s="4"/>
    </row>
    <row r="27" spans="2:14" x14ac:dyDescent="0.25">
      <c r="B27" s="2" t="s">
        <v>37</v>
      </c>
      <c r="C27" s="4">
        <v>2500</v>
      </c>
      <c r="D27" s="4">
        <v>2550</v>
      </c>
      <c r="E27" s="4">
        <v>2490</v>
      </c>
      <c r="F27" s="4"/>
      <c r="G27" s="4"/>
      <c r="H27" s="4"/>
      <c r="I27" s="4"/>
      <c r="J27" s="4"/>
      <c r="K27" s="4"/>
      <c r="L27" s="4"/>
      <c r="M27" s="4"/>
      <c r="N27" s="4"/>
    </row>
    <row r="28" spans="2:14" x14ac:dyDescent="0.25">
      <c r="B28" s="2" t="s">
        <v>33</v>
      </c>
      <c r="C28" s="4">
        <v>1800</v>
      </c>
      <c r="D28" s="4">
        <v>1810</v>
      </c>
      <c r="E28" s="4">
        <v>1795</v>
      </c>
      <c r="F28" s="4"/>
      <c r="G28" s="4"/>
      <c r="H28" s="4"/>
      <c r="I28" s="4"/>
      <c r="J28" s="4"/>
      <c r="K28" s="4"/>
      <c r="L28" s="4"/>
      <c r="M28" s="4"/>
      <c r="N28" s="4"/>
    </row>
    <row r="29" spans="2:14" x14ac:dyDescent="0.25">
      <c r="B29" s="2" t="s">
        <v>13</v>
      </c>
      <c r="C29" s="4">
        <v>10000</v>
      </c>
      <c r="D29" s="4">
        <v>10200</v>
      </c>
      <c r="E29" s="4">
        <v>10100</v>
      </c>
      <c r="F29" s="4"/>
      <c r="G29" s="4"/>
      <c r="H29" s="4"/>
      <c r="I29" s="4"/>
      <c r="J29" s="4"/>
      <c r="K29" s="4"/>
      <c r="L29" s="4"/>
      <c r="M29" s="4"/>
      <c r="N29" s="4"/>
    </row>
    <row r="30" spans="2:14" x14ac:dyDescent="0.25">
      <c r="B30" s="2" t="s">
        <v>0</v>
      </c>
      <c r="C30" s="4">
        <f>SUBTOTAL(109,Tabla134[Abril])</f>
        <v>17800</v>
      </c>
      <c r="D30" s="4">
        <f>SUBTOTAL(109,Tabla134[Mayo])</f>
        <v>18210</v>
      </c>
      <c r="E30" s="4">
        <f>SUBTOTAL(109,Tabla134[Junio])</f>
        <v>17660</v>
      </c>
      <c r="F30" s="4">
        <f>SUBTOTAL(109,Tabla134[Julio])</f>
        <v>0</v>
      </c>
      <c r="G30" s="4">
        <f>SUBTOTAL(109,Tabla134[Agosto])</f>
        <v>0</v>
      </c>
      <c r="H30" s="4">
        <f>SUBTOTAL(109,Tabla134[Septiembre])</f>
        <v>0</v>
      </c>
      <c r="I30" s="4">
        <f>SUBTOTAL(109,Tabla134[Octubre])</f>
        <v>0</v>
      </c>
      <c r="J30" s="4">
        <f>SUBTOTAL(109,Tabla134[Noviembre])</f>
        <v>0</v>
      </c>
      <c r="K30" s="4">
        <f>SUBTOTAL(109,Tabla134[Diciembre])</f>
        <v>0</v>
      </c>
      <c r="L30" s="4">
        <f>SUBTOTAL(109,Tabla134[Enero])</f>
        <v>0</v>
      </c>
      <c r="M30" s="4">
        <f>SUBTOTAL(109,Tabla134[Febrero])</f>
        <v>0</v>
      </c>
      <c r="N30" s="4">
        <f>SUBTOTAL(109,Tabla134[Marzo])</f>
        <v>0</v>
      </c>
    </row>
    <row r="32" spans="2:14" x14ac:dyDescent="0.25">
      <c r="B32" s="17" t="s">
        <v>8</v>
      </c>
      <c r="C32" s="13">
        <f>SUM(C36,C40)</f>
        <v>56000</v>
      </c>
      <c r="D32" s="13">
        <f>SUM(D36,D40)</f>
        <v>55300</v>
      </c>
      <c r="E32" s="13">
        <f>SUM(E36,E40)</f>
        <v>54600</v>
      </c>
      <c r="F32" s="13">
        <f t="shared" ref="F32:N32" si="0">SUM(F36,F40)</f>
        <v>0</v>
      </c>
      <c r="G32" s="13">
        <f t="shared" si="0"/>
        <v>0</v>
      </c>
      <c r="H32" s="13">
        <f t="shared" si="0"/>
        <v>0</v>
      </c>
      <c r="I32" s="13">
        <f t="shared" si="0"/>
        <v>0</v>
      </c>
      <c r="J32" s="13">
        <f t="shared" si="0"/>
        <v>0</v>
      </c>
      <c r="K32" s="13">
        <f t="shared" si="0"/>
        <v>0</v>
      </c>
      <c r="L32" s="13">
        <f t="shared" si="0"/>
        <v>0</v>
      </c>
      <c r="M32" s="13">
        <f t="shared" si="0"/>
        <v>0</v>
      </c>
      <c r="N32" s="13">
        <f t="shared" si="0"/>
        <v>0</v>
      </c>
    </row>
    <row r="33" spans="2:14" x14ac:dyDescent="0.25">
      <c r="B33" s="5"/>
      <c r="C33" s="5"/>
    </row>
    <row r="34" spans="2:14" x14ac:dyDescent="0.25">
      <c r="B34" s="2" t="s">
        <v>2</v>
      </c>
      <c r="C34" s="3" t="s">
        <v>15</v>
      </c>
      <c r="D34" s="3" t="s">
        <v>16</v>
      </c>
      <c r="E34" s="3" t="s">
        <v>17</v>
      </c>
      <c r="F34" s="3" t="s">
        <v>18</v>
      </c>
      <c r="G34" s="3" t="s">
        <v>19</v>
      </c>
      <c r="H34" s="3" t="s">
        <v>20</v>
      </c>
      <c r="I34" s="3" t="s">
        <v>21</v>
      </c>
      <c r="J34" s="3" t="s">
        <v>22</v>
      </c>
      <c r="K34" s="3" t="s">
        <v>23</v>
      </c>
      <c r="L34" s="3" t="s">
        <v>24</v>
      </c>
      <c r="M34" s="3" t="s">
        <v>25</v>
      </c>
      <c r="N34" s="3" t="s">
        <v>26</v>
      </c>
    </row>
    <row r="35" spans="2:14" x14ac:dyDescent="0.25">
      <c r="B35" s="2" t="s">
        <v>34</v>
      </c>
      <c r="C35" s="4">
        <v>50000</v>
      </c>
      <c r="D35" s="4">
        <v>49500</v>
      </c>
      <c r="E35" s="4">
        <v>49000</v>
      </c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25">
      <c r="B36" s="2" t="s">
        <v>0</v>
      </c>
      <c r="C36" s="4">
        <f>SUBTOTAL(109,Tabla16[Abril])</f>
        <v>50000</v>
      </c>
      <c r="D36" s="4">
        <f>SUBTOTAL(109,Tabla16[Mayo])</f>
        <v>49500</v>
      </c>
      <c r="E36" s="4">
        <f>SUBTOTAL(109,Tabla16[Junio])</f>
        <v>49000</v>
      </c>
      <c r="F36" s="4">
        <f>SUBTOTAL(109,Tabla16[Julio])</f>
        <v>0</v>
      </c>
      <c r="G36" s="4">
        <f>SUBTOTAL(109,Tabla16[Agosto])</f>
        <v>0</v>
      </c>
      <c r="H36" s="4">
        <f>SUBTOTAL(109,Tabla16[Septiembre])</f>
        <v>0</v>
      </c>
      <c r="I36" s="4">
        <f>SUBTOTAL(109,Tabla16[Octubre])</f>
        <v>0</v>
      </c>
      <c r="J36" s="4">
        <f>SUBTOTAL(109,Tabla16[Noviembre])</f>
        <v>0</v>
      </c>
      <c r="K36" s="4">
        <f>SUBTOTAL(109,Tabla16[Diciembre])</f>
        <v>0</v>
      </c>
      <c r="L36" s="4">
        <f>SUBTOTAL(109,Tabla16[Enero])</f>
        <v>0</v>
      </c>
      <c r="M36" s="4">
        <f>SUBTOTAL(109,Tabla16[Febrero])</f>
        <v>0</v>
      </c>
      <c r="N36" s="4">
        <f>SUBTOTAL(109,Tabla16[Marzo])</f>
        <v>0</v>
      </c>
    </row>
    <row r="38" spans="2:14" x14ac:dyDescent="0.25">
      <c r="B38" s="2" t="s">
        <v>10</v>
      </c>
      <c r="C38" s="3" t="s">
        <v>15</v>
      </c>
      <c r="D38" s="3" t="s">
        <v>16</v>
      </c>
      <c r="E38" s="3" t="s">
        <v>17</v>
      </c>
      <c r="F38" s="3" t="s">
        <v>18</v>
      </c>
      <c r="G38" s="3" t="s">
        <v>19</v>
      </c>
      <c r="H38" s="3" t="s">
        <v>20</v>
      </c>
      <c r="I38" s="3" t="s">
        <v>21</v>
      </c>
      <c r="J38" s="3" t="s">
        <v>22</v>
      </c>
      <c r="K38" s="3" t="s">
        <v>23</v>
      </c>
      <c r="L38" s="3" t="s">
        <v>24</v>
      </c>
      <c r="M38" s="3" t="s">
        <v>25</v>
      </c>
      <c r="N38" s="3" t="s">
        <v>26</v>
      </c>
    </row>
    <row r="39" spans="2:14" x14ac:dyDescent="0.25">
      <c r="B39" s="2" t="s">
        <v>35</v>
      </c>
      <c r="C39" s="4">
        <v>6000</v>
      </c>
      <c r="D39" s="4">
        <v>5800</v>
      </c>
      <c r="E39" s="4">
        <v>5600</v>
      </c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2" t="s">
        <v>0</v>
      </c>
      <c r="C40" s="4">
        <f>SUBTOTAL(109,Tabla137[Abril])</f>
        <v>6000</v>
      </c>
      <c r="D40" s="4">
        <f>SUBTOTAL(109,Tabla137[Mayo])</f>
        <v>5800</v>
      </c>
      <c r="E40" s="4">
        <f>SUBTOTAL(109,Tabla137[Junio])</f>
        <v>5600</v>
      </c>
      <c r="F40" s="4">
        <f>SUBTOTAL(109,Tabla137[Julio])</f>
        <v>0</v>
      </c>
      <c r="G40" s="4">
        <f>SUBTOTAL(109,Tabla137[Agosto])</f>
        <v>0</v>
      </c>
      <c r="H40" s="4">
        <f>SUBTOTAL(109,Tabla137[Septiembre])</f>
        <v>0</v>
      </c>
      <c r="I40" s="4">
        <f>SUBTOTAL(109,Tabla137[Octubre])</f>
        <v>0</v>
      </c>
      <c r="J40" s="4">
        <f>SUBTOTAL(109,Tabla137[Noviembre])</f>
        <v>0</v>
      </c>
      <c r="K40" s="4">
        <f>SUBTOTAL(109,Tabla137[Diciembre])</f>
        <v>0</v>
      </c>
      <c r="L40" s="4">
        <f>SUBTOTAL(109,Tabla137[Enero])</f>
        <v>0</v>
      </c>
      <c r="M40" s="4">
        <f>SUBTOTAL(109,Tabla137[Febrero])</f>
        <v>0</v>
      </c>
      <c r="N40" s="4">
        <f>SUBTOTAL(109,Tabla137[Marzo])</f>
        <v>0</v>
      </c>
    </row>
    <row r="41" spans="2:14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2:14" x14ac:dyDescent="0.25">
      <c r="B42" s="18" t="s">
        <v>9</v>
      </c>
      <c r="C42" s="10">
        <f>C4+C32</f>
        <v>221250</v>
      </c>
      <c r="D42" s="10">
        <f>D4+D32</f>
        <v>221260</v>
      </c>
      <c r="E42" s="10">
        <f>E4+E32</f>
        <v>220210</v>
      </c>
      <c r="F42" s="10"/>
      <c r="G42" s="10"/>
      <c r="H42" s="10"/>
      <c r="I42" s="10"/>
      <c r="J42" s="10"/>
      <c r="K42" s="10"/>
      <c r="L42" s="10"/>
      <c r="M42" s="10"/>
      <c r="N42" s="10"/>
    </row>
    <row r="43" spans="2:14" x14ac:dyDescent="0.25">
      <c r="B43" s="19"/>
      <c r="C43" s="14"/>
      <c r="D43" s="14">
        <f>(D42-C42)/C42</f>
        <v>4.519774011299435E-5</v>
      </c>
      <c r="E43" s="14">
        <f>(E42-D42)/D42</f>
        <v>-4.7455482238090933E-3</v>
      </c>
      <c r="F43" s="14"/>
      <c r="G43" s="14"/>
      <c r="H43" s="14"/>
      <c r="I43" s="14"/>
      <c r="J43" s="14"/>
      <c r="K43" s="14"/>
      <c r="L43" s="14"/>
      <c r="M43" s="14"/>
      <c r="N43" s="14"/>
    </row>
    <row r="44" spans="2:14" x14ac:dyDescent="0.25">
      <c r="C44" s="9"/>
    </row>
  </sheetData>
  <mergeCells count="1">
    <mergeCell ref="B42:B43"/>
  </mergeCells>
  <phoneticPr fontId="6" type="noConversion"/>
  <pageMargins left="0.7" right="0.7" top="0.75" bottom="0.75" header="0.3" footer="0.3"/>
  <pageSetup paperSize="9" orientation="portrait" horizontalDpi="4294967293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Balance 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2022-06-06T20:34:41Z</dcterms:created>
  <dcterms:modified xsi:type="dcterms:W3CDTF">2022-06-06T20:37:46Z</dcterms:modified>
</cp:coreProperties>
</file>