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93661dbe3eb143f/Documentos/Famila/Carlos/Contabilidad/"/>
    </mc:Choice>
  </mc:AlternateContent>
  <xr:revisionPtr revIDLastSave="691" documentId="13_ncr:1_{1B66B313-F604-43FE-A3A7-D666B63B0DA3}" xr6:coauthVersionLast="47" xr6:coauthVersionMax="47" xr10:uidLastSave="{E7175573-394C-4E96-B071-B2C5C52DE1DD}"/>
  <bookViews>
    <workbookView xWindow="-120" yWindow="-120" windowWidth="29040" windowHeight="15840" tabRatio="715" activeTab="3" xr2:uid="{3D373464-7BBD-4C50-89C2-63BFB797B3C7}"/>
  </bookViews>
  <sheets>
    <sheet name="Watch List de Acciones" sheetId="1" r:id="rId1"/>
    <sheet name="Cartera de Acciones" sheetId="2" r:id="rId2"/>
    <sheet name="Cartera de Fondos" sheetId="3" r:id="rId3"/>
    <sheet name="Cartera Indexada" sheetId="7" r:id="rId4"/>
    <sheet name="Divisa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 i="2" l="1" a="1"/>
  <c r="A5" i="2" s="1"/>
  <c r="E5" i="2"/>
  <c r="F5" i="2" a="1"/>
  <c r="F5" i="2" s="1"/>
  <c r="M5" i="2" a="1"/>
  <c r="M5" i="2" s="1"/>
  <c r="N5" i="2" s="1"/>
  <c r="J6" i="2"/>
  <c r="A4" i="2" a="1"/>
  <c r="A4" i="2" s="1"/>
  <c r="E4" i="2"/>
  <c r="F4" i="2" a="1"/>
  <c r="F4" i="2" s="1"/>
  <c r="M4" i="2" a="1"/>
  <c r="M4" i="2" s="1"/>
  <c r="N4" i="2" s="1"/>
  <c r="S4" i="2" s="1"/>
  <c r="J11" i="7"/>
  <c r="K8" i="7" s="1"/>
  <c r="D11" i="7"/>
  <c r="M10" i="7"/>
  <c r="F10" i="7"/>
  <c r="M9" i="7"/>
  <c r="F9" i="7"/>
  <c r="M8" i="7"/>
  <c r="F8" i="7"/>
  <c r="M7" i="7"/>
  <c r="F7" i="7"/>
  <c r="M6" i="7"/>
  <c r="F6" i="7"/>
  <c r="M5" i="7"/>
  <c r="F5" i="7"/>
  <c r="O5" i="7" l="1"/>
  <c r="K7" i="7"/>
  <c r="K6" i="7"/>
  <c r="O6" i="7"/>
  <c r="K5" i="7"/>
  <c r="K11" i="7" s="1"/>
  <c r="K9" i="7"/>
  <c r="O7" i="7"/>
  <c r="O8" i="7"/>
  <c r="K10" i="7"/>
  <c r="O9" i="7"/>
  <c r="O10" i="7"/>
  <c r="C11" i="7"/>
  <c r="S5" i="2"/>
  <c r="Q5" i="2"/>
  <c r="R5" i="2" s="1"/>
  <c r="Q4" i="2"/>
  <c r="R4" i="2" s="1"/>
  <c r="F11" i="7"/>
  <c r="H6" i="7" s="1"/>
  <c r="M11" i="7"/>
  <c r="N7" i="7" s="1"/>
  <c r="D3" i="3"/>
  <c r="K2" i="3"/>
  <c r="F2" i="3"/>
  <c r="A2" i="2" a="1"/>
  <c r="A2" i="2" s="1"/>
  <c r="A3" i="2" a="1"/>
  <c r="A3" i="2" s="1"/>
  <c r="O11" i="7" l="1"/>
  <c r="K3" i="3"/>
  <c r="L2" i="3" s="1"/>
  <c r="L3" i="3" s="1"/>
  <c r="M2" i="3"/>
  <c r="F3" i="3"/>
  <c r="H2" i="3" s="1"/>
  <c r="N6" i="7"/>
  <c r="P6" i="7" s="1"/>
  <c r="R6" i="7" s="1"/>
  <c r="N5" i="7"/>
  <c r="N8" i="7"/>
  <c r="P8" i="7" s="1"/>
  <c r="R8" i="7" s="1"/>
  <c r="N9" i="7"/>
  <c r="P9" i="7" s="1"/>
  <c r="R9" i="7" s="1"/>
  <c r="N10" i="7"/>
  <c r="P10" i="7" s="1"/>
  <c r="R10" i="7" s="1"/>
  <c r="H5" i="7"/>
  <c r="H10" i="7"/>
  <c r="H8" i="7"/>
  <c r="H7" i="7"/>
  <c r="H9" i="7"/>
  <c r="P7" i="7"/>
  <c r="R7" i="7" s="1"/>
  <c r="M3" i="3"/>
  <c r="A8" i="1" a="1"/>
  <c r="A8" i="1" s="1"/>
  <c r="C8" i="1" s="1"/>
  <c r="D8" i="1" a="1"/>
  <c r="D8" i="1" s="1"/>
  <c r="E8" i="1" a="1"/>
  <c r="E8" i="1" s="1"/>
  <c r="G8" i="1"/>
  <c r="K8" i="1" a="1"/>
  <c r="K8" i="1" s="1"/>
  <c r="L8" i="1" a="1"/>
  <c r="L8" i="1" s="1"/>
  <c r="M8" i="1" a="1"/>
  <c r="M8" i="1" s="1"/>
  <c r="N8" i="1" a="1"/>
  <c r="N8" i="1" s="1"/>
  <c r="P8" i="1" a="1"/>
  <c r="P8" i="1" s="1"/>
  <c r="S7" i="7" l="1"/>
  <c r="Q7" i="7"/>
  <c r="S10" i="7"/>
  <c r="Q10" i="7"/>
  <c r="S9" i="7"/>
  <c r="Q9" i="7"/>
  <c r="S8" i="7"/>
  <c r="Q8" i="7"/>
  <c r="S6" i="7"/>
  <c r="Q6" i="7"/>
  <c r="H11" i="7"/>
  <c r="N11" i="7"/>
  <c r="P5" i="7"/>
  <c r="O8" i="1"/>
  <c r="F8" i="1"/>
  <c r="J8" i="1"/>
  <c r="C6" i="2"/>
  <c r="A2" i="5" a="1"/>
  <c r="A2" i="5" s="1"/>
  <c r="A3" i="5" a="1"/>
  <c r="A3" i="5" s="1"/>
  <c r="F2" i="2" a="1"/>
  <c r="F2" i="2" s="1"/>
  <c r="F3" i="2" a="1"/>
  <c r="F3" i="2" s="1"/>
  <c r="E3" i="2"/>
  <c r="M3" i="2" a="1"/>
  <c r="M3" i="2" s="1"/>
  <c r="N3" i="2" s="1"/>
  <c r="S3" i="2" s="1"/>
  <c r="C2" i="5" a="1"/>
  <c r="C2" i="5" s="1"/>
  <c r="C3" i="5" a="1"/>
  <c r="C3" i="5" s="1"/>
  <c r="E2" i="2"/>
  <c r="M2" i="2" a="1"/>
  <c r="M2" i="2" s="1"/>
  <c r="N2" i="2" s="1"/>
  <c r="K5" i="2" l="1"/>
  <c r="G5" i="2"/>
  <c r="H5" i="2" s="1"/>
  <c r="O5" i="2"/>
  <c r="Q2" i="2"/>
  <c r="R2" i="2" s="1"/>
  <c r="S2" i="2"/>
  <c r="G4" i="2"/>
  <c r="H4" i="2" s="1"/>
  <c r="O4" i="2"/>
  <c r="K4" i="2"/>
  <c r="R5" i="7"/>
  <c r="Q5" i="7" s="1"/>
  <c r="P11" i="7" a="1"/>
  <c r="P11" i="7" s="1"/>
  <c r="G2" i="2"/>
  <c r="H2" i="2" s="1"/>
  <c r="G3" i="2"/>
  <c r="H3" i="2" s="1"/>
  <c r="O3" i="2"/>
  <c r="O2" i="2"/>
  <c r="K3" i="2"/>
  <c r="K2" i="2"/>
  <c r="Q3" i="2"/>
  <c r="R3" i="2" s="1"/>
  <c r="C3" i="1"/>
  <c r="R11" i="7" l="1"/>
  <c r="S5" i="7"/>
  <c r="R6" i="2"/>
  <c r="S6" i="2"/>
  <c r="H6" i="2"/>
  <c r="O6" i="2"/>
  <c r="K6" i="2"/>
  <c r="C48" i="1" a="1"/>
  <c r="C48" i="1" s="1"/>
  <c r="P7" i="1" a="1"/>
  <c r="P7" i="1" s="1"/>
  <c r="N7" i="1" a="1"/>
  <c r="N7" i="1" s="1"/>
  <c r="M7" i="1" a="1"/>
  <c r="M7" i="1" s="1"/>
  <c r="L7" i="1" a="1"/>
  <c r="L7" i="1" s="1"/>
  <c r="K7" i="1" a="1"/>
  <c r="K7" i="1" s="1"/>
  <c r="G7" i="1"/>
  <c r="E7" i="1" a="1"/>
  <c r="E7" i="1" s="1"/>
  <c r="D7" i="1" a="1"/>
  <c r="D7" i="1" s="1"/>
  <c r="A7" i="1" a="1"/>
  <c r="A7" i="1" s="1"/>
  <c r="C7" i="1" s="1"/>
  <c r="P6" i="1" a="1"/>
  <c r="P6" i="1" s="1"/>
  <c r="N6" i="1" a="1"/>
  <c r="N6" i="1" s="1"/>
  <c r="M6" i="1" a="1"/>
  <c r="M6" i="1" s="1"/>
  <c r="L6" i="1" a="1"/>
  <c r="L6" i="1" s="1"/>
  <c r="K6" i="1" a="1"/>
  <c r="K6" i="1" s="1"/>
  <c r="G6" i="1"/>
  <c r="E6" i="1" a="1"/>
  <c r="E6" i="1" s="1"/>
  <c r="D6" i="1" a="1"/>
  <c r="D6" i="1" s="1"/>
  <c r="A6" i="1" a="1"/>
  <c r="A6" i="1" s="1"/>
  <c r="C6" i="1" s="1"/>
  <c r="P5" i="1" a="1"/>
  <c r="P5" i="1" s="1"/>
  <c r="N5" i="1" a="1"/>
  <c r="N5" i="1" s="1"/>
  <c r="M5" i="1" a="1"/>
  <c r="M5" i="1" s="1"/>
  <c r="L5" i="1" a="1"/>
  <c r="L5" i="1" s="1"/>
  <c r="K5" i="1" a="1"/>
  <c r="K5" i="1" s="1"/>
  <c r="G5" i="1"/>
  <c r="E5" i="1" a="1"/>
  <c r="E5" i="1" s="1"/>
  <c r="D5" i="1" a="1"/>
  <c r="D5" i="1" s="1"/>
  <c r="A5" i="1" a="1"/>
  <c r="A5" i="1" s="1"/>
  <c r="C5" i="1" s="1"/>
  <c r="P4" i="1" a="1"/>
  <c r="P4" i="1" s="1"/>
  <c r="N4" i="1" a="1"/>
  <c r="N4" i="1" s="1"/>
  <c r="M4" i="1" a="1"/>
  <c r="M4" i="1" s="1"/>
  <c r="L4" i="1" a="1"/>
  <c r="L4" i="1" s="1"/>
  <c r="K4" i="1" a="1"/>
  <c r="K4" i="1" s="1"/>
  <c r="G4" i="1"/>
  <c r="E4" i="1" a="1"/>
  <c r="E4" i="1" s="1"/>
  <c r="D4" i="1" a="1"/>
  <c r="D4" i="1" s="1"/>
  <c r="A4" i="1" a="1"/>
  <c r="A4" i="1" s="1"/>
  <c r="C4" i="1" s="1"/>
  <c r="P3" i="1" a="1"/>
  <c r="P3" i="1" s="1"/>
  <c r="N3" i="1" a="1"/>
  <c r="N3" i="1" s="1"/>
  <c r="M3" i="1" a="1"/>
  <c r="M3" i="1" s="1"/>
  <c r="L3" i="1" a="1"/>
  <c r="L3" i="1" s="1"/>
  <c r="K3" i="1" a="1"/>
  <c r="K3" i="1" s="1"/>
  <c r="G3" i="1"/>
  <c r="E3" i="1" a="1"/>
  <c r="E3" i="1" s="1"/>
  <c r="D3" i="1" a="1"/>
  <c r="D3" i="1" s="1"/>
  <c r="P2" i="1" a="1"/>
  <c r="P2" i="1" s="1"/>
  <c r="N2" i="1" a="1"/>
  <c r="N2" i="1" s="1"/>
  <c r="M2" i="1" a="1"/>
  <c r="M2" i="1" s="1"/>
  <c r="L2" i="1" a="1"/>
  <c r="L2" i="1" s="1"/>
  <c r="K2" i="1" a="1"/>
  <c r="K2" i="1" s="1"/>
  <c r="G2" i="1"/>
  <c r="E2" i="1" a="1"/>
  <c r="E2" i="1" s="1"/>
  <c r="D2" i="1" a="1"/>
  <c r="D2" i="1" s="1"/>
  <c r="A2" i="1" a="1"/>
  <c r="A2" i="1" s="1"/>
  <c r="C2" i="1" s="1"/>
  <c r="L4" i="2" l="1"/>
  <c r="L5" i="2"/>
  <c r="P4" i="2"/>
  <c r="P5" i="2"/>
  <c r="I4" i="2"/>
  <c r="I5" i="2"/>
  <c r="S11" i="7"/>
  <c r="T5" i="7" s="1"/>
  <c r="P2" i="2"/>
  <c r="P3" i="2"/>
  <c r="L3" i="2"/>
  <c r="I3" i="2"/>
  <c r="I2" i="2"/>
  <c r="L2" i="2"/>
  <c r="O7" i="1"/>
  <c r="J6" i="1"/>
  <c r="F6" i="1"/>
  <c r="O3" i="1"/>
  <c r="O5" i="1"/>
  <c r="J4" i="1"/>
  <c r="F4" i="1"/>
  <c r="O2" i="1"/>
  <c r="O6" i="1"/>
  <c r="J3" i="1"/>
  <c r="F3" i="1"/>
  <c r="J7" i="1"/>
  <c r="F7" i="1"/>
  <c r="O4" i="1"/>
  <c r="F2" i="1"/>
  <c r="J2" i="1"/>
  <c r="J5" i="1"/>
  <c r="F5" i="1"/>
  <c r="T9" i="7" l="1"/>
  <c r="T10" i="7"/>
  <c r="T8" i="7"/>
  <c r="T7" i="7"/>
  <c r="T6" i="7"/>
  <c r="P6" i="2"/>
  <c r="I6" i="2"/>
  <c r="L6" i="2"/>
  <c r="T11"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2"/>
        </ext>
      </extLst>
    </bk>
    <bk>
      <extLst>
        <ext uri="{3e2802c4-a4d2-4d8b-9148-e3be6c30e623}">
          <xlrd:rvb i="24"/>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<sst xmlns="http://schemas.openxmlformats.org/spreadsheetml/2006/main" count="112" uniqueCount="78">
  <si>
    <t>Empresa</t>
  </si>
  <si>
    <t>Precio</t>
  </si>
  <si>
    <t>Cambio (%)</t>
  </si>
  <si>
    <t>PER</t>
  </si>
  <si>
    <t>Pay-out</t>
  </si>
  <si>
    <t>BPA</t>
  </si>
  <si>
    <t>Dividendo</t>
  </si>
  <si>
    <t>RPD</t>
  </si>
  <si>
    <t>Moneda</t>
  </si>
  <si>
    <t>Máximo</t>
  </si>
  <si>
    <t>Mínimo</t>
  </si>
  <si>
    <t>Máximo en 52 semanas</t>
  </si>
  <si>
    <t>Mediana en 52 semanas</t>
  </si>
  <si>
    <t>Mínimo en 52 semanas</t>
  </si>
  <si>
    <t>BMWG</t>
  </si>
  <si>
    <t>Cantidad</t>
  </si>
  <si>
    <t>Ingresos Dividendos</t>
  </si>
  <si>
    <t>Precio Actual</t>
  </si>
  <si>
    <t>Valor Actual</t>
  </si>
  <si>
    <t>Peso Cartera Actual</t>
  </si>
  <si>
    <t>Peso Cartera Div</t>
  </si>
  <si>
    <t>Valor + Div</t>
  </si>
  <si>
    <t>Rentabilidad</t>
  </si>
  <si>
    <t>Rentabilidad sin Div</t>
  </si>
  <si>
    <t>Total</t>
  </si>
  <si>
    <t>En Cartera</t>
  </si>
  <si>
    <t>Símbolo</t>
  </si>
  <si>
    <t>Divisa</t>
  </si>
  <si>
    <t>EUR/EUR</t>
  </si>
  <si>
    <t>Símbolo bursátil</t>
  </si>
  <si>
    <t>EUREUR</t>
  </si>
  <si>
    <t>Ingresos Dividendos €</t>
  </si>
  <si>
    <t>Valor Actual €</t>
  </si>
  <si>
    <t>Importe</t>
  </si>
  <si>
    <t>Peso Cartera</t>
  </si>
  <si>
    <t>Precio €</t>
  </si>
  <si>
    <t>Importe €</t>
  </si>
  <si>
    <t>Nombre del Fondo</t>
  </si>
  <si>
    <t>Renta 4 Multigestión Numantia Patrimonio Global Fi</t>
  </si>
  <si>
    <t>ISIN</t>
  </si>
  <si>
    <t>EUR</t>
  </si>
  <si>
    <t>Índice</t>
  </si>
  <si>
    <t>Capitalización Índice</t>
  </si>
  <si>
    <t>ES0173311103</t>
  </si>
  <si>
    <t>MSCI World</t>
  </si>
  <si>
    <t>Peso en Cartera</t>
  </si>
  <si>
    <t>IE00BYX5MX67</t>
  </si>
  <si>
    <t>IE0007987708</t>
  </si>
  <si>
    <t>IE00BYX5N771</t>
  </si>
  <si>
    <t>IE00BDRK7R97</t>
  </si>
  <si>
    <t>IE00BYWYCC39</t>
  </si>
  <si>
    <t>IE00B42W4L06</t>
  </si>
  <si>
    <t>TER</t>
  </si>
  <si>
    <t>Fidelity S&amp;P 500 Index Fund P-ACC-EUR</t>
  </si>
  <si>
    <t>Vanguard European Stock Index Fund EUR Acc</t>
  </si>
  <si>
    <t>Fidelity MSCI Japan Index Fund P-ACC-EUR</t>
  </si>
  <si>
    <t>iShares Pacific Index Fund D Acc</t>
  </si>
  <si>
    <t>iShares Emerging Markets Index Fund D Acc</t>
  </si>
  <si>
    <t>Vanguard Global Small-Cap Index Fund EUR Acc</t>
  </si>
  <si>
    <t>S&amp;P 500</t>
  </si>
  <si>
    <t>MSCI Europe</t>
  </si>
  <si>
    <t>MSCI Emerging Markets</t>
  </si>
  <si>
    <t>MSCI Pacific ex Japan</t>
  </si>
  <si>
    <t>MSCI World Small Cap</t>
  </si>
  <si>
    <t>MSCI Japan</t>
  </si>
  <si>
    <t>Rebalanceo</t>
  </si>
  <si>
    <t>ÍNCIDE</t>
  </si>
  <si>
    <t>PROXIMA COMPRA</t>
  </si>
  <si>
    <t>Precio Medio</t>
  </si>
  <si>
    <t>Peso Ínidce</t>
  </si>
  <si>
    <t>SITUACION ACTUAL</t>
  </si>
  <si>
    <t>Cantidad Compra</t>
  </si>
  <si>
    <t>Valor Tras Compra</t>
  </si>
  <si>
    <t>Peso Tras Compra</t>
  </si>
  <si>
    <t>FONDOS INDEXADOS</t>
  </si>
  <si>
    <t>SITACION INICIAL COMPRA</t>
  </si>
  <si>
    <t>Efectivo a invertir</t>
  </si>
  <si>
    <t>Valor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</si>
</sst>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0.00\ &quot;€&quot;;[Red]\-#,##0.00\ &quot;€&quot;"/>
    <numFmt numFmtId="44" formatCode="_-* #,##0.00\ &quot;€&quot;_-;\-* #,##0.00\ &quot;€&quot;_-;_-* &quot;-&quot;??\ &quot;€&quot;_-;_-@_-"/>
    <numFmt numFmtId="43" formatCode="_-* #,##0.00_-;\-* #,##0.00_-;_-* &quot;-&quot;??_-;_-@_-"/>
    <numFmt numFmtId="164" formatCode="_([$$-409]* #,##0.00_);_([$$-409]* \(#,##0.00\);_([$$-409]* &quot;-&quot;??_);_(@_)"/>
    <numFmt numFmtId="165" formatCode="_([$€-2]\ * #,##0.00_);_([$€-2]\ * \(#,##0.00\);_([$€-2]\ * &quot;-&quot;??_);_(@_)"/>
    <numFmt numFmtId="166" formatCode="_-[$$-540A]* #,##0.00_ ;_-[$$-540A]* \-#,##0.00\ ;_-[$$-540A]* &quot;-&quot;??_ ;_-@_ "/>
    <numFmt numFmtId="167" formatCode="_-[$$-409]* #,##0.00_ ;_-[$$-409]* \-#,##0.00\ ;_-[$$-409]* &quot;-&quot;??_ ;_-@_ "/>
    <numFmt numFmtId="168" formatCode="#,##0.00\ &quot;€&quot;"/>
    <numFmt numFmtId="169" formatCode="_-* #,##0.00\ [$€-C0A]_-;\-* #,##0.00\ [$€-C0A]_-;_-* &quot;-&quot;??\ [$€-C0A]_-;_-@_-"/>
  </numFmts>
  <fonts count="5" x14ac:knownFonts="1">
    <font>
      <sz val="11"/>
      <color theme="1"/>
      <name val="Calibri"/>
      <family val="2"/>
      <scheme val="minor"/>
    </font>
    <font>
      <sz val="11"/>
      <color theme="1"/>
      <name val="Calibri"/>
      <family val="2"/>
      <scheme val="minor"/>
    </font>
    <font>
      <u/>
      <sz val="11"/>
      <color theme="10"/>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9"/>
      </patternFill>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43" fontId="1" fillId="0" borderId="0" applyFont="0" applyFill="0" applyBorder="0" applyAlignment="0" applyProtection="0"/>
    <xf numFmtId="0" fontId="4" fillId="2" borderId="0" applyNumberFormat="0" applyBorder="0" applyAlignment="0" applyProtection="0"/>
  </cellStyleXfs>
  <cellXfs count="37">
    <xf numFmtId="0" fontId="0" fillId="0" borderId="0" xfId="0"/>
    <xf numFmtId="165" fontId="0" fillId="0" borderId="0" xfId="0" applyNumberFormat="1"/>
    <xf numFmtId="10" fontId="0" fillId="0" borderId="0" xfId="0" applyNumberFormat="1"/>
    <xf numFmtId="10" fontId="0" fillId="0" borderId="0" xfId="2" applyNumberFormat="1" applyFont="1"/>
    <xf numFmtId="164" fontId="0" fillId="0" borderId="0" xfId="0" applyNumberFormat="1"/>
    <xf numFmtId="166" fontId="0" fillId="0" borderId="0" xfId="1" applyNumberFormat="1" applyFont="1"/>
    <xf numFmtId="9" fontId="0" fillId="0" borderId="0" xfId="2" applyFont="1"/>
    <xf numFmtId="9"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Alignment="1">
      <alignment horizontal="left" indent="2"/>
    </xf>
    <xf numFmtId="0" fontId="0" fillId="0" borderId="0" xfId="0" applyFill="1"/>
    <xf numFmtId="164" fontId="2" fillId="0" borderId="0" xfId="3" applyNumberFormat="1" applyFill="1"/>
    <xf numFmtId="165" fontId="0" fillId="0" borderId="0" xfId="0" applyNumberFormat="1" applyFill="1"/>
    <xf numFmtId="164" fontId="0" fillId="0" borderId="0" xfId="0" applyNumberFormat="1" applyFill="1"/>
    <xf numFmtId="2" fontId="0" fillId="0" borderId="0" xfId="0" applyNumberFormat="1"/>
    <xf numFmtId="8" fontId="0" fillId="0" borderId="0" xfId="0" applyNumberFormat="1"/>
    <xf numFmtId="0" fontId="2" fillId="0" borderId="0" xfId="3"/>
    <xf numFmtId="167" fontId="0" fillId="0" borderId="0" xfId="4" applyNumberFormat="1" applyFont="1"/>
    <xf numFmtId="0" fontId="2" fillId="0" borderId="0" xfId="0" applyFont="1"/>
    <xf numFmtId="167" fontId="0" fillId="0" borderId="0" xfId="0" applyNumberFormat="1"/>
    <xf numFmtId="10" fontId="1" fillId="0" borderId="0" xfId="0" applyNumberFormat="1" applyFont="1"/>
    <xf numFmtId="9" fontId="2" fillId="0" borderId="0" xfId="3" applyNumberFormat="1"/>
    <xf numFmtId="0" fontId="2" fillId="0" borderId="0" xfId="3" applyFill="1"/>
    <xf numFmtId="10" fontId="0" fillId="0" borderId="0" xfId="0" applyNumberFormat="1" applyFont="1"/>
    <xf numFmtId="169" fontId="0" fillId="4" borderId="3" xfId="2" applyNumberFormat="1" applyFont="1" applyFill="1" applyBorder="1"/>
    <xf numFmtId="0" fontId="3" fillId="3" borderId="1" xfId="0" applyFont="1" applyFill="1" applyBorder="1" applyAlignment="1"/>
    <xf numFmtId="9" fontId="1" fillId="0" borderId="0" xfId="0" applyNumberFormat="1" applyFont="1"/>
    <xf numFmtId="168" fontId="4" fillId="2" borderId="0" xfId="5" applyNumberFormat="1"/>
    <xf numFmtId="168" fontId="0" fillId="0" borderId="0" xfId="0" applyNumberFormat="1" applyFont="1"/>
    <xf numFmtId="9" fontId="0" fillId="0" borderId="0" xfId="0" applyNumberFormat="1" applyFont="1"/>
    <xf numFmtId="0" fontId="3" fillId="3" borderId="4" xfId="0" applyFont="1" applyFill="1" applyBorder="1" applyAlignment="1">
      <alignment horizontal="center"/>
    </xf>
    <xf numFmtId="0" fontId="3" fillId="3" borderId="0" xfId="0" applyFont="1" applyFill="1" applyBorder="1" applyAlignment="1">
      <alignment horizontal="center"/>
    </xf>
    <xf numFmtId="0" fontId="3" fillId="3" borderId="5"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cellXfs>
  <cellStyles count="6">
    <cellStyle name="Énfasis6" xfId="5" builtinId="49"/>
    <cellStyle name="Hipervínculo" xfId="3" builtinId="8"/>
    <cellStyle name="Millares" xfId="4" builtinId="3"/>
    <cellStyle name="Moneda" xfId="1" builtinId="4"/>
    <cellStyle name="Normal" xfId="0" builtinId="0"/>
    <cellStyle name="Porcentaje" xfId="2" builtinId="5"/>
  </cellStyles>
  <dxfs count="142">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numFmt numFmtId="14" formatCode="0.00%"/>
    </dxf>
    <dxf>
      <numFmt numFmtId="12" formatCode="#,##0.00\ &quot;€&quot;;[Red]\-#,##0.00\ &quot;€&quot;"/>
    </dxf>
    <dxf>
      <numFmt numFmtId="12" formatCode="#,##0.00\ &quot;€&quot;;[Red]\-#,##0.00\ &quot;€&quot;"/>
    </dxf>
    <dxf>
      <font>
        <b val="0"/>
        <i val="0"/>
        <strike val="0"/>
        <condense val="0"/>
        <extend val="0"/>
        <outline val="0"/>
        <shadow val="0"/>
        <u val="none"/>
        <vertAlign val="baseline"/>
        <sz val="11"/>
        <color theme="1"/>
        <name val="Calibri"/>
        <family val="2"/>
        <scheme val="minor"/>
      </font>
      <numFmt numFmtId="168" formatCode="#,##0.00\ &quot;€&quot;"/>
    </dxf>
    <dxf>
      <numFmt numFmtId="168" formatCode="#,##0.00\ &quot;€&quot;"/>
    </dxf>
    <dxf>
      <numFmt numFmtId="14" formatCode="0.00%"/>
    </dxf>
    <dxf>
      <font>
        <b val="0"/>
        <i val="0"/>
        <strike val="0"/>
        <condense val="0"/>
        <extend val="0"/>
        <outline val="0"/>
        <shadow val="0"/>
        <u val="none"/>
        <vertAlign val="baseline"/>
        <sz val="11"/>
        <color theme="1"/>
        <name val="Calibri"/>
        <family val="2"/>
        <scheme val="minor"/>
      </font>
      <numFmt numFmtId="2" formatCode="0.00"/>
    </dxf>
    <dxf>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3" formatCode="0%"/>
    </dxf>
    <dxf>
      <font>
        <b val="0"/>
        <i val="0"/>
        <strike val="0"/>
        <condense val="0"/>
        <extend val="0"/>
        <outline val="0"/>
        <shadow val="0"/>
        <u val="none"/>
        <vertAlign val="baseline"/>
        <sz val="11"/>
        <color theme="1"/>
        <name val="Calibri"/>
        <family val="2"/>
        <scheme val="minor"/>
      </font>
      <numFmt numFmtId="14" formatCode="0.00%"/>
    </dxf>
    <dxf>
      <numFmt numFmtId="12" formatCode="#,##0.00\ &quot;€&quot;;[Red]\-#,##0.00\ &quot;€&quot;"/>
    </dxf>
    <dxf>
      <numFmt numFmtId="12" formatCode="#,##0.00\ &quot;€&quot;;[Red]\-#,##0.00\ &quot;€&quot;"/>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67" formatCode="_-[$$-409]* #,##0.00_ ;_-[$$-409]* \-#,##0.00\ ;_-[$$-409]* &quot;-&quot;??_ ;_-@_ "/>
    </dxf>
    <dxf>
      <numFmt numFmtId="167" formatCode="_-[$$-409]* #,##0.00_ ;_-[$$-409]* \-#,##0.00\ ;_-[$$-409]* &quot;-&quot;??_ ;_-@_ "/>
    </dxf>
    <dxf>
      <font>
        <b val="0"/>
        <i val="0"/>
        <strike val="0"/>
        <condense val="0"/>
        <extend val="0"/>
        <outline val="0"/>
        <shadow val="0"/>
        <u/>
        <vertAlign val="baseline"/>
        <sz val="11"/>
        <color theme="10"/>
        <name val="Calibri"/>
        <family val="2"/>
        <scheme val="minor"/>
      </font>
    </dxf>
    <dxf>
      <numFmt numFmtId="13" formatCode="0%"/>
    </dxf>
    <dxf>
      <font>
        <b val="0"/>
        <i val="0"/>
        <strike val="0"/>
        <condense val="0"/>
        <extend val="0"/>
        <outline val="0"/>
        <shadow val="0"/>
        <u val="none"/>
        <vertAlign val="baseline"/>
        <sz val="11"/>
        <color theme="1"/>
        <name val="Calibri"/>
        <family val="2"/>
        <scheme val="minor"/>
      </font>
      <numFmt numFmtId="13" formatCode="0%"/>
    </dxf>
    <dxf>
      <numFmt numFmtId="12" formatCode="#,##0.00\ &quot;€&quot;;[Red]\-#,##0.00\ &quot;€&quot;"/>
    </dxf>
    <dxf>
      <numFmt numFmtId="2" formatCode="0.00"/>
    </dxf>
    <dxf>
      <numFmt numFmtId="2" formatCode="0.00"/>
    </dxf>
    <dxf>
      <numFmt numFmtId="14" formatCode="0.00%"/>
    </dxf>
    <dxf>
      <numFmt numFmtId="14" formatCode="0.00%"/>
      <alignment horizontal="center" vertical="bottom" textRotation="0" wrapText="0" indent="0" justifyLastLine="0" shrinkToFit="0" readingOrder="0"/>
    </dxf>
    <dxf>
      <font>
        <color rgb="FF9C0006"/>
      </font>
    </dxf>
    <dxf>
      <font>
        <color theme="9" tint="-0.499984740745262"/>
      </font>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3" formatCode="0%"/>
    </dxf>
    <dxf>
      <numFmt numFmtId="12" formatCode="#,##0.00\ &quot;€&quot;;[Red]\-#,##0.00\ &quot;€&quot;"/>
    </dxf>
    <dxf>
      <numFmt numFmtId="12" formatCode="#,##0.00\ &quot;€&quot;;[Red]\-#,##0.00\ &quot;€&quot;"/>
    </dxf>
    <dxf>
      <font>
        <b val="0"/>
        <i val="0"/>
        <strike val="0"/>
        <condense val="0"/>
        <extend val="0"/>
        <outline val="0"/>
        <shadow val="0"/>
        <u/>
        <vertAlign val="baseline"/>
        <sz val="11"/>
        <color theme="10"/>
        <name val="Calibri"/>
        <family val="2"/>
        <scheme val="minor"/>
      </font>
    </dxf>
    <dxf>
      <font>
        <b val="0"/>
        <i val="0"/>
        <strike val="0"/>
        <condense val="0"/>
        <extend val="0"/>
        <outline val="0"/>
        <shadow val="0"/>
        <u val="none"/>
        <vertAlign val="baseline"/>
        <sz val="11"/>
        <color theme="1"/>
        <name val="Calibri"/>
        <family val="2"/>
        <scheme val="minor"/>
      </font>
    </dxf>
    <dxf>
      <numFmt numFmtId="12" formatCode="#,##0.00\ &quot;€&quot;;[Red]\-#,##0.00\ &quot;€&quot;"/>
    </dxf>
    <dxf>
      <numFmt numFmtId="2" formatCode="0.00"/>
    </dxf>
    <dxf>
      <numFmt numFmtId="2" formatCode="0.00"/>
    </dxf>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font>
        <b val="0"/>
        <i val="0"/>
        <strike val="0"/>
        <condense val="0"/>
        <extend val="0"/>
        <outline val="0"/>
        <shadow val="0"/>
        <u/>
        <vertAlign val="baseline"/>
        <sz val="11"/>
        <color theme="10"/>
        <name val="Calibri"/>
        <family val="2"/>
        <scheme val="minor"/>
      </font>
    </dxf>
    <dxf>
      <font>
        <color rgb="FF9C0006"/>
      </font>
    </dxf>
    <dxf>
      <font>
        <color theme="9" tint="-0.499984740745262"/>
      </font>
    </dxf>
    <dxf>
      <font>
        <color rgb="FF006100"/>
      </font>
      <fill>
        <patternFill>
          <bgColor rgb="FFC6EFCE"/>
        </patternFill>
      </fill>
    </dxf>
    <dxf>
      <font>
        <color rgb="FF9C0006"/>
      </font>
      <fill>
        <patternFill>
          <bgColor rgb="FFFFC7CE"/>
        </patternFill>
      </fill>
    </dxf>
    <dxf>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4" formatCode="0.00%"/>
    </dxf>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3" formatCode="0%"/>
    </dxf>
    <dxf>
      <numFmt numFmtId="165" formatCode="_([$€-2]\ * #,##0.00_);_([$€-2]\ * \(#,##0.00\);_([$€-2]\ * &quot;-&quot;??_);_(@_)"/>
    </dxf>
    <dxf>
      <numFmt numFmtId="165" formatCode="_([$€-2]\ * #,##0.00_);_([$€-2]\ * \(#,##0.00\);_([$€-2]\ * &quot;-&quot;??_);_(@_)"/>
    </dxf>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theme="9" tint="-0.499984740745262"/>
      </font>
    </dxf>
    <dxf>
      <numFmt numFmtId="164" formatCode="_([$$-409]* #,##0.00_);_([$$-409]* \(#,##0.00\);_([$$-409]* &quot;-&quot;??_);_(@_)"/>
      <fill>
        <patternFill patternType="none">
          <fgColor indexed="64"/>
          <bgColor auto="1"/>
        </patternFill>
      </fill>
    </dxf>
    <dxf>
      <numFmt numFmtId="164" formatCode="_([$$-409]* #,##0.00_);_([$$-409]* \(#,##0.00\);_([$$-409]* &quot;-&quot;??_);_(@_)"/>
      <fill>
        <patternFill patternType="none">
          <fgColor indexed="64"/>
          <bgColor auto="1"/>
        </patternFill>
      </fill>
    </dxf>
    <dxf>
      <numFmt numFmtId="164" formatCode="_([$$-409]* #,##0.00_);_([$$-409]* \(#,##0.00\);_([$$-409]* &quot;-&quot;??_);_(@_)"/>
      <fill>
        <patternFill patternType="none">
          <fgColor indexed="64"/>
          <bgColor auto="1"/>
        </patternFill>
      </fill>
    </dxf>
    <dxf>
      <numFmt numFmtId="164" formatCode="_([$$-409]* #,##0.00_);_([$$-409]* \(#,##0.00\);_([$$-409]* &quot;-&quot;??_);_(@_)"/>
      <fill>
        <patternFill patternType="none">
          <fgColor indexed="64"/>
          <bgColor auto="1"/>
        </patternFill>
      </fill>
    </dxf>
    <dxf>
      <numFmt numFmtId="164" formatCode="_([$$-409]* #,##0.00_);_([$$-409]* \(#,##0.00\);_([$$-409]* &quot;-&quot;??_);_(@_)"/>
      <fill>
        <patternFill patternType="none">
          <fgColor indexed="64"/>
          <bgColor auto="1"/>
        </patternFill>
      </fill>
    </dxf>
    <dxf>
      <numFmt numFmtId="14" formatCode="0.00%"/>
    </dxf>
    <dxf>
      <numFmt numFmtId="164" formatCode="_([$$-409]* #,##0.00_);_([$$-409]* \(#,##0.00\);_([$$-409]* &quot;-&quot;??_);_(@_)"/>
    </dxf>
    <dxf>
      <numFmt numFmtId="166" formatCode="_-[$$-540A]* #,##0.00_ ;_-[$$-540A]* \-#,##0.00\ ;_-[$$-540A]* &quot;-&quot;??_ ;_-@_ "/>
    </dxf>
    <dxf>
      <numFmt numFmtId="14" formatCode="0.00%"/>
    </dxf>
    <dxf>
      <numFmt numFmtId="14" formatCode="0.00%"/>
    </dxf>
    <dxf>
      <numFmt numFmtId="14" formatCode="0.00%"/>
    </dxf>
    <dxf>
      <numFmt numFmtId="165" formatCode="_([$€-2]\ * #,##0.00_);_([$€-2]\ * \(#,##0.00\);_([$€-2]\ * &quot;-&quot;??_);_(@_)"/>
    </dxf>
    <dxf>
      <numFmt numFmtId="0" formatCode="General"/>
      <alignment horizontal="center" vertical="bottom" textRotation="0" wrapText="0" indent="0" justifyLastLine="0" shrinkToFit="0" readingOrder="0"/>
    </dxf>
    <dxf>
      <fill>
        <patternFill patternType="none">
          <fgColor indexed="64"/>
          <bgColor auto="1"/>
        </patternFill>
      </fill>
    </dxf>
    <dxf>
      <numFmt numFmtId="164" formatCode="_([$$-409]* #,##0.00_);_([$$-409]* \(#,##0.00\);_([$$-409]* &quot;-&quot;??_);_(@_)"/>
      <fill>
        <patternFill patternType="none">
          <fgColor indexed="64"/>
          <bgColor auto="1"/>
        </patternFill>
      </fill>
    </dxf>
    <dxf>
      <alignment horizontal="left" vertical="bottom" textRotation="0" wrapText="0" indent="0" justifyLastLine="0" shrinkToFit="0" readingOrder="0"/>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s-ES"/>
        </a:p>
      </c:txPr>
    </c:title>
    <c:autoTitleDeleted val="0"/>
    <c:plotArea>
      <c:layout/>
      <c:pieChart>
        <c:varyColors val="1"/>
        <c:ser>
          <c:idx val="0"/>
          <c:order val="0"/>
          <c:tx>
            <c:strRef>
              <c:f>'Cartera de Acciones'!$G$1</c:f>
              <c:strCache>
                <c:ptCount val="1"/>
                <c:pt idx="0">
                  <c:v>Precio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Acciones'!$B$2:$B$6</c:f>
              <c:strCache>
                <c:ptCount val="4"/>
                <c:pt idx="0">
                  <c:v>Industria de Diseño Textil, S.A. (BMEX:ITX)</c:v>
                </c:pt>
                <c:pt idx="1">
                  <c:v>Banco Bilbao Vizcaya Argentaria, S.A. (BMEX:BBVA)</c:v>
                </c:pt>
                <c:pt idx="2">
                  <c:v>Mercedes-Benz Group AG (XFRA:MBG)</c:v>
                </c:pt>
                <c:pt idx="3">
                  <c:v>3M COMPANY (XNYS:MMM)</c:v>
                </c:pt>
              </c:strCache>
            </c:strRef>
          </c:cat>
          <c:val>
            <c:numRef>
              <c:f>'Cartera de Acciones'!$G$2:$G$6</c:f>
            </c:numRef>
          </c:val>
          <c:extLst>
            <c:ext xmlns:c16="http://schemas.microsoft.com/office/drawing/2014/chart" uri="{C3380CC4-5D6E-409C-BE32-E72D297353CC}">
              <c16:uniqueId val="{00000000-2908-47E2-9046-169DF31FBB19}"/>
            </c:ext>
          </c:extLst>
        </c:ser>
        <c:ser>
          <c:idx val="1"/>
          <c:order val="1"/>
          <c:tx>
            <c:strRef>
              <c:f>'Cartera de Acciones'!$H$1</c:f>
              <c:strCache>
                <c:ptCount val="1"/>
                <c:pt idx="0">
                  <c:v>Importe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Acciones'!$B$2:$B$6</c:f>
              <c:strCache>
                <c:ptCount val="4"/>
                <c:pt idx="0">
                  <c:v>Industria de Diseño Textil, S.A. (BMEX:ITX)</c:v>
                </c:pt>
                <c:pt idx="1">
                  <c:v>Banco Bilbao Vizcaya Argentaria, S.A. (BMEX:BBVA)</c:v>
                </c:pt>
                <c:pt idx="2">
                  <c:v>Mercedes-Benz Group AG (XFRA:MBG)</c:v>
                </c:pt>
                <c:pt idx="3">
                  <c:v>3M COMPANY (XNYS:MMM)</c:v>
                </c:pt>
              </c:strCache>
            </c:strRef>
          </c:cat>
          <c:val>
            <c:numRef>
              <c:f>'Cartera de Acciones'!$H$2:$H$6</c:f>
            </c:numRef>
          </c:val>
          <c:extLst>
            <c:ext xmlns:c16="http://schemas.microsoft.com/office/drawing/2014/chart" uri="{C3380CC4-5D6E-409C-BE32-E72D297353CC}">
              <c16:uniqueId val="{00000001-2908-47E2-9046-169DF31FBB19}"/>
            </c:ext>
          </c:extLst>
        </c:ser>
        <c:ser>
          <c:idx val="4"/>
          <c:order val="4"/>
          <c:tx>
            <c:strRef>
              <c:f>'Cartera de Acciones'!$K$1</c:f>
              <c:strCache>
                <c:ptCount val="1"/>
                <c:pt idx="0">
                  <c:v>Ingresos Dividendos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Acciones'!$B$2:$B$6</c:f>
              <c:strCache>
                <c:ptCount val="4"/>
                <c:pt idx="0">
                  <c:v>Industria de Diseño Textil, S.A. (BMEX:ITX)</c:v>
                </c:pt>
                <c:pt idx="1">
                  <c:v>Banco Bilbao Vizcaya Argentaria, S.A. (BMEX:BBVA)</c:v>
                </c:pt>
                <c:pt idx="2">
                  <c:v>Mercedes-Benz Group AG (XFRA:MBG)</c:v>
                </c:pt>
                <c:pt idx="3">
                  <c:v>3M COMPANY (XNYS:MMM)</c:v>
                </c:pt>
              </c:strCache>
            </c:strRef>
          </c:cat>
          <c:val>
            <c:numRef>
              <c:f>'Cartera de Acciones'!$K$2:$K$6</c:f>
            </c:numRef>
          </c:val>
          <c:extLst>
            <c:ext xmlns:c16="http://schemas.microsoft.com/office/drawing/2014/chart" uri="{C3380CC4-5D6E-409C-BE32-E72D297353CC}">
              <c16:uniqueId val="{00000013-2908-47E2-9046-169DF31FBB19}"/>
            </c:ext>
          </c:extLst>
        </c:ser>
        <c:ser>
          <c:idx val="9"/>
          <c:order val="9"/>
          <c:tx>
            <c:strRef>
              <c:f>'Cartera de Acciones'!$P$1</c:f>
              <c:strCache>
                <c:ptCount val="1"/>
                <c:pt idx="0">
                  <c:v>Peso Cartera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Acciones'!$B$2:$B$6</c:f>
              <c:strCache>
                <c:ptCount val="4"/>
                <c:pt idx="0">
                  <c:v>Industria de Diseño Textil, S.A. (BMEX:ITX)</c:v>
                </c:pt>
                <c:pt idx="1">
                  <c:v>Banco Bilbao Vizcaya Argentaria, S.A. (BMEX:BBVA)</c:v>
                </c:pt>
                <c:pt idx="2">
                  <c:v>Mercedes-Benz Group AG (XFRA:MBG)</c:v>
                </c:pt>
                <c:pt idx="3">
                  <c:v>3M COMPANY (XNYS:MMM)</c:v>
                </c:pt>
              </c:strCache>
            </c:strRef>
          </c:cat>
          <c:val>
            <c:numRef>
              <c:f>'Cartera de Acciones'!$P$2:$P$6</c:f>
              <c:numCache>
                <c:formatCode>0%</c:formatCode>
                <c:ptCount val="4"/>
                <c:pt idx="0">
                  <c:v>0.24330627670568883</c:v>
                </c:pt>
                <c:pt idx="1">
                  <c:v>0.24092092105171151</c:v>
                </c:pt>
                <c:pt idx="2">
                  <c:v>0.2617012519349653</c:v>
                </c:pt>
                <c:pt idx="3">
                  <c:v>0.2540715503076344</c:v>
                </c:pt>
              </c:numCache>
            </c:numRef>
          </c:val>
          <c:extLst>
            <c:ext xmlns:c16="http://schemas.microsoft.com/office/drawing/2014/chart" uri="{C3380CC4-5D6E-409C-BE32-E72D297353CC}">
              <c16:uniqueId val="{00000018-2908-47E2-9046-169DF31FBB19}"/>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2"/>
                <c:order val="2"/>
                <c:tx>
                  <c:strRef>
                    <c:extLst>
                      <c:ext uri="{02D57815-91ED-43cb-92C2-25804820EDAC}">
                        <c15:formulaRef>
                          <c15:sqref>'Cartera de Acciones'!$I$1</c15:sqref>
                        </c15:formulaRef>
                      </c:ext>
                    </c:extLst>
                    <c:strCache>
                      <c:ptCount val="1"/>
                      <c:pt idx="0">
                        <c:v>Peso Cartera</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7-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9-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uri="{CE6537A1-D6FC-4f65-9D91-7224C49458BB}"/>
                  </c:extLst>
                </c:dLbls>
                <c:cat>
                  <c:strRef>
                    <c:extLst>
                      <c:ex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c:ext uri="{02D57815-91ED-43cb-92C2-25804820EDAC}">
                        <c15:formulaRef>
                          <c15:sqref>'Cartera de Acciones'!$I$2:$I$6</c15:sqref>
                        </c15:formulaRef>
                      </c:ext>
                    </c:extLst>
                    <c:numCache>
                      <c:formatCode>0%</c:formatCode>
                      <c:ptCount val="4"/>
                      <c:pt idx="0">
                        <c:v>0.2528120049481285</c:v>
                      </c:pt>
                      <c:pt idx="1">
                        <c:v>0.24361884113183294</c:v>
                      </c:pt>
                      <c:pt idx="2">
                        <c:v>0.2528120049481285</c:v>
                      </c:pt>
                      <c:pt idx="3">
                        <c:v>0.25075714897191015</c:v>
                      </c:pt>
                    </c:numCache>
                  </c:numRef>
                </c:val>
                <c:extLst>
                  <c:ext xmlns:c16="http://schemas.microsoft.com/office/drawing/2014/chart" uri="{C3380CC4-5D6E-409C-BE32-E72D297353CC}">
                    <c16:uniqueId val="{00000002-2908-47E2-9046-169DF31FBB19}"/>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'Cartera de Acciones'!$J$1</c15:sqref>
                        </c15:formulaRef>
                      </c:ext>
                    </c:extLst>
                    <c:strCache>
                      <c:ptCount val="1"/>
                      <c:pt idx="0">
                        <c:v>Ingresos Dividendos</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D-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F-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Acciones'!$J$2:$J$6</c15:sqref>
                        </c15:formulaRef>
                      </c:ext>
                    </c:extLst>
                    <c:numCache>
                      <c:formatCode>_([$€-2]\ * #,##0.00_);_([$€-2]\ * \(#,##0.00\);_([$€-2]\ * "-"??_);_(@_)</c:formatCode>
                      <c:ptCount val="4"/>
                      <c:pt idx="0">
                        <c:v>1.5</c:v>
                      </c:pt>
                      <c:pt idx="1">
                        <c:v>0.8</c:v>
                      </c:pt>
                      <c:pt idx="2">
                        <c:v>10</c:v>
                      </c:pt>
                      <c:pt idx="3" formatCode="_-[$$-409]* #,##0.00_ ;_-[$$-409]* \-#,##0.00\ ;_-[$$-409]* &quot;-&quot;??_ ;_-@_ ">
                        <c:v>11.6</c:v>
                      </c:pt>
                    </c:numCache>
                  </c:numRef>
                </c:val>
                <c:extLst xmlns:c15="http://schemas.microsoft.com/office/drawing/2012/chart">
                  <c:ext xmlns:c16="http://schemas.microsoft.com/office/drawing/2014/chart" uri="{C3380CC4-5D6E-409C-BE32-E72D297353CC}">
                    <c16:uniqueId val="{00000012-2908-47E2-9046-169DF31FBB19}"/>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'Cartera de Acciones'!$L$1</c15:sqref>
                        </c15:formulaRef>
                      </c:ext>
                    </c:extLst>
                    <c:strCache>
                      <c:ptCount val="1"/>
                      <c:pt idx="0">
                        <c:v>Peso Cartera Div</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3-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5-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Acciones'!$L$2:$L$6</c15:sqref>
                        </c15:formulaRef>
                      </c:ext>
                    </c:extLst>
                    <c:numCache>
                      <c:formatCode>0%</c:formatCode>
                      <c:ptCount val="4"/>
                      <c:pt idx="0">
                        <c:v>6.4415391671347508E-2</c:v>
                      </c:pt>
                      <c:pt idx="1">
                        <c:v>3.4354875558052007E-2</c:v>
                      </c:pt>
                      <c:pt idx="2">
                        <c:v>0.42943594447565009</c:v>
                      </c:pt>
                      <c:pt idx="3">
                        <c:v>0.47179378829495028</c:v>
                      </c:pt>
                    </c:numCache>
                  </c:numRef>
                </c:val>
                <c:extLst xmlns:c15="http://schemas.microsoft.com/office/drawing/2012/chart">
                  <c:ext xmlns:c16="http://schemas.microsoft.com/office/drawing/2014/chart" uri="{C3380CC4-5D6E-409C-BE32-E72D297353CC}">
                    <c16:uniqueId val="{00000014-2908-47E2-9046-169DF31FBB19}"/>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'Cartera de Acciones'!$M$1</c15:sqref>
                        </c15:formulaRef>
                      </c:ext>
                    </c:extLst>
                    <c:strCache>
                      <c:ptCount val="1"/>
                      <c:pt idx="0">
                        <c:v>Precio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9-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B-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Acciones'!$M$2:$M$6</c15:sqref>
                        </c15:formulaRef>
                      </c:ext>
                    </c:extLst>
                    <c:numCache>
                      <c:formatCode>_([$€-2]\ * #,##0.00_);_([$€-2]\ * \(#,##0.00\);_([$€-2]\ * "-"??_);_(@_)</c:formatCode>
                      <c:ptCount val="4"/>
                      <c:pt idx="0">
                        <c:v>21.93</c:v>
                      </c:pt>
                      <c:pt idx="1">
                        <c:v>4.343</c:v>
                      </c:pt>
                      <c:pt idx="2">
                        <c:v>58.97</c:v>
                      </c:pt>
                      <c:pt idx="3" formatCode="_-[$$-409]* #,##0.00_ ;_-[$$-409]* \-#,##0.00\ ;_-[$$-409]* &quot;-&quot;??_ ;_-@_ ">
                        <c:v>134.33000000000001</c:v>
                      </c:pt>
                    </c:numCache>
                  </c:numRef>
                </c:val>
                <c:extLst xmlns:c15="http://schemas.microsoft.com/office/drawing/2012/chart">
                  <c:ext xmlns:c16="http://schemas.microsoft.com/office/drawing/2014/chart" uri="{C3380CC4-5D6E-409C-BE32-E72D297353CC}">
                    <c16:uniqueId val="{00000015-2908-47E2-9046-169DF31FBB19}"/>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'Cartera de Acciones'!$N$1</c15:sqref>
                        </c15:formulaRef>
                      </c:ext>
                    </c:extLst>
                    <c:strCache>
                      <c:ptCount val="1"/>
                      <c:pt idx="0">
                        <c:v>Valor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F-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1-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Acciones'!$N$2:$N$6</c15:sqref>
                        </c15:formulaRef>
                      </c:ext>
                    </c:extLst>
                    <c:numCache>
                      <c:formatCode>_([$€-2]\ * #,##0.00_);_([$€-2]\ * \(#,##0.00\);_([$€-2]\ * "-"??_);_(@_)</c:formatCode>
                      <c:ptCount val="4"/>
                      <c:pt idx="0">
                        <c:v>2193</c:v>
                      </c:pt>
                      <c:pt idx="1">
                        <c:v>2171.5</c:v>
                      </c:pt>
                      <c:pt idx="2">
                        <c:v>2358.8000000000002</c:v>
                      </c:pt>
                      <c:pt idx="3" formatCode="_-[$$-409]* #,##0.00_ ;_-[$$-409]* \-#,##0.00\ ;_-[$$-409]* &quot;-&quot;??_ ;_-@_ ">
                        <c:v>2417.94</c:v>
                      </c:pt>
                    </c:numCache>
                  </c:numRef>
                </c:val>
                <c:extLst xmlns:c15="http://schemas.microsoft.com/office/drawing/2012/chart">
                  <c:ext xmlns:c16="http://schemas.microsoft.com/office/drawing/2014/chart" uri="{C3380CC4-5D6E-409C-BE32-E72D297353CC}">
                    <c16:uniqueId val="{00000016-2908-47E2-9046-169DF31FBB19}"/>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'Cartera de Acciones'!$O$1</c15:sqref>
                        </c15:formulaRef>
                      </c:ext>
                    </c:extLst>
                    <c:strCache>
                      <c:ptCount val="1"/>
                      <c:pt idx="0">
                        <c:v>Valor Actual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5-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7-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3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3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Acciones'!$O$2:$O$6</c15:sqref>
                        </c15:formulaRef>
                      </c:ext>
                    </c:extLst>
                    <c:numCache>
                      <c:formatCode>_([$€-2]\ * #,##0.00_);_([$€-2]\ * \(#,##0.00\);_([$€-2]\ * "-"??_);_(@_)</c:formatCode>
                      <c:ptCount val="4"/>
                      <c:pt idx="0">
                        <c:v>2193</c:v>
                      </c:pt>
                      <c:pt idx="1">
                        <c:v>2171.5</c:v>
                      </c:pt>
                      <c:pt idx="2">
                        <c:v>2358.8000000000002</c:v>
                      </c:pt>
                      <c:pt idx="3">
                        <c:v>2290.0309740000002</c:v>
                      </c:pt>
                    </c:numCache>
                  </c:numRef>
                </c:val>
                <c:extLst xmlns:c15="http://schemas.microsoft.com/office/drawing/2012/chart">
                  <c:ext xmlns:c16="http://schemas.microsoft.com/office/drawing/2014/chart" uri="{C3380CC4-5D6E-409C-BE32-E72D297353CC}">
                    <c16:uniqueId val="{00000017-2908-47E2-9046-169DF31FBB19}"/>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'Cartera de Acciones'!$Q$1</c15:sqref>
                        </c15:formulaRef>
                      </c:ext>
                    </c:extLst>
                    <c:strCache>
                      <c:ptCount val="1"/>
                      <c:pt idx="0">
                        <c:v>Valor + Div</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B-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D-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3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3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Acciones'!$Q$2:$Q$6</c15:sqref>
                        </c15:formulaRef>
                      </c:ext>
                    </c:extLst>
                    <c:numCache>
                      <c:formatCode>_([$€-2]\ * #,##0.00_);_([$€-2]\ * \(#,##0.00\);_([$€-2]\ * "-"??_);_(@_)</c:formatCode>
                      <c:ptCount val="4"/>
                      <c:pt idx="0">
                        <c:v>2194.5</c:v>
                      </c:pt>
                      <c:pt idx="1">
                        <c:v>2172.3000000000002</c:v>
                      </c:pt>
                      <c:pt idx="2">
                        <c:v>2368.8000000000002</c:v>
                      </c:pt>
                      <c:pt idx="3" formatCode="_-[$$-409]* #,##0.00_ ;_-[$$-409]* \-#,##0.00\ ;_-[$$-409]* &quot;-&quot;??_ ;_-@_ ">
                        <c:v>2429.54</c:v>
                      </c:pt>
                    </c:numCache>
                  </c:numRef>
                </c:val>
                <c:extLst xmlns:c15="http://schemas.microsoft.com/office/drawing/2012/chart">
                  <c:ext xmlns:c16="http://schemas.microsoft.com/office/drawing/2014/chart" uri="{C3380CC4-5D6E-409C-BE32-E72D297353CC}">
                    <c16:uniqueId val="{00000019-2908-47E2-9046-169DF31FBB19}"/>
                  </c:ext>
                </c:extLst>
              </c15:ser>
            </c15:filteredPieSeries>
            <c15:filteredPieSeries>
              <c15:ser>
                <c:idx val="11"/>
                <c:order val="11"/>
                <c:tx>
                  <c:strRef>
                    <c:extLst xmlns:c15="http://schemas.microsoft.com/office/drawing/2012/chart">
                      <c:ext xmlns:c15="http://schemas.microsoft.com/office/drawing/2012/chart" uri="{02D57815-91ED-43cb-92C2-25804820EDAC}">
                        <c15:formulaRef>
                          <c15:sqref>'Cartera de Acciones'!$R$1</c15:sqref>
                        </c15:formulaRef>
                      </c:ext>
                    </c:extLst>
                    <c:strCache>
                      <c:ptCount val="1"/>
                      <c:pt idx="0">
                        <c:v>Rentabilidad</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1-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3-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4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4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Acciones'!$R$2:$R$6</c15:sqref>
                        </c15:formulaRef>
                      </c:ext>
                    </c:extLst>
                    <c:numCache>
                      <c:formatCode>0.00%</c:formatCode>
                      <c:ptCount val="4"/>
                      <c:pt idx="0">
                        <c:v>-2.5000000000000001E-3</c:v>
                      </c:pt>
                      <c:pt idx="1">
                        <c:v>2.4669811320754804E-2</c:v>
                      </c:pt>
                      <c:pt idx="2">
                        <c:v>7.6727272727272811E-2</c:v>
                      </c:pt>
                      <c:pt idx="3">
                        <c:v>5.4487847222222205E-2</c:v>
                      </c:pt>
                    </c:numCache>
                  </c:numRef>
                </c:val>
                <c:extLst xmlns:c15="http://schemas.microsoft.com/office/drawing/2012/chart">
                  <c:ext xmlns:c16="http://schemas.microsoft.com/office/drawing/2014/chart" uri="{C3380CC4-5D6E-409C-BE32-E72D297353CC}">
                    <c16:uniqueId val="{0000001A-2908-47E2-9046-169DF31FBB19}"/>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'Cartera de Acciones'!$S$1</c15:sqref>
                        </c15:formulaRef>
                      </c:ext>
                    </c:extLst>
                    <c:strCache>
                      <c:ptCount val="1"/>
                      <c:pt idx="0">
                        <c:v>Rentabilidad sin Div</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7-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9-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4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4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Acciones'!$S$2:$S$6</c15:sqref>
                        </c15:formulaRef>
                      </c:ext>
                    </c:extLst>
                    <c:numCache>
                      <c:formatCode>0.00%</c:formatCode>
                      <c:ptCount val="4"/>
                      <c:pt idx="0">
                        <c:v>-3.1818181818181819E-3</c:v>
                      </c:pt>
                      <c:pt idx="1">
                        <c:v>2.4292452830188681E-2</c:v>
                      </c:pt>
                      <c:pt idx="2">
                        <c:v>7.2181818181818264E-2</c:v>
                      </c:pt>
                      <c:pt idx="3">
                        <c:v>4.9453125000000021E-2</c:v>
                      </c:pt>
                    </c:numCache>
                  </c:numRef>
                </c:val>
                <c:extLst xmlns:c15="http://schemas.microsoft.com/office/drawing/2012/chart">
                  <c:ext xmlns:c16="http://schemas.microsoft.com/office/drawing/2014/chart" uri="{C3380CC4-5D6E-409C-BE32-E72D297353CC}">
                    <c16:uniqueId val="{0000001B-2908-47E2-9046-169DF31FBB19}"/>
                  </c:ext>
                </c:extLst>
              </c15:ser>
            </c15:filteredPieSeries>
          </c:ext>
        </c:extLst>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lotArea>
      <c:layout/>
      <c:pieChart>
        <c:varyColors val="1"/>
        <c:ser>
          <c:idx val="11"/>
          <c:order val="11"/>
          <c:tx>
            <c:strRef>
              <c:f>'Cartera Indexada'!$N$4</c:f>
              <c:strCache>
                <c:ptCount val="1"/>
                <c:pt idx="0">
                  <c:v>Peso Cartera Actual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8AE-4E5A-B032-842704A2CA5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8AE-4E5A-B032-842704A2CA5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8AE-4E5A-B032-842704A2CA5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8AE-4E5A-B032-842704A2CA5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38AE-4E5A-B032-842704A2CA5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Indexada'!$A$5:$A$10</c:f>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f>'Cartera Indexada'!$N$5:$N$10</c:f>
              <c:numCache>
                <c:formatCode>0.00%</c:formatCode>
                <c:ptCount val="6"/>
                <c:pt idx="0">
                  <c:v>0.5697066726729566</c:v>
                </c:pt>
                <c:pt idx="1">
                  <c:v>0.13984331443136441</c:v>
                </c:pt>
                <c:pt idx="2">
                  <c:v>0.1065858228841708</c:v>
                </c:pt>
                <c:pt idx="3">
                  <c:v>2.8474897822960612E-2</c:v>
                </c:pt>
                <c:pt idx="4">
                  <c:v>0.10798810328662947</c:v>
                </c:pt>
                <c:pt idx="5">
                  <c:v>4.7401188901918002E-2</c:v>
                </c:pt>
              </c:numCache>
            </c:numRef>
          </c:val>
          <c:extLst>
            <c:ext xmlns:c16="http://schemas.microsoft.com/office/drawing/2014/chart" uri="{C3380CC4-5D6E-409C-BE32-E72D297353CC}">
              <c16:uniqueId val="{0000000C-38AE-4E5A-B032-842704A2CA5E}"/>
            </c:ext>
          </c:extLst>
        </c:ser>
        <c:dLbls>
          <c:dLblPos val="inEnd"/>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'Cartera Indexada'!$C$4</c15:sqref>
                        </c15:formulaRef>
                      </c:ext>
                    </c:extLst>
                    <c:strCache>
                      <c:ptCount val="1"/>
                      <c:pt idx="0">
                        <c:v>TER</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E-38AE-4E5A-B032-842704A2CA5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38AE-4E5A-B032-842704A2CA5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2-38AE-4E5A-B032-842704A2CA5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38AE-4E5A-B032-842704A2CA5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6-38AE-4E5A-B032-842704A2CA5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8-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uri="{CE6537A1-D6FC-4f65-9D91-7224C49458BB}"/>
                  </c:extLst>
                </c:dLbls>
                <c:cat>
                  <c:strRef>
                    <c:extLst>
                      <c:ex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c:ext uri="{02D57815-91ED-43cb-92C2-25804820EDAC}">
                        <c15:formulaRef>
                          <c15:sqref>'Cartera Indexada'!$C$5:$C$10</c15:sqref>
                        </c15:formulaRef>
                      </c:ext>
                    </c:extLst>
                    <c:numCache>
                      <c:formatCode>0.00%</c:formatCode>
                      <c:ptCount val="6"/>
                      <c:pt idx="0">
                        <c:v>5.9999999999999995E-4</c:v>
                      </c:pt>
                      <c:pt idx="1">
                        <c:v>1.1999999999999999E-3</c:v>
                      </c:pt>
                      <c:pt idx="2">
                        <c:v>2E-3</c:v>
                      </c:pt>
                      <c:pt idx="3">
                        <c:v>1.5E-3</c:v>
                      </c:pt>
                      <c:pt idx="4">
                        <c:v>2.8999999999999998E-3</c:v>
                      </c:pt>
                      <c:pt idx="5">
                        <c:v>1E-3</c:v>
                      </c:pt>
                    </c:numCache>
                  </c:numRef>
                </c:val>
                <c:extLst>
                  <c:ext xmlns:c16="http://schemas.microsoft.com/office/drawing/2014/chart" uri="{C3380CC4-5D6E-409C-BE32-E72D297353CC}">
                    <c16:uniqueId val="{00000019-38AE-4E5A-B032-842704A2CA5E}"/>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'Cartera Indexada'!$D$4</c15:sqref>
                        </c15:formulaRef>
                      </c:ext>
                    </c:extLst>
                    <c:strCache>
                      <c:ptCount val="1"/>
                      <c:pt idx="0">
                        <c:v>Cantidad</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B-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D-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F-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1-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3-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5-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Indexada'!$D$5:$D$10</c15:sqref>
                        </c15:formulaRef>
                      </c:ext>
                    </c:extLst>
                    <c:numCache>
                      <c:formatCode>0.00</c:formatCode>
                      <c:ptCount val="6"/>
                      <c:pt idx="0">
                        <c:v>32.592834109531474</c:v>
                      </c:pt>
                      <c:pt idx="1">
                        <c:v>3.1305972693413486</c:v>
                      </c:pt>
                      <c:pt idx="2">
                        <c:v>4.5733193198255471</c:v>
                      </c:pt>
                      <c:pt idx="3">
                        <c:v>1.172912165494181</c:v>
                      </c:pt>
                      <c:pt idx="4">
                        <c:v>0.21385326969022125</c:v>
                      </c:pt>
                      <c:pt idx="5">
                        <c:v>4.4375154141040607</c:v>
                      </c:pt>
                    </c:numCache>
                  </c:numRef>
                </c:val>
                <c:extLst xmlns:c15="http://schemas.microsoft.com/office/drawing/2012/chart">
                  <c:ext xmlns:c16="http://schemas.microsoft.com/office/drawing/2014/chart" uri="{C3380CC4-5D6E-409C-BE32-E72D297353CC}">
                    <c16:uniqueId val="{00000026-38AE-4E5A-B032-842704A2CA5E}"/>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'Cartera Indexada'!$E$4</c15:sqref>
                        </c15:formulaRef>
                      </c:ext>
                    </c:extLst>
                    <c:strCache>
                      <c:ptCount val="1"/>
                      <c:pt idx="0">
                        <c:v>Precio Medio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8-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A-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C-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E-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0-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2-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Indexada'!$E$5:$E$10</c15:sqref>
                        </c15:formulaRef>
                      </c:ext>
                    </c:extLst>
                    <c:numCache>
                      <c:formatCode>"€"#,##0.00_);[Red]\("€"#,##0.00\)</c:formatCode>
                      <c:ptCount val="6"/>
                      <c:pt idx="0">
                        <c:v>8.5549999999999997</c:v>
                      </c:pt>
                      <c:pt idx="1">
                        <c:v>23.5916</c:v>
                      </c:pt>
                      <c:pt idx="2">
                        <c:v>11.438000000000001</c:v>
                      </c:pt>
                      <c:pt idx="3">
                        <c:v>12.468999999999999</c:v>
                      </c:pt>
                      <c:pt idx="4">
                        <c:v>259.23849999999999</c:v>
                      </c:pt>
                      <c:pt idx="5">
                        <c:v>5.62</c:v>
                      </c:pt>
                    </c:numCache>
                  </c:numRef>
                </c:val>
                <c:extLst xmlns:c15="http://schemas.microsoft.com/office/drawing/2012/chart">
                  <c:ext xmlns:c16="http://schemas.microsoft.com/office/drawing/2014/chart" uri="{C3380CC4-5D6E-409C-BE32-E72D297353CC}">
                    <c16:uniqueId val="{00000033-38AE-4E5A-B032-842704A2CA5E}"/>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'Cartera Indexada'!$F$4</c15:sqref>
                        </c15:formulaRef>
                      </c:ext>
                    </c:extLst>
                    <c:strCache>
                      <c:ptCount val="1"/>
                      <c:pt idx="0">
                        <c:v>Importe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5-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7-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9-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B-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D-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F-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Indexada'!$F$5:$F$10</c15:sqref>
                        </c15:formulaRef>
                      </c:ext>
                    </c:extLst>
                    <c:numCache>
                      <c:formatCode>"€"#,##0.00_);[Red]\("€"#,##0.00\)</c:formatCode>
                      <c:ptCount val="6"/>
                      <c:pt idx="0">
                        <c:v>278.83169580704174</c:v>
                      </c:pt>
                      <c:pt idx="1">
                        <c:v>73.855798539393362</c:v>
                      </c:pt>
                      <c:pt idx="2">
                        <c:v>52.309626380164609</c:v>
                      </c:pt>
                      <c:pt idx="3">
                        <c:v>14.625041791546941</c:v>
                      </c:pt>
                      <c:pt idx="4">
                        <c:v>55.439000854588421</c:v>
                      </c:pt>
                      <c:pt idx="5">
                        <c:v>24.93883662726482</c:v>
                      </c:pt>
                    </c:numCache>
                  </c:numRef>
                </c:val>
                <c:extLst xmlns:c15="http://schemas.microsoft.com/office/drawing/2012/chart">
                  <c:ext xmlns:c16="http://schemas.microsoft.com/office/drawing/2014/chart" uri="{C3380CC4-5D6E-409C-BE32-E72D297353CC}">
                    <c16:uniqueId val="{00000040-38AE-4E5A-B032-842704A2CA5E}"/>
                  </c:ext>
                </c:extLst>
              </c15:ser>
            </c15:filteredPieSeries>
            <c15:filteredPieSeries>
              <c15:ser>
                <c:idx val="4"/>
                <c:order val="4"/>
                <c:tx>
                  <c:strRef>
                    <c:extLst xmlns:c15="http://schemas.microsoft.com/office/drawing/2012/chart">
                      <c:ext xmlns:c15="http://schemas.microsoft.com/office/drawing/2012/chart" uri="{02D57815-91ED-43cb-92C2-25804820EDAC}">
                        <c15:formulaRef>
                          <c15:sqref>'Cartera Indexada'!$G$4</c15:sqref>
                        </c15:formulaRef>
                      </c:ext>
                    </c:extLst>
                    <c:strCache>
                      <c:ptCount val="1"/>
                      <c:pt idx="0">
                        <c:v>Moneda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2-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4-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6-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8-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A-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C-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Indexada'!$G$5:$G$10</c15:sqref>
                        </c15:formulaRef>
                      </c:ext>
                    </c:extLst>
                    <c:numCache>
                      <c:formatCode>General</c:formatCode>
                      <c:ptCount val="6"/>
                      <c:pt idx="0" formatCode="0%">
                        <c:v>0</c:v>
                      </c:pt>
                      <c:pt idx="1">
                        <c:v>0</c:v>
                      </c:pt>
                      <c:pt idx="2">
                        <c:v>0</c:v>
                      </c:pt>
                      <c:pt idx="3">
                        <c:v>0</c:v>
                      </c:pt>
                      <c:pt idx="4">
                        <c:v>0</c:v>
                      </c:pt>
                      <c:pt idx="5">
                        <c:v>0</c:v>
                      </c:pt>
                    </c:numCache>
                  </c:numRef>
                </c:val>
                <c:extLst xmlns:c15="http://schemas.microsoft.com/office/drawing/2012/chart">
                  <c:ext xmlns:c16="http://schemas.microsoft.com/office/drawing/2014/chart" uri="{C3380CC4-5D6E-409C-BE32-E72D297353CC}">
                    <c16:uniqueId val="{0000004D-38AE-4E5A-B032-842704A2CA5E}"/>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'Cartera Indexada'!$H$4</c15:sqref>
                        </c15:formulaRef>
                      </c:ext>
                    </c:extLst>
                    <c:strCache>
                      <c:ptCount val="1"/>
                      <c:pt idx="0">
                        <c:v>Peso en Cartera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F-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1-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3-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5-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7-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9-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Indexada'!$H$5:$H$10</c15:sqref>
                        </c15:formulaRef>
                      </c:ext>
                    </c:extLst>
                    <c:numCache>
                      <c:formatCode>0%</c:formatCode>
                      <c:ptCount val="6"/>
                      <c:pt idx="0">
                        <c:v>0.55766339161408363</c:v>
                      </c:pt>
                      <c:pt idx="1">
                        <c:v>0.14771159707878675</c:v>
                      </c:pt>
                      <c:pt idx="2">
                        <c:v>0.10461925276032924</c:v>
                      </c:pt>
                      <c:pt idx="3">
                        <c:v>2.9250083583093889E-2</c:v>
                      </c:pt>
                      <c:pt idx="4">
                        <c:v>0.11087800170917687</c:v>
                      </c:pt>
                      <c:pt idx="5">
                        <c:v>4.9877673254529652E-2</c:v>
                      </c:pt>
                    </c:numCache>
                  </c:numRef>
                </c:val>
                <c:extLst xmlns:c15="http://schemas.microsoft.com/office/drawing/2012/chart">
                  <c:ext xmlns:c16="http://schemas.microsoft.com/office/drawing/2014/chart" uri="{C3380CC4-5D6E-409C-BE32-E72D297353CC}">
                    <c16:uniqueId val="{0000005A-38AE-4E5A-B032-842704A2CA5E}"/>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'Cartera Indexada'!$I$4</c15:sqref>
                        </c15:formulaRef>
                      </c:ext>
                    </c:extLst>
                    <c:strCache>
                      <c:ptCount val="1"/>
                      <c:pt idx="0">
                        <c:v>Índice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C-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E-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0-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2-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4-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6-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Indexada'!$I$5:$I$10</c15:sqref>
                        </c15:formulaRef>
                      </c:ext>
                    </c:extLst>
                    <c:numCache>
                      <c:formatCode>0%</c:formatCode>
                      <c:ptCount val="6"/>
                      <c:pt idx="0">
                        <c:v>0</c:v>
                      </c:pt>
                      <c:pt idx="1">
                        <c:v>0</c:v>
                      </c:pt>
                      <c:pt idx="2">
                        <c:v>0</c:v>
                      </c:pt>
                      <c:pt idx="3">
                        <c:v>0</c:v>
                      </c:pt>
                      <c:pt idx="4" formatCode="General">
                        <c:v>0</c:v>
                      </c:pt>
                      <c:pt idx="5">
                        <c:v>0</c:v>
                      </c:pt>
                    </c:numCache>
                  </c:numRef>
                </c:val>
                <c:extLst xmlns:c15="http://schemas.microsoft.com/office/drawing/2012/chart">
                  <c:ext xmlns:c16="http://schemas.microsoft.com/office/drawing/2014/chart" uri="{C3380CC4-5D6E-409C-BE32-E72D297353CC}">
                    <c16:uniqueId val="{00000067-38AE-4E5A-B032-842704A2CA5E}"/>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'Cartera Indexada'!$J$4</c15:sqref>
                        </c15:formulaRef>
                      </c:ext>
                    </c:extLst>
                    <c:strCache>
                      <c:ptCount val="1"/>
                      <c:pt idx="0">
                        <c:v>Capitalización Índice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9-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B-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D-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F-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1-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3-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Indexada'!$J$5:$J$10</c15:sqref>
                        </c15:formulaRef>
                      </c:ext>
                    </c:extLst>
                    <c:numCache>
                      <c:formatCode>_-[$$-409]* #,##0.00_ ;_-[$$-409]* \-#,##0.00\ ;_-[$$-409]* "-"??_ ;_-@_ </c:formatCode>
                      <c:ptCount val="6"/>
                      <c:pt idx="0">
                        <c:v>36744106.899999999</c:v>
                      </c:pt>
                      <c:pt idx="1">
                        <c:v>9732628.6699999999</c:v>
                      </c:pt>
                      <c:pt idx="2">
                        <c:v>6893299.9100000001</c:v>
                      </c:pt>
                      <c:pt idx="3">
                        <c:v>1927270.49</c:v>
                      </c:pt>
                      <c:pt idx="4">
                        <c:v>7305685.1299999999</c:v>
                      </c:pt>
                      <c:pt idx="5">
                        <c:v>3286410.02</c:v>
                      </c:pt>
                    </c:numCache>
                  </c:numRef>
                </c:val>
                <c:extLst xmlns:c15="http://schemas.microsoft.com/office/drawing/2012/chart">
                  <c:ext xmlns:c16="http://schemas.microsoft.com/office/drawing/2014/chart" uri="{C3380CC4-5D6E-409C-BE32-E72D297353CC}">
                    <c16:uniqueId val="{00000074-38AE-4E5A-B032-842704A2CA5E}"/>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'Cartera Indexada'!$K$4</c15:sqref>
                        </c15:formulaRef>
                      </c:ext>
                    </c:extLst>
                    <c:strCache>
                      <c:ptCount val="1"/>
                      <c:pt idx="0">
                        <c:v>Peso Ínidce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6-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8-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A-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C-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E-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0-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Indexada'!$K$5:$K$10</c15:sqref>
                        </c15:formulaRef>
                      </c:ext>
                    </c:extLst>
                    <c:numCache>
                      <c:formatCode>0.00%</c:formatCode>
                      <c:ptCount val="6"/>
                      <c:pt idx="0">
                        <c:v>0.55766339161408351</c:v>
                      </c:pt>
                      <c:pt idx="1">
                        <c:v>0.14771159707878673</c:v>
                      </c:pt>
                      <c:pt idx="2">
                        <c:v>0.10461925276032921</c:v>
                      </c:pt>
                      <c:pt idx="3">
                        <c:v>2.9250083583093882E-2</c:v>
                      </c:pt>
                      <c:pt idx="4">
                        <c:v>0.11087800170917685</c:v>
                      </c:pt>
                      <c:pt idx="5">
                        <c:v>4.9877673254529645E-2</c:v>
                      </c:pt>
                    </c:numCache>
                  </c:numRef>
                </c:val>
                <c:extLst xmlns:c15="http://schemas.microsoft.com/office/drawing/2012/chart">
                  <c:ext xmlns:c16="http://schemas.microsoft.com/office/drawing/2014/chart" uri="{C3380CC4-5D6E-409C-BE32-E72D297353CC}">
                    <c16:uniqueId val="{00000081-38AE-4E5A-B032-842704A2CA5E}"/>
                  </c:ext>
                </c:extLst>
              </c15:ser>
            </c15:filteredPieSeries>
            <c15:filteredPieSeries>
              <c15:ser>
                <c:idx val="9"/>
                <c:order val="9"/>
                <c:tx>
                  <c:strRef>
                    <c:extLst xmlns:c15="http://schemas.microsoft.com/office/drawing/2012/chart">
                      <c:ext xmlns:c15="http://schemas.microsoft.com/office/drawing/2012/chart" uri="{02D57815-91ED-43cb-92C2-25804820EDAC}">
                        <c15:formulaRef>
                          <c15:sqref>'Cartera Indexada'!$L$4</c15:sqref>
                        </c15:formulaRef>
                      </c:ext>
                    </c:extLst>
                    <c:strCache>
                      <c:ptCount val="1"/>
                      <c:pt idx="0">
                        <c:v>Precio Actual</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3-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5-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7-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9-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B-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D-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Indexada'!$L$5:$L$10</c15:sqref>
                        </c15:formulaRef>
                      </c:ext>
                    </c:extLst>
                    <c:numCache>
                      <c:formatCode>"€"#,##0.00_);[Red]\("€"#,##0.00\)</c:formatCode>
                      <c:ptCount val="6"/>
                      <c:pt idx="0">
                        <c:v>9</c:v>
                      </c:pt>
                      <c:pt idx="1">
                        <c:v>23</c:v>
                      </c:pt>
                      <c:pt idx="2">
                        <c:v>12</c:v>
                      </c:pt>
                      <c:pt idx="3">
                        <c:v>12.5</c:v>
                      </c:pt>
                      <c:pt idx="4">
                        <c:v>260</c:v>
                      </c:pt>
                      <c:pt idx="5">
                        <c:v>5.5</c:v>
                      </c:pt>
                    </c:numCache>
                  </c:numRef>
                </c:val>
                <c:extLst xmlns:c15="http://schemas.microsoft.com/office/drawing/2012/chart">
                  <c:ext xmlns:c16="http://schemas.microsoft.com/office/drawing/2014/chart" uri="{C3380CC4-5D6E-409C-BE32-E72D297353CC}">
                    <c16:uniqueId val="{0000008E-38AE-4E5A-B032-842704A2CA5E}"/>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'Cartera Indexada'!$M$4</c15:sqref>
                        </c15:formulaRef>
                      </c:ext>
                    </c:extLst>
                    <c:strCache>
                      <c:ptCount val="1"/>
                      <c:pt idx="0">
                        <c:v>Valor Actual</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0-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2-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4-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6-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8-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A-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Indexada'!$M$5:$M$10</c15:sqref>
                        </c15:formulaRef>
                      </c:ext>
                    </c:extLst>
                    <c:numCache>
                      <c:formatCode>"€"#,##0.00_);[Red]\("€"#,##0.00\)</c:formatCode>
                      <c:ptCount val="6"/>
                      <c:pt idx="0">
                        <c:v>293.33550698578324</c:v>
                      </c:pt>
                      <c:pt idx="1">
                        <c:v>72.003737194851013</c:v>
                      </c:pt>
                      <c:pt idx="2">
                        <c:v>54.879831837906565</c:v>
                      </c:pt>
                      <c:pt idx="3">
                        <c:v>14.661402068677262</c:v>
                      </c:pt>
                      <c:pt idx="4">
                        <c:v>55.601850119457524</c:v>
                      </c:pt>
                      <c:pt idx="5">
                        <c:v>24.406334777572333</c:v>
                      </c:pt>
                    </c:numCache>
                  </c:numRef>
                </c:val>
                <c:extLst xmlns:c15="http://schemas.microsoft.com/office/drawing/2012/chart">
                  <c:ext xmlns:c16="http://schemas.microsoft.com/office/drawing/2014/chart" uri="{C3380CC4-5D6E-409C-BE32-E72D297353CC}">
                    <c16:uniqueId val="{0000009B-38AE-4E5A-B032-842704A2CA5E}"/>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'Cartera Indexada'!$O$4</c15:sqref>
                        </c15:formulaRef>
                      </c:ext>
                    </c:extLst>
                    <c:strCache>
                      <c:ptCount val="1"/>
                      <c:pt idx="0">
                        <c:v>Rentabilidad</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D-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F-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1-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3-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5-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7-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Indexada'!$O$5:$O$10</c15:sqref>
                        </c15:formulaRef>
                      </c:ext>
                    </c:extLst>
                    <c:numCache>
                      <c:formatCode>0.00%</c:formatCode>
                      <c:ptCount val="6"/>
                      <c:pt idx="0">
                        <c:v>5.2016364699006411E-2</c:v>
                      </c:pt>
                      <c:pt idx="1">
                        <c:v>-2.5076722223164278E-2</c:v>
                      </c:pt>
                      <c:pt idx="2">
                        <c:v>4.9134464067144577E-2</c:v>
                      </c:pt>
                      <c:pt idx="3">
                        <c:v>2.4861656909135358E-3</c:v>
                      </c:pt>
                      <c:pt idx="4">
                        <c:v>2.9374494914914031E-3</c:v>
                      </c:pt>
                      <c:pt idx="5">
                        <c:v>-2.1352313167259773E-2</c:v>
                      </c:pt>
                    </c:numCache>
                  </c:numRef>
                </c:val>
                <c:extLst xmlns:c15="http://schemas.microsoft.com/office/drawing/2012/chart">
                  <c:ext xmlns:c16="http://schemas.microsoft.com/office/drawing/2014/chart" uri="{C3380CC4-5D6E-409C-BE32-E72D297353CC}">
                    <c16:uniqueId val="{000000A8-38AE-4E5A-B032-842704A2CA5E}"/>
                  </c:ext>
                </c:extLst>
              </c15:ser>
            </c15:filteredPieSeries>
            <c15:filteredPieSeries>
              <c15:ser>
                <c:idx val="13"/>
                <c:order val="13"/>
                <c:tx>
                  <c:strRef>
                    <c:extLst xmlns:c15="http://schemas.microsoft.com/office/drawing/2012/chart">
                      <c:ext xmlns:c15="http://schemas.microsoft.com/office/drawing/2012/chart" uri="{02D57815-91ED-43cb-92C2-25804820EDAC}">
                        <c15:formulaRef>
                          <c15:sqref>'Cartera Indexada'!$P$4</c15:sqref>
                        </c15:formulaRef>
                      </c:ext>
                    </c:extLst>
                    <c:strCache>
                      <c:ptCount val="1"/>
                      <c:pt idx="0">
                        <c:v>Rebalanceo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A-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C-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E-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0-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2-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4-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Indexada'!$P$5:$P$10</c15:sqref>
                        </c15:formulaRef>
                      </c:ext>
                    </c:extLst>
                    <c:numCache>
                      <c:formatCode>0.00%</c:formatCode>
                      <c:ptCount val="6"/>
                      <c:pt idx="0">
                        <c:v>-1.204328105887309E-2</c:v>
                      </c:pt>
                      <c:pt idx="1">
                        <c:v>7.8682826474223144E-3</c:v>
                      </c:pt>
                      <c:pt idx="2">
                        <c:v>-1.9665701238415906E-3</c:v>
                      </c:pt>
                      <c:pt idx="3">
                        <c:v>7.7518576013326998E-4</c:v>
                      </c:pt>
                      <c:pt idx="4">
                        <c:v>2.8898984225473739E-3</c:v>
                      </c:pt>
                      <c:pt idx="5">
                        <c:v>2.4764843526116423E-3</c:v>
                      </c:pt>
                    </c:numCache>
                  </c:numRef>
                </c:val>
                <c:extLst xmlns:c15="http://schemas.microsoft.com/office/drawing/2012/chart">
                  <c:ext xmlns:c16="http://schemas.microsoft.com/office/drawing/2014/chart" uri="{C3380CC4-5D6E-409C-BE32-E72D297353CC}">
                    <c16:uniqueId val="{000000B5-38AE-4E5A-B032-842704A2CA5E}"/>
                  </c:ext>
                </c:extLst>
              </c15:ser>
            </c15:filteredPieSeries>
            <c15:filteredPieSeries>
              <c15:ser>
                <c:idx val="14"/>
                <c:order val="14"/>
                <c:tx>
                  <c:strRef>
                    <c:extLst xmlns:c15="http://schemas.microsoft.com/office/drawing/2012/chart">
                      <c:ext xmlns:c15="http://schemas.microsoft.com/office/drawing/2012/chart" uri="{02D57815-91ED-43cb-92C2-25804820EDAC}">
                        <c15:formulaRef>
                          <c15:sqref>'Cartera Indexada'!$R$4</c15:sqref>
                        </c15:formulaRef>
                      </c:ext>
                    </c:extLst>
                    <c:strCache>
                      <c:ptCount val="1"/>
                      <c:pt idx="0">
                        <c:v>Valor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7-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9-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B-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D-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F-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1-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Indexada'!$R$5:$R$10</c15:sqref>
                        </c15:formulaRef>
                      </c:ext>
                    </c:extLst>
                    <c:numCache>
                      <c:formatCode>#,##0.00\ "€"</c:formatCode>
                      <c:ptCount val="6"/>
                      <c:pt idx="0">
                        <c:v>272.63074692469507</c:v>
                      </c:pt>
                      <c:pt idx="1">
                        <c:v>77.907088071706795</c:v>
                      </c:pt>
                      <c:pt idx="2">
                        <c:v>51.297061718435046</c:v>
                      </c:pt>
                      <c:pt idx="3">
                        <c:v>15.024176151146388</c:v>
                      </c:pt>
                      <c:pt idx="4">
                        <c:v>56.926976789534123</c:v>
                      </c:pt>
                      <c:pt idx="5">
                        <c:v>26.213950344482441</c:v>
                      </c:pt>
                    </c:numCache>
                  </c:numRef>
                </c:val>
                <c:extLst xmlns:c15="http://schemas.microsoft.com/office/drawing/2012/chart">
                  <c:ext xmlns:c16="http://schemas.microsoft.com/office/drawing/2014/chart" uri="{C3380CC4-5D6E-409C-BE32-E72D297353CC}">
                    <c16:uniqueId val="{000000C2-38AE-4E5A-B032-842704A2CA5E}"/>
                  </c:ext>
                </c:extLst>
              </c15:ser>
            </c15:filteredPieSeries>
            <c15:filteredPieSeries>
              <c15:ser>
                <c:idx val="15"/>
                <c:order val="15"/>
                <c:tx>
                  <c:strRef>
                    <c:extLst xmlns:c15="http://schemas.microsoft.com/office/drawing/2012/chart">
                      <c:ext xmlns:c15="http://schemas.microsoft.com/office/drawing/2012/chart" uri="{02D57815-91ED-43cb-92C2-25804820EDAC}">
                        <c15:formulaRef>
                          <c15:sqref>'Cartera Indexada'!$S$4</c15:sqref>
                        </c15:formulaRef>
                      </c:ext>
                    </c:extLst>
                    <c:strCache>
                      <c:ptCount val="1"/>
                      <c:pt idx="0">
                        <c:v>Valor Tras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4-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6-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8-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A-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C-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E-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Indexada'!$S$5:$S$10</c15:sqref>
                        </c15:formulaRef>
                      </c:ext>
                    </c:extLst>
                    <c:numCache>
                      <c:formatCode>"€"#,##0.00_);[Red]\("€"#,##0.00\)</c:formatCode>
                      <c:ptCount val="6"/>
                      <c:pt idx="0">
                        <c:v>565.96625391047837</c:v>
                      </c:pt>
                      <c:pt idx="1">
                        <c:v>149.91082526655782</c:v>
                      </c:pt>
                      <c:pt idx="2">
                        <c:v>106.17689355634161</c:v>
                      </c:pt>
                      <c:pt idx="3">
                        <c:v>29.68557821982365</c:v>
                      </c:pt>
                      <c:pt idx="4">
                        <c:v>112.52882690899165</c:v>
                      </c:pt>
                      <c:pt idx="5">
                        <c:v>50.620285122054774</c:v>
                      </c:pt>
                    </c:numCache>
                  </c:numRef>
                </c:val>
                <c:extLst xmlns:c15="http://schemas.microsoft.com/office/drawing/2012/chart">
                  <c:ext xmlns:c16="http://schemas.microsoft.com/office/drawing/2014/chart" uri="{C3380CC4-5D6E-409C-BE32-E72D297353CC}">
                    <c16:uniqueId val="{000000CF-38AE-4E5A-B032-842704A2CA5E}"/>
                  </c:ext>
                </c:extLst>
              </c15:ser>
            </c15:filteredPieSeries>
            <c15:filteredPieSeries>
              <c15:ser>
                <c:idx val="16"/>
                <c:order val="16"/>
                <c:tx>
                  <c:strRef>
                    <c:extLst xmlns:c15="http://schemas.microsoft.com/office/drawing/2012/chart">
                      <c:ext xmlns:c15="http://schemas.microsoft.com/office/drawing/2012/chart" uri="{02D57815-91ED-43cb-92C2-25804820EDAC}">
                        <c15:formulaRef>
                          <c15:sqref>'Cartera Indexada'!$T$4</c15:sqref>
                        </c15:formulaRef>
                      </c:ext>
                    </c:extLst>
                    <c:strCache>
                      <c:ptCount val="1"/>
                      <c:pt idx="0">
                        <c:v>Peso Tras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1-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3-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5-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7-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9-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B-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Indexada'!$T$5:$T$10</c15:sqref>
                        </c15:formulaRef>
                      </c:ext>
                    </c:extLst>
                    <c:numCache>
                      <c:formatCode>0.00%</c:formatCode>
                      <c:ptCount val="6"/>
                      <c:pt idx="0">
                        <c:v>0.55766339161408363</c:v>
                      </c:pt>
                      <c:pt idx="1">
                        <c:v>0.14771159707878675</c:v>
                      </c:pt>
                      <c:pt idx="2">
                        <c:v>0.10461925276032923</c:v>
                      </c:pt>
                      <c:pt idx="3">
                        <c:v>2.9250083583093885E-2</c:v>
                      </c:pt>
                      <c:pt idx="4">
                        <c:v>0.11087800170917686</c:v>
                      </c:pt>
                      <c:pt idx="5">
                        <c:v>4.9877673254529652E-2</c:v>
                      </c:pt>
                    </c:numCache>
                  </c:numRef>
                </c:val>
                <c:extLst xmlns:c15="http://schemas.microsoft.com/office/drawing/2012/chart">
                  <c:ext xmlns:c16="http://schemas.microsoft.com/office/drawing/2014/chart" uri="{C3380CC4-5D6E-409C-BE32-E72D297353CC}">
                    <c16:uniqueId val="{000000DC-38AE-4E5A-B032-842704A2CA5E}"/>
                  </c:ext>
                </c:extLst>
              </c15:ser>
            </c15:filteredPieSeries>
          </c:ext>
        </c:extLst>
      </c:pieChart>
      <c:spPr>
        <a:noFill/>
        <a:ln>
          <a:noFill/>
        </a:ln>
        <a:effectLst/>
      </c:spPr>
    </c:plotArea>
    <c:legend>
      <c:legendPos val="r"/>
      <c:layout>
        <c:manualLayout>
          <c:xMode val="edge"/>
          <c:yMode val="edge"/>
          <c:x val="0.61835325868994484"/>
          <c:y val="0.22746352306726225"/>
          <c:w val="0.35205203993143652"/>
          <c:h val="0.623446272362734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12</xdr:col>
      <xdr:colOff>342900</xdr:colOff>
      <xdr:row>11</xdr:row>
      <xdr:rowOff>14286</xdr:rowOff>
    </xdr:from>
    <xdr:to>
      <xdr:col>17</xdr:col>
      <xdr:colOff>923925</xdr:colOff>
      <xdr:row>30</xdr:row>
      <xdr:rowOff>190499</xdr:rowOff>
    </xdr:to>
    <xdr:graphicFrame macro="">
      <xdr:nvGraphicFramePr>
        <xdr:cNvPr id="5" name="Gráfico 4">
          <a:extLst>
            <a:ext uri="{FF2B5EF4-FFF2-40B4-BE49-F238E27FC236}">
              <a16:creationId xmlns:a16="http://schemas.microsoft.com/office/drawing/2014/main" id="{B9A8676C-72A2-3EB9-540A-604887831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666750</xdr:colOff>
      <xdr:row>13</xdr:row>
      <xdr:rowOff>171450</xdr:rowOff>
    </xdr:from>
    <xdr:to>
      <xdr:col>15</xdr:col>
      <xdr:colOff>866774</xdr:colOff>
      <xdr:row>30</xdr:row>
      <xdr:rowOff>104775</xdr:rowOff>
    </xdr:to>
    <xdr:graphicFrame macro="">
      <xdr:nvGraphicFramePr>
        <xdr:cNvPr id="2" name="Gráfico 1">
          <a:extLst>
            <a:ext uri="{FF2B5EF4-FFF2-40B4-BE49-F238E27FC236}">
              <a16:creationId xmlns:a16="http://schemas.microsoft.com/office/drawing/2014/main" id="{23BFD49A-254E-44CD-B151-C8BD75179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https://www.bing.com/financeapi/forcetrigger?t=amfy2w&amp;q=BMEX%3aITX&amp;form=skydnc</v>
    <v>Learn more on Bing</v>
  </rv>
  <rv s="1">
    <v>es-ES</v>
    <v>amfy2w</v>
    <v>268435456</v>
    <v>1</v>
    <v>Con tecnología de Refinitiv</v>
    <v>0</v>
    <v>1</v>
    <v>Industria de Diseño Textil, S.A. (BMEX:ITX)</v>
    <v>3</v>
    <v>4</v>
    <v>Finance</v>
    <v>5</v>
    <v>BMEX</v>
    <v>3116652000</v>
    <v>1985</v>
    <v>21.2</v>
    <v>1.1127</v>
    <v>0.46</v>
    <v>-2.8271999999999999E-2</v>
    <v>2.1425E-2</v>
    <v>-0.62</v>
    <v>68348180000</v>
    <v>21.47</v>
    <v>Industria de Diseño Textil, S.A., conocida como Inditex S.A., es una compañía con sede en España dedicada principalmente a la industria textil. Las actividades de la Compañía incluyen el diseño, la confección, la fabricación, la distribución y la venta minorista de ropa, calzado y accesorios de moda para hombres, mujeres y niños, así como muebles y productos textiles para el hogar. La Compañía se divide en tres segmentos: Zara, que ofrece varios artículos de moda y para el hogar bajo la marca Zara; Bershka, que ofrece ropa bajo la marca Bershka, destinada a adolescentes, y Otros, que vende prendas al por menor bajo las marcas Stradivarius, Oysho, Pull&amp;Bear y Massimo Dutti, entre otros. La Compañía opera en todo el mundo a través de numerosas filiales. Es controlada por Pontegadea Inversiones S.L.</v>
    <v>165042</v>
    <v>BMEX</v>
    <v>44736.712236747655</v>
    <v>Bolsas y Mercados Espanoles</v>
    <v>0</v>
    <v>21.99</v>
    <v>32.630000000000003</v>
    <v>20.73</v>
    <v>18.545000000000002</v>
    <v>EUR</v>
    <v>Industria de Diseño Textil, S.A.</v>
    <v>Industria de Diseño Textil, S.A.</v>
    <v>18.659800000000001</v>
    <v>21.93</v>
    <v>21.31</v>
    <v>Specialty Retailers</v>
    <v>Edificio Inditex, Avda. Diputacion, s/n, ARTEIXO, LA CORUNA, 15143 ES</v>
    <v>ITX</v>
    <v>Acciones</v>
    <v>Industria de Diseño Textil, S.A. (BMEX:ITX)</v>
    <v>3590835</v>
    <v>3286060</v>
  </rv>
  <rv s="2">
    <v>1</v>
  </rv>
  <rv s="0">
    <v>https://www.bing.com/financeapi/forcetrigger?t=af5lim&amp;q=XFRA%3aBMW&amp;form=skydnc</v>
    <v>Learn more on Bing</v>
  </rv>
  <rv s="3">
    <v>es-ES</v>
    <v>af5lim</v>
    <v>268435456</v>
    <v>1</v>
    <v>Con tecnología de Refinitiv</v>
    <v>6</v>
    <v>7</v>
    <v>Bayerische Motoren Werke AG (XFRA:BMW)</v>
    <v>3</v>
    <v>8</v>
    <v>Finance</v>
    <v>9</v>
    <v>XFRA</v>
    <v>661399500</v>
    <v>1995</v>
    <v>76.47</v>
    <v>1.1992</v>
    <v>-0.36</v>
    <v>-4.7739999999999996E-3</v>
    <v>49236180000</v>
    <v>75.41</v>
    <v>Bayerische Motoren Werke Aktiengesellschaft es una empresa alemana que fabrica automóviles y motocicletas. Divide sus actividades en cuatro segmentos: Automóviles, Motocicletas, Servicios financieros y Otras entidades. El segmento de Automóviles desarrolla, fabrica, monta y vende coches y vehículos todoterrenos bajo la marca BMW, MINI and Rolls-Royce, así como piezas de repuestos y accesorios. El segmento de Motocicletas desarrolla, fabrica, monta y vende motocicletas, así como piezas de repuestos y accesorios. El segmento de Servicios financieros se centra en alquiler de coches, financiamiento de multimarcas, negocio de flotas, financiamiento de clientes minoristas y distribuidores, depósitos de clientes y seguros. El segmento de Otras entidades comprende otras empresas operativas, como BMW Services Ltd, BMW (UK) Investments Ltd, Bavaria Lloyd Reisebuero GmbH y MITEC Mikroelektronik Mikrotechnik Informatik.</v>
    <v>118909</v>
    <v>XFRA</v>
    <v>44736.836805555555</v>
    <v>Deutsche Boerse AG</v>
    <v>3</v>
    <v>76.47</v>
    <v>100.44</v>
    <v>72.739999999999995</v>
    <v>36.884999999999998</v>
    <v>EUR</v>
    <v>Bayerische Motoren Werke AG</v>
    <v>Bayerische Motoren Werke AG</v>
    <v>2.5299999999999998</v>
    <v>75.05</v>
    <v>Automobiles &amp; Auto Parts</v>
    <v>Petuelring 130, MUENCHEN, BAYERN, 80788 DE</v>
    <v>BMW</v>
    <v>Acciones</v>
    <v>Bayerische Motoren Werke AG (XFRA:BMW)</v>
    <v>3414</v>
    <v>1659030</v>
  </rv>
  <rv s="2">
    <v>4</v>
  </rv>
  <rv s="0">
    <v>https://www.bing.com/financeapi/forcetrigger?t=af7stc&amp;q=XFRA%3aMBG&amp;form=skydnc</v>
    <v>Learn more on Bing</v>
  </rv>
  <rv s="3">
    <v>es-ES</v>
    <v>af7stc</v>
    <v>268435456</v>
    <v>1</v>
    <v>Con tecnología de Refinitiv</v>
    <v>6</v>
    <v>7</v>
    <v>Mercedes-Benz Group AG (XFRA:MBG)</v>
    <v>3</v>
    <v>8</v>
    <v>Finance</v>
    <v>9</v>
    <v>XFRA</v>
    <v>1069837000</v>
    <v>1998</v>
    <v>59.36</v>
    <v>1.3577999999999999</v>
    <v>-0.16</v>
    <v>-2.7060000000000001E-3</v>
    <v>62649680000</v>
    <v>59.13</v>
    <v>Daimler AG es una empresa de ingeniería automotriz. La empresa se dedica al desarrollo, producción y distribución de automóviles, camiones y furgonetas en Alemania y a la gestión del grupo Daimler. Los segmentos de Daimler son automóviles Mercedes-Benz, camiones Daimler, furgonetas Mercedes-Benz, autobuses Daimler y servicios financieros Daimler. Los productos suministrados por la división de automóviles Mercedes-Benz incluyen un espectro de vehículos premium de la marca Mercedes Benz y sus submarcas Mercedes AMG y Mercedes Maybach. Daimler Trucks distribuye sus camiones con las marcas Mercedes Benz, Freightliner, FUSO, Western Star, Thomas Built Buses y BharatBenz. Las furgonetas del segmento Mercedes Benz Vans se venden con los nombres de la marca Mercedes Benz Freightliner. Daimler Buses vende autobuses completamente desarrollados con las marcas Mercedes Benz y Setra. El segmento Daimler Financial Services brinda soporte a las ventas de los segmentos vehiculares de la empresa en más de 40 países.</v>
    <v>173000</v>
    <v>XFRA</v>
    <v>44736.836805555555</v>
    <v>Deutsche Boerse AG</v>
    <v>6</v>
    <v>59.61</v>
    <v>91.52</v>
    <v>56.99</v>
    <v>21.055</v>
    <v>EUR</v>
    <v>Mercedes-Benz Group AG</v>
    <v>Mercedes-Benz Group AG</v>
    <v>5.6</v>
    <v>58.97</v>
    <v>Automobiles &amp; Auto Parts</v>
    <v>Mercedesstrasse 120, STUTTGART, BADEN-WUERTTEMBERG, 70372 DE</v>
    <v>MBG</v>
    <v>Acciones</v>
    <v>Mercedes-Benz Group AG (XFRA:MBG)</v>
    <v>20053</v>
    <v>3865890</v>
  </rv>
  <rv s="2">
    <v>7</v>
  </rv>
  <rv s="0">
    <v>https://www.bing.com/financeapi/forcetrigger?t=amfs1h&amp;q=BMEX%3aBBVA&amp;form=skydnc</v>
    <v>Learn more on Bing</v>
  </rv>
  <rv s="1">
    <v>es-ES</v>
    <v>amfs1h</v>
    <v>268435456</v>
    <v>1</v>
    <v>Con tecnología de Refinitiv</v>
    <v>0</v>
    <v>1</v>
    <v>Banco Bilbao Vizcaya Argentaria, S.A. (BMEX:BBVA)</v>
    <v>3</v>
    <v>4</v>
    <v>Finance</v>
    <v>5</v>
    <v>BMEX</v>
    <v>6386668000</v>
    <v>2000</v>
    <v>4.2649999999999997</v>
    <v>1.9036999999999999</v>
    <v>0.1</v>
    <v>5.9175999999999999E-2</v>
    <v>2.3567999999999999E-2</v>
    <v>0.25700000000000001</v>
    <v>27737300000</v>
    <v>4.2430000000000003</v>
    <v>Banco Bilbao Vizcaya Argentaria S.A. (BBVA) es una empresa financiera internacional diversificada dedicada a la banca minorista, banca mayorista, gestión de activos y banca privada. Sus segmentos incluyen Actividad de la banca en España, Actividad inmobiliaria en España, los Estados Unidos, Turquía, México, América del Sur y Resto de Eurasia. Su Actividad de la banca en España incluye la Red de Banca Minorista en España, Banca Corporativa y de Negocios, así como unidades de BBVA Seguros y Gestión de Activos en España. Su Actividad inmobiliaria en España consiste de gestión especial de activos inmobiliarios en el país. En los Estados Unidos ofrece servicios a través de BBVA Compass Bancshares Inc. y filial de BBVA Nueva York. El segmento de Turquía representa su participación en el banco turco Turkiye Garanti Bankasi A.S. Ofrece negocios de seguros y banca en México. En América del Sur proporciona negocios de seguros y banca. El segmento del Resto de Eurasia incluye actividades de negocio en el resto de Europa y Asia.</v>
    <v>111402</v>
    <v>BMEX</v>
    <v>44736.712236747655</v>
    <v>Bolsas y Mercados Espanoles</v>
    <v>9</v>
    <v>4.3540000000000001</v>
    <v>6.2919999999999998</v>
    <v>4.2119999999999997</v>
    <v>4.1280000000000001</v>
    <v>EUR</v>
    <v>Banco Bilbao Vizcaya Argentaria, S.A.</v>
    <v>Banco Bilbao Vizcaya Argentaria, S.A.</v>
    <v>5.8815999999999997</v>
    <v>4.343</v>
    <v>4.5999999999999996</v>
    <v>Banking Services</v>
    <v>Calle Azul 4, MADRID, MADRID, 28050 ES</v>
    <v>BBVA</v>
    <v>Acciones</v>
    <v>Banco Bilbao Vizcaya Argentaria, S.A. (BMEX:BBVA)</v>
    <v>10837501</v>
    <v>26821580</v>
  </rv>
  <rv s="2">
    <v>10</v>
  </rv>
  <rv s="0">
    <v>https://www.bing.com/financeapi/forcetrigger?t=a1xroc&amp;q=XNYS%3aMMM&amp;form=skydnc</v>
    <v>Learn more on Bing</v>
  </rv>
  <rv s="1">
    <v>es-ES</v>
    <v>a1xroc</v>
    <v>268435456</v>
    <v>1</v>
    <v>Con tecnología de Refinitiv</v>
    <v>0</v>
    <v>1</v>
    <v>3M COMPANY (XNYS:MMM)</v>
    <v>3</v>
    <v>10</v>
    <v>Finance</v>
    <v>11</v>
    <v>XNYS</v>
    <v>569058800</v>
    <v>1929</v>
    <v>131.53</v>
    <v>0.93410000000000004</v>
    <v>4.18</v>
    <v>-2.2329999999999998E-4</v>
    <v>3.2117E-2</v>
    <v>-0.03</v>
    <v>76441670000</v>
    <v>130.15</v>
    <v>3M COMPANY es una empresa de tecnología. Opera a través de cinco segmentos. El segmento Industrial atiende a una gama de mercados, como productor automotriz de equipo original y mercado de posventa de automoción, electrodoméstico, papel e imprenta, embalaje, comida y bebidas y construcción. El segmento de Seguridad y Diseño Gráfico atiende a una gama de marcados mercados de la seguridad, vigilancia y productividad de gente, de servicios y de sistemas. El segmento de Atención Médica atiende a mercados que incluyen clínicas médicas y hospitales, farmacéuticos, sistemas de información sobre salud y manufactura y prueba de comida. El segmento de Consumidor atiende a mercados que incluyen comercio minorista, oficina negocio a negocio, mejora de casa, medicamento y farmacia de venta al público y otros mercados.</v>
    <v>95000</v>
    <v>XNYS</v>
    <v>44736.992111214844</v>
    <v>New York Stock Exchange</v>
    <v>12</v>
    <v>134.55000000000001</v>
    <v>203.21</v>
    <v>131.24</v>
    <v>128.19</v>
    <v>USD</v>
    <v>3M COMPANY</v>
    <v>3M COMPANY</v>
    <v>13.5528</v>
    <v>134.33000000000001</v>
    <v>134.30000000000001</v>
    <v>Consumer Goods Conglomerates</v>
    <v>3M Center, Bldg. 220-13E-26A, SAINT PAUL, MN, 55144-1000 US</v>
    <v>MMM</v>
    <v>Acciones</v>
    <v>3M COMPANY (XNYS:MMM)</v>
    <v>3659357</v>
    <v>2979077</v>
  </rv>
  <rv s="2">
    <v>13</v>
  </rv>
  <rv s="0">
    <v>https://www.bing.com/financeapi/forcetrigger?t=a23tz2&amp;q=XNAS%3aSWKS&amp;form=skydnc</v>
    <v>Learn more on Bing</v>
  </rv>
  <rv s="1">
    <v>es-ES</v>
    <v>a23tz2</v>
    <v>268435456</v>
    <v>1</v>
    <v>Con tecnología de Refinitiv</v>
    <v>0</v>
    <v>1</v>
    <v>Skyworks Solutns (XNAS:SWKS)</v>
    <v>3</v>
    <v>10</v>
    <v>Finance</v>
    <v>11</v>
    <v>XNAS</v>
    <v>160926100</v>
    <v>2002</v>
    <v>95.73</v>
    <v>1.1471</v>
    <v>3.76</v>
    <v>4.692E-3</v>
    <v>3.9885000000000004E-2</v>
    <v>0.46</v>
    <v>15775590000</v>
    <v>94.27</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11000</v>
    <v>XNAS</v>
    <v>44736.980438332816</v>
    <v>Nasdaq Stock Market</v>
    <v>15</v>
    <v>98.37</v>
    <v>197.62</v>
    <v>94.86</v>
    <v>88.76</v>
    <v>USD</v>
    <v>Skyworks Solutns</v>
    <v>Skyworks Solutns</v>
    <v>11.445399999999999</v>
    <v>98.03</v>
    <v>98.49</v>
    <v>Semiconductors &amp; Semiconductor Equipment</v>
    <v>5260 California Avenue, IRVINE, CA, 92617 US</v>
    <v>SWKS</v>
    <v>Acciones</v>
    <v>Skyworks Solutns (XNAS:SWKS)</v>
    <v>4185513</v>
    <v>2087072</v>
  </rv>
  <rv s="2">
    <v>16</v>
  </rv>
  <rv s="0">
    <v>https://www.bing.com/financeapi/forcetrigger?t=amg3k2&amp;q=BMEX%3aTEF&amp;form=skydnc</v>
    <v>Learn more on Bing</v>
  </rv>
  <rv s="1">
    <v>es-ES</v>
    <v>amg3k2</v>
    <v>268435456</v>
    <v>1</v>
    <v>Con tecnología de Refinitiv</v>
    <v>0</v>
    <v>1</v>
    <v>Telefónica S.A. (BMEX:TEF)</v>
    <v>3</v>
    <v>4</v>
    <v>Finance</v>
    <v>5</v>
    <v>BMEX</v>
    <v>5821701000</v>
    <v>1924</v>
    <v>4.6980000000000004</v>
    <v>0.95399999999999996</v>
    <v>1.2999999999999999E-2</v>
    <v>-7.1819999999999991E-3</v>
    <v>2.7539999999999999E-3</v>
    <v>-3.4000000000000002E-2</v>
    <v>27559930000</v>
    <v>4.7210000000000001</v>
    <v>Telefónica, S.A. es un grupo de telecomunicaciones integrado y diversificado que opera en Europa y América Latina. Los servicios y productos de la Compañía incluyen Negocio móvil, Negocio de telefonía de línea fija y Servicios digitales. Sus segmentos incluyen Telefónica España, Telefónica Brasil, Telefónica Alemania, Telefónica Reino Unido y Telefónica Hispanoamérica (formado por los operadores de la Compañía en Argentina, Chile, Perú, Colombia, México, Venezuela, Ecuador y Uruguay). Estos segmentos se dedican a actividades relacionadas con negocios de cable, inalámbricos, datos, Internet y televisión (TV) y otros servicios digitales de acuerdo con cada ubicación. Ofrece una gama de servicios y productos móviles y relacionados para clientes personales y comerciales. Ofrece servicios tradicionales de telecomunicaciones fijas, Internet y servicios multimedia de banda ancha y servicios de datos y soluciones empresariales. Ofrece una gama de servicios digitales, como Internet of Things (IoT).</v>
    <v>104150</v>
    <v>BMEX</v>
    <v>44736.667361111111</v>
    <v>Bolsas y Mercados Espanoles</v>
    <v>18</v>
    <v>4.74</v>
    <v>4.9160000000000004</v>
    <v>4.6680000000000001</v>
    <v>3.4039999999999999</v>
    <v>EUR</v>
    <v>Telefónica S.A.</v>
    <v>Telefónica S.A.</v>
    <v>3.4622000000000002</v>
    <v>4.734</v>
    <v>4.7</v>
    <v>Telecommunications Services</v>
    <v>Gran Via 28, MADRID, MADRID, 28013 ES</v>
    <v>TEF</v>
    <v>Acciones</v>
    <v>Telefónica S.A. (BMEX:TEF)</v>
    <v>14702809</v>
    <v>14189570</v>
  </rv>
  <rv s="2">
    <v>19</v>
  </rv>
  <rv s="4">
    <v>es-ES</v>
    <v>avyn9c</v>
    <v>268435456</v>
    <v>1</v>
    <v>Con tecnología de Refinitiv</v>
    <v>12</v>
    <v>13</v>
    <v>USD/EUR</v>
    <v>14</v>
    <v>15</v>
    <v>Finance</v>
    <v>16</v>
    <v>0</v>
    <v>0</v>
    <v>0.94710000000000005</v>
    <v>USD</v>
    <v>44736.875</v>
    <v>0.96609999999999996</v>
    <v>0.83489999999999998</v>
    <v>EUR</v>
    <v>US Dollar/Euro FX Cross Rate</v>
    <v>0.94710000000000005</v>
    <v>USDEUR</v>
    <v>Par de divisa</v>
    <v>USD/EUR</v>
  </rv>
  <rv s="2">
    <v>21</v>
  </rv>
  <rv s="4">
    <v>es-ES</v>
    <v>avycmw</v>
    <v>268435456</v>
    <v>1</v>
    <v>Con tecnología de Refinitiv</v>
    <v>12</v>
    <v>13</v>
    <v>GBP/EUR</v>
    <v>14</v>
    <v>15</v>
    <v>Finance</v>
    <v>16</v>
    <v>0</v>
    <v>0</v>
    <v>1.1614</v>
    <v>GBP</v>
    <v>44736.875</v>
    <v>1.2191000000000001</v>
    <v>1.1459999999999999</v>
    <v>EUR</v>
    <v>UK Pound Sterling/Euro FX Cross Rate</v>
    <v>1.1614</v>
    <v>GBPEUR</v>
    <v>Par de divisa</v>
    <v>GBP/EUR</v>
  </rv>
  <rv s="2">
    <v>23</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s t="_linkedentitycore">
    <k n="%EntityCulture" t="s"/>
    <k n="%EntityId" t="s"/>
    <k n="%EntityServiceId"/>
    <k n="%IsRefreshable" t="b"/>
    <k n="%ProviderInfo" t="s"/>
    <k n="_CanonicalPropertyNames" t="spb"/>
    <k n="_Display" t="spb"/>
    <k n="_DisplayString" t="s"/>
    <k n="_Flags" t="spb"/>
    <k n="_Format" t="spb"/>
    <k n="_Icon" t="s"/>
    <k n="_SubLabel" t="spb"/>
    <k n="Cambio"/>
    <k n="Cambio (%)"/>
    <k n="Cierre anterior"/>
    <k n="De la moneda" t="s"/>
    <k n="Hora de la última operación"/>
    <k n="Máximo en 52 semanas"/>
    <k n="Mínimo en 52 semanas"/>
    <k n="Moneda" t="s"/>
    <k n="Nombre" t="s"/>
    <k n="Precio"/>
    <k n="Símbolo bursátil" t="s"/>
    <k n="Tipo de instrumento" t="s"/>
    <k n="UniqueName" t="s"/>
  </s>
</rvStructures>
</file>

<file path=xl/richData/rdsupportingpropertybag.xml><?xml version="1.0" encoding="utf-8"?>
<supportingPropertyBags xmlns="http://schemas.microsoft.com/office/spreadsheetml/2017/richdata2">
  <spbArrays count="3">
    <a count="46">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43">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25">
      <v t="s">%EntityServiceId</v>
      <v t="s">_Format</v>
      <v t="s">%IsRefreshable</v>
      <v t="s">_CanonicalPropertyNames</v>
      <v t="s">%EntityCulture</v>
      <v t="s">%EntityId</v>
      <v t="s">_Icon</v>
      <v t="s">_Display</v>
      <v t="s">Nombre</v>
      <v t="s">Precio</v>
      <v t="s">_SubLabel</v>
      <v t="s">Hora de la última operación</v>
      <v t="s">Símbolo bursátil</v>
      <v t="s">Cambio</v>
      <v t="s">Cambio (%)</v>
      <v t="s">Moneda</v>
      <v t="s">De la moneda</v>
      <v t="s">Cierre anterior</v>
      <v t="s">Máximo en 52 semanas</v>
      <v t="s">Mínimo en 52 semanas</v>
      <v t="s">Tipo de instrumento</v>
      <v t="s">_Flags</v>
      <v t="s">UniqueName</v>
      <v t="s">_DisplayString</v>
      <v t="s">%ProviderInfo</v>
    </a>
  </spbArrays>
  <spbData count="17">
    <spb s="0">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1">
      <v>0</v>
      <v>Name</v>
      <v>LearnMoreOnLink</v>
    </spb>
    <spb s="2">
      <v>0</v>
      <v>0</v>
      <v>0</v>
    </spb>
    <spb s="3">
      <v>2</v>
      <v>2</v>
      <v>2</v>
      <v>2</v>
    </spb>
    <spb s="4">
      <v>1</v>
      <v>1</v>
      <v>2</v>
      <v>2</v>
      <v>2</v>
      <v>3</v>
      <v>2</v>
      <v>4</v>
      <v>2</v>
      <v>4</v>
      <v>5</v>
      <v>2</v>
      <v>4</v>
      <v>6</v>
      <v>7</v>
      <v>2</v>
      <v>2</v>
      <v>4</v>
      <v>2</v>
      <v>8</v>
      <v>2</v>
      <v>5</v>
      <v>9</v>
    </spb>
    <spb s="5">
      <v xml:space="preserve">desde el cierre anterior </v>
      <v xml:space="preserve">al cierre </v>
      <v xml:space="preserve">desde el cierre anterior </v>
      <v xml:space="preserve">desde el cierre </v>
      <v>Retrasado 15 minutos</v>
      <v xml:space="preserve">desde el cierre </v>
      <v>GMT</v>
    </spb>
    <spb s="6">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1">
      <v>1</v>
      <v>Name</v>
      <v>LearnMoreOnLink</v>
    </spb>
    <spb s="7">
      <v>1</v>
      <v>1</v>
      <v>2</v>
      <v>2</v>
      <v>2</v>
      <v>3</v>
      <v>2</v>
      <v>4</v>
      <v>2</v>
      <v>4</v>
      <v>5</v>
      <v>2</v>
      <v>4</v>
      <v>6</v>
      <v>7</v>
      <v>2</v>
      <v>2</v>
      <v>4</v>
      <v>8</v>
      <v>9</v>
    </spb>
    <spb s="8">
      <v xml:space="preserve">desde el cierre anterior </v>
      <v>Retrasado 15 minutos</v>
      <v xml:space="preserve">desde el cierre anterior </v>
      <v>GMT</v>
    </spb>
    <spb s="4">
      <v>1</v>
      <v>1</v>
      <v>10</v>
      <v>10</v>
      <v>10</v>
      <v>3</v>
      <v>10</v>
      <v>4</v>
      <v>10</v>
      <v>4</v>
      <v>5</v>
      <v>10</v>
      <v>4</v>
      <v>6</v>
      <v>7</v>
      <v>10</v>
      <v>10</v>
      <v>4</v>
      <v>10</v>
      <v>11</v>
      <v>10</v>
      <v>5</v>
      <v>9</v>
    </spb>
    <spb s="9">
      <v xml:space="preserve">desde el cierre anterior </v>
      <v xml:space="preserve">al cierre </v>
      <v xml:space="preserve">desde el cierre anterior </v>
      <v>Origen: Nasdaq</v>
      <v xml:space="preserve">desde el cierre </v>
      <v>Retrasado 15 minutos</v>
      <v xml:space="preserve">desde el cierre </v>
      <v>GMT</v>
    </spb>
    <spb s="10">
      <v>Change</v>
      <v>Currency</v>
      <v>Name</v>
      <v>Price</v>
      <v>Change (%)</v>
      <v>UniqueName</v>
      <v>From currency</v>
      <v>%ProviderInfo</v>
      <v>Previous close</v>
      <v>Ticker symbol</v>
      <v>Instrument type</v>
      <v>52 week high</v>
      <v>52 week low</v>
      <v>Last trade time</v>
    </spb>
    <spb s="11">
      <v>2</v>
      <v>Name</v>
    </spb>
    <spb s="12">
      <v>2</v>
      <v>2</v>
    </spb>
    <spb s="13">
      <v>2</v>
      <v>3</v>
      <v>2</v>
      <v>5</v>
      <v>2</v>
      <v>6</v>
      <v>2</v>
      <v>2</v>
      <v>9</v>
    </spb>
    <spb s="14">
      <v>GMT</v>
    </spb>
  </spbData>
</supportingPropertyBags>
</file>

<file path=xl/richData/rdsupportingpropertybagstructure.xml><?xml version="1.0" encoding="utf-8"?>
<spbStructures xmlns="http://schemas.microsoft.com/office/spreadsheetml/2017/richdata2" count="15">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Order" t="spba"/>
    <k n="TitleProperty" t="s"/>
    <k n="SubTitleProperty" t="s"/>
  </s>
  <s>
    <k n="ShowInCardView" t="b"/>
    <k n="ShowInDotNotation" t="b"/>
    <k n="ShowInAutoComplete" t="b"/>
  </s>
  <s>
    <k n="ExchangeID" t="spb"/>
    <k n="UniqueName" t="spb"/>
    <k n="`%ProviderInfo" t="spb"/>
    <k n="LearnMoreOnLink" t="spb"/>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Cambio" t="s"/>
    <k n="Precio" t="s"/>
    <k n="Cambio (%)" t="s"/>
    <k n="Cambio (horario ampliado)" t="s"/>
    <k n="Precio (horario ampliado)" t="s"/>
    <k n="Cambio % (horario ampliado)" t="s"/>
    <k n="Hora de la última operación"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Hora de la última operación" t="s"/>
  </s>
  <s>
    <k n="Cambio" t="s"/>
    <k n="Precio" t="s"/>
    <k n="Cambio (%)" t="s"/>
    <k n="ExchangeID" t="s"/>
    <k n="Cambio (horario ampliado)" t="s"/>
    <k n="Precio (horario ampliado)" t="s"/>
    <k n="Cambio % (horario ampliado)" t="s"/>
    <k n="Hora de la última operación" t="s"/>
  </s>
  <s>
    <k n="Cambio" t="s"/>
    <k n="Moneda" t="s"/>
    <k n="Nombre" t="s"/>
    <k n="Precio" t="s"/>
    <k n="Cambio (%)" t="s"/>
    <k n="UniqueName" t="s"/>
    <k n="De la moneda" t="s"/>
    <k n="%ProviderInfo" t="s"/>
    <k n="Cierre anterior" t="s"/>
    <k n="Símbolo bursátil" t="s"/>
    <k n="Tipo de instrumento" t="s"/>
    <k n="Máximo en 52 semanas" t="s"/>
    <k n="Mínimo en 52 semanas" t="s"/>
    <k n="Hora de la última operación" t="s"/>
  </s>
  <s>
    <k n="^Order" t="spba"/>
    <k n="TitleProperty" t="s"/>
  </s>
  <s>
    <k n="UniqueName" t="spb"/>
    <k n="`%ProviderInfo" t="spb"/>
  </s>
  <s>
    <k n="Cambio" t="i"/>
    <k n="Nombre" t="i"/>
    <k n="Precio" t="i"/>
    <k n="Cambio (%)" t="i"/>
    <k n="Cierre anterior" t="i"/>
    <k n="`%EntityServiceId" t="i"/>
    <k n="Máximo en 52 semanas" t="i"/>
    <k n="Mínimo en 52 semanas" t="i"/>
    <k n="Hora de la última operación" t="i"/>
  </s>
  <s>
    <k n="Hora de la última operació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0" formatCode="General"/>
    </x:dxf>
    <x:dxf>
      <x:numFmt numFmtId="3" formatCode="#,##0"/>
    </x:dxf>
    <x:dxf>
      <x:numFmt numFmtId="14" formatCode="0.00%"/>
    </x:dxf>
    <x:dxf>
      <x:numFmt numFmtId="2" formatCode="0.00"/>
    </x:dxf>
    <x:dxf>
      <x:numFmt numFmtId="1" formatCode="0"/>
    </x:dxf>
    <x:dxf>
      <x:numFmt numFmtId="27" formatCode="dd/mm/yyyy\ h:mm"/>
    </x:dxf>
  </dxfs>
  <richProperties>
    <rPr n="NumberFormat" t="s"/>
    <rPr n="IsTitleField" t="b"/>
  </richProperties>
  <richStyles>
    <rSty dxfid="0">
      <rpv i="0">#,##0.00</rpv>
    </rSty>
    <rSty dxfid="1">
      <rpv i="0">_([$€-x-euro2] * #,##0.00_);_([$€-x-euro2] * (#,##0.00);_([$€-x-euro2] * "-"??_);_(@_)</rpv>
    </rSty>
    <rSty>
      <rpv i="1">1</rpv>
    </rSty>
    <rSty dxfid="2">
      <rpv i="0">#,##0</rpv>
    </rSty>
    <rSty dxfid="3"/>
    <rSty dxfid="4">
      <rpv i="0">0.00</rpv>
    </rSty>
    <rSty dxfid="5">
      <rpv i="0">0</rpv>
    </rSty>
    <rSty dxfid="1">
      <rpv i="0">_([$€-x-euro2] * #,##0_);_([$€-x-euro2] * (#,##0);_([$€-x-euro2] * "-"_);_(@_)</rpv>
    </rSty>
    <rSty dxfid="6"/>
    <rSty dxfid="1">
      <rpv i="0">_([$$-en-US]* #,##0.00_);_([$$-en-US]* (#,##0.00);_([$$-en-US]* "-"??_);_(@_)</rpv>
    </rSty>
    <rSty dxfid="1">
      <rpv i="0">_([$$-en-US]* #,##0_);_([$$-en-US]* (#,##0);_([$$-en-US]*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E33134-101C-44ED-8321-39D209B566B5}" name="Watchlist" displayName="Watchlist" ref="A1:P8" totalsRowShown="0" headerRowDxfId="99">
  <autoFilter ref="A1:P8" xr:uid="{CE5F8BD3-8DC9-4C3D-A914-2B0936C9D7FF}"/>
  <tableColumns count="16">
    <tableColumn id="18" xr3:uid="{81771CDD-1C00-4B8F-B185-9D356821CBE6}" name="Símbolo" dataDxfId="98" dataCellStyle="Hipervínculo">
      <calculatedColumnFormula array="1">_FV(Watchlist[[#This Row],[Empresa]],"Símbolo bursátil",TRUE)</calculatedColumnFormula>
    </tableColumn>
    <tableColumn id="1" xr3:uid="{DF95E967-4F23-491B-A9E5-AC952506C19B}" name="Empresa" dataDxfId="97"/>
    <tableColumn id="7" xr3:uid="{9E043296-9841-4E80-84AA-F4F92AB6978B}" name="En Cartera" dataDxfId="96">
      <calculatedColumnFormula>IF(ISTEXT(VLOOKUP(Watchlist[[#This Row],[Símbolo]],'Cartera de Acciones'!A:A,1,FALSE)),1,0)</calculatedColumnFormula>
    </tableColumn>
    <tableColumn id="2" xr3:uid="{2FE3BA21-FFB6-433B-B578-7244344FBD88}" name="Precio" dataDxfId="95">
      <calculatedColumnFormula array="1">_FV(Watchlist[[#This Row],[Empresa]],"Precio")</calculatedColumnFormula>
    </tableColumn>
    <tableColumn id="3" xr3:uid="{CD579538-7F3F-42D4-B412-6C00D0272561}" name="Cambio (%)" dataDxfId="94">
      <calculatedColumnFormula array="1">_FV(Watchlist[[#This Row],[Empresa]],"Cambio (%)",TRUE)</calculatedColumnFormula>
    </tableColumn>
    <tableColumn id="4" xr3:uid="{1637119B-896C-4B02-A505-C58F0CCACFF0}" name="PER" dataDxfId="93" dataCellStyle="Porcentaje">
      <calculatedColumnFormula>Watchlist[[#This Row],[Precio]]/Watchlist[[#This Row],[BPA]]/100</calculatedColumnFormula>
    </tableColumn>
    <tableColumn id="5" xr3:uid="{F3CCD785-2334-4092-B8BC-C60D8E013A46}" name="Pay-out" dataDxfId="92" dataCellStyle="Porcentaje">
      <calculatedColumnFormula>Watchlist[[#This Row],[Dividendo]]/Watchlist[[#This Row],[BPA]]</calculatedColumnFormula>
    </tableColumn>
    <tableColumn id="6" xr3:uid="{6B77D193-C2E8-488F-AAEE-FE85B70AD0F2}" name="BPA" dataDxfId="91" dataCellStyle="Moneda"/>
    <tableColumn id="8" xr3:uid="{DF34E194-68F5-430D-A310-28B4D793CD98}" name="Dividendo" dataDxfId="90"/>
    <tableColumn id="10" xr3:uid="{19A85500-333B-4C3A-88E1-C0BC8BCEF8B7}" name="RPD" dataDxfId="89" dataCellStyle="Porcentaje">
      <calculatedColumnFormula>Watchlist[[#This Row],[Dividendo]]/Watchlist[[#This Row],[Precio]]</calculatedColumnFormula>
    </tableColumn>
    <tableColumn id="11" xr3:uid="{A27897EB-3EA0-4D0B-9849-27D784615272}" name="Moneda">
      <calculatedColumnFormula array="1">_FV(Watchlist[[#This Row],[Empresa]],"Moneda")</calculatedColumnFormula>
    </tableColumn>
    <tableColumn id="14" xr3:uid="{379F329C-92E7-44A3-877A-5CC7FF1CB17C}" name="Máximo" dataDxfId="88">
      <calculatedColumnFormula array="1">_FV(Watchlist[[#This Row],[Empresa]],"Máximo")</calculatedColumnFormula>
    </tableColumn>
    <tableColumn id="13" xr3:uid="{233921E3-6B0A-4240-89DC-1878C4CCA97F}" name="Mínimo" dataDxfId="87">
      <calculatedColumnFormula array="1">_FV(Watchlist[[#This Row],[Empresa]],"Mínimo")</calculatedColumnFormula>
    </tableColumn>
    <tableColumn id="15" xr3:uid="{7656195C-A127-436D-AF15-36950680B078}" name="Máximo en 52 semanas" dataDxfId="86">
      <calculatedColumnFormula array="1">_FV(Watchlist[[#This Row],[Empresa]],"Máximo en 52 semanas",TRUE)</calculatedColumnFormula>
    </tableColumn>
    <tableColumn id="17" xr3:uid="{D25E99B2-1FBC-4DEF-ADAC-56DA94D91FF3}" name="Mediana en 52 semanas" dataDxfId="85">
      <calculatedColumnFormula>(Watchlist[[#This Row],[Mínimo en 52 semanas]]+Watchlist[[#This Row],[Máximo en 52 semanas]])/2</calculatedColumnFormula>
    </tableColumn>
    <tableColumn id="16" xr3:uid="{DEB6E767-6817-41A9-B0A7-137D5B82D925}" name="Mínimo en 52 semanas" dataDxfId="84">
      <calculatedColumnFormula array="1">_FV(Watchlist[[#This Row],[Empresa]],"Mínimo en 52 semanas",TRUE)</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CA7F9-4962-473A-9485-8A660D5AF319}" name="Tabla2" displayName="Tabla2" ref="A1:S6" totalsRowCount="1">
  <autoFilter ref="A1:S5" xr:uid="{847CA7F9-4962-473A-9485-8A660D5AF319}"/>
  <tableColumns count="19">
    <tableColumn id="4" xr3:uid="{D980E86D-8C97-4E66-BFB5-2EF586CE6FF7}" name="Símbolo" totalsRowLabel="Total" dataDxfId="77" totalsRowDxfId="76">
      <calculatedColumnFormula array="1">_FV(Tabla2[[#This Row],[Empresa]],"Símbolo bursátil",TRUE)</calculatedColumnFormula>
    </tableColumn>
    <tableColumn id="1" xr3:uid="{C2F283C2-F09B-4FDD-BF82-86B2AB2BAA35}" name="Empresa" dataDxfId="75" totalsRowDxfId="74"/>
    <tableColumn id="2" xr3:uid="{8FB53429-8851-4FC5-A56E-9A674A9CBB9A}" name="Cantidad" totalsRowFunction="sum"/>
    <tableColumn id="10" xr3:uid="{6338FE3A-E152-425C-8993-BCDEB9CD3C44}" name="Precio" dataDxfId="73" totalsRowDxfId="72"/>
    <tableColumn id="6" xr3:uid="{2385BAC6-8AD2-4563-946A-41975088A938}" name="Importe" totalsRowDxfId="71">
      <calculatedColumnFormula>Tabla2[[#This Row],[Cantidad]]*Tabla2[[#This Row],[Precio]]</calculatedColumnFormula>
    </tableColumn>
    <tableColumn id="17" xr3:uid="{8C5313CE-F8EC-44BE-9F04-6061CE6A523E}" name="Moneda" dataDxfId="70">
      <calculatedColumnFormula array="1">_FV(Tabla2[[#This Row],[Empresa]],"Moneda")</calculatedColumnFormula>
    </tableColumn>
    <tableColumn id="18" xr3:uid="{826CD403-78BA-4440-AB5D-40C96D02DA89}" name="Precio €" dataDxfId="69">
      <calculatedColumnFormula>VLOOKUP(Tabla2[[#This Row],[Moneda]] &amp; "EUR",Divisas!A:C,3,FALSE) * Tabla2[[#This Row],[Precio]]</calculatedColumnFormula>
    </tableColumn>
    <tableColumn id="3" xr3:uid="{39518533-245B-418D-ABFD-20D4F383564C}" name="Importe €" totalsRowFunction="sum" dataDxfId="68" totalsRowDxfId="67">
      <calculatedColumnFormula>Tabla2[[#This Row],[Cantidad]]*Tabla2[[#This Row],[Precio €]]</calculatedColumnFormula>
    </tableColumn>
    <tableColumn id="7" xr3:uid="{D005E0F5-5BC5-4B23-BE8D-95AA14BC3581}" name="Peso Cartera" totalsRowFunction="sum" dataDxfId="66" totalsRowDxfId="65" dataCellStyle="Porcentaje">
      <calculatedColumnFormula>Tabla2[[#This Row],[Importe €]]/Tabla2[[#Totals],[Importe €]]</calculatedColumnFormula>
    </tableColumn>
    <tableColumn id="8" xr3:uid="{049B9BDC-1F7D-455E-8FAE-D5AC714D56FB}" name="Ingresos Dividendos" totalsRowFunction="sum" totalsRowDxfId="64"/>
    <tableColumn id="19" xr3:uid="{7ACE5D8D-C26F-49C7-8D0F-515CB3B82CE2}" name="Ingresos Dividendos €" totalsRowFunction="sum" dataDxfId="63" totalsRowDxfId="62">
      <calculatedColumnFormula>VLOOKUP(Tabla2[[#This Row],[Moneda]] &amp; "EUR",Divisas!A:C,3,FALSE) * Tabla2[[#This Row],[Ingresos Dividendos]]</calculatedColumnFormula>
    </tableColumn>
    <tableColumn id="9" xr3:uid="{23FA7DBC-9BF5-4327-92B1-49BFA7221614}" name="Peso Cartera Div" totalsRowFunction="sum" totalsRowDxfId="61" dataCellStyle="Porcentaje">
      <calculatedColumnFormula>Tabla2[[#This Row],[Ingresos Dividendos €]]/Tabla2[[#Totals],[Ingresos Dividendos €]]</calculatedColumnFormula>
    </tableColumn>
    <tableColumn id="5" xr3:uid="{EDBD48D5-0008-4221-8538-B0B8EF06F662}" name="Precio Actual" dataDxfId="60">
      <calculatedColumnFormula array="1">_FV(Tabla2[[#This Row],[Empresa]],"Precio")</calculatedColumnFormula>
    </tableColumn>
    <tableColumn id="11" xr3:uid="{7D07301B-A1C9-4607-A2F6-44858C1A35FF}" name="Valor Actual" totalsRowDxfId="59">
      <calculatedColumnFormula>Tabla2[[#This Row],[Cantidad]]*Tabla2[[#This Row],[Precio Actual]]</calculatedColumnFormula>
    </tableColumn>
    <tableColumn id="21" xr3:uid="{60E9F500-2527-4755-B733-CEA027DAED22}" name="Valor Actual €" totalsRowFunction="sum" dataDxfId="58" totalsRowDxfId="57">
      <calculatedColumnFormula>VLOOKUP(Tabla2[[#This Row],[Moneda]] &amp; "EUR",Divisas!A:C,3,FALSE) * Tabla2[[#This Row],[Valor Actual]]</calculatedColumnFormula>
    </tableColumn>
    <tableColumn id="12" xr3:uid="{981B4E7F-35BF-478C-8BD7-FD1E6A2E0ABC}" name="Peso Cartera Actual" totalsRowFunction="sum" dataDxfId="56" totalsRowDxfId="55" dataCellStyle="Porcentaje">
      <calculatedColumnFormula>Tabla2[[#This Row],[Valor Actual €]]/Tabla2[[#Totals],[Valor Actual €]]</calculatedColumnFormula>
    </tableColumn>
    <tableColumn id="13" xr3:uid="{C0194B0E-F73D-443A-9ED5-C6792E867404}" name="Valor + Div" totalsRowDxfId="54">
      <calculatedColumnFormula>Tabla2[[#This Row],[Valor Actual]]+Tabla2[[#This Row],[Ingresos Dividendos]]</calculatedColumnFormula>
    </tableColumn>
    <tableColumn id="14" xr3:uid="{E8CF29C7-8ABF-4A7D-A670-EA32B7427168}" name="Rentabilidad" totalsRowFunction="custom" dataDxfId="53" totalsRowDxfId="52" dataCellStyle="Porcentaje">
      <calculatedColumnFormula>IFERROR((Tabla2[[#This Row],[Valor + Div]]-Tabla2[[#This Row],[Importe]])/Tabla2[[#This Row],[Importe]],0)</calculatedColumnFormula>
      <totalsRowFormula>SUMPRODUCT(Tabla2[Rentabilidad],Tabla2[Valor Actual €]) / SUM(Tabla2[Valor Actual €])</totalsRowFormula>
    </tableColumn>
    <tableColumn id="15" xr3:uid="{C411D320-C7C1-4C60-A711-1411AE21BED3}" name="Rentabilidad sin Div" totalsRowFunction="custom" dataDxfId="51" totalsRowDxfId="50" dataCellStyle="Porcentaje">
      <calculatedColumnFormula>IFERROR((Tabla2[[#This Row],[Valor Actual]]-Tabla2[[#This Row],[Importe]])/Tabla2[[#This Row],[Importe]],0)</calculatedColumnFormula>
      <totalsRowFormula>SUMPRODUCT(Tabla2[Rentabilidad sin Div],Tabla2[Valor Actual €]) / SUM(Tabla2[Valor Actual €])</totalsRow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019DE6-AC45-4767-A630-406B5C6DCF1F}" name="Tabla4" displayName="Tabla4" ref="A1:M3" totalsRowCount="1">
  <autoFilter ref="A1:M2" xr:uid="{62019DE6-AC45-4767-A630-406B5C6DCF1F}"/>
  <tableColumns count="13">
    <tableColumn id="1" xr3:uid="{3A406A96-6F14-47A8-9BEA-D0EAE96E0279}" name="Nombre del Fondo" totalsRowDxfId="45" dataCellStyle="Hipervínculo"/>
    <tableColumn id="3" xr3:uid="{106CD027-F92D-4E3E-91EB-E4ABB1922358}" name="ISIN" totalsRowLabel="Total"/>
    <tableColumn id="2" xr3:uid="{B6EDC192-A528-4838-92B9-10787DB6D96A}" name="TER" dataDxfId="44" totalsRowDxfId="43" dataCellStyle="Porcentaje"/>
    <tableColumn id="4" xr3:uid="{C0015893-5201-4192-AF74-6BCB9FC66DA6}" name="Cantidad" totalsRowFunction="sum" dataDxfId="42" totalsRowDxfId="41"/>
    <tableColumn id="5" xr3:uid="{E0D4D994-23D2-4313-BECF-49F3E0EE446A}" name="Precio"/>
    <tableColumn id="8" xr3:uid="{5F496697-5F75-4E1D-9272-1F5368EB43F4}" name="Importe" totalsRowFunction="sum" totalsRowDxfId="40">
      <calculatedColumnFormula>Tabla4[[#This Row],[Cantidad]]*Tabla4[[#This Row],[Precio]]</calculatedColumnFormula>
    </tableColumn>
    <tableColumn id="6" xr3:uid="{7A14813E-AACA-46AA-8866-43BCF0E3FCEC}" name="Moneda"/>
    <tableColumn id="17" xr3:uid="{A88EDBE5-8B0F-4C55-97E5-F97B58EECD92}" name="Peso en Cartera" dataDxfId="39" dataCellStyle="Porcentaje">
      <calculatedColumnFormula>IFERROR(Tabla4[[#This Row],[Importe]]/Tabla4[[#Totals],[Importe]],0)</calculatedColumnFormula>
    </tableColumn>
    <tableColumn id="11" xr3:uid="{4890FEC1-A5DB-44FA-A183-AFB1D2CB57F5}" name="Índice" totalsRowDxfId="38" dataCellStyle="Hipervínculo"/>
    <tableColumn id="12" xr3:uid="{0D2D0C3F-AAE6-42B2-92D1-B59EF00A7148}" name="Precio Actual" dataDxfId="37"/>
    <tableColumn id="13" xr3:uid="{167EE080-C67E-459C-942A-1581D18140B6}" name="Valor Actual" totalsRowFunction="sum" totalsRowDxfId="36">
      <calculatedColumnFormula>Tabla4[[#This Row],[Precio Actual]]*Tabla4[[#This Row],[Cantidad]]</calculatedColumnFormula>
    </tableColumn>
    <tableColumn id="15" xr3:uid="{FB871CB4-595C-4395-A71D-9E302911F8F1}" name="Peso Cartera Actual" totalsRowFunction="sum" totalsRowDxfId="35" dataCellStyle="Porcentaje">
      <calculatedColumnFormula>IFERROR(Tabla4[[#This Row],[Valor Actual]]/Tabla4[[#Totals],[Valor Actual]],0)</calculatedColumnFormula>
    </tableColumn>
    <tableColumn id="16" xr3:uid="{CA8DCD1A-3F94-4006-9C47-3E9296C13564}" name="Rentabilidad" totalsRowFunction="custom" dataDxfId="34" totalsRowDxfId="33" dataCellStyle="Porcentaje">
      <calculatedColumnFormula>IFERROR((Tabla4[[#This Row],[Valor Actual]]-Tabla4[[#This Row],[Importe]])/Tabla4[[#This Row],[Importe]],0)</calculatedColumnFormula>
      <totalsRowFormula>SUMPRODUCT(Tabla4[Rentabilidad],Tabla4[Valor Actual]) / SUM(Tabla4[Valor Actual])</totalsRow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D70E12-D5D1-41F1-9DB7-1FC761D85A8A}" name="Tabla467" displayName="Tabla467" ref="A4:T11" totalsRowCount="1">
  <autoFilter ref="A4:T10" xr:uid="{62019DE6-AC45-4767-A630-406B5C6DCF1F}"/>
  <tableColumns count="20">
    <tableColumn id="1" xr3:uid="{4698CD60-BB2E-4439-B1A5-7D9A1EE9259C}" name="Nombre del Fondo" totalsRowLabel="Total" dataCellStyle="Hipervínculo"/>
    <tableColumn id="3" xr3:uid="{4B50C69E-B0FC-4782-A851-F223FC89C3FE}" name="ISIN" totalsRowLabel="Total"/>
    <tableColumn id="7" xr3:uid="{8CD2363C-3FF2-49E7-987B-938A58FAFDD6}" name="TER" totalsRowFunction="custom" dataDxfId="28" totalsRowDxfId="27" dataCellStyle="Porcentaje">
      <totalsRowFormula>IFERROR(SUMPRODUCT(Tabla467[TER],Tabla467[Valor Actual]) / SUM(Tabla467[Valor Actual]),0)</totalsRowFormula>
    </tableColumn>
    <tableColumn id="4" xr3:uid="{69B789B0-5B8C-480A-9188-FB39000EE6F7}" name="Cantidad" totalsRowFunction="sum" dataDxfId="26" totalsRowDxfId="25"/>
    <tableColumn id="5" xr3:uid="{5C43DDA1-3148-46CB-898C-1E05F12E4B4F}" name="Precio Medio"/>
    <tableColumn id="8" xr3:uid="{1992BFF4-9A02-4EA4-894B-F957E89BE119}" name="Importe" totalsRowFunction="sum" totalsRowDxfId="24">
      <calculatedColumnFormula>Tabla467[[#This Row],[Cantidad]]*Tabla467[[#This Row],[Precio Medio]]</calculatedColumnFormula>
    </tableColumn>
    <tableColumn id="6" xr3:uid="{8709351D-B9B4-41BB-9832-5652A1A94B65}" name="Moneda"/>
    <tableColumn id="17" xr3:uid="{97CDB3C3-ACCF-40D3-8C1B-09BFC83BE1B2}" name="Peso en Cartera" totalsRowFunction="sum" dataDxfId="23" totalsRowDxfId="22" dataCellStyle="Porcentaje">
      <calculatedColumnFormula>IFERROR(Tabla467[[#This Row],[Importe]]/Tabla467[[#Totals],[Importe]],0)</calculatedColumnFormula>
    </tableColumn>
    <tableColumn id="11" xr3:uid="{0BEB18F5-4CCD-435F-8B44-40320755F6F6}" name="Índice" totalsRowDxfId="21" dataCellStyle="Hipervínculo"/>
    <tableColumn id="10" xr3:uid="{E42262E8-F5DE-47E7-AEA5-7F44D17D8154}" name="Capitalización Índice" totalsRowFunction="sum" dataDxfId="20" totalsRowDxfId="19" dataCellStyle="Millares"/>
    <tableColumn id="18" xr3:uid="{D9606018-809E-47F5-B3D2-8657127C878D}" name="Peso Ínidce" totalsRowFunction="sum" dataDxfId="18" totalsRowDxfId="17" dataCellStyle="Porcentaje">
      <calculatedColumnFormula>IFERROR(Tabla467[[#This Row],[Capitalización Índice]]/Tabla467[[#Totals],[Capitalización Índice]],0)</calculatedColumnFormula>
    </tableColumn>
    <tableColumn id="12" xr3:uid="{29B8DE8A-33BF-49FE-9414-2ADEE30A04BE}" name="Precio Actual" dataDxfId="16"/>
    <tableColumn id="13" xr3:uid="{DE1E3B15-C4BE-4BA5-B856-244A4F2C6F13}" name="Valor Actual" totalsRowFunction="sum" totalsRowDxfId="15">
      <calculatedColumnFormula>Tabla467[[#This Row],[Precio Actual]]*Tabla467[[#This Row],[Cantidad]]</calculatedColumnFormula>
    </tableColumn>
    <tableColumn id="15" xr3:uid="{C16046FB-B9FA-4C93-9040-5AA24005AEFD}" name="Peso Cartera Actual" totalsRowFunction="sum" dataDxfId="14" totalsRowDxfId="13" dataCellStyle="Porcentaje">
      <calculatedColumnFormula>IFERROR(Tabla467[[#This Row],[Valor Actual]]/Tabla467[[#Totals],[Valor Actual]],0)</calculatedColumnFormula>
    </tableColumn>
    <tableColumn id="16" xr3:uid="{50B62543-BD44-4A66-8755-E63086EF06E3}" name="Rentabilidad" totalsRowFunction="custom" dataDxfId="12" totalsRowDxfId="11" dataCellStyle="Porcentaje">
      <calculatedColumnFormula>IFERROR((Tabla467[[#This Row],[Valor Actual]]-Tabla467[[#This Row],[Importe]])/Tabla467[[#This Row],[Importe]],0)</calculatedColumnFormula>
      <totalsRowFormula>SUMPRODUCT(Tabla467[Rentabilidad],Tabla467[Valor Actual]) / SUM(Tabla467[Valor Actual])</totalsRowFormula>
    </tableColumn>
    <tableColumn id="2" xr3:uid="{5F058DEC-ABF7-4D21-A053-17E33738AE58}" name="Rebalanceo" totalsRowFunction="custom" dataDxfId="10" totalsRowDxfId="9" dataCellStyle="Porcentaje">
      <calculatedColumnFormula>Tabla467[[#This Row],[Peso Ínidce]]-Tabla467[[#This Row],[Peso Cartera Actual]]</calculatedColumnFormula>
      <totalsRowFormula array="1">AVERAGE(ABS(Tabla467[Rebalanceo]))</totalsRowFormula>
    </tableColumn>
    <tableColumn id="20" xr3:uid="{CE0E6510-00F5-43F2-893D-03456CFAC6D4}" name="Cantidad Compra" dataDxfId="8" totalsRowDxfId="7" dataCellStyle="Millares">
      <calculatedColumnFormula>Tabla467[[#This Row],[Valor Compra]]/Tabla467[[#This Row],[Precio Actual]]</calculatedColumnFormula>
    </tableColumn>
    <tableColumn id="9" xr3:uid="{3E4AB3CE-CD5A-48A4-92EA-83A78697279E}" name="Valor Compra" totalsRowFunction="sum" dataDxfId="6" totalsRowDxfId="5" dataCellStyle="Énfasis6">
      <calculatedColumnFormula>Tabla467[[#This Row],[Rebalanceo]]*Tabla467[[#Totals],[Valor Actual]] + $B$1 * Tabla467[[#This Row],[Peso Ínidce]]</calculatedColumnFormula>
    </tableColumn>
    <tableColumn id="14" xr3:uid="{2D60AF42-E005-4CD3-AFC7-FBFC6C360110}" name="Valor Tras Compra" totalsRowFunction="sum" dataDxfId="4" totalsRowDxfId="3">
      <calculatedColumnFormula>Tabla467[[#This Row],[Valor Actual]]+Tabla467[[#This Row],[Valor Compra]]</calculatedColumnFormula>
    </tableColumn>
    <tableColumn id="19" xr3:uid="{C13A00B5-6678-4A8D-B6BB-41E835A26E5E}" name="Peso Tras Compra" totalsRowFunction="sum" dataDxfId="2" totalsRowDxfId="1" dataCellStyle="Porcentaje">
      <calculatedColumnFormula>Tabla467[[#This Row],[Valor Tras Compra]]/Tabla467[[#Totals],[Valor Tras Compra]]</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71FD9A-C52F-46E3-8F87-03DDA9D35F78}" name="Tabla3" displayName="Tabla3" ref="A1:C4" totalsRowShown="0">
  <autoFilter ref="A1:C4" xr:uid="{8671FD9A-C52F-46E3-8F87-03DDA9D35F78}"/>
  <tableColumns count="3">
    <tableColumn id="8" xr3:uid="{02406679-0349-4790-99DD-FF90CA1A45A1}" name="Símbolo bursátil">
      <calculatedColumnFormula array="1">_FV(Tabla3[[#This Row],[Divisa]],"Símbolo bursátil",TRUE)</calculatedColumnFormula>
    </tableColumn>
    <tableColumn id="1" xr3:uid="{55E3E810-6F77-4FB8-9C5D-3099348116E7}" name="Divisa"/>
    <tableColumn id="7" xr3:uid="{A0A09831-6156-479A-BADC-7470EF995456}" name="Precio" dataDxfId="0">
      <calculatedColumnFormula array="1">_FV(Tabla3[[#This Row],[Divisa]],"Precio")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es.investing.com/equities/daimler" TargetMode="External"/><Relationship Id="rId7" Type="http://schemas.openxmlformats.org/officeDocument/2006/relationships/printerSettings" Target="../printerSettings/printerSettings1.bin"/><Relationship Id="rId2" Type="http://schemas.openxmlformats.org/officeDocument/2006/relationships/hyperlink" Target="https://es.investing.com/equities/bay-mot-werke" TargetMode="External"/><Relationship Id="rId1" Type="http://schemas.openxmlformats.org/officeDocument/2006/relationships/hyperlink" Target="https://es.investing.com/equities/inditex" TargetMode="External"/><Relationship Id="rId6" Type="http://schemas.openxmlformats.org/officeDocument/2006/relationships/hyperlink" Target="https://es.investing.com/equities/telefonica" TargetMode="External"/><Relationship Id="rId5" Type="http://schemas.openxmlformats.org/officeDocument/2006/relationships/hyperlink" Target="https://es.investing.com/equities/3m-co" TargetMode="External"/><Relationship Id="rId4" Type="http://schemas.openxmlformats.org/officeDocument/2006/relationships/hyperlink" Target="https://es.investing.com/equities/bbva"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investing.com/funds/renta-4-multigestion-num-pat-gl-chart" TargetMode="External"/><Relationship Id="rId1" Type="http://schemas.openxmlformats.org/officeDocument/2006/relationships/hyperlink" Target="https://www.msci.com/resources/factsheets/index_fact_sheet/msci-world-index.pdf"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msci.com/resources/factsheets/index_fact_sheet/msci-europe-index.pdf" TargetMode="External"/><Relationship Id="rId13" Type="http://schemas.openxmlformats.org/officeDocument/2006/relationships/printerSettings" Target="../printerSettings/printerSettings4.bin"/><Relationship Id="rId3" Type="http://schemas.openxmlformats.org/officeDocument/2006/relationships/hyperlink" Target="https://es.investing.com/funds/ie00bywycc39" TargetMode="External"/><Relationship Id="rId7" Type="http://schemas.openxmlformats.org/officeDocument/2006/relationships/hyperlink" Target="https://es.investing.com/funds/ie00bdrk7r97" TargetMode="External"/><Relationship Id="rId12" Type="http://schemas.openxmlformats.org/officeDocument/2006/relationships/hyperlink" Target="http://www.msci.com/resources/factsheets/index_fact_sheet/msci-japan-index.pdf" TargetMode="External"/><Relationship Id="rId2" Type="http://schemas.openxmlformats.org/officeDocument/2006/relationships/hyperlink" Target="https://es.investing.com/funds/ie00byx5mx67" TargetMode="External"/><Relationship Id="rId1" Type="http://schemas.openxmlformats.org/officeDocument/2006/relationships/hyperlink" Target="http://eu.spindices.com/indices/equity/sp-500" TargetMode="External"/><Relationship Id="rId6" Type="http://schemas.openxmlformats.org/officeDocument/2006/relationships/hyperlink" Target="https://es.investing.com/funds/ie00b42w4l06" TargetMode="External"/><Relationship Id="rId11" Type="http://schemas.openxmlformats.org/officeDocument/2006/relationships/hyperlink" Target="https://www.msci.com/resources/factsheets/index_fact_sheet/msci-world-small-cap-index.pdf" TargetMode="External"/><Relationship Id="rId5" Type="http://schemas.openxmlformats.org/officeDocument/2006/relationships/hyperlink" Target="https://es.investing.com/funds/ie00byx5n771" TargetMode="External"/><Relationship Id="rId15" Type="http://schemas.openxmlformats.org/officeDocument/2006/relationships/table" Target="../tables/table4.xml"/><Relationship Id="rId10" Type="http://schemas.openxmlformats.org/officeDocument/2006/relationships/hyperlink" Target="http://www.msci.com/resources/factsheets/index_fact_sheet/msci-pacific-ex-japan-index-net.pdf" TargetMode="External"/><Relationship Id="rId4" Type="http://schemas.openxmlformats.org/officeDocument/2006/relationships/hyperlink" Target="https://es.investing.com/funds/vanguard-european-stock-inst-acc" TargetMode="External"/><Relationship Id="rId9" Type="http://schemas.openxmlformats.org/officeDocument/2006/relationships/hyperlink" Target="http://www.msci.com/resources/factsheets/index_fact_sheet/msci-emerging-markets-index-usd-net.pdf" TargetMode="External"/><Relationship Id="rId1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E585-43FC-43BA-9FBF-A14A3F2B8A13}">
  <dimension ref="A1:P48"/>
  <sheetViews>
    <sheetView workbookViewId="0">
      <pane xSplit="1" topLeftCell="B1" activePane="topRight" state="frozen"/>
      <selection pane="topRight" activeCell="I5" sqref="I5"/>
    </sheetView>
  </sheetViews>
  <sheetFormatPr baseColWidth="10" defaultRowHeight="15" x14ac:dyDescent="0.25"/>
  <cols>
    <col min="1" max="1" width="10.5703125" bestFit="1" customWidth="1"/>
    <col min="2" max="2" width="49" bestFit="1" customWidth="1"/>
    <col min="3" max="3" width="12.28515625" style="8" bestFit="1" customWidth="1"/>
    <col min="4" max="4" width="10.140625" bestFit="1" customWidth="1"/>
    <col min="5" max="5" width="13.42578125" bestFit="1" customWidth="1"/>
    <col min="6" max="6" width="11" bestFit="1" customWidth="1"/>
    <col min="7" max="7" width="10.140625" bestFit="1" customWidth="1"/>
    <col min="8" max="8" width="10.28515625" customWidth="1"/>
    <col min="9" max="9" width="12.42578125" bestFit="1" customWidth="1"/>
    <col min="13" max="13" width="10.28515625" bestFit="1" customWidth="1"/>
    <col min="14" max="14" width="24.140625" customWidth="1"/>
    <col min="15" max="16" width="23.85546875" bestFit="1" customWidth="1"/>
  </cols>
  <sheetData>
    <row r="1" spans="1:16" s="9" customFormat="1" x14ac:dyDescent="0.25">
      <c r="A1" s="9" t="s">
        <v>26</v>
      </c>
      <c r="B1" s="9" t="s">
        <v>0</v>
      </c>
      <c r="C1" s="9" t="s">
        <v>25</v>
      </c>
      <c r="D1" s="9" t="s">
        <v>1</v>
      </c>
      <c r="E1" s="9" t="s">
        <v>2</v>
      </c>
      <c r="F1" s="9" t="s">
        <v>3</v>
      </c>
      <c r="G1" s="9" t="s">
        <v>4</v>
      </c>
      <c r="H1" s="9" t="s">
        <v>5</v>
      </c>
      <c r="I1" s="9" t="s">
        <v>6</v>
      </c>
      <c r="J1" s="9" t="s">
        <v>7</v>
      </c>
      <c r="K1" s="9" t="s">
        <v>8</v>
      </c>
      <c r="L1" s="9" t="s">
        <v>9</v>
      </c>
      <c r="M1" s="9" t="s">
        <v>10</v>
      </c>
      <c r="N1" s="9" t="s">
        <v>11</v>
      </c>
      <c r="O1" s="9" t="s">
        <v>12</v>
      </c>
      <c r="P1" s="9" t="s">
        <v>13</v>
      </c>
    </row>
    <row r="2" spans="1:16" x14ac:dyDescent="0.25">
      <c r="A2" s="12" t="str" cm="1">
        <f t="array" ref="A2">_FV(Watchlist[[#This Row],[Empresa]],"Símbolo bursátil",TRUE)</f>
        <v>ITX</v>
      </c>
      <c r="B2" s="11" t="e" vm="1">
        <v>#VALUE!</v>
      </c>
      <c r="C2" s="8">
        <f>IF(ISTEXT(VLOOKUP(Watchlist[[#This Row],[Símbolo]],'Cartera de Acciones'!A:A,1,FALSE)),1,0)</f>
        <v>1</v>
      </c>
      <c r="D2" s="1" cm="1">
        <f t="array" ref="D2">_FV(Watchlist[[#This Row],[Empresa]],"Precio")</f>
        <v>21.93</v>
      </c>
      <c r="E2" s="2" cm="1">
        <f t="array" ref="E2">_FV(Watchlist[[#This Row],[Empresa]],"Cambio (%)",TRUE)</f>
        <v>2.1425E-2</v>
      </c>
      <c r="F2" s="3">
        <f>Watchlist[[#This Row],[Precio]]/Watchlist[[#This Row],[BPA]]/100</f>
        <v>0.21086538461538459</v>
      </c>
      <c r="G2" s="3">
        <f>Watchlist[[#This Row],[Dividendo]]/Watchlist[[#This Row],[BPA]]</f>
        <v>0.72432692307692303</v>
      </c>
      <c r="H2" s="1">
        <v>1.04</v>
      </c>
      <c r="I2" s="1">
        <v>0.75329999999999997</v>
      </c>
      <c r="J2" s="3">
        <f>Watchlist[[#This Row],[Dividendo]]/Watchlist[[#This Row],[Precio]]</f>
        <v>3.4350205198358415E-2</v>
      </c>
      <c r="K2" t="str" cm="1">
        <f t="array" ref="K2">_FV(Watchlist[[#This Row],[Empresa]],"Moneda")</f>
        <v>EUR</v>
      </c>
      <c r="L2" s="13" cm="1">
        <f t="array" ref="L2">_FV(Watchlist[[#This Row],[Empresa]],"Máximo")</f>
        <v>21.99</v>
      </c>
      <c r="M2" s="13" cm="1">
        <f t="array" ref="M2">_FV(Watchlist[[#This Row],[Empresa]],"Mínimo")</f>
        <v>20.73</v>
      </c>
      <c r="N2" s="13" cm="1">
        <f t="array" ref="N2">_FV(Watchlist[[#This Row],[Empresa]],"Máximo en 52 semanas",TRUE)</f>
        <v>32.630000000000003</v>
      </c>
      <c r="O2" s="13">
        <f>(Watchlist[[#This Row],[Mínimo en 52 semanas]]+Watchlist[[#This Row],[Máximo en 52 semanas]])/2</f>
        <v>25.587500000000002</v>
      </c>
      <c r="P2" s="13" cm="1">
        <f t="array" ref="P2">_FV(Watchlist[[#This Row],[Empresa]],"Mínimo en 52 semanas",TRUE)</f>
        <v>18.545000000000002</v>
      </c>
    </row>
    <row r="3" spans="1:16" x14ac:dyDescent="0.25">
      <c r="A3" s="12" t="s">
        <v>14</v>
      </c>
      <c r="B3" s="11" t="e" vm="2">
        <v>#VALUE!</v>
      </c>
      <c r="C3" s="8">
        <f>IF(ISTEXT(VLOOKUP(Watchlist[[#This Row],[Símbolo]],'Cartera de Acciones'!A:A,1,FALSE)),1,0)</f>
        <v>0</v>
      </c>
      <c r="D3" s="1" cm="1">
        <f t="array" ref="D3">_FV(Watchlist[[#This Row],[Empresa]],"Precio")</f>
        <v>75.05</v>
      </c>
      <c r="E3" s="2" cm="1">
        <f t="array" ref="E3">_FV(Watchlist[[#This Row],[Empresa]],"Cambio (%)",TRUE)</f>
        <v>-4.7739999999999996E-3</v>
      </c>
      <c r="F3" s="3">
        <f>Watchlist[[#This Row],[Precio]]/Watchlist[[#This Row],[BPA]]/100</f>
        <v>3.9984017048481618E-2</v>
      </c>
      <c r="G3" s="3">
        <f>Watchlist[[#This Row],[Dividendo]]/Watchlist[[#This Row],[BPA]]</f>
        <v>0.30900372935535431</v>
      </c>
      <c r="H3" s="1">
        <v>18.77</v>
      </c>
      <c r="I3" s="1">
        <v>5.8</v>
      </c>
      <c r="J3" s="3">
        <f>Watchlist[[#This Row],[Dividendo]]/Watchlist[[#This Row],[Precio]]</f>
        <v>7.728181212524983E-2</v>
      </c>
      <c r="K3" t="str" cm="1">
        <f t="array" ref="K3">_FV(Watchlist[[#This Row],[Empresa]],"Moneda")</f>
        <v>EUR</v>
      </c>
      <c r="L3" s="13" cm="1">
        <f t="array" ref="L3">_FV(Watchlist[[#This Row],[Empresa]],"Máximo")</f>
        <v>76.47</v>
      </c>
      <c r="M3" s="13" cm="1">
        <f t="array" ref="M3">_FV(Watchlist[[#This Row],[Empresa]],"Mínimo")</f>
        <v>72.739999999999995</v>
      </c>
      <c r="N3" s="13" cm="1">
        <f t="array" ref="N3">_FV(Watchlist[[#This Row],[Empresa]],"Máximo en 52 semanas",TRUE)</f>
        <v>100.44</v>
      </c>
      <c r="O3" s="13">
        <f>(Watchlist[[#This Row],[Mínimo en 52 semanas]]+Watchlist[[#This Row],[Máximo en 52 semanas]])/2</f>
        <v>68.662499999999994</v>
      </c>
      <c r="P3" s="13" cm="1">
        <f t="array" ref="P3">_FV(Watchlist[[#This Row],[Empresa]],"Mínimo en 52 semanas",TRUE)</f>
        <v>36.884999999999998</v>
      </c>
    </row>
    <row r="4" spans="1:16" x14ac:dyDescent="0.25">
      <c r="A4" s="12" t="str" cm="1">
        <f t="array" ref="A4">_FV(Watchlist[[#This Row],[Empresa]],"Símbolo bursátil",TRUE)</f>
        <v>MBG</v>
      </c>
      <c r="B4" s="11" t="e" vm="3">
        <v>#VALUE!</v>
      </c>
      <c r="C4" s="8">
        <f>IF(ISTEXT(VLOOKUP(Watchlist[[#This Row],[Símbolo]],'Cartera de Acciones'!A:A,1,FALSE)),1,0)</f>
        <v>1</v>
      </c>
      <c r="D4" s="1" cm="1">
        <f t="array" ref="D4">_FV(Watchlist[[#This Row],[Empresa]],"Precio")</f>
        <v>58.97</v>
      </c>
      <c r="E4" s="2" cm="1">
        <f t="array" ref="E4">_FV(Watchlist[[#This Row],[Empresa]],"Cambio (%)",TRUE)</f>
        <v>-2.7060000000000001E-3</v>
      </c>
      <c r="F4" s="3">
        <f>Watchlist[[#This Row],[Precio]]/Watchlist[[#This Row],[BPA]]/100</f>
        <v>5.9206827309236945E-2</v>
      </c>
      <c r="G4" s="3">
        <f>Watchlist[[#This Row],[Dividendo]]/Watchlist[[#This Row],[BPA]]</f>
        <v>0.50200803212851397</v>
      </c>
      <c r="H4" s="1">
        <v>9.9600000000000009</v>
      </c>
      <c r="I4" s="1">
        <v>5</v>
      </c>
      <c r="J4" s="3">
        <f>Watchlist[[#This Row],[Dividendo]]/Watchlist[[#This Row],[Precio]]</f>
        <v>8.4788875699508229E-2</v>
      </c>
      <c r="K4" t="str" cm="1">
        <f t="array" ref="K4">_FV(Watchlist[[#This Row],[Empresa]],"Moneda")</f>
        <v>EUR</v>
      </c>
      <c r="L4" s="13" cm="1">
        <f t="array" ref="L4">_FV(Watchlist[[#This Row],[Empresa]],"Máximo")</f>
        <v>59.61</v>
      </c>
      <c r="M4" s="13" cm="1">
        <f t="array" ref="M4">_FV(Watchlist[[#This Row],[Empresa]],"Mínimo")</f>
        <v>56.99</v>
      </c>
      <c r="N4" s="13" cm="1">
        <f t="array" ref="N4">_FV(Watchlist[[#This Row],[Empresa]],"Máximo en 52 semanas",TRUE)</f>
        <v>91.52</v>
      </c>
      <c r="O4" s="13">
        <f>(Watchlist[[#This Row],[Mínimo en 52 semanas]]+Watchlist[[#This Row],[Máximo en 52 semanas]])/2</f>
        <v>56.287499999999994</v>
      </c>
      <c r="P4" s="13" cm="1">
        <f t="array" ref="P4">_FV(Watchlist[[#This Row],[Empresa]],"Mínimo en 52 semanas",TRUE)</f>
        <v>21.055</v>
      </c>
    </row>
    <row r="5" spans="1:16" x14ac:dyDescent="0.25">
      <c r="A5" s="12" t="str" cm="1">
        <f t="array" ref="A5">_FV(Watchlist[[#This Row],[Empresa]],"Símbolo bursátil",TRUE)</f>
        <v>BBVA</v>
      </c>
      <c r="B5" s="11" t="e" vm="4">
        <v>#VALUE!</v>
      </c>
      <c r="C5" s="8">
        <f>IF(ISTEXT(VLOOKUP(Watchlist[[#This Row],[Símbolo]],'Cartera de Acciones'!A:A,1,FALSE)),1,0)</f>
        <v>1</v>
      </c>
      <c r="D5" s="1" cm="1">
        <f t="array" ref="D5">_FV(Watchlist[[#This Row],[Empresa]],"Precio")</f>
        <v>4.343</v>
      </c>
      <c r="E5" s="2" cm="1">
        <f t="array" ref="E5">_FV(Watchlist[[#This Row],[Empresa]],"Cambio (%)",TRUE)</f>
        <v>2.3567999999999999E-2</v>
      </c>
      <c r="F5" s="3">
        <f>Watchlist[[#This Row],[Precio]]/Watchlist[[#This Row],[BPA]]/100</f>
        <v>7.004838709677419E-2</v>
      </c>
      <c r="G5" s="3">
        <f>Watchlist[[#This Row],[Dividendo]]/Watchlist[[#This Row],[BPA]]</f>
        <v>0.64516129032258074</v>
      </c>
      <c r="H5" s="1">
        <v>0.62</v>
      </c>
      <c r="I5" s="1">
        <v>0.4</v>
      </c>
      <c r="J5" s="3">
        <f>Watchlist[[#This Row],[Dividendo]]/Watchlist[[#This Row],[Precio]]</f>
        <v>9.2102233479161869E-2</v>
      </c>
      <c r="K5" t="str" cm="1">
        <f t="array" ref="K5">_FV(Watchlist[[#This Row],[Empresa]],"Moneda")</f>
        <v>EUR</v>
      </c>
      <c r="L5" s="13" cm="1">
        <f t="array" ref="L5">_FV(Watchlist[[#This Row],[Empresa]],"Máximo")</f>
        <v>4.3540000000000001</v>
      </c>
      <c r="M5" s="13" cm="1">
        <f t="array" ref="M5">_FV(Watchlist[[#This Row],[Empresa]],"Mínimo")</f>
        <v>4.2119999999999997</v>
      </c>
      <c r="N5" s="13" cm="1">
        <f t="array" ref="N5">_FV(Watchlist[[#This Row],[Empresa]],"Máximo en 52 semanas",TRUE)</f>
        <v>6.2919999999999998</v>
      </c>
      <c r="O5" s="13">
        <f>(Watchlist[[#This Row],[Mínimo en 52 semanas]]+Watchlist[[#This Row],[Máximo en 52 semanas]])/2</f>
        <v>5.21</v>
      </c>
      <c r="P5" s="13" cm="1">
        <f t="array" ref="P5">_FV(Watchlist[[#This Row],[Empresa]],"Mínimo en 52 semanas",TRUE)</f>
        <v>4.1280000000000001</v>
      </c>
    </row>
    <row r="6" spans="1:16" x14ac:dyDescent="0.25">
      <c r="A6" s="12" t="str" cm="1">
        <f t="array" ref="A6">_FV(Watchlist[[#This Row],[Empresa]],"Símbolo bursátil",TRUE)</f>
        <v>MMM</v>
      </c>
      <c r="B6" s="11" t="e" vm="5">
        <v>#VALUE!</v>
      </c>
      <c r="C6" s="8">
        <f>IF(ISTEXT(VLOOKUP(Watchlist[[#This Row],[Símbolo]],'Cartera de Acciones'!A:A,1,FALSE)),1,0)</f>
        <v>1</v>
      </c>
      <c r="D6" s="4" cm="1">
        <f t="array" ref="D6">_FV(Watchlist[[#This Row],[Empresa]],"Precio")</f>
        <v>134.33000000000001</v>
      </c>
      <c r="E6" s="2" cm="1">
        <f t="array" ref="E6">_FV(Watchlist[[#This Row],[Empresa]],"Cambio (%)",TRUE)</f>
        <v>3.2117E-2</v>
      </c>
      <c r="F6" s="3">
        <f>Watchlist[[#This Row],[Precio]]/Watchlist[[#This Row],[BPA]]/100</f>
        <v>0.13234482758620689</v>
      </c>
      <c r="G6" s="3">
        <f>Watchlist[[#This Row],[Dividendo]]/Watchlist[[#This Row],[BPA]]</f>
        <v>0.587192118226601</v>
      </c>
      <c r="H6" s="5">
        <v>10.15</v>
      </c>
      <c r="I6" s="4">
        <v>5.96</v>
      </c>
      <c r="J6" s="3">
        <f>Watchlist[[#This Row],[Dividendo]]/Watchlist[[#This Row],[Precio]]</f>
        <v>4.4368346609096998E-2</v>
      </c>
      <c r="K6" t="str" cm="1">
        <f t="array" ref="K6">_FV(Watchlist[[#This Row],[Empresa]],"Moneda")</f>
        <v>USD</v>
      </c>
      <c r="L6" s="14" cm="1">
        <f t="array" ref="L6">_FV(Watchlist[[#This Row],[Empresa]],"Máximo")</f>
        <v>134.55000000000001</v>
      </c>
      <c r="M6" s="14" cm="1">
        <f t="array" ref="M6">_FV(Watchlist[[#This Row],[Empresa]],"Mínimo")</f>
        <v>131.24</v>
      </c>
      <c r="N6" s="14" cm="1">
        <f t="array" ref="N6">_FV(Watchlist[[#This Row],[Empresa]],"Máximo en 52 semanas",TRUE)</f>
        <v>203.21</v>
      </c>
      <c r="O6" s="14">
        <f>(Watchlist[[#This Row],[Mínimo en 52 semanas]]+Watchlist[[#This Row],[Máximo en 52 semanas]])/2</f>
        <v>165.7</v>
      </c>
      <c r="P6" s="14" cm="1">
        <f t="array" ref="P6">_FV(Watchlist[[#This Row],[Empresa]],"Mínimo en 52 semanas",TRUE)</f>
        <v>128.19</v>
      </c>
    </row>
    <row r="7" spans="1:16" x14ac:dyDescent="0.25">
      <c r="A7" s="12" t="str" cm="1">
        <f t="array" ref="A7">_FV(Watchlist[[#This Row],[Empresa]],"Símbolo bursátil",TRUE)</f>
        <v>SWKS</v>
      </c>
      <c r="B7" s="11" t="e" vm="6">
        <v>#VALUE!</v>
      </c>
      <c r="C7" s="8">
        <f>IF(ISTEXT(VLOOKUP(Watchlist[[#This Row],[Símbolo]],'Cartera de Acciones'!A:A,1,FALSE)),1,0)</f>
        <v>0</v>
      </c>
      <c r="D7" s="4" cm="1">
        <f t="array" ref="D7">_FV(Watchlist[[#This Row],[Empresa]],"Precio")</f>
        <v>98.03</v>
      </c>
      <c r="E7" s="2" cm="1">
        <f t="array" ref="E7">_FV(Watchlist[[#This Row],[Empresa]],"Cambio (%)",TRUE)</f>
        <v>3.9885000000000004E-2</v>
      </c>
      <c r="F7" s="3">
        <f>Watchlist[[#This Row],[Precio]]/Watchlist[[#This Row],[BPA]]/100</f>
        <v>0.11896844660194175</v>
      </c>
      <c r="G7" s="3">
        <f>Watchlist[[#This Row],[Dividendo]]/Watchlist[[#This Row],[BPA]]</f>
        <v>0.2718446601941748</v>
      </c>
      <c r="H7" s="5">
        <v>8.24</v>
      </c>
      <c r="I7" s="4">
        <v>2.2400000000000002</v>
      </c>
      <c r="J7" s="3">
        <f>Watchlist[[#This Row],[Dividendo]]/Watchlist[[#This Row],[Precio]]</f>
        <v>2.2850147913903909E-2</v>
      </c>
      <c r="K7" t="str" cm="1">
        <f t="array" ref="K7">_FV(Watchlist[[#This Row],[Empresa]],"Moneda")</f>
        <v>USD</v>
      </c>
      <c r="L7" s="14" cm="1">
        <f t="array" ref="L7">_FV(Watchlist[[#This Row],[Empresa]],"Máximo")</f>
        <v>98.37</v>
      </c>
      <c r="M7" s="14" cm="1">
        <f t="array" ref="M7">_FV(Watchlist[[#This Row],[Empresa]],"Mínimo")</f>
        <v>94.86</v>
      </c>
      <c r="N7" s="14" cm="1">
        <f t="array" ref="N7">_FV(Watchlist[[#This Row],[Empresa]],"Máximo en 52 semanas",TRUE)</f>
        <v>197.62</v>
      </c>
      <c r="O7" s="14">
        <f>(Watchlist[[#This Row],[Mínimo en 52 semanas]]+Watchlist[[#This Row],[Máximo en 52 semanas]])/2</f>
        <v>143.19</v>
      </c>
      <c r="P7" s="14" cm="1">
        <f t="array" ref="P7">_FV(Watchlist[[#This Row],[Empresa]],"Mínimo en 52 semanas",TRUE)</f>
        <v>88.76</v>
      </c>
    </row>
    <row r="8" spans="1:16" x14ac:dyDescent="0.25">
      <c r="A8" s="12" t="str" cm="1">
        <f t="array" ref="A8">_FV(Watchlist[[#This Row],[Empresa]],"Símbolo bursátil",TRUE)</f>
        <v>TEF</v>
      </c>
      <c r="B8" s="11" t="e" vm="7">
        <v>#VALUE!</v>
      </c>
      <c r="C8" s="8">
        <f>IF(ISTEXT(VLOOKUP(Watchlist[[#This Row],[Símbolo]],'Cartera de Acciones'!A:A,1,FALSE)),1,0)</f>
        <v>0</v>
      </c>
      <c r="D8" s="1" cm="1">
        <f t="array" ref="D8">_FV(Watchlist[[#This Row],[Empresa]],"Precio")</f>
        <v>4.734</v>
      </c>
      <c r="E8" s="2" cm="1">
        <f t="array" ref="E8">_FV(Watchlist[[#This Row],[Empresa]],"Cambio (%)",TRUE)</f>
        <v>2.7539999999999999E-3</v>
      </c>
      <c r="F8" s="3">
        <f>Watchlist[[#This Row],[Precio]]/Watchlist[[#This Row],[BPA]]/100</f>
        <v>3.3814285714285713E-2</v>
      </c>
      <c r="G8" s="3">
        <f>Watchlist[[#This Row],[Dividendo]]/Watchlist[[#This Row],[BPA]]</f>
        <v>0.17128571428571432</v>
      </c>
      <c r="H8" s="1">
        <v>1.4</v>
      </c>
      <c r="I8" s="1">
        <v>0.23980000000000001</v>
      </c>
      <c r="J8" s="3">
        <f>Watchlist[[#This Row],[Dividendo]]/Watchlist[[#This Row],[Precio]]</f>
        <v>5.0654837346852562E-2</v>
      </c>
      <c r="K8" t="str" cm="1">
        <f t="array" ref="K8">_FV(Watchlist[[#This Row],[Empresa]],"Moneda")</f>
        <v>EUR</v>
      </c>
      <c r="L8" s="13" cm="1">
        <f t="array" ref="L8">_FV(Watchlist[[#This Row],[Empresa]],"Máximo")</f>
        <v>4.74</v>
      </c>
      <c r="M8" s="13" cm="1">
        <f t="array" ref="M8">_FV(Watchlist[[#This Row],[Empresa]],"Mínimo")</f>
        <v>4.6680000000000001</v>
      </c>
      <c r="N8" s="13" cm="1">
        <f t="array" ref="N8">_FV(Watchlist[[#This Row],[Empresa]],"Máximo en 52 semanas",TRUE)</f>
        <v>4.9160000000000004</v>
      </c>
      <c r="O8" s="13">
        <f>(Watchlist[[#This Row],[Mínimo en 52 semanas]]+Watchlist[[#This Row],[Máximo en 52 semanas]])/2</f>
        <v>4.16</v>
      </c>
      <c r="P8" s="13" cm="1">
        <f t="array" ref="P8">_FV(Watchlist[[#This Row],[Empresa]],"Mínimo en 52 semanas",TRUE)</f>
        <v>3.4039999999999999</v>
      </c>
    </row>
    <row r="48" spans="3:3" x14ac:dyDescent="0.25">
      <c r="C48" t="str" cm="1">
        <f t="array" ref="C48">_xlfn.FILTERXML(SUBSTITUTE(SUBSTITUTE(_xlfn.WEBSERVICE("http://financials.morningstar.com/valuate/current-valuation-list.action?&amp;t=MMM&amp;region=USA&amp;culture=&amp;cur=&amp;adsFlag=true"),"&amp;",""),"""",""""),"//tbody/tr[2]/td[4]")</f>
        <v>22.4</v>
      </c>
    </row>
  </sheetData>
  <conditionalFormatting sqref="F2">
    <cfRule type="cellIs" dxfId="141" priority="44" operator="lessThan">
      <formula>0.15</formula>
    </cfRule>
    <cfRule type="cellIs" dxfId="140" priority="45" operator="greaterThan">
      <formula>0.2</formula>
    </cfRule>
    <cfRule type="cellIs" dxfId="139" priority="46" operator="between">
      <formula>15%</formula>
      <formula>20%</formula>
    </cfRule>
  </conditionalFormatting>
  <conditionalFormatting sqref="G2">
    <cfRule type="cellIs" dxfId="138" priority="41" operator="greaterThan">
      <formula>1</formula>
    </cfRule>
    <cfRule type="cellIs" dxfId="137" priority="42" operator="between">
      <formula>0.5</formula>
      <formula>1</formula>
    </cfRule>
    <cfRule type="cellIs" dxfId="136" priority="43" operator="between">
      <formula>0</formula>
      <formula>0.5</formula>
    </cfRule>
  </conditionalFormatting>
  <conditionalFormatting sqref="F3">
    <cfRule type="cellIs" dxfId="135" priority="38" operator="lessThan">
      <formula>0.15</formula>
    </cfRule>
    <cfRule type="cellIs" dxfId="134" priority="39" operator="greaterThan">
      <formula>0.2</formula>
    </cfRule>
    <cfRule type="cellIs" dxfId="133" priority="40" operator="between">
      <formula>15%</formula>
      <formula>20%</formula>
    </cfRule>
  </conditionalFormatting>
  <conditionalFormatting sqref="G3">
    <cfRule type="cellIs" dxfId="132" priority="35" operator="greaterThan">
      <formula>1</formula>
    </cfRule>
    <cfRule type="cellIs" dxfId="131" priority="36" operator="between">
      <formula>0.5</formula>
      <formula>1</formula>
    </cfRule>
    <cfRule type="cellIs" dxfId="130" priority="37" operator="between">
      <formula>0</formula>
      <formula>0.5</formula>
    </cfRule>
  </conditionalFormatting>
  <conditionalFormatting sqref="F4">
    <cfRule type="cellIs" dxfId="129" priority="32" operator="lessThan">
      <formula>0.15</formula>
    </cfRule>
    <cfRule type="cellIs" dxfId="128" priority="33" operator="greaterThan">
      <formula>0.2</formula>
    </cfRule>
    <cfRule type="cellIs" dxfId="127" priority="34" operator="between">
      <formula>15%</formula>
      <formula>20%</formula>
    </cfRule>
  </conditionalFormatting>
  <conditionalFormatting sqref="G4">
    <cfRule type="cellIs" dxfId="126" priority="29" operator="greaterThan">
      <formula>1</formula>
    </cfRule>
    <cfRule type="cellIs" dxfId="125" priority="30" operator="between">
      <formula>0.5</formula>
      <formula>1</formula>
    </cfRule>
    <cfRule type="cellIs" dxfId="124" priority="31" operator="between">
      <formula>0</formula>
      <formula>0.5</formula>
    </cfRule>
  </conditionalFormatting>
  <conditionalFormatting sqref="F5">
    <cfRule type="cellIs" dxfId="123" priority="26" operator="lessThan">
      <formula>0.15</formula>
    </cfRule>
    <cfRule type="cellIs" dxfId="122" priority="27" operator="greaterThan">
      <formula>0.2</formula>
    </cfRule>
    <cfRule type="cellIs" dxfId="121" priority="28" operator="between">
      <formula>15%</formula>
      <formula>20%</formula>
    </cfRule>
  </conditionalFormatting>
  <conditionalFormatting sqref="G5">
    <cfRule type="cellIs" dxfId="120" priority="23" operator="greaterThan">
      <formula>1</formula>
    </cfRule>
    <cfRule type="cellIs" dxfId="119" priority="24" operator="between">
      <formula>0.5</formula>
      <formula>1</formula>
    </cfRule>
    <cfRule type="cellIs" dxfId="118" priority="25" operator="between">
      <formula>0</formula>
      <formula>0.5</formula>
    </cfRule>
  </conditionalFormatting>
  <conditionalFormatting sqref="F6">
    <cfRule type="cellIs" dxfId="117" priority="20" operator="lessThan">
      <formula>0.15</formula>
    </cfRule>
    <cfRule type="cellIs" dxfId="116" priority="21" operator="greaterThan">
      <formula>0.2</formula>
    </cfRule>
    <cfRule type="cellIs" dxfId="115" priority="22" operator="between">
      <formula>15%</formula>
      <formula>20%</formula>
    </cfRule>
  </conditionalFormatting>
  <conditionalFormatting sqref="G6">
    <cfRule type="cellIs" dxfId="114" priority="17" operator="greaterThan">
      <formula>1</formula>
    </cfRule>
    <cfRule type="cellIs" dxfId="113" priority="18" operator="between">
      <formula>0.5</formula>
      <formula>1</formula>
    </cfRule>
    <cfRule type="cellIs" dxfId="112" priority="19" operator="between">
      <formula>0</formula>
      <formula>0.5</formula>
    </cfRule>
  </conditionalFormatting>
  <conditionalFormatting sqref="F7">
    <cfRule type="cellIs" dxfId="111" priority="14" operator="lessThan">
      <formula>0.15</formula>
    </cfRule>
    <cfRule type="cellIs" dxfId="110" priority="15" operator="greaterThan">
      <formula>0.2</formula>
    </cfRule>
    <cfRule type="cellIs" dxfId="109" priority="16" operator="between">
      <formula>15%</formula>
      <formula>20%</formula>
    </cfRule>
  </conditionalFormatting>
  <conditionalFormatting sqref="G7">
    <cfRule type="cellIs" dxfId="108" priority="11" operator="greaterThan">
      <formula>1</formula>
    </cfRule>
    <cfRule type="cellIs" dxfId="107" priority="12" operator="between">
      <formula>0.5</formula>
      <formula>1</formula>
    </cfRule>
    <cfRule type="cellIs" dxfId="106" priority="13" operator="between">
      <formula>0</formula>
      <formula>0.5</formula>
    </cfRule>
  </conditionalFormatting>
  <conditionalFormatting sqref="F8">
    <cfRule type="cellIs" dxfId="105" priority="7" operator="lessThan">
      <formula>0.15</formula>
    </cfRule>
    <cfRule type="cellIs" dxfId="104" priority="8" operator="greaterThan">
      <formula>0.2</formula>
    </cfRule>
    <cfRule type="cellIs" dxfId="103" priority="9" operator="between">
      <formula>15%</formula>
      <formula>20%</formula>
    </cfRule>
  </conditionalFormatting>
  <conditionalFormatting sqref="G8">
    <cfRule type="cellIs" dxfId="102" priority="4" operator="greaterThan">
      <formula>1</formula>
    </cfRule>
    <cfRule type="cellIs" dxfId="101" priority="5" operator="between">
      <formula>0.5</formula>
      <formula>1</formula>
    </cfRule>
    <cfRule type="cellIs" dxfId="100" priority="6" operator="between">
      <formula>0</formula>
      <formula>0.5</formula>
    </cfRule>
  </conditionalFormatting>
  <conditionalFormatting sqref="C8">
    <cfRule type="iconSet" priority="2">
      <iconSet iconSet="3Symbols2" showValue="0">
        <cfvo type="percent" val="0"/>
        <cfvo type="num" val="0.1"/>
        <cfvo type="num" val="1"/>
      </iconSet>
    </cfRule>
  </conditionalFormatting>
  <conditionalFormatting sqref="C2:C7">
    <cfRule type="iconSet" priority="1">
      <iconSet iconSet="3Symbols2" showValue="0">
        <cfvo type="percent" val="0"/>
        <cfvo type="num" val="0.1"/>
        <cfvo type="num" val="1"/>
      </iconSet>
    </cfRule>
  </conditionalFormatting>
  <hyperlinks>
    <hyperlink ref="A2" r:id="rId1" display="https://es.investing.com/equities/inditex" xr:uid="{A5002B29-7EB5-4C57-BDF1-BD865AB4E5EA}"/>
    <hyperlink ref="A3" r:id="rId2" display="BMW" xr:uid="{F8402C4E-8829-4B1C-BA15-456CADCA9E08}"/>
    <hyperlink ref="A4" r:id="rId3" display="https://es.investing.com/equities/daimler" xr:uid="{2E02A26D-15B3-4A2E-B557-369211BFBD3F}"/>
    <hyperlink ref="A5" r:id="rId4" display="https://es.investing.com/equities/bbva" xr:uid="{F5816E96-8D4D-47F8-B9E9-C3E9C33D014D}"/>
    <hyperlink ref="A6" r:id="rId5" display="https://es.investing.com/equities/3m-co" xr:uid="{12A7B486-EC5E-48C9-83C8-816FDF5F07DF}"/>
    <hyperlink ref="A8" r:id="rId6" display="https://es.investing.com/equities/telefonica" xr:uid="{553D480A-9E4F-4D65-9E4A-722633413603}"/>
  </hyperlinks>
  <pageMargins left="0.7" right="0.7" top="0.75" bottom="0.75" header="0.3" footer="0.3"/>
  <pageSetup paperSize="9" orientation="portrait" horizontalDpi="4294967293" verticalDpi="0"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1B710-DFE3-497D-9998-E5FABC241343}">
  <dimension ref="A1:S6"/>
  <sheetViews>
    <sheetView zoomScaleNormal="100" workbookViewId="0">
      <pane xSplit="1" topLeftCell="B1" activePane="topRight" state="frozen"/>
      <selection pane="topRight" activeCell="P5" sqref="P5"/>
    </sheetView>
  </sheetViews>
  <sheetFormatPr baseColWidth="10" defaultRowHeight="15" x14ac:dyDescent="0.25"/>
  <cols>
    <col min="1" max="1" width="11.28515625" bestFit="1" customWidth="1"/>
    <col min="2" max="2" width="49" bestFit="1" customWidth="1"/>
    <col min="3" max="3" width="11.140625" bestFit="1" customWidth="1"/>
    <col min="4" max="4" width="10.140625" bestFit="1" customWidth="1"/>
    <col min="5" max="5" width="12.140625" bestFit="1" customWidth="1"/>
    <col min="6" max="6" width="10.7109375" bestFit="1" customWidth="1"/>
    <col min="7" max="7" width="18.42578125" hidden="1" customWidth="1"/>
    <col min="8" max="8" width="20" hidden="1" customWidth="1"/>
    <col min="9" max="9" width="14.42578125" style="6" bestFit="1" customWidth="1"/>
    <col min="10" max="10" width="21.28515625" bestFit="1" customWidth="1"/>
    <col min="11" max="11" width="22.7109375" hidden="1" customWidth="1"/>
    <col min="12" max="12" width="17.7109375" bestFit="1" customWidth="1"/>
    <col min="13" max="13" width="14.85546875" bestFit="1" customWidth="1"/>
    <col min="14" max="14" width="14.28515625" customWidth="1"/>
    <col min="15" max="15" width="15.42578125" bestFit="1" customWidth="1"/>
    <col min="16" max="16" width="20.5703125" style="6" bestFit="1" customWidth="1"/>
    <col min="17" max="17" width="12.7109375" bestFit="1" customWidth="1"/>
    <col min="18" max="18" width="14.5703125" bestFit="1" customWidth="1"/>
    <col min="19" max="19" width="21" bestFit="1" customWidth="1"/>
    <col min="20" max="20" width="20.5703125" bestFit="1" customWidth="1"/>
    <col min="21" max="21" width="12.7109375" bestFit="1" customWidth="1"/>
    <col min="22" max="22" width="14.5703125" bestFit="1" customWidth="1"/>
    <col min="23" max="23" width="21" bestFit="1" customWidth="1"/>
  </cols>
  <sheetData>
    <row r="1" spans="1:19" x14ac:dyDescent="0.25">
      <c r="A1" t="s">
        <v>26</v>
      </c>
      <c r="B1" t="s">
        <v>0</v>
      </c>
      <c r="C1" t="s">
        <v>15</v>
      </c>
      <c r="D1" t="s">
        <v>1</v>
      </c>
      <c r="E1" t="s">
        <v>33</v>
      </c>
      <c r="F1" t="s">
        <v>8</v>
      </c>
      <c r="G1" t="s">
        <v>35</v>
      </c>
      <c r="H1" t="s">
        <v>36</v>
      </c>
      <c r="I1" s="6" t="s">
        <v>34</v>
      </c>
      <c r="J1" t="s">
        <v>16</v>
      </c>
      <c r="K1" t="s">
        <v>31</v>
      </c>
      <c r="L1" t="s">
        <v>20</v>
      </c>
      <c r="M1" t="s">
        <v>17</v>
      </c>
      <c r="N1" t="s">
        <v>18</v>
      </c>
      <c r="O1" t="s">
        <v>32</v>
      </c>
      <c r="P1" s="6" t="s">
        <v>19</v>
      </c>
      <c r="Q1" t="s">
        <v>21</v>
      </c>
      <c r="R1" t="s">
        <v>22</v>
      </c>
      <c r="S1" t="s">
        <v>23</v>
      </c>
    </row>
    <row r="2" spans="1:19" x14ac:dyDescent="0.25">
      <c r="A2" s="11" t="str" cm="1">
        <f t="array" ref="A2">_FV(Tabla2[[#This Row],[Empresa]],"Símbolo bursátil",TRUE)</f>
        <v>ITX</v>
      </c>
      <c r="B2" s="11" t="e" vm="1">
        <v>#VALUE!</v>
      </c>
      <c r="C2">
        <v>100</v>
      </c>
      <c r="D2" s="1">
        <v>22</v>
      </c>
      <c r="E2" s="1">
        <f>Tabla2[[#This Row],[Cantidad]]*Tabla2[[#This Row],[Precio]]</f>
        <v>2200</v>
      </c>
      <c r="F2" s="1" t="str" cm="1">
        <f t="array" ref="F2">_FV(Tabla2[[#This Row],[Empresa]],"Moneda")</f>
        <v>EUR</v>
      </c>
      <c r="G2" s="1">
        <f>VLOOKUP(Tabla2[[#This Row],[Moneda]] &amp; "EUR",Divisas!A:C,3,FALSE) * Tabla2[[#This Row],[Precio]]</f>
        <v>22</v>
      </c>
      <c r="H2" s="1">
        <f>Tabla2[[#This Row],[Cantidad]]*Tabla2[[#This Row],[Precio €]]</f>
        <v>2200</v>
      </c>
      <c r="I2" s="6">
        <f>Tabla2[[#This Row],[Importe €]]/Tabla2[[#Totals],[Importe €]]</f>
        <v>0.2528120049481285</v>
      </c>
      <c r="J2" s="1">
        <v>1.5</v>
      </c>
      <c r="K2" s="1">
        <f>VLOOKUP(Tabla2[[#This Row],[Moneda]] &amp; "EUR",Divisas!A:C,3,FALSE) * Tabla2[[#This Row],[Ingresos Dividendos]]</f>
        <v>1.5</v>
      </c>
      <c r="L2" s="6">
        <f>Tabla2[[#This Row],[Ingresos Dividendos €]]/Tabla2[[#Totals],[Ingresos Dividendos €]]</f>
        <v>6.4415391671347508E-2</v>
      </c>
      <c r="M2" s="1" cm="1">
        <f t="array" ref="M2">_FV(Tabla2[[#This Row],[Empresa]],"Precio")</f>
        <v>21.93</v>
      </c>
      <c r="N2" s="1">
        <f>Tabla2[[#This Row],[Cantidad]]*Tabla2[[#This Row],[Precio Actual]]</f>
        <v>2193</v>
      </c>
      <c r="O2" s="1">
        <f>VLOOKUP(Tabla2[[#This Row],[Moneda]] &amp; "EUR",Divisas!A:C,3,FALSE) * Tabla2[[#This Row],[Valor Actual]]</f>
        <v>2193</v>
      </c>
      <c r="P2" s="6">
        <f>Tabla2[[#This Row],[Valor Actual €]]/Tabla2[[#Totals],[Valor Actual €]]</f>
        <v>0.24330627670568883</v>
      </c>
      <c r="Q2" s="1">
        <f>Tabla2[[#This Row],[Valor Actual]]+Tabla2[[#This Row],[Ingresos Dividendos]]</f>
        <v>2194.5</v>
      </c>
      <c r="R2" s="3">
        <f>IFERROR((Tabla2[[#This Row],[Valor + Div]]-Tabla2[[#This Row],[Importe]])/Tabla2[[#This Row],[Importe]],0)</f>
        <v>-2.5000000000000001E-3</v>
      </c>
      <c r="S2" s="3">
        <f>IFERROR((Tabla2[[#This Row],[Valor Actual]]-Tabla2[[#This Row],[Importe]])/Tabla2[[#This Row],[Importe]],0)</f>
        <v>-3.1818181818181819E-3</v>
      </c>
    </row>
    <row r="3" spans="1:19" x14ac:dyDescent="0.25">
      <c r="A3" s="11" t="str" cm="1">
        <f t="array" ref="A3">_FV(Tabla2[[#This Row],[Empresa]],"Símbolo bursátil",TRUE)</f>
        <v>BBVA</v>
      </c>
      <c r="B3" s="11" t="e" vm="4">
        <v>#VALUE!</v>
      </c>
      <c r="C3">
        <v>500</v>
      </c>
      <c r="D3" s="1">
        <v>4.24</v>
      </c>
      <c r="E3" s="1">
        <f>Tabla2[[#This Row],[Cantidad]]*Tabla2[[#This Row],[Precio]]</f>
        <v>2120</v>
      </c>
      <c r="F3" s="1" t="str" cm="1">
        <f t="array" ref="F3">_FV(Tabla2[[#This Row],[Empresa]],"Moneda")</f>
        <v>EUR</v>
      </c>
      <c r="G3" s="1">
        <f>VLOOKUP(Tabla2[[#This Row],[Moneda]] &amp; "EUR",Divisas!A:C,3,FALSE) * Tabla2[[#This Row],[Precio]]</f>
        <v>4.24</v>
      </c>
      <c r="H3" s="1">
        <f>Tabla2[[#This Row],[Cantidad]]*Tabla2[[#This Row],[Precio €]]</f>
        <v>2120</v>
      </c>
      <c r="I3" s="6">
        <f>Tabla2[[#This Row],[Importe €]]/Tabla2[[#Totals],[Importe €]]</f>
        <v>0.24361884113183294</v>
      </c>
      <c r="J3" s="1">
        <v>0.8</v>
      </c>
      <c r="K3" s="1">
        <f>VLOOKUP(Tabla2[[#This Row],[Moneda]] &amp; "EUR",Divisas!A:C,3,FALSE) * Tabla2[[#This Row],[Ingresos Dividendos]]</f>
        <v>0.8</v>
      </c>
      <c r="L3" s="6">
        <f>Tabla2[[#This Row],[Ingresos Dividendos €]]/Tabla2[[#Totals],[Ingresos Dividendos €]]</f>
        <v>3.4354875558052007E-2</v>
      </c>
      <c r="M3" s="1" cm="1">
        <f t="array" ref="M3">_FV(Tabla2[[#This Row],[Empresa]],"Precio")</f>
        <v>4.343</v>
      </c>
      <c r="N3" s="1">
        <f>Tabla2[[#This Row],[Cantidad]]*Tabla2[[#This Row],[Precio Actual]]</f>
        <v>2171.5</v>
      </c>
      <c r="O3" s="1">
        <f>VLOOKUP(Tabla2[[#This Row],[Moneda]] &amp; "EUR",Divisas!A:C,3,FALSE) * Tabla2[[#This Row],[Valor Actual]]</f>
        <v>2171.5</v>
      </c>
      <c r="P3" s="6">
        <f>Tabla2[[#This Row],[Valor Actual €]]/Tabla2[[#Totals],[Valor Actual €]]</f>
        <v>0.24092092105171151</v>
      </c>
      <c r="Q3" s="1">
        <f>Tabla2[[#This Row],[Valor Actual]]+Tabla2[[#This Row],[Ingresos Dividendos]]</f>
        <v>2172.3000000000002</v>
      </c>
      <c r="R3" s="3">
        <f>IFERROR((Tabla2[[#This Row],[Valor + Div]]-Tabla2[[#This Row],[Importe]])/Tabla2[[#This Row],[Importe]],0)</f>
        <v>2.4669811320754804E-2</v>
      </c>
      <c r="S3" s="3">
        <f>IFERROR((Tabla2[[#This Row],[Valor Actual]]-Tabla2[[#This Row],[Importe]])/Tabla2[[#This Row],[Importe]],0)</f>
        <v>2.4292452830188681E-2</v>
      </c>
    </row>
    <row r="4" spans="1:19" x14ac:dyDescent="0.25">
      <c r="A4" s="11" t="str" cm="1">
        <f t="array" ref="A4">_FV(Tabla2[[#This Row],[Empresa]],"Símbolo bursátil",TRUE)</f>
        <v>MBG</v>
      </c>
      <c r="B4" s="11" t="e" vm="3">
        <v>#VALUE!</v>
      </c>
      <c r="C4">
        <v>40</v>
      </c>
      <c r="D4" s="1">
        <v>55</v>
      </c>
      <c r="E4" s="1">
        <f>Tabla2[[#This Row],[Cantidad]]*Tabla2[[#This Row],[Precio]]</f>
        <v>2200</v>
      </c>
      <c r="F4" s="1" t="str" cm="1">
        <f t="array" ref="F4">_FV(Tabla2[[#This Row],[Empresa]],"Moneda")</f>
        <v>EUR</v>
      </c>
      <c r="G4" s="1">
        <f>VLOOKUP(Tabla2[[#This Row],[Moneda]] &amp; "EUR",Divisas!A:C,3,FALSE) * Tabla2[[#This Row],[Precio]]</f>
        <v>55</v>
      </c>
      <c r="H4" s="1">
        <f>Tabla2[[#This Row],[Cantidad]]*Tabla2[[#This Row],[Precio €]]</f>
        <v>2200</v>
      </c>
      <c r="I4" s="6">
        <f>Tabla2[[#This Row],[Importe €]]/Tabla2[[#Totals],[Importe €]]</f>
        <v>0.2528120049481285</v>
      </c>
      <c r="J4" s="1">
        <v>10</v>
      </c>
      <c r="K4" s="1">
        <f>VLOOKUP(Tabla2[[#This Row],[Moneda]] &amp; "EUR",Divisas!A:C,3,FALSE) * Tabla2[[#This Row],[Ingresos Dividendos]]</f>
        <v>10</v>
      </c>
      <c r="L4" s="6">
        <f>Tabla2[[#This Row],[Ingresos Dividendos €]]/Tabla2[[#Totals],[Ingresos Dividendos €]]</f>
        <v>0.42943594447565009</v>
      </c>
      <c r="M4" s="1" cm="1">
        <f t="array" ref="M4">_FV(Tabla2[[#This Row],[Empresa]],"Precio")</f>
        <v>58.97</v>
      </c>
      <c r="N4" s="1">
        <f>Tabla2[[#This Row],[Cantidad]]*Tabla2[[#This Row],[Precio Actual]]</f>
        <v>2358.8000000000002</v>
      </c>
      <c r="O4" s="1">
        <f>VLOOKUP(Tabla2[[#This Row],[Moneda]] &amp; "EUR",Divisas!A:C,3,FALSE) * Tabla2[[#This Row],[Valor Actual]]</f>
        <v>2358.8000000000002</v>
      </c>
      <c r="P4" s="6">
        <f>Tabla2[[#This Row],[Valor Actual €]]/Tabla2[[#Totals],[Valor Actual €]]</f>
        <v>0.2617012519349653</v>
      </c>
      <c r="Q4" s="1">
        <f>Tabla2[[#This Row],[Valor Actual]]+Tabla2[[#This Row],[Ingresos Dividendos]]</f>
        <v>2368.8000000000002</v>
      </c>
      <c r="R4" s="3">
        <f>IFERROR((Tabla2[[#This Row],[Valor + Div]]-Tabla2[[#This Row],[Importe]])/Tabla2[[#This Row],[Importe]],0)</f>
        <v>7.6727272727272811E-2</v>
      </c>
      <c r="S4" s="3">
        <f>IFERROR((Tabla2[[#This Row],[Valor Actual]]-Tabla2[[#This Row],[Importe]])/Tabla2[[#This Row],[Importe]],0)</f>
        <v>7.2181818181818264E-2</v>
      </c>
    </row>
    <row r="5" spans="1:19" x14ac:dyDescent="0.25">
      <c r="A5" s="11" t="str" cm="1">
        <f t="array" ref="A5">_FV(Tabla2[[#This Row],[Empresa]],"Símbolo bursátil",TRUE)</f>
        <v>MMM</v>
      </c>
      <c r="B5" s="11" t="e" vm="5">
        <v>#VALUE!</v>
      </c>
      <c r="C5">
        <v>18</v>
      </c>
      <c r="D5" s="20">
        <v>128</v>
      </c>
      <c r="E5" s="20">
        <f>Tabla2[[#This Row],[Cantidad]]*Tabla2[[#This Row],[Precio]]</f>
        <v>2304</v>
      </c>
      <c r="F5" s="1" t="str" cm="1">
        <f t="array" ref="F5">_FV(Tabla2[[#This Row],[Empresa]],"Moneda")</f>
        <v>USD</v>
      </c>
      <c r="G5" s="1">
        <f>VLOOKUP(Tabla2[[#This Row],[Moneda]] &amp; "EUR",Divisas!A:C,3,FALSE) * Tabla2[[#This Row],[Precio]]</f>
        <v>121.22880000000001</v>
      </c>
      <c r="H5" s="1">
        <f>Tabla2[[#This Row],[Cantidad]]*Tabla2[[#This Row],[Precio €]]</f>
        <v>2182.1184000000003</v>
      </c>
      <c r="I5" s="6">
        <f>Tabla2[[#This Row],[Importe €]]/Tabla2[[#Totals],[Importe €]]</f>
        <v>0.25075714897191015</v>
      </c>
      <c r="J5" s="20">
        <v>11.6</v>
      </c>
      <c r="K5" s="1">
        <f>VLOOKUP(Tabla2[[#This Row],[Moneda]] &amp; "EUR",Divisas!A:C,3,FALSE) * Tabla2[[#This Row],[Ingresos Dividendos]]</f>
        <v>10.986359999999999</v>
      </c>
      <c r="L5" s="6">
        <f>Tabla2[[#This Row],[Ingresos Dividendos €]]/Tabla2[[#Totals],[Ingresos Dividendos €]]</f>
        <v>0.47179378829495028</v>
      </c>
      <c r="M5" s="20" cm="1">
        <f t="array" ref="M5">_FV(Tabla2[[#This Row],[Empresa]],"Precio")</f>
        <v>134.33000000000001</v>
      </c>
      <c r="N5" s="20">
        <f>Tabla2[[#This Row],[Cantidad]]*Tabla2[[#This Row],[Precio Actual]]</f>
        <v>2417.94</v>
      </c>
      <c r="O5" s="1">
        <f>VLOOKUP(Tabla2[[#This Row],[Moneda]] &amp; "EUR",Divisas!A:C,3,FALSE) * Tabla2[[#This Row],[Valor Actual]]</f>
        <v>2290.0309740000002</v>
      </c>
      <c r="P5" s="6">
        <f>Tabla2[[#This Row],[Valor Actual €]]/Tabla2[[#Totals],[Valor Actual €]]</f>
        <v>0.2540715503076344</v>
      </c>
      <c r="Q5" s="20">
        <f>Tabla2[[#This Row],[Valor Actual]]+Tabla2[[#This Row],[Ingresos Dividendos]]</f>
        <v>2429.54</v>
      </c>
      <c r="R5" s="3">
        <f>IFERROR((Tabla2[[#This Row],[Valor + Div]]-Tabla2[[#This Row],[Importe]])/Tabla2[[#This Row],[Importe]],0)</f>
        <v>5.4487847222222205E-2</v>
      </c>
      <c r="S5" s="3">
        <f>IFERROR((Tabla2[[#This Row],[Valor Actual]]-Tabla2[[#This Row],[Importe]])/Tabla2[[#This Row],[Importe]],0)</f>
        <v>4.9453125000000021E-2</v>
      </c>
    </row>
    <row r="6" spans="1:19" x14ac:dyDescent="0.25">
      <c r="A6" s="11" t="s">
        <v>24</v>
      </c>
      <c r="B6" s="11"/>
      <c r="C6">
        <f>SUBTOTAL(109,Tabla2[Cantidad])</f>
        <v>658</v>
      </c>
      <c r="D6" s="1"/>
      <c r="E6" s="1"/>
      <c r="H6" s="1">
        <f>SUBTOTAL(109,Tabla2[Importe €])</f>
        <v>8702.1183999999994</v>
      </c>
      <c r="I6" s="27">
        <f>SUBTOTAL(109,Tabla2[Peso Cartera])</f>
        <v>1</v>
      </c>
      <c r="J6" s="1">
        <f>SUBTOTAL(109,Tabla2[Ingresos Dividendos])</f>
        <v>23.9</v>
      </c>
      <c r="K6" s="1">
        <f>SUBTOTAL(109,Tabla2[Ingresos Dividendos €])</f>
        <v>23.286360000000002</v>
      </c>
      <c r="L6" s="7">
        <f>SUBTOTAL(109,Tabla2[Peso Cartera Div])</f>
        <v>1</v>
      </c>
      <c r="N6" s="1"/>
      <c r="O6" s="1">
        <f>SUBTOTAL(109,Tabla2[Valor Actual €])</f>
        <v>9013.3309740000004</v>
      </c>
      <c r="P6" s="27">
        <f>SUBTOTAL(109,Tabla2[Peso Cartera Actual])</f>
        <v>1</v>
      </c>
      <c r="Q6" s="1"/>
      <c r="R6" s="2">
        <f>SUMPRODUCT(Tabla2[Rentabilidad],Tabla2[Valor Actual €]) / SUM(Tabla2[Valor Actual €])</f>
        <v>3.9258643120762306E-2</v>
      </c>
      <c r="S6" s="2">
        <f>SUMPRODUCT(Tabla2[Rentabilidad sin Div],Tabla2[Valor Actual €]) / SUM(Tabla2[Valor Actual €])</f>
        <v>3.6533108096912778E-2</v>
      </c>
    </row>
  </sheetData>
  <conditionalFormatting sqref="R6:S6">
    <cfRule type="cellIs" dxfId="83" priority="8" operator="greaterThan">
      <formula>0</formula>
    </cfRule>
    <cfRule type="cellIs" dxfId="82" priority="9" operator="lessThan">
      <formula>0</formula>
    </cfRule>
  </conditionalFormatting>
  <conditionalFormatting sqref="R2:R5">
    <cfRule type="cellIs" dxfId="81" priority="3" operator="lessThan">
      <formula>0</formula>
    </cfRule>
    <cfRule type="cellIs" dxfId="80" priority="4" operator="greaterThan">
      <formula>0</formula>
    </cfRule>
  </conditionalFormatting>
  <conditionalFormatting sqref="S2:S5">
    <cfRule type="cellIs" dxfId="79" priority="1" operator="lessThan">
      <formula>0</formula>
    </cfRule>
    <cfRule type="cellIs" dxfId="78" priority="2" operator="greaterThan">
      <formula>0</formula>
    </cfRule>
  </conditionalFormatting>
  <pageMargins left="0.7" right="0.7" top="0.75" bottom="0.75" header="0.3" footer="0.3"/>
  <pageSetup paperSize="9" orientation="portrait" horizontalDpi="4294967293"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79078-F6FD-4974-91A5-1E404A8A25CC}">
  <dimension ref="A1:M8"/>
  <sheetViews>
    <sheetView workbookViewId="0">
      <pane xSplit="1" topLeftCell="B1" activePane="topRight" state="frozen"/>
      <selection pane="topRight" activeCell="I15" sqref="I15"/>
    </sheetView>
  </sheetViews>
  <sheetFormatPr baseColWidth="10" defaultRowHeight="15" x14ac:dyDescent="0.25"/>
  <cols>
    <col min="1" max="1" width="47.85546875" bestFit="1" customWidth="1"/>
    <col min="2" max="2" width="13" bestFit="1" customWidth="1"/>
    <col min="3" max="3" width="6.42578125" bestFit="1" customWidth="1"/>
    <col min="4" max="4" width="11.140625" bestFit="1" customWidth="1"/>
    <col min="5" max="5" width="8.85546875" bestFit="1" customWidth="1"/>
    <col min="6" max="6" width="10.42578125" bestFit="1" customWidth="1"/>
    <col min="7" max="7" width="10.7109375" bestFit="1" customWidth="1"/>
    <col min="8" max="8" width="17.140625" bestFit="1" customWidth="1"/>
    <col min="9" max="9" width="11.28515625" bestFit="1" customWidth="1"/>
    <col min="10" max="10" width="14.85546875" bestFit="1" customWidth="1"/>
    <col min="11" max="11" width="14" bestFit="1" customWidth="1"/>
    <col min="12" max="12" width="20.5703125" bestFit="1" customWidth="1"/>
    <col min="13" max="14" width="14.5703125" bestFit="1" customWidth="1"/>
  </cols>
  <sheetData>
    <row r="1" spans="1:13" x14ac:dyDescent="0.25">
      <c r="A1" t="s">
        <v>37</v>
      </c>
      <c r="B1" t="s">
        <v>39</v>
      </c>
      <c r="C1" t="s">
        <v>52</v>
      </c>
      <c r="D1" t="s">
        <v>15</v>
      </c>
      <c r="E1" t="s">
        <v>1</v>
      </c>
      <c r="F1" t="s">
        <v>33</v>
      </c>
      <c r="G1" t="s">
        <v>8</v>
      </c>
      <c r="H1" t="s">
        <v>45</v>
      </c>
      <c r="I1" t="s">
        <v>41</v>
      </c>
      <c r="J1" t="s">
        <v>17</v>
      </c>
      <c r="K1" t="s">
        <v>18</v>
      </c>
      <c r="L1" t="s">
        <v>19</v>
      </c>
      <c r="M1" t="s">
        <v>22</v>
      </c>
    </row>
    <row r="2" spans="1:13" x14ac:dyDescent="0.25">
      <c r="A2" s="17" t="s">
        <v>38</v>
      </c>
      <c r="B2" t="s">
        <v>43</v>
      </c>
      <c r="C2" s="3">
        <v>1.6400000000000001E-2</v>
      </c>
      <c r="D2" s="15">
        <v>100</v>
      </c>
      <c r="E2" s="16">
        <v>17.265640999999999</v>
      </c>
      <c r="F2" s="16">
        <f>Tabla4[[#This Row],[Cantidad]]*Tabla4[[#This Row],[Precio]]</f>
        <v>1726.5640999999998</v>
      </c>
      <c r="G2" t="s">
        <v>40</v>
      </c>
      <c r="H2" s="6">
        <f>IFERROR(Tabla4[[#This Row],[Importe]]/Tabla4[[#Totals],[Importe]],0)</f>
        <v>1</v>
      </c>
      <c r="I2" s="17" t="s">
        <v>44</v>
      </c>
      <c r="J2" s="16">
        <v>14.568</v>
      </c>
      <c r="K2" s="16">
        <f>Tabla4[[#This Row],[Precio Actual]]*Tabla4[[#This Row],[Cantidad]]</f>
        <v>1456.8</v>
      </c>
      <c r="L2" s="6">
        <f>IFERROR(Tabla4[[#This Row],[Valor Actual]]/Tabla4[[#Totals],[Valor Actual]],0)</f>
        <v>1</v>
      </c>
      <c r="M2" s="3">
        <f>IFERROR((Tabla4[[#This Row],[Valor Actual]]-Tabla4[[#This Row],[Importe]])/Tabla4[[#This Row],[Importe]],0)</f>
        <v>-0.1562433158432982</v>
      </c>
    </row>
    <row r="3" spans="1:13" x14ac:dyDescent="0.25">
      <c r="A3" s="19"/>
      <c r="B3" t="s">
        <v>24</v>
      </c>
      <c r="C3" s="8"/>
      <c r="D3" s="15">
        <f>SUBTOTAL(109,Tabla4[Cantidad])</f>
        <v>100</v>
      </c>
      <c r="F3" s="16">
        <f>SUBTOTAL(109,Tabla4[Importe])</f>
        <v>1726.5640999999998</v>
      </c>
      <c r="I3" s="19"/>
      <c r="K3" s="16">
        <f>SUBTOTAL(109,Tabla4[Valor Actual])</f>
        <v>1456.8</v>
      </c>
      <c r="L3" s="7">
        <f>SUBTOTAL(109,Tabla4[Peso Cartera Actual])</f>
        <v>1</v>
      </c>
      <c r="M3" s="21">
        <f>SUMPRODUCT(Tabla4[Rentabilidad],Tabla4[Valor Actual]) / SUM(Tabla4[Valor Actual])</f>
        <v>-0.1562433158432982</v>
      </c>
    </row>
    <row r="4" spans="1:13" x14ac:dyDescent="0.25">
      <c r="C4" s="8"/>
      <c r="D4" s="8"/>
    </row>
    <row r="5" spans="1:13" x14ac:dyDescent="0.25">
      <c r="C5" s="8"/>
      <c r="D5" s="8"/>
    </row>
    <row r="6" spans="1:13" x14ac:dyDescent="0.25">
      <c r="C6" s="8"/>
      <c r="D6" s="8"/>
    </row>
    <row r="7" spans="1:13" x14ac:dyDescent="0.25">
      <c r="C7" s="8"/>
      <c r="D7" s="8"/>
    </row>
    <row r="8" spans="1:13" x14ac:dyDescent="0.25">
      <c r="C8" s="8"/>
      <c r="D8" s="8"/>
    </row>
  </sheetData>
  <conditionalFormatting sqref="M2">
    <cfRule type="cellIs" dxfId="49" priority="10" operator="lessThan">
      <formula>0</formula>
    </cfRule>
    <cfRule type="cellIs" dxfId="48" priority="11" operator="greaterThan">
      <formula>0</formula>
    </cfRule>
  </conditionalFormatting>
  <conditionalFormatting sqref="M3">
    <cfRule type="cellIs" dxfId="47" priority="8" operator="greaterThan">
      <formula>0</formula>
    </cfRule>
    <cfRule type="cellIs" dxfId="46" priority="9" operator="lessThan">
      <formula>0</formula>
    </cfRule>
  </conditionalFormatting>
  <conditionalFormatting sqref="C8:D8">
    <cfRule type="iconSet" priority="4">
      <iconSet iconSet="3Symbols2" showValue="0">
        <cfvo type="percent" val="0"/>
        <cfvo type="percent" val="33"/>
        <cfvo type="percent" val="67"/>
      </iconSet>
    </cfRule>
  </conditionalFormatting>
  <hyperlinks>
    <hyperlink ref="I2" r:id="rId1" xr:uid="{73BB4A26-C169-48A5-B5F1-4B6AB28438EE}"/>
    <hyperlink ref="A2" r:id="rId2" xr:uid="{B0CFAD5D-692B-4638-9B1A-9B4357B6067C}"/>
  </hyperlinks>
  <pageMargins left="0.7" right="0.7" top="0.75" bottom="0.75" header="0.3" footer="0.3"/>
  <pageSetup paperSize="9" orientation="portrait" horizontalDpi="4294967293" verticalDpi="0"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96C39-2E2C-4085-91B9-E4D4FBE4DF99}">
  <dimension ref="A1:T12"/>
  <sheetViews>
    <sheetView tabSelected="1" workbookViewId="0">
      <pane xSplit="1" topLeftCell="B1" activePane="topRight" state="frozen"/>
      <selection pane="topRight" activeCell="T5" sqref="T5"/>
    </sheetView>
  </sheetViews>
  <sheetFormatPr baseColWidth="10" defaultRowHeight="15" x14ac:dyDescent="0.25"/>
  <cols>
    <col min="1" max="1" width="43.28515625" bestFit="1" customWidth="1"/>
    <col min="2" max="2" width="13.85546875" bestFit="1" customWidth="1"/>
    <col min="3" max="3" width="8.42578125" bestFit="1" customWidth="1"/>
    <col min="4" max="4" width="11.140625" bestFit="1" customWidth="1"/>
    <col min="5" max="5" width="8.85546875" bestFit="1" customWidth="1"/>
    <col min="6" max="6" width="10.42578125" bestFit="1" customWidth="1"/>
    <col min="7" max="7" width="10.7109375" bestFit="1" customWidth="1"/>
    <col min="8" max="8" width="17.140625" bestFit="1" customWidth="1"/>
    <col min="9" max="9" width="22" bestFit="1" customWidth="1"/>
    <col min="10" max="10" width="21.5703125" bestFit="1" customWidth="1"/>
    <col min="11" max="11" width="13.42578125" bestFit="1" customWidth="1"/>
    <col min="12" max="12" width="14.85546875" bestFit="1" customWidth="1"/>
    <col min="13" max="13" width="14" bestFit="1" customWidth="1"/>
    <col min="14" max="14" width="20.5703125" bestFit="1" customWidth="1"/>
    <col min="15" max="15" width="14.5703125" bestFit="1" customWidth="1"/>
    <col min="16" max="16" width="13.5703125" bestFit="1" customWidth="1"/>
    <col min="17" max="17" width="18.5703125" bestFit="1" customWidth="1"/>
    <col min="18" max="18" width="22.85546875" bestFit="1" customWidth="1"/>
    <col min="19" max="20" width="19" bestFit="1" customWidth="1"/>
  </cols>
  <sheetData>
    <row r="1" spans="1:20" x14ac:dyDescent="0.25">
      <c r="A1" s="26" t="s">
        <v>76</v>
      </c>
      <c r="B1" s="25">
        <v>500</v>
      </c>
    </row>
    <row r="3" spans="1:20" x14ac:dyDescent="0.25">
      <c r="A3" s="31" t="s">
        <v>74</v>
      </c>
      <c r="B3" s="32"/>
      <c r="C3" s="33"/>
      <c r="D3" s="34" t="s">
        <v>75</v>
      </c>
      <c r="E3" s="35"/>
      <c r="F3" s="35"/>
      <c r="G3" s="35"/>
      <c r="H3" s="36"/>
      <c r="I3" s="34" t="s">
        <v>66</v>
      </c>
      <c r="J3" s="35"/>
      <c r="K3" s="35"/>
      <c r="L3" s="34" t="s">
        <v>70</v>
      </c>
      <c r="M3" s="35"/>
      <c r="N3" s="35"/>
      <c r="O3" s="36"/>
      <c r="P3" s="31" t="s">
        <v>67</v>
      </c>
      <c r="Q3" s="32"/>
      <c r="R3" s="32"/>
      <c r="S3" s="32"/>
      <c r="T3" s="32"/>
    </row>
    <row r="4" spans="1:20" x14ac:dyDescent="0.25">
      <c r="A4" t="s">
        <v>37</v>
      </c>
      <c r="B4" t="s">
        <v>39</v>
      </c>
      <c r="C4" t="s">
        <v>52</v>
      </c>
      <c r="D4" t="s">
        <v>15</v>
      </c>
      <c r="E4" t="s">
        <v>68</v>
      </c>
      <c r="F4" t="s">
        <v>33</v>
      </c>
      <c r="G4" t="s">
        <v>8</v>
      </c>
      <c r="H4" t="s">
        <v>45</v>
      </c>
      <c r="I4" t="s">
        <v>41</v>
      </c>
      <c r="J4" t="s">
        <v>42</v>
      </c>
      <c r="K4" t="s">
        <v>69</v>
      </c>
      <c r="L4" t="s">
        <v>17</v>
      </c>
      <c r="M4" t="s">
        <v>18</v>
      </c>
      <c r="N4" t="s">
        <v>19</v>
      </c>
      <c r="O4" t="s">
        <v>22</v>
      </c>
      <c r="P4" t="s">
        <v>65</v>
      </c>
      <c r="Q4" t="s">
        <v>71</v>
      </c>
      <c r="R4" t="s">
        <v>77</v>
      </c>
      <c r="S4" t="s">
        <v>72</v>
      </c>
      <c r="T4" t="s">
        <v>73</v>
      </c>
    </row>
    <row r="5" spans="1:20" x14ac:dyDescent="0.25">
      <c r="A5" s="17" t="s">
        <v>53</v>
      </c>
      <c r="B5" t="s">
        <v>46</v>
      </c>
      <c r="C5" s="3">
        <v>5.9999999999999995E-4</v>
      </c>
      <c r="D5" s="15">
        <v>32.592834109531474</v>
      </c>
      <c r="E5" s="16">
        <v>8.5549999999999997</v>
      </c>
      <c r="F5" s="16">
        <f>Tabla467[[#This Row],[Cantidad]]*Tabla467[[#This Row],[Precio Medio]]</f>
        <v>278.83169580704174</v>
      </c>
      <c r="G5" s="6" t="s">
        <v>40</v>
      </c>
      <c r="H5" s="6">
        <f>IFERROR(Tabla467[[#This Row],[Importe]]/Tabla467[[#Totals],[Importe]],0)</f>
        <v>0.55766339161408363</v>
      </c>
      <c r="I5" s="22" t="s">
        <v>59</v>
      </c>
      <c r="J5" s="18">
        <v>36744106.899999999</v>
      </c>
      <c r="K5" s="3">
        <f>IFERROR(Tabla467[[#This Row],[Capitalización Índice]]/Tabla467[[#Totals],[Capitalización Índice]],0)</f>
        <v>0.55766339161408351</v>
      </c>
      <c r="L5" s="16">
        <v>9</v>
      </c>
      <c r="M5" s="16">
        <f>Tabla467[[#This Row],[Precio Actual]]*Tabla467[[#This Row],[Cantidad]]</f>
        <v>293.33550698578324</v>
      </c>
      <c r="N5" s="3">
        <f>IFERROR(Tabla467[[#This Row],[Valor Actual]]/Tabla467[[#Totals],[Valor Actual]],0)</f>
        <v>0.5697066726729566</v>
      </c>
      <c r="O5" s="3">
        <f>IFERROR((Tabla467[[#This Row],[Valor Actual]]-Tabla467[[#This Row],[Importe]])/Tabla467[[#This Row],[Importe]],0)</f>
        <v>5.2016364699006411E-2</v>
      </c>
      <c r="P5" s="3">
        <f>Tabla467[[#This Row],[Peso Ínidce]]-Tabla467[[#This Row],[Peso Cartera Actual]]</f>
        <v>-1.204328105887309E-2</v>
      </c>
      <c r="Q5" s="15">
        <f>Tabla467[[#This Row],[Valor Compra]]/Tabla467[[#This Row],[Precio Actual]]</f>
        <v>30.292305213855009</v>
      </c>
      <c r="R5" s="28">
        <f>Tabla467[[#This Row],[Rebalanceo]]*Tabla467[[#Totals],[Valor Actual]] + $B$1 * Tabla467[[#This Row],[Peso Ínidce]]</f>
        <v>272.63074692469507</v>
      </c>
      <c r="S5" s="16">
        <f>Tabla467[[#This Row],[Valor Actual]]+Tabla467[[#This Row],[Valor Compra]]</f>
        <v>565.96625391047837</v>
      </c>
      <c r="T5" s="3">
        <f>Tabla467[[#This Row],[Valor Tras Compra]]/Tabla467[[#Totals],[Valor Tras Compra]]</f>
        <v>0.55766339161408363</v>
      </c>
    </row>
    <row r="6" spans="1:20" x14ac:dyDescent="0.25">
      <c r="A6" s="23" t="s">
        <v>54</v>
      </c>
      <c r="B6" t="s">
        <v>47</v>
      </c>
      <c r="C6" s="3">
        <v>1.1999999999999999E-3</v>
      </c>
      <c r="D6" s="15">
        <v>3.1305972693413486</v>
      </c>
      <c r="E6" s="16">
        <v>23.5916</v>
      </c>
      <c r="F6" s="16">
        <f>Tabla467[[#This Row],[Cantidad]]*Tabla467[[#This Row],[Precio Medio]]</f>
        <v>73.855798539393362</v>
      </c>
      <c r="G6" t="s">
        <v>40</v>
      </c>
      <c r="H6" s="6">
        <f>IFERROR(Tabla467[[#This Row],[Importe]]/Tabla467[[#Totals],[Importe]],0)</f>
        <v>0.14771159707878675</v>
      </c>
      <c r="I6" s="22" t="s">
        <v>60</v>
      </c>
      <c r="J6" s="18">
        <v>9732628.6699999999</v>
      </c>
      <c r="K6" s="3">
        <f>IFERROR(Tabla467[[#This Row],[Capitalización Índice]]/Tabla467[[#Totals],[Capitalización Índice]],0)</f>
        <v>0.14771159707878673</v>
      </c>
      <c r="L6" s="16">
        <v>23</v>
      </c>
      <c r="M6" s="16">
        <f>Tabla467[[#This Row],[Precio Actual]]*Tabla467[[#This Row],[Cantidad]]</f>
        <v>72.003737194851013</v>
      </c>
      <c r="N6" s="3">
        <f>IFERROR(Tabla467[[#This Row],[Valor Actual]]/Tabla467[[#Totals],[Valor Actual]],0)</f>
        <v>0.13984331443136441</v>
      </c>
      <c r="O6" s="3">
        <f>IFERROR((Tabla467[[#This Row],[Valor Actual]]-Tabla467[[#This Row],[Importe]])/Tabla467[[#This Row],[Importe]],0)</f>
        <v>-2.5076722223164278E-2</v>
      </c>
      <c r="P6" s="3">
        <f>Tabla467[[#This Row],[Peso Ínidce]]-Tabla467[[#This Row],[Peso Cartera Actual]]</f>
        <v>7.8682826474223144E-3</v>
      </c>
      <c r="Q6" s="15">
        <f>Tabla467[[#This Row],[Valor Compra]]/Tabla467[[#This Row],[Precio Actual]]</f>
        <v>3.3872646987698607</v>
      </c>
      <c r="R6" s="28">
        <f>Tabla467[[#This Row],[Rebalanceo]]*Tabla467[[#Totals],[Valor Actual]] + $B$1 * Tabla467[[#This Row],[Peso Ínidce]]</f>
        <v>77.907088071706795</v>
      </c>
      <c r="S6" s="16">
        <f>Tabla467[[#This Row],[Valor Actual]]+Tabla467[[#This Row],[Valor Compra]]</f>
        <v>149.91082526655782</v>
      </c>
      <c r="T6" s="3">
        <f>Tabla467[[#This Row],[Valor Tras Compra]]/Tabla467[[#Totals],[Valor Tras Compra]]</f>
        <v>0.14771159707878675</v>
      </c>
    </row>
    <row r="7" spans="1:20" x14ac:dyDescent="0.25">
      <c r="A7" s="17" t="s">
        <v>57</v>
      </c>
      <c r="B7" t="s">
        <v>50</v>
      </c>
      <c r="C7" s="3">
        <v>2E-3</v>
      </c>
      <c r="D7" s="15">
        <v>4.5733193198255471</v>
      </c>
      <c r="E7" s="16">
        <v>11.438000000000001</v>
      </c>
      <c r="F7" s="16">
        <f>Tabla467[[#This Row],[Cantidad]]*Tabla467[[#This Row],[Precio Medio]]</f>
        <v>52.309626380164609</v>
      </c>
      <c r="G7" t="s">
        <v>40</v>
      </c>
      <c r="H7" s="6">
        <f>IFERROR(Tabla467[[#This Row],[Importe]]/Tabla467[[#Totals],[Importe]],0)</f>
        <v>0.10461925276032924</v>
      </c>
      <c r="I7" s="22" t="s">
        <v>61</v>
      </c>
      <c r="J7" s="18">
        <v>6893299.9100000001</v>
      </c>
      <c r="K7" s="3">
        <f>IFERROR(Tabla467[[#This Row],[Capitalización Índice]]/Tabla467[[#Totals],[Capitalización Índice]],0)</f>
        <v>0.10461925276032921</v>
      </c>
      <c r="L7" s="16">
        <v>12</v>
      </c>
      <c r="M7" s="16">
        <f>Tabla467[[#This Row],[Precio Actual]]*Tabla467[[#This Row],[Cantidad]]</f>
        <v>54.879831837906565</v>
      </c>
      <c r="N7" s="3">
        <f>IFERROR(Tabla467[[#This Row],[Valor Actual]]/Tabla467[[#Totals],[Valor Actual]],0)</f>
        <v>0.1065858228841708</v>
      </c>
      <c r="O7" s="3">
        <f>IFERROR((Tabla467[[#This Row],[Valor Actual]]-Tabla467[[#This Row],[Importe]])/Tabla467[[#This Row],[Importe]],0)</f>
        <v>4.9134464067144577E-2</v>
      </c>
      <c r="P7" s="3">
        <f>Tabla467[[#This Row],[Peso Ínidce]]-Tabla467[[#This Row],[Peso Cartera Actual]]</f>
        <v>-1.9665701238415906E-3</v>
      </c>
      <c r="Q7" s="15">
        <f>Tabla467[[#This Row],[Valor Compra]]/Tabla467[[#This Row],[Precio Actual]]</f>
        <v>4.2747551432029205</v>
      </c>
      <c r="R7" s="28">
        <f>Tabla467[[#This Row],[Rebalanceo]]*Tabla467[[#Totals],[Valor Actual]] + $B$1 * Tabla467[[#This Row],[Peso Ínidce]]</f>
        <v>51.297061718435046</v>
      </c>
      <c r="S7" s="16">
        <f>Tabla467[[#This Row],[Valor Actual]]+Tabla467[[#This Row],[Valor Compra]]</f>
        <v>106.17689355634161</v>
      </c>
      <c r="T7" s="3">
        <f>Tabla467[[#This Row],[Valor Tras Compra]]/Tabla467[[#Totals],[Valor Tras Compra]]</f>
        <v>0.10461925276032923</v>
      </c>
    </row>
    <row r="8" spans="1:20" x14ac:dyDescent="0.25">
      <c r="A8" s="17" t="s">
        <v>56</v>
      </c>
      <c r="B8" t="s">
        <v>49</v>
      </c>
      <c r="C8" s="3">
        <v>1.5E-3</v>
      </c>
      <c r="D8" s="15">
        <v>1.172912165494181</v>
      </c>
      <c r="E8" s="16">
        <v>12.468999999999999</v>
      </c>
      <c r="F8" s="16">
        <f>Tabla467[[#This Row],[Cantidad]]*Tabla467[[#This Row],[Precio Medio]]</f>
        <v>14.625041791546941</v>
      </c>
      <c r="G8" t="s">
        <v>40</v>
      </c>
      <c r="H8" s="6">
        <f>IFERROR(Tabla467[[#This Row],[Importe]]/Tabla467[[#Totals],[Importe]],0)</f>
        <v>2.9250083583093889E-2</v>
      </c>
      <c r="I8" s="22" t="s">
        <v>62</v>
      </c>
      <c r="J8" s="18">
        <v>1927270.49</v>
      </c>
      <c r="K8" s="3">
        <f>IFERROR(Tabla467[[#This Row],[Capitalización Índice]]/Tabla467[[#Totals],[Capitalización Índice]],0)</f>
        <v>2.9250083583093882E-2</v>
      </c>
      <c r="L8" s="16">
        <v>12.5</v>
      </c>
      <c r="M8" s="16">
        <f>Tabla467[[#This Row],[Precio Actual]]*Tabla467[[#This Row],[Cantidad]]</f>
        <v>14.661402068677262</v>
      </c>
      <c r="N8" s="3">
        <f>IFERROR(Tabla467[[#This Row],[Valor Actual]]/Tabla467[[#Totals],[Valor Actual]],0)</f>
        <v>2.8474897822960612E-2</v>
      </c>
      <c r="O8" s="3">
        <f>IFERROR((Tabla467[[#This Row],[Valor Actual]]-Tabla467[[#This Row],[Importe]])/Tabla467[[#This Row],[Importe]],0)</f>
        <v>2.4861656909135358E-3</v>
      </c>
      <c r="P8" s="3">
        <f>Tabla467[[#This Row],[Peso Ínidce]]-Tabla467[[#This Row],[Peso Cartera Actual]]</f>
        <v>7.7518576013326998E-4</v>
      </c>
      <c r="Q8" s="15">
        <f>Tabla467[[#This Row],[Valor Compra]]/Tabla467[[#This Row],[Precio Actual]]</f>
        <v>1.201934092091711</v>
      </c>
      <c r="R8" s="28">
        <f>Tabla467[[#This Row],[Rebalanceo]]*Tabla467[[#Totals],[Valor Actual]] + $B$1 * Tabla467[[#This Row],[Peso Ínidce]]</f>
        <v>15.024176151146388</v>
      </c>
      <c r="S8" s="16">
        <f>Tabla467[[#This Row],[Valor Actual]]+Tabla467[[#This Row],[Valor Compra]]</f>
        <v>29.68557821982365</v>
      </c>
      <c r="T8" s="3">
        <f>Tabla467[[#This Row],[Valor Tras Compra]]/Tabla467[[#Totals],[Valor Tras Compra]]</f>
        <v>2.9250083583093885E-2</v>
      </c>
    </row>
    <row r="9" spans="1:20" x14ac:dyDescent="0.25">
      <c r="A9" s="17" t="s">
        <v>58</v>
      </c>
      <c r="B9" t="s">
        <v>51</v>
      </c>
      <c r="C9" s="3">
        <v>2.8999999999999998E-3</v>
      </c>
      <c r="D9" s="15">
        <v>0.21385326969022125</v>
      </c>
      <c r="E9" s="16">
        <v>259.23849999999999</v>
      </c>
      <c r="F9" s="16">
        <f>Tabla467[[#This Row],[Cantidad]]*Tabla467[[#This Row],[Precio Medio]]</f>
        <v>55.439000854588421</v>
      </c>
      <c r="G9" t="s">
        <v>40</v>
      </c>
      <c r="H9" s="6">
        <f>IFERROR(Tabla467[[#This Row],[Importe]]/Tabla467[[#Totals],[Importe]],0)</f>
        <v>0.11087800170917687</v>
      </c>
      <c r="I9" s="23" t="s">
        <v>63</v>
      </c>
      <c r="J9" s="18">
        <v>7305685.1299999999</v>
      </c>
      <c r="K9" s="3">
        <f>IFERROR(Tabla467[[#This Row],[Capitalización Índice]]/Tabla467[[#Totals],[Capitalización Índice]],0)</f>
        <v>0.11087800170917685</v>
      </c>
      <c r="L9" s="16">
        <v>260</v>
      </c>
      <c r="M9" s="16">
        <f>Tabla467[[#This Row],[Precio Actual]]*Tabla467[[#This Row],[Cantidad]]</f>
        <v>55.601850119457524</v>
      </c>
      <c r="N9" s="3">
        <f>IFERROR(Tabla467[[#This Row],[Valor Actual]]/Tabla467[[#Totals],[Valor Actual]],0)</f>
        <v>0.10798810328662947</v>
      </c>
      <c r="O9" s="3">
        <f>IFERROR((Tabla467[[#This Row],[Valor Actual]]-Tabla467[[#This Row],[Importe]])/Tabla467[[#This Row],[Importe]],0)</f>
        <v>2.9374494914914031E-3</v>
      </c>
      <c r="P9" s="3">
        <f>Tabla467[[#This Row],[Peso Ínidce]]-Tabla467[[#This Row],[Peso Cartera Actual]]</f>
        <v>2.8898984225473739E-3</v>
      </c>
      <c r="Q9" s="15">
        <f>Tabla467[[#This Row],[Valor Compra]]/Tabla467[[#This Row],[Precio Actual]]</f>
        <v>0.2189499107289774</v>
      </c>
      <c r="R9" s="28">
        <f>Tabla467[[#This Row],[Rebalanceo]]*Tabla467[[#Totals],[Valor Actual]] + $B$1 * Tabla467[[#This Row],[Peso Ínidce]]</f>
        <v>56.926976789534123</v>
      </c>
      <c r="S9" s="16">
        <f>Tabla467[[#This Row],[Valor Actual]]+Tabla467[[#This Row],[Valor Compra]]</f>
        <v>112.52882690899165</v>
      </c>
      <c r="T9" s="3">
        <f>Tabla467[[#This Row],[Valor Tras Compra]]/Tabla467[[#Totals],[Valor Tras Compra]]</f>
        <v>0.11087800170917686</v>
      </c>
    </row>
    <row r="10" spans="1:20" x14ac:dyDescent="0.25">
      <c r="A10" s="17" t="s">
        <v>55</v>
      </c>
      <c r="B10" t="s">
        <v>48</v>
      </c>
      <c r="C10" s="3">
        <v>1E-3</v>
      </c>
      <c r="D10" s="15">
        <v>4.4375154141040607</v>
      </c>
      <c r="E10" s="16">
        <v>5.62</v>
      </c>
      <c r="F10" s="16">
        <f>Tabla467[[#This Row],[Cantidad]]*Tabla467[[#This Row],[Precio Medio]]</f>
        <v>24.93883662726482</v>
      </c>
      <c r="G10" t="s">
        <v>40</v>
      </c>
      <c r="H10" s="6">
        <f>IFERROR(Tabla467[[#This Row],[Importe]]/Tabla467[[#Totals],[Importe]],0)</f>
        <v>4.9877673254529652E-2</v>
      </c>
      <c r="I10" s="22" t="s">
        <v>64</v>
      </c>
      <c r="J10" s="18">
        <v>3286410.02</v>
      </c>
      <c r="K10" s="3">
        <f>IFERROR(Tabla467[[#This Row],[Capitalización Índice]]/Tabla467[[#Totals],[Capitalización Índice]],0)</f>
        <v>4.9877673254529645E-2</v>
      </c>
      <c r="L10" s="16">
        <v>5.5</v>
      </c>
      <c r="M10" s="16">
        <f>Tabla467[[#This Row],[Precio Actual]]*Tabla467[[#This Row],[Cantidad]]</f>
        <v>24.406334777572333</v>
      </c>
      <c r="N10" s="3">
        <f>IFERROR(Tabla467[[#This Row],[Valor Actual]]/Tabla467[[#Totals],[Valor Actual]],0)</f>
        <v>4.7401188901918002E-2</v>
      </c>
      <c r="O10" s="3">
        <f>IFERROR((Tabla467[[#This Row],[Valor Actual]]-Tabla467[[#This Row],[Importe]])/Tabla467[[#This Row],[Importe]],0)</f>
        <v>-2.1352313167259773E-2</v>
      </c>
      <c r="P10" s="3">
        <f>Tabla467[[#This Row],[Peso Ínidce]]-Tabla467[[#This Row],[Peso Cartera Actual]]</f>
        <v>2.4764843526116423E-3</v>
      </c>
      <c r="Q10" s="15">
        <f>Tabla467[[#This Row],[Valor Compra]]/Tabla467[[#This Row],[Precio Actual]]</f>
        <v>4.7661727899058981</v>
      </c>
      <c r="R10" s="28">
        <f>Tabla467[[#This Row],[Rebalanceo]]*Tabla467[[#Totals],[Valor Actual]] + $B$1 * Tabla467[[#This Row],[Peso Ínidce]]</f>
        <v>26.213950344482441</v>
      </c>
      <c r="S10" s="16">
        <f>Tabla467[[#This Row],[Valor Actual]]+Tabla467[[#This Row],[Valor Compra]]</f>
        <v>50.620285122054774</v>
      </c>
      <c r="T10" s="3">
        <f>Tabla467[[#This Row],[Valor Tras Compra]]/Tabla467[[#Totals],[Valor Tras Compra]]</f>
        <v>4.9877673254529652E-2</v>
      </c>
    </row>
    <row r="11" spans="1:20" x14ac:dyDescent="0.25">
      <c r="A11" t="s">
        <v>24</v>
      </c>
      <c r="B11" t="s">
        <v>24</v>
      </c>
      <c r="C11" s="2">
        <f>IFERROR(SUMPRODUCT(Tabla467[TER],Tabla467[Valor Actual]) / SUM(Tabla467[Valor Actual]),0)</f>
        <v>1.1260866618573373E-3</v>
      </c>
      <c r="D11" s="15">
        <f>SUBTOTAL(109,Tabla467[Cantidad])</f>
        <v>46.121031547986838</v>
      </c>
      <c r="F11" s="16">
        <f>SUBTOTAL(109,Tabla467[Importe])</f>
        <v>499.99999999999989</v>
      </c>
      <c r="H11" s="7">
        <f>SUBTOTAL(109,Tabla467[Peso en Cartera])</f>
        <v>1</v>
      </c>
      <c r="I11" s="19"/>
      <c r="J11" s="20">
        <f>SUBTOTAL(109,Tabla467[Capitalización Índice])</f>
        <v>65889401.120000012</v>
      </c>
      <c r="K11" s="24">
        <f>SUBTOTAL(109,Tabla467[Peso Ínidce])</f>
        <v>0.99999999999999978</v>
      </c>
      <c r="M11" s="16">
        <f>SUBTOTAL(109,Tabla467[Valor Actual])</f>
        <v>514.88866298424796</v>
      </c>
      <c r="N11" s="7">
        <f>SUBTOTAL(109,Tabla467[Peso Cartera Actual])</f>
        <v>1</v>
      </c>
      <c r="O11" s="24">
        <f>SUMPRODUCT(Tabla467[Rentabilidad],Tabla467[Valor Actual]) / SUM(Tabla467[Valor Actual])</f>
        <v>3.0740173274193316E-2</v>
      </c>
      <c r="P11" s="2" cm="1">
        <f t="array" ref="P11">AVERAGE(ABS(Tabla467[Rebalanceo]))</f>
        <v>4.6699503942382132E-3</v>
      </c>
      <c r="Q11" s="2"/>
      <c r="R11" s="29">
        <f>SUBTOTAL(109,Tabla467[Valor Compra])</f>
        <v>499.99999999999989</v>
      </c>
      <c r="S11" s="16">
        <f>SUBTOTAL(109,Tabla467[Valor Tras Compra])</f>
        <v>1014.8886629842478</v>
      </c>
      <c r="T11" s="30">
        <f>SUBTOTAL(109,Tabla467[Peso Tras Compra])</f>
        <v>1</v>
      </c>
    </row>
    <row r="12" spans="1:20" x14ac:dyDescent="0.25">
      <c r="A12" s="8"/>
      <c r="C12" s="8"/>
    </row>
  </sheetData>
  <mergeCells count="5">
    <mergeCell ref="A3:C3"/>
    <mergeCell ref="D3:H3"/>
    <mergeCell ref="I3:K3"/>
    <mergeCell ref="L3:O3"/>
    <mergeCell ref="P3:T3"/>
  </mergeCells>
  <conditionalFormatting sqref="O5:O10">
    <cfRule type="cellIs" dxfId="32" priority="4" operator="lessThan">
      <formula>0</formula>
    </cfRule>
    <cfRule type="cellIs" dxfId="31" priority="5" operator="greaterThan">
      <formula>0</formula>
    </cfRule>
  </conditionalFormatting>
  <conditionalFormatting sqref="O11">
    <cfRule type="cellIs" dxfId="30" priority="2" operator="greaterThan">
      <formula>0</formula>
    </cfRule>
    <cfRule type="cellIs" dxfId="29" priority="3" operator="lessThan">
      <formula>0</formula>
    </cfRule>
  </conditionalFormatting>
  <hyperlinks>
    <hyperlink ref="I5" r:id="rId1" xr:uid="{C4543918-0612-4C42-A7EB-CFC5A4F20348}"/>
    <hyperlink ref="A5" r:id="rId2" xr:uid="{F0BAD742-47F5-44B3-8BCB-309C701A9FFD}"/>
    <hyperlink ref="A7" r:id="rId3" xr:uid="{980E21CD-BA44-41CC-9FB2-7DE95383F175}"/>
    <hyperlink ref="A6" r:id="rId4" xr:uid="{24F7CC41-DBC2-4576-8DD2-89E4CCBEBC64}"/>
    <hyperlink ref="A10" r:id="rId5" xr:uid="{81CF0E33-BBC2-4FC0-AAF1-A4D17EF5B387}"/>
    <hyperlink ref="A9" r:id="rId6" xr:uid="{0E0A9E2E-73AF-4F34-A0AC-C73A22455605}"/>
    <hyperlink ref="A8" r:id="rId7" xr:uid="{2400B834-47F3-4EF8-B350-E7FE1DD3E9F2}"/>
    <hyperlink ref="I6" r:id="rId8" xr:uid="{0F7654D3-D848-43AE-A5B5-7A3819189A6E}"/>
    <hyperlink ref="I7" r:id="rId9" xr:uid="{FE4668D8-6F28-4EF9-83E1-E4EDECD768B6}"/>
    <hyperlink ref="I8" r:id="rId10" xr:uid="{21FAB866-197D-4DF8-9144-0D152C45D9AF}"/>
    <hyperlink ref="I9" r:id="rId11" xr:uid="{3F98B7FC-F2FB-443A-8043-698759A4C409}"/>
    <hyperlink ref="I10" r:id="rId12" xr:uid="{97CE5EF1-5B63-4094-BC05-855AE934A604}"/>
  </hyperlinks>
  <pageMargins left="0.7" right="0.7" top="0.75" bottom="0.75" header="0.3" footer="0.3"/>
  <pageSetup paperSize="9" orientation="portrait" horizontalDpi="4294967293" verticalDpi="0" r:id="rId13"/>
  <drawing r:id="rId14"/>
  <tableParts count="1">
    <tablePart r:id="rId15"/>
  </tableParts>
  <extLst>
    <ext xmlns:x14="http://schemas.microsoft.com/office/spreadsheetml/2009/9/main" uri="{78C0D931-6437-407d-A8EE-F0AAD7539E65}">
      <x14:conditionalFormattings>
        <x14:conditionalFormatting xmlns:xm="http://schemas.microsoft.com/office/excel/2006/main">
          <x14:cfRule type="iconSet" priority="1" id="{AF4C7FA5-4B8F-4EEF-8A85-92F5BC4E329D}">
            <x14:iconSet iconSet="3Triangles">
              <x14:cfvo type="percent">
                <xm:f>0</xm:f>
              </x14:cfvo>
              <x14:cfvo type="num">
                <xm:f>0</xm:f>
              </x14:cfvo>
              <x14:cfvo type="num" gte="0">
                <xm:f>0</xm:f>
              </x14:cfvo>
            </x14:iconSet>
          </x14:cfRule>
          <xm:sqref>P5:P10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9E3D-74DA-4BB4-A760-9A52508849CA}">
  <dimension ref="A1:C4"/>
  <sheetViews>
    <sheetView workbookViewId="0">
      <selection activeCell="D20" sqref="D20"/>
    </sheetView>
  </sheetViews>
  <sheetFormatPr baseColWidth="10" defaultRowHeight="15" x14ac:dyDescent="0.25"/>
  <cols>
    <col min="1" max="1" width="17.7109375" bestFit="1" customWidth="1"/>
    <col min="2" max="2" width="28.5703125" bestFit="1" customWidth="1"/>
  </cols>
  <sheetData>
    <row r="1" spans="1:3" x14ac:dyDescent="0.25">
      <c r="A1" t="s">
        <v>29</v>
      </c>
      <c r="B1" t="s">
        <v>27</v>
      </c>
      <c r="C1" t="s">
        <v>1</v>
      </c>
    </row>
    <row r="2" spans="1:3" x14ac:dyDescent="0.25">
      <c r="A2" t="str" cm="1">
        <f t="array" ref="A2">_FV(Tabla3[[#This Row],[Divisa]],"Símbolo bursátil",TRUE)</f>
        <v>USDEUR</v>
      </c>
      <c r="B2" t="e" vm="8">
        <v>#VALUE!</v>
      </c>
      <c r="C2" s="1" cm="1">
        <f t="array" ref="C2">_FV(Tabla3[[#This Row],[Divisa]],"Precio")</f>
        <v>0.94710000000000005</v>
      </c>
    </row>
    <row r="3" spans="1:3" x14ac:dyDescent="0.25">
      <c r="A3" t="str" cm="1">
        <f t="array" ref="A3">_FV(Tabla3[[#This Row],[Divisa]],"Símbolo bursátil",TRUE)</f>
        <v>GBPEUR</v>
      </c>
      <c r="B3" t="e" vm="9">
        <v>#VALUE!</v>
      </c>
      <c r="C3" s="1" cm="1">
        <f t="array" ref="C3">_FV(Tabla3[[#This Row],[Divisa]],"Precio")</f>
        <v>1.1614</v>
      </c>
    </row>
    <row r="4" spans="1:3" x14ac:dyDescent="0.25">
      <c r="A4" s="9" t="s">
        <v>30</v>
      </c>
      <c r="B4" s="10" t="s">
        <v>28</v>
      </c>
      <c r="C4" s="1">
        <v>1</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Watch List de Acciones</vt:lpstr>
      <vt:lpstr>Cartera de Acciones</vt:lpstr>
      <vt:lpstr>Cartera de Fondos</vt:lpstr>
      <vt:lpstr>Cartera Indexada</vt:lpstr>
      <vt:lpstr>Divisas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Prados</dc:creator>
  <cp:lastModifiedBy>Carlos Prados</cp:lastModifiedBy>
  <dcterms:created xsi:type="dcterms:W3CDTF">2022-06-20T15:09:45Z</dcterms:created>
  <dcterms:modified xsi:type="dcterms:W3CDTF">2022-06-26T15:26:17Z</dcterms:modified>
</cp:coreProperties>
</file>