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 hidePivotFieldList="1"/>
  <mc:AlternateContent xmlns:mc="http://schemas.openxmlformats.org/markup-compatibility/2006">
    <mc:Choice Requires="x15">
      <x15ac:absPath xmlns:x15ac="http://schemas.microsoft.com/office/spreadsheetml/2010/11/ac" url="https://danfoss-my.sharepoint.com/personal/carolyn_ross_danfoss_com/Documents/Documents/Coaching/SSAC/"/>
    </mc:Choice>
  </mc:AlternateContent>
  <xr:revisionPtr revIDLastSave="0" documentId="8_{C53D5B09-BD8E-4B59-B9A9-3268F73B6D02}" xr6:coauthVersionLast="47" xr6:coauthVersionMax="47" xr10:uidLastSave="{00000000-0000-0000-0000-000000000000}"/>
  <bookViews>
    <workbookView xWindow="28680" yWindow="-120" windowWidth="29040" windowHeight="15720" activeTab="3" xr2:uid="{9D20BB9A-6138-4C9F-9459-DBD1BB615865}"/>
  </bookViews>
  <sheets>
    <sheet name="REDs_Sport_Level_Coding_Templat" sheetId="1" r:id="rId1"/>
    <sheet name="Descriptive Statistics" sheetId="13" r:id="rId2"/>
    <sheet name="Data Descriptions" sheetId="3" r:id="rId3"/>
    <sheet name="Referenced_Not Used" sheetId="8" r:id="rId4"/>
  </sheets>
  <definedNames>
    <definedName name="_xlnm._FilterDatabase" localSheetId="0" hidden="1">REDs_Sport_Level_Coding_Templat!$A$1:$W$1</definedName>
    <definedName name="_xlnm._FilterDatabase" localSheetId="1" hidden="1">'Descriptive Statistics'!$L$1:$M$10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3" l="1"/>
  <c r="H3" i="13" a="1"/>
  <c r="H3" i="13"/>
  <c r="E11" i="13" a="1"/>
  <c r="E11" i="13"/>
  <c r="E10" i="13" a="1"/>
  <c r="E10" i="13"/>
  <c r="E9" i="13" a="1"/>
  <c r="E9" i="13"/>
  <c r="D11" i="13" a="1"/>
  <c r="D11" i="13"/>
  <c r="D10" i="13" a="1"/>
  <c r="D10" i="13"/>
  <c r="D9" i="13" a="1"/>
  <c r="D9" i="13"/>
  <c r="E8" i="13" a="1"/>
  <c r="E8" i="13"/>
  <c r="E7" i="13" a="1"/>
  <c r="E7" i="13" s="1"/>
  <c r="E6" i="13" a="1"/>
  <c r="E6" i="13" s="1"/>
  <c r="D8" i="13" a="1"/>
  <c r="D8" i="13" s="1"/>
  <c r="D7" i="13" a="1"/>
  <c r="D7" i="13" s="1"/>
  <c r="D6" i="13" a="1"/>
  <c r="D6" i="13" s="1"/>
  <c r="E5" i="13" a="1"/>
  <c r="E5" i="13" s="1"/>
  <c r="E4" i="13" a="1"/>
  <c r="E4" i="13" s="1"/>
  <c r="D5" i="13" a="1"/>
  <c r="D5" i="13" s="1"/>
  <c r="D4" i="13" a="1"/>
  <c r="D4" i="13" s="1"/>
  <c r="E3" i="13" a="1"/>
  <c r="E3" i="13" s="1"/>
  <c r="D3" i="13" a="1"/>
  <c r="D3" i="13" s="1"/>
  <c r="E2" i="13" a="1"/>
  <c r="E2" i="13" s="1"/>
  <c r="D2" i="13" a="1"/>
  <c r="D2" i="13" s="1"/>
  <c r="C11" i="13" a="1"/>
  <c r="C11" i="13" s="1"/>
  <c r="C10" i="13"/>
  <c r="C9" i="13" a="1"/>
  <c r="C9" i="13" s="1"/>
  <c r="C8" i="13" a="1"/>
  <c r="C8" i="13" s="1"/>
  <c r="C7" i="13"/>
  <c r="C6" i="13" a="1"/>
  <c r="C6" i="13" s="1"/>
  <c r="B5" i="13"/>
  <c r="B4" i="13"/>
  <c r="B2" i="13"/>
  <c r="B11" i="13"/>
  <c r="B10" i="13"/>
  <c r="B9" i="13"/>
  <c r="B8" i="13"/>
  <c r="B7" i="13"/>
  <c r="B6" i="13"/>
  <c r="C5" i="13"/>
  <c r="C4" i="13"/>
  <c r="C3" i="13"/>
  <c r="C2" i="13"/>
  <c r="B3" i="13"/>
  <c r="Q146" i="1"/>
  <c r="Q145" i="1"/>
  <c r="Q144" i="1"/>
  <c r="Q143" i="1"/>
  <c r="Q142" i="1"/>
  <c r="Q136" i="1"/>
  <c r="Q141" i="1"/>
  <c r="Q139" i="1"/>
  <c r="Q135" i="1"/>
  <c r="Q134" i="1"/>
  <c r="Q138" i="1"/>
  <c r="Q137" i="1"/>
  <c r="Q140" i="1"/>
  <c r="Q129" i="1"/>
  <c r="Q130" i="1"/>
  <c r="Q131" i="1"/>
  <c r="Q132" i="1"/>
  <c r="Q133" i="1"/>
  <c r="Q90" i="1"/>
  <c r="Q84" i="1"/>
  <c r="Q85" i="1"/>
  <c r="Q83" i="1"/>
  <c r="Q55" i="1"/>
  <c r="Q58" i="1"/>
  <c r="Q59" i="1"/>
  <c r="Q5" i="1"/>
  <c r="Q3" i="1"/>
  <c r="Q4" i="1"/>
  <c r="Q128" i="1"/>
  <c r="Q103" i="1"/>
  <c r="Q104" i="1"/>
  <c r="Q118" i="1"/>
  <c r="Q121" i="1"/>
  <c r="Q21" i="1"/>
  <c r="Q22" i="1"/>
  <c r="Q30" i="1"/>
  <c r="Q57" i="1"/>
  <c r="Q114" i="1"/>
  <c r="Q119" i="1"/>
  <c r="Q120" i="1"/>
  <c r="Q126" i="1"/>
  <c r="Q14" i="1"/>
  <c r="Q24" i="1"/>
  <c r="Q31" i="1"/>
  <c r="Q76" i="1"/>
  <c r="Q98" i="1"/>
  <c r="Q105" i="1"/>
  <c r="Q107" i="1"/>
  <c r="Q17" i="1"/>
  <c r="Q19" i="1"/>
  <c r="Q47" i="1"/>
  <c r="Q82" i="1"/>
  <c r="Q8" i="1"/>
  <c r="Q93" i="1"/>
  <c r="Q9" i="1"/>
  <c r="Q50" i="1"/>
  <c r="Q94" i="1"/>
  <c r="Q97" i="1"/>
  <c r="Q111" i="1"/>
  <c r="Q15" i="1"/>
  <c r="Q46" i="1"/>
  <c r="Q48" i="1"/>
  <c r="Q60" i="1"/>
  <c r="Q68" i="1"/>
  <c r="Q69" i="1"/>
  <c r="Q79" i="1"/>
  <c r="Q80" i="1"/>
  <c r="Q81" i="1"/>
  <c r="Q108" i="1"/>
  <c r="Q18" i="1"/>
  <c r="Q70" i="1"/>
  <c r="Q78" i="1"/>
  <c r="Q88" i="1"/>
  <c r="Q92" i="1"/>
  <c r="Q6" i="1"/>
  <c r="Q16" i="1"/>
  <c r="Q49" i="1"/>
  <c r="Q56" i="1"/>
  <c r="Q91" i="1"/>
  <c r="Q101" i="1"/>
  <c r="Q122" i="1"/>
  <c r="Q10" i="1"/>
  <c r="Q102" i="1"/>
  <c r="Q26" i="1"/>
  <c r="Q86" i="1"/>
  <c r="Q32" i="1"/>
  <c r="Q115" i="1"/>
  <c r="Q11" i="1"/>
  <c r="Q124" i="1"/>
  <c r="Q25" i="1"/>
  <c r="Q112" i="1"/>
  <c r="Q51" i="1"/>
  <c r="Q2" i="1"/>
  <c r="Q7" i="1"/>
  <c r="Q29" i="1"/>
  <c r="Q52" i="1"/>
  <c r="Q53" i="1"/>
  <c r="Q87" i="1"/>
  <c r="Q95" i="1"/>
  <c r="Q109" i="1"/>
  <c r="Q13" i="1"/>
  <c r="Q23" i="1"/>
  <c r="Q27" i="1"/>
  <c r="Q63" i="1"/>
  <c r="Q66" i="1"/>
  <c r="Q67" i="1"/>
  <c r="Q75" i="1"/>
  <c r="Q100" i="1"/>
  <c r="Q64" i="1"/>
  <c r="Q71" i="1"/>
  <c r="Q77" i="1"/>
  <c r="Q89" i="1"/>
  <c r="Q96" i="1"/>
  <c r="Q99" i="1"/>
  <c r="Q110" i="1"/>
  <c r="Q65" i="1"/>
  <c r="Q127" i="1"/>
  <c r="Q72" i="1"/>
  <c r="Q73" i="1"/>
  <c r="Q113" i="1"/>
  <c r="Q123" i="1"/>
  <c r="Q12" i="1"/>
  <c r="Q20" i="1"/>
  <c r="Q33" i="1"/>
  <c r="Q61" i="1"/>
  <c r="Q62" i="1"/>
  <c r="Q74" i="1"/>
  <c r="Q106" i="1"/>
  <c r="Q116" i="1"/>
  <c r="Q117" i="1"/>
  <c r="Q125" i="1"/>
  <c r="Q54" i="1"/>
  <c r="Q28" i="1"/>
  <c r="I3" i="13" l="1" a="1"/>
  <c r="I3" i="13" s="1"/>
  <c r="I4" i="13" a="1"/>
  <c r="I4" i="13" s="1"/>
  <c r="I5" i="13" a="1"/>
  <c r="I5" i="13" s="1"/>
  <c r="I6" i="13" a="1"/>
  <c r="I6" i="13" s="1"/>
  <c r="I7" i="13" a="1"/>
  <c r="I7" i="13" s="1"/>
  <c r="I8" i="13" a="1"/>
  <c r="I8" i="13" s="1"/>
  <c r="I9" i="13" a="1"/>
  <c r="I9" i="13" s="1"/>
  <c r="I10" i="13" a="1"/>
  <c r="I10" i="13" s="1"/>
  <c r="P33" i="1" l="1"/>
  <c r="P45" i="1"/>
  <c r="P42" i="1"/>
  <c r="P34" i="1"/>
  <c r="P35" i="1"/>
  <c r="P36" i="1"/>
  <c r="P37" i="1"/>
  <c r="P38" i="1"/>
  <c r="P43" i="1"/>
  <c r="P39" i="1"/>
  <c r="P40" i="1"/>
  <c r="P44" i="1"/>
  <c r="P41" i="1"/>
  <c r="P46" i="1"/>
  <c r="P77" i="1"/>
  <c r="P78" i="1"/>
  <c r="P82" i="1"/>
  <c r="P131" i="1"/>
  <c r="P30" i="1"/>
  <c r="P31" i="1"/>
  <c r="P32" i="1"/>
  <c r="P29" i="1"/>
  <c r="P66" i="1"/>
  <c r="P67" i="1"/>
  <c r="P21" i="1"/>
  <c r="P22" i="1"/>
  <c r="P23" i="1"/>
  <c r="P24" i="1"/>
  <c r="P17" i="1"/>
  <c r="P19" i="1"/>
  <c r="P18" i="1"/>
  <c r="P26" i="1"/>
  <c r="P25" i="1"/>
  <c r="P20" i="1"/>
  <c r="P27" i="1"/>
  <c r="P28" i="1"/>
  <c r="P47" i="1"/>
  <c r="P51" i="1"/>
  <c r="P50" i="1"/>
  <c r="P49" i="1"/>
  <c r="P63" i="1"/>
  <c r="P64" i="1"/>
  <c r="P60" i="1"/>
  <c r="P65" i="1"/>
  <c r="P61" i="1"/>
  <c r="P62" i="1"/>
  <c r="P79" i="1"/>
  <c r="P80" i="1"/>
  <c r="P81" i="1"/>
  <c r="P85" i="1"/>
  <c r="P83" i="1"/>
  <c r="P84" i="1"/>
  <c r="P86" i="1"/>
  <c r="P99" i="1"/>
  <c r="P100" i="1"/>
  <c r="P105" i="1"/>
  <c r="P106" i="1"/>
  <c r="P133" i="1"/>
  <c r="P8" i="1"/>
  <c r="P9" i="1"/>
  <c r="P10" i="1"/>
  <c r="P6" i="1"/>
  <c r="P11" i="1"/>
  <c r="P7" i="1"/>
  <c r="P13" i="1"/>
  <c r="P14" i="1"/>
  <c r="P12" i="1"/>
  <c r="P16" i="1"/>
  <c r="P57" i="1"/>
  <c r="P58" i="1"/>
  <c r="P59" i="1"/>
  <c r="P54" i="1"/>
  <c r="P55" i="1"/>
  <c r="P56" i="1"/>
  <c r="P68" i="1"/>
  <c r="P87" i="1"/>
  <c r="P93" i="1"/>
  <c r="P94" i="1"/>
  <c r="P91" i="1"/>
  <c r="P92" i="1"/>
  <c r="P98" i="1"/>
  <c r="P101" i="1"/>
  <c r="P102" i="1"/>
  <c r="P103" i="1"/>
  <c r="P104" i="1"/>
  <c r="P107" i="1"/>
  <c r="P129" i="1"/>
  <c r="P130" i="1"/>
  <c r="P132" i="1"/>
  <c r="P5" i="1"/>
  <c r="P4" i="1"/>
  <c r="P2" i="1"/>
  <c r="P3" i="1"/>
  <c r="P15" i="1"/>
  <c r="P88" i="1"/>
  <c r="P89" i="1"/>
  <c r="P90" i="1"/>
  <c r="P97" i="1"/>
  <c r="P95" i="1"/>
  <c r="P96" i="1"/>
  <c r="P114" i="1"/>
  <c r="P111" i="1"/>
  <c r="P108" i="1"/>
  <c r="P115" i="1"/>
  <c r="P112" i="1"/>
  <c r="P109" i="1"/>
  <c r="P110" i="1"/>
  <c r="P113" i="1"/>
  <c r="P116" i="1"/>
  <c r="P117" i="1"/>
  <c r="P126" i="1"/>
  <c r="P121" i="1"/>
  <c r="P122" i="1"/>
  <c r="P127" i="1"/>
  <c r="P123" i="1"/>
  <c r="P124" i="1"/>
  <c r="P125" i="1"/>
  <c r="P128" i="1"/>
  <c r="P140" i="1"/>
  <c r="P137" i="1"/>
  <c r="P138" i="1"/>
  <c r="P134" i="1"/>
  <c r="P135" i="1"/>
  <c r="P139" i="1"/>
  <c r="P141" i="1"/>
  <c r="P136" i="1"/>
  <c r="P142" i="1"/>
  <c r="P143" i="1"/>
  <c r="P144" i="1"/>
  <c r="P145" i="1"/>
  <c r="P146" i="1"/>
  <c r="P75" i="1"/>
  <c r="P76" i="1"/>
  <c r="P70" i="1"/>
  <c r="P71" i="1"/>
  <c r="P72" i="1"/>
  <c r="P73" i="1"/>
  <c r="P74" i="1"/>
  <c r="P120" i="1"/>
  <c r="P118" i="1"/>
  <c r="P119" i="1"/>
  <c r="P48" i="1"/>
  <c r="P52" i="1"/>
  <c r="P53" i="1"/>
  <c r="P6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<sst xmlns="http://schemas.openxmlformats.org/spreadsheetml/2006/main" count="2545" uniqueCount="691">
  <si>
    <t>Ref #</t>
  </si>
  <si>
    <t>Study_Title</t>
  </si>
  <si>
    <t>Year</t>
  </si>
  <si>
    <t>Sport</t>
  </si>
  <si>
    <t>Sport Grouping</t>
  </si>
  <si>
    <t>Number_Studied</t>
  </si>
  <si>
    <t>Sport_Type</t>
  </si>
  <si>
    <t>Fitness_Category</t>
  </si>
  <si>
    <t>Competition_Attire_Modesty_Level</t>
  </si>
  <si>
    <t>Aesthetic_Scoring</t>
  </si>
  <si>
    <t>Weight or Physique_Class_Required</t>
  </si>
  <si>
    <t>Training_Load_hrs_week</t>
  </si>
  <si>
    <t>Primary_Screening_Tool_Used</t>
  </si>
  <si>
    <t>REDs_Reported</t>
  </si>
  <si>
    <t>%_REDs__Risk_Reported</t>
  </si>
  <si>
    <t>High Risk?</t>
  </si>
  <si>
    <t>REDs_Risk_Cleaned</t>
  </si>
  <si>
    <t>Diagnosis_Description</t>
  </si>
  <si>
    <t>Symptoms_Reported</t>
  </si>
  <si>
    <t>Access_to_Support</t>
  </si>
  <si>
    <t>Race_Reported</t>
  </si>
  <si>
    <t>SES_Reported</t>
  </si>
  <si>
    <t>Notes</t>
  </si>
  <si>
    <t>High Intensity Training and Menstrual Cycle Disorders in Athletes</t>
  </si>
  <si>
    <t>Running</t>
  </si>
  <si>
    <t>Endurance</t>
  </si>
  <si>
    <t>Individual</t>
  </si>
  <si>
    <t>No</t>
  </si>
  <si>
    <t>NR</t>
  </si>
  <si>
    <t>MD</t>
  </si>
  <si>
    <t>In a review of 87 female athletes across multiple sports, menstrual dysfunction prevalence was 25.7% in runners, 12.3% in swimmers, 12.1% in cyclists, and 0% in basketball players, highlighting sport-specific variation in Triad-related risk</t>
  </si>
  <si>
    <t>Delayed menarche, secondary amenorrhea, oligomenorrhea</t>
  </si>
  <si>
    <t>Sample sizes not broken out by sport; total n=87 athletes from Sanborn et al. (1982)</t>
  </si>
  <si>
    <t>Swimming</t>
  </si>
  <si>
    <t>Cycling</t>
  </si>
  <si>
    <t>Basketball</t>
  </si>
  <si>
    <t>Ball Sports</t>
  </si>
  <si>
    <t>Team</t>
  </si>
  <si>
    <t>Risk of Low Energy Availability, Disordered Eating, Exercise Addiction, and Food Intolerances in Female Endurance Athletes</t>
  </si>
  <si>
    <t>Triathlon</t>
  </si>
  <si>
    <t>LEAF-Q</t>
  </si>
  <si>
    <t>Yes</t>
  </si>
  <si>
    <t>Among 50 female triathletes, 50.0% were at risk of low energy availability by LEAF-Q.</t>
  </si>
  <si>
    <t>LEA, eating disorder risk, exercise addiction, food restriction</t>
  </si>
  <si>
    <t>Breaks out REDs prevalence by endurance sport; food intolerance may contribute to disordered eating and LEA</t>
  </si>
  <si>
    <t>LEAF-Q ≥8 used to classify LEA risk; EDE-Q ≥2.3 for ED risk; EAI ≥24 for exercise addiction</t>
  </si>
  <si>
    <t>Cross Country Skiing</t>
  </si>
  <si>
    <t>Among 13 female cross-country skiers, 53.8% were at risk of low energy availability by LEAF-Q.</t>
  </si>
  <si>
    <t>Among 45 female cyclists, 57.8% were at risk of low energy availability by LEAF-Q.</t>
  </si>
  <si>
    <t>Biathlon</t>
  </si>
  <si>
    <t>Among 20 female biathletes, 65.0% were at risk of low energy availability by LEAF-Q.</t>
  </si>
  <si>
    <t>Orienteering</t>
  </si>
  <si>
    <t>Among 54 female runners, 85.2% were at risk of low energy availability by LEAF-Q.</t>
  </si>
  <si>
    <t>The effect of nutrition education sessions on energy availability, body composition, eating attitude and sports nutrition knowledge in young female endurance athletes</t>
  </si>
  <si>
    <t>Volleyball</t>
  </si>
  <si>
    <t>&gt;10</t>
  </si>
  <si>
    <t>LEAF-Q ≥8</t>
  </si>
  <si>
    <t>Eating attitude, EA, body comp, SNKQ access</t>
  </si>
  <si>
    <t>Young female endurance athletes from Turkey; baseline EA ≤30 kcal/kg/FFM used for %REDs</t>
  </si>
  <si>
    <t>Soccer</t>
  </si>
  <si>
    <t>Influence of High-Intensity Training and of Dietetic and Anthropometric Factors on Menstrual Cycle Disorders in Ballet Dancers</t>
  </si>
  <si>
    <t>Ballet</t>
  </si>
  <si>
    <t>Dance</t>
  </si>
  <si>
    <t>15.5 (range 8–40)</t>
  </si>
  <si>
    <t>No formal diagnosis; classified via cycle length and training onset</t>
  </si>
  <si>
    <t>Delayed menarche, oligomenorrhea (34%), secondary amenorrhea (8%), restrictive eating, low BMI</t>
  </si>
  <si>
    <t>42% of dancers had menstrual irregularities; 32% were dieting; 76% ate fewer than 4 meals/day; dancers had significantly lower weight, height, and BMI vs controls</t>
  </si>
  <si>
    <t>Screening for Relative Energy Deficiency in Sport: Detection of Clinical Indicators in Female Endurance Athletes</t>
  </si>
  <si>
    <t>Endurance (General)</t>
  </si>
  <si>
    <t>Among 50 female endurance athletes, 58% were classified as at risk of low energy availability by LEAF-Q, while 41% screened positive on BEDA-Q and 66% exceeded at least one questionnaire cutoff. 28% diagnosed with RED-S.</t>
  </si>
  <si>
    <t>MD, low fT3, DE/ED</t>
  </si>
  <si>
    <t>German female endurance athletes across multiple sports (cycling, triathlon, running, swimming, skiing, biathlon); REDs cases defined by ≥2 indicators</t>
  </si>
  <si>
    <t>Use of Resting Metabolic Rate Ratio as a Relative Energy Deficiency in Sports Indicator in Female Athletes</t>
  </si>
  <si>
    <t>Cheer</t>
  </si>
  <si>
    <t>Cheer &amp; Gymnastics</t>
  </si>
  <si>
    <t>EA calculation</t>
  </si>
  <si>
    <t>63% were classified as at risk of low energy availability using EA calculation (&lt;30 kcal/kg FFM/d). ~14% of the entire sample had both low EA and low RMR ratio, which they considered likely RED-S cases.</t>
  </si>
  <si>
    <t>Low EA (63%), low RMR ratio (19%), subclinical disordered eating (23%), lower body fat %, reduced protein/carbohydrate intake; 14% met combined criteria consistent with RED-S.</t>
  </si>
  <si>
    <t>77 female athletes, ages 18–24; included both NCAA Division I (n=53) and recreational athletes (n=24) across multiple sports (field hockey, lacrosse, basketball, cheer, crew, distance running, ice hockey, tennis, soccer, volleyball, plus rec. sports)</t>
  </si>
  <si>
    <t>Distance Running</t>
  </si>
  <si>
    <t>Crew</t>
  </si>
  <si>
    <t>Field Hockey</t>
  </si>
  <si>
    <t>Lacrosse</t>
  </si>
  <si>
    <t>Tennis</t>
  </si>
  <si>
    <t>Racquet sports</t>
  </si>
  <si>
    <t>Ice Hockey</t>
  </si>
  <si>
    <t>High risk of REDs in National Collegiate Athletic Association Division I female soccer players</t>
  </si>
  <si>
    <t>Unknown</t>
  </si>
  <si>
    <t>Among 19 Division I female soccer players, 26% demonstrated low energy availability by EA calculation in preseason, 33% midseason, and 12% postseason, with 16% showing low EA across multiple timepoints.</t>
  </si>
  <si>
    <t>Low EA, lower energy-dense dinners, lower carbohydrate intake, decreased protein intake in postseason, higher VO₂max in low EA group, greater midseason body fat %.</t>
  </si>
  <si>
    <t>26% had low EA during preseason; 33% midseason; 12% postseason; 3 athletes had low EA in both pre and mid; no screening tool used</t>
  </si>
  <si>
    <t>Energy Availability of Female Varsity Volleyball Players</t>
  </si>
  <si>
    <t>Among 12 varsity volleyball players, 17% were classified with low energy availability (EA &lt;30 kcal/kg FFM/day), while 75% did not meet the recommended EA of 45 kcal/kg FFM/day.</t>
  </si>
  <si>
    <t>Low EA (&lt;30 kcal/kg FFM/day), inadequate carbohydrate intake across the sample, high training energy expenditure.</t>
  </si>
  <si>
    <t>Direct EA calculation used; 2/12 (17%) below 30 kcal/kg FFM; 9/12 (75%) below 45 kcal/kg FFM recommendation; RED-S not explicitly reported.</t>
  </si>
  <si>
    <t>Iron Nutritional Status in Female Karatekas, Handball and Basketball Players, and Runners</t>
  </si>
  <si>
    <t>Lab Measures</t>
  </si>
  <si>
    <t>Among 25 female runners, 28% had low ferritin but no anemia, despite widespread iron supplementation use.</t>
  </si>
  <si>
    <t>68% with inadequate iron intake; 28% low ferritin; 0% anemia; 11/25 used iron supplements; ferritin levels similar to controls; high haptoglobin loss consistent with impact sport.</t>
  </si>
  <si>
    <t>Yes (11/25 used supplements)</t>
  </si>
  <si>
    <t>Compared with 82 non-athlete controls, athletes showed higher rates of inadequate iron intake and deficiency. Basketball had highest anemia (20%), karate had lowest ferritin, handball and basketball had high intake but low ferritin, runners used supplements yet remained deficient. Haptoglobin findings suggested impact-related hemolysis in runners vs. higher haptoglobin in karate.</t>
  </si>
  <si>
    <t>Handball</t>
  </si>
  <si>
    <t>Among 20 female handball players, 35% had low ferritin and 5% anemia, indicating iron deficiency risk.</t>
  </si>
  <si>
    <t>High inadequate iron intake (80% &lt;15 mg/day); 35% low ferritin; 5% anemia; significantly greater total iron intake vs. controls but still poor iron status; low serum ferritin and transferrin saturation.</t>
  </si>
  <si>
    <t>Among 20 female basketball players, 45% had low ferritin and 20% anemia, the highest anemia prevalence across groups.</t>
  </si>
  <si>
    <t>40% with inadequate iron intake; 45% low ferritin; 20% anemia (highest across groups); only group to meet RDA for iron (≥15 mg/day); highest heme iron intake but still low ferritin and haptoglobin.</t>
  </si>
  <si>
    <t>Karate</t>
  </si>
  <si>
    <t>Martial arts</t>
  </si>
  <si>
    <t>Among 19 female karate athletes, 47% had low ferritin and 11% anemia, the highest ferritin deficiency rate.</t>
  </si>
  <si>
    <t>63% with inadequate iron intake; 47% low ferritin (highest deficiency rate); 11% anemia; lowest ferritin levels of all athlete groups; high haptoglobin consistent with non-impact sport.</t>
  </si>
  <si>
    <t>Eating behaviors, nutritional status, and menstrual function in elite female adolescent volleyball players</t>
  </si>
  <si>
    <t>DE Screen</t>
  </si>
  <si>
    <t>Among 23 elite adolescent volleyball players, 30% screened positive for disordered eating behaviors on EAT-26, while 61% reported menstrual dysfunction (irregular, amenorrhea, or oligomenorrhea).</t>
  </si>
  <si>
    <t>Disordered eating (30%), amenorrhea (17%), oligomenorrhea (13%), irregular cycles (48%), low BMI in 2 athletes, micronutrient deficiencies (iron, B12, vitamin C).</t>
  </si>
  <si>
    <t>Small elite cohort; multiple overlapping RED-S symptoms; menstrual dysfunction rates higher than DE risk; direct nutrient assays included.</t>
  </si>
  <si>
    <t>Physiologic Screening Test for Eating Disorders/Disordered Eating Among Female Collegiate Athletes</t>
  </si>
  <si>
    <t>Screening for ED/DE using physiologic-based test with high sensitivity/specificity</t>
  </si>
  <si>
    <t>33% with eating disorder/disordered eating</t>
  </si>
  <si>
    <t>Not reported</t>
  </si>
  <si>
    <t>Not Reported</t>
  </si>
  <si>
    <t>High prevalence compared to other team sports.</t>
  </si>
  <si>
    <t>Gymnastics</t>
  </si>
  <si>
    <t>50% with eating disorder/disordered eating</t>
  </si>
  <si>
    <t>Highest prevalence rate of all sports in this study.</t>
  </si>
  <si>
    <t xml:space="preserve">Dance </t>
  </si>
  <si>
    <t>20% with eating disorder/disordered eating</t>
  </si>
  <si>
    <t>Moderate prevalence compared to modern dance group.</t>
  </si>
  <si>
    <t>Modern Dance</t>
  </si>
  <si>
    <t>45% with eating disorder/disordered eating</t>
  </si>
  <si>
    <t>One of the highest prevalence groups alongside cross-country and gymnastics.</t>
  </si>
  <si>
    <t>Cross-country</t>
  </si>
  <si>
    <t>One of the highest prevalence groups alongside modern dance and gymnastics.</t>
  </si>
  <si>
    <t>Track &amp; Field</t>
  </si>
  <si>
    <t>38% with eating disorder/disordered eating</t>
  </si>
  <si>
    <t>One of the higher prevalence groups among non-aesthetic sports.</t>
  </si>
  <si>
    <t>25% with eating disorder/disordered eating</t>
  </si>
  <si>
    <t>Prevalence moderate compared to aesthetic sports.</t>
  </si>
  <si>
    <t>13% with eating disorder/disordered eating</t>
  </si>
  <si>
    <t>Lowest prevalence among the sports with some ED/DE cases.</t>
  </si>
  <si>
    <t>0% eating disorder/disordered eating</t>
  </si>
  <si>
    <t>No athletes classified as ED/DE in basketball.</t>
  </si>
  <si>
    <t>Prevalence similar to swimming; moderate compared to other groups.</t>
  </si>
  <si>
    <t>Golf</t>
  </si>
  <si>
    <t>Technical sports</t>
  </si>
  <si>
    <t>40% with eating disorder/disordered eating</t>
  </si>
  <si>
    <t>Relatively high prevalence despite non-aesthetic categorization.</t>
  </si>
  <si>
    <t>Softball</t>
  </si>
  <si>
    <t>No athletes classified as ED/DE in softball.</t>
  </si>
  <si>
    <t>Body Composition, Eating Habits, and Disordered Eating Behaviors among Adolescent Classical Ballet Dancers and Controls</t>
  </si>
  <si>
    <t>Among 46 adolescent ballet dancers, 23.9% screened positive for disordered eating on EAT-26 and 7 were diagnosed with eating disorders via SCID, with dancers showing lower BMI and body fat compared to controls.</t>
  </si>
  <si>
    <t>Disordered eating behaviors, underweight (BMI &lt;18.5 in some), lower fat mass and circumferences, SCID-confirmed ED diagnoses.</t>
  </si>
  <si>
    <t>No menstrual data collected; dancers were significantly leaner than controls; both screening (EAT-26) and diagnostic (SCID) tools used.</t>
  </si>
  <si>
    <t>Prevalence of low energy availability in 25 New Zealand elite female rowers</t>
  </si>
  <si>
    <t>~20</t>
  </si>
  <si>
    <t>Among 25 New Zealand elite female rowers, 64% had low energy availability by EA calculation, with BEDA-Q identifying 89% of those at risk, while LEAF-Q was unsuitable due to widespread hormonal contraception use.</t>
  </si>
  <si>
    <t>Low EA; higher BEDA-Q scores in low EA group; no differences in BMD; contraceptive use masked LEAF-Q effectiveness.</t>
  </si>
  <si>
    <t>Yes (Rowing NZ High Performance Centre, nutritionist support)</t>
  </si>
  <si>
    <t>First study in elite rowers; BEDA-Q more accurate than LEAF-Q; rowing-specific support structure noted (Rowing NZ High Performance Centre, nutritionist support).</t>
  </si>
  <si>
    <t>Effect of a nutrition intervention on eating behaviours and body composition among elite adolescent ballet students</t>
  </si>
  <si>
    <t>DEAQ</t>
  </si>
  <si>
    <t>Among 27 adolescent ballet students, 30% were classified at risk using DEAQ/EDE-A, with additional menstrual dysfunction (delayed menarche in 32%, oligomenorrhea in 26%) and eating disorder symptoms reported.</t>
  </si>
  <si>
    <t>Eating disorder risk (22%), delayed menarche (≥15 yrs in 32%), 2 without menarche, oligomenorrhea (26%), body image concerns, pressure to lose weight.</t>
  </si>
  <si>
    <t>Yes (nutrition programme + counselling support)</t>
  </si>
  <si>
    <t>Yes (13 countries represented)</t>
  </si>
  <si>
    <t>Nutrition program plus counseling provided; 13 countries represented in cohort; intervention improved literacy/behaviors but not clinical outcomes.</t>
  </si>
  <si>
    <t>Advancing Knowledge of the Bio-Cultural Complexities of Low Energy Availability</t>
  </si>
  <si>
    <t>Elite international athletes, high training loads</t>
  </si>
  <si>
    <t>Among 11 elite endurance athletes, 82% were classified with low energy availability by EA calculation (&lt;30 kcal/kg FFM/day).</t>
  </si>
  <si>
    <t>Menstrual irregularity, low ferritin, restrictive eating (meal skipping, rigid food routines), abnormal food practices, cultural pressure to remain lean.</t>
  </si>
  <si>
    <t>Yes (athlete support staff, but culture not protective)</t>
  </si>
  <si>
    <t>Cultural belief that “leaner is faster” reinforced by teammates; athletes with LEA had higher exercise energy expenditure than HEA peers.</t>
  </si>
  <si>
    <t>Elite professional athletes, heavy training loads</t>
  </si>
  <si>
    <t>Among 10 elite female track cyclists, 70% were classified with low energy availability by EA calculation.</t>
  </si>
  <si>
    <t>Reduced energy intake, lower carbohydrate and protein consumption, restrictive eating, body image pressure from coaches, dining halls viewed as high-pressure environments.</t>
  </si>
  <si>
    <t>Yes (coaches/support staff involved, but often source of negative pressure)</t>
  </si>
  <si>
    <t>Coach–athlete dynamics were a key driver of restrictive eating; majority of athletes classified as LEA.</t>
  </si>
  <si>
    <t>Rugby</t>
  </si>
  <si>
    <t>Among 9 elite female rugby sevens players, 22% were classified with low energy availability by EA calculation.</t>
  </si>
  <si>
    <t>Restrictive eating, hierarchical “food policing” by senior players, discomfort and pressure among novice players.</t>
  </si>
  <si>
    <t>Yes (elite team support staff present, but peer surveillance culture)</t>
  </si>
  <si>
    <t>Team culture influenced nutrition more than physiology; support staff present but peer surveillance undermined healthy behaviors.</t>
  </si>
  <si>
    <t>Assessment of Relative Energy Deficiency in Sport and Malnutrition Prevalence in Female Endurance Runners</t>
  </si>
  <si>
    <t>REDs risk, Anovulation</t>
  </si>
  <si>
    <t>LEA, Low FFMI, Anovulation, Amenorrhea, Injury</t>
  </si>
  <si>
    <t>REDs risk in 29% of MA; 50% below clinical malnutrition FFMI threshold; high subclinical ovulatory disturbances despite normal cycles; 82% below 20th FFMI percentile.</t>
  </si>
  <si>
    <t>REDs risk in 64% of YA; 18.2% below clinical malnutrition FFMI threshold; REDs risk associated with lower FFMI and BMI; ovulation linked to REDs-RS score.</t>
  </si>
  <si>
    <t>Evaluating the prevalence of eating disorder risk and low energy availability risk in collegiate athletes</t>
  </si>
  <si>
    <t>Dance Team</t>
  </si>
  <si>
    <t>No formal diagnosis; screening only</t>
  </si>
  <si>
    <t>LEAF-Q menstrual dysfunction items (amenorrhoea/oligo)</t>
  </si>
  <si>
    <t>Yes (collegiate athletics support programs, not detailed)</t>
  </si>
  <si>
    <t>Dance team had 36.4% LEA but 81.8% ED risk; Women’s gymnastics had 76.5% LEA risk; aesthetic athletes highest combined ED+LEA risk</t>
  </si>
  <si>
    <t>Endurance (Rowing, Track, Swimming)</t>
  </si>
  <si>
    <t>LEAF-Q menstrual dysfunction items</t>
  </si>
  <si>
    <t>Yes (collegiate athletics programs)</t>
  </si>
  <si>
    <t>Female endurance athletes had highest LEAF-Q mean (9.44); aligns with high LEA prevalence in endurance sports</t>
  </si>
  <si>
    <t>Field hockey 72.4% LEA; Softball 68.2% LEA; Soccer 52.9% LEA; ED risk varied widely by sport (23.5% soccer → 52% softball)</t>
  </si>
  <si>
    <t>Energy Availability With or Without Eating Disorder Risk in Collegiate Female Athletes and Performing Artists</t>
  </si>
  <si>
    <t>LEA (EA &lt;30 kcal/kg FFM), with ED risk reported</t>
  </si>
  <si>
    <t>LEA, Pathogenic behaviors (dieting, purging), Drive for Thinness, Body Dissatisfaction</t>
  </si>
  <si>
    <t>96.2% had LEA, 76.9% had ED risk, 69.2% reported dieting, highest Drive for Thinness score.</t>
  </si>
  <si>
    <t>Beach Volleyball</t>
  </si>
  <si>
    <t>LEA, Drive for Thinness, Bulimia risk</t>
  </si>
  <si>
    <t>94.4% had LEA, 72.2% ED risk, 50% bulimia subscale risk, high dieting rate.</t>
  </si>
  <si>
    <t>LEA, Pathogenic behaviors, Drive for Thinness</t>
  </si>
  <si>
    <t>83.3% had LEA, 66.7% ED risk; high bulimia scores despite lower dieting rates.</t>
  </si>
  <si>
    <t>LEA, Pathogenic behaviors, high EEE</t>
  </si>
  <si>
    <t>30% had LEA (lowest); 75% ED risk; highest energy intake and EEE due to preseason training and team dining.</t>
  </si>
  <si>
    <t>LEA, High Perfectionism, Pathogenic behaviors</t>
  </si>
  <si>
    <t>100% had LEA, 82.4% ED risk, 47.1% reported dieting, highest eating disorder composite score.</t>
  </si>
  <si>
    <t>Equestrian</t>
  </si>
  <si>
    <t>LEA, High Perfectionism, Drive for Thinness</t>
  </si>
  <si>
    <t>82.1% had LEA, 78.6% had ED risk; highest perfectionism scores.</t>
  </si>
  <si>
    <t>Nutrition and hydration concerns of the female football player</t>
  </si>
  <si>
    <t>Elite international players, high training &amp; match load</t>
  </si>
  <si>
    <t>Iron deficiency/IDA as RED-S proxy indicator</t>
  </si>
  <si>
    <t>Fatigue, reduced aerobic capacity risk due to anemia; low energy availability and prolonged energy restriction described as underlying factors</t>
  </si>
  <si>
    <t>Yes (elite national team support)</t>
  </si>
  <si>
    <t>Review article citing Swedish national squad data; very high prevalence of iron deficiency/IDA treated as RED-S risk indicator; contextualizes negative energy balance and nutritional restriction in female footballers</t>
  </si>
  <si>
    <t>Significant differences in dietary intake of NCAA Division III soccer players compared to recommended levels</t>
  </si>
  <si>
    <t>Collegiate training load (in-season, not specified)</t>
  </si>
  <si>
    <t>LEA proxy via under-fuelling on 3-day food diary</t>
  </si>
  <si>
    <t>Energy deficiency, micronutrient inadequacies (Ca, Mg, Vit D), elevated fat &amp; sugar intake</t>
  </si>
  <si>
    <t>Yes (RD-led assessments, but no systematic intervention)</t>
  </si>
  <si>
    <t>Study highlights chronic under-fuelling in DIII female soccer; indirect calorimetry subset showed female energy needs underestimated by Harris-Benedict, so deficits may be larger than reported</t>
  </si>
  <si>
    <t>Assessment of Dietary Intake, Energy Status, and Factors Associated With RED-S in Vocational Female Ballet Students</t>
  </si>
  <si>
    <t>No formal RED-S diagnosis, risk defined via EA thresholds &amp; LEAF-Q</t>
  </si>
  <si>
    <t>Menstrual dysfunction (25% secondary amenorrhea, 15% oligomenorrhea); underweight (20% &lt;85% expected BW); energy deficit −308 kcal/day</t>
  </si>
  <si>
    <t>Yes (conservatoire support, supplement use in 55%)</t>
  </si>
  <si>
    <t>All Caucasian</t>
  </si>
  <si>
    <t>Despite high RED-S risk, BMD was normal (Z-score 1.1); energy deficit larger during training weekdays; underreporting possible but methodology rigorous</t>
  </si>
  <si>
    <t>Indicators and correlates of low energy availability in male and female dancers</t>
  </si>
  <si>
    <t>No formal diagnosis; risk defined by DEAQ</t>
  </si>
  <si>
    <t>Menstrual dysfunction (amenorrhea 33%, oligomenorrhea 17%, ≥3 months without periods 28%), GI symptoms (77%), disordered eating (15% diagnosed ED).</t>
  </si>
  <si>
    <t>Yes (some school/company dietician/nutritionist access, but limited)</t>
  </si>
  <si>
    <t>27 countries, mostly Western (Australia, UK, USA, Germany major groups)</t>
  </si>
  <si>
    <t>First validation of DEAQ in dance; mean female RED-S score −1.4; awareness of RED-S low (29%); staff often did not address amenorrhoea despite health risks</t>
  </si>
  <si>
    <t>The relationship between the female athlete triad and injury rates in collegiate female athletes</t>
  </si>
  <si>
    <t>Collegiate, national level</t>
  </si>
  <si>
    <t xml:space="preserve">Composite Triad Risk </t>
  </si>
  <si>
    <t>No formal diagnosis; triad risk scoring only</t>
  </si>
  <si>
    <t>LEA (1.7%), amenorrhea (5.2%), low BMD (0% overall), bone stress fracture history present.</t>
  </si>
  <si>
    <t>Yes (college athletics)</t>
  </si>
  <si>
    <t>Highest risk group; 87.5% ≥moderate risk; 87.5% had bone stress fracture history</t>
  </si>
  <si>
    <t>No formal RED-S diagnosis; triad risk scoring only</t>
  </si>
  <si>
    <t>Yes (college athletic programs)</t>
  </si>
  <si>
    <t>All swimmers low risk; contrast to other endurance sports in study</t>
  </si>
  <si>
    <t>Sprinting</t>
  </si>
  <si>
    <t>Moderate RED-S risk cluster; stress fracture history in some sprinters</t>
  </si>
  <si>
    <t>Majority low risk; some with stress fracture history</t>
  </si>
  <si>
    <t>Majority low risk; ~18% moderate; injuries concentrated in moderate/high groups</t>
  </si>
  <si>
    <t>Nearly one-third moderate risk; injury rate higher in moderate/high group</t>
  </si>
  <si>
    <t>1 in 5 basketball players moderate risk</t>
  </si>
  <si>
    <t>Disordered eating among adolescent female swimmers: Dietary, biochemical, and body composition factors</t>
  </si>
  <si>
    <t>Club training, regional/state level</t>
  </si>
  <si>
    <t>Disordered eating risk (≥cutoff on EAT-26, BITE, or BSQ)</t>
  </si>
  <si>
    <t>Fasting, vomiting, laxatives/diuretics (24.7%), LEA &lt;45 kcal/kg FFM (20.8%), LEA &lt;30 kcal/kg FFM (6.5%), iron deficiency anemia (7.8%), lower protein intake (11–14y), lower calcium adequacy (15–19y)</t>
  </si>
  <si>
    <t>Not specified</t>
  </si>
  <si>
    <t>DE questionnaires used as RED-S risk screen; study shows nearly half of adolescent swimmers at risk, with overlapping low energy availability and nutritional inadequacies</t>
  </si>
  <si>
    <t>Dysfunctional eating attitudes and behaviors among French elite athletes: the impact of psychological characteristics and the sporting calendar</t>
  </si>
  <si>
    <t>&gt;12</t>
  </si>
  <si>
    <t>Disordered eating risk (EAT-26 ≥20)</t>
  </si>
  <si>
    <t>Anxiety elevated during competition, internalization of thinness norms, low resilience scores, personality trait associations (agreeableness linked to higher DEAB risk).</t>
  </si>
  <si>
    <t>No formalized system; reliance on self-regulation</t>
  </si>
  <si>
    <t>All French-speaking, national/international level</t>
  </si>
  <si>
    <t>First longitudinal study linking competition season to higher DEAB risk; 545 repeated measures across 12 months; findings suggest competition is high-risk period for RED-S development</t>
  </si>
  <si>
    <t>Do Iranian Female Dancers Face a Risk of Chronic Negative Energy Balance?</t>
  </si>
  <si>
    <t>~3 hrs/week dancing + daily activity</t>
  </si>
  <si>
    <t>Chronic negative energy balance (NEB) used as RED-S proxy.</t>
  </si>
  <si>
    <t>Low protein &amp; carbohydrate intake, high fat intake, energy deficit larger on dance days (−1202 kcal), body image pressure, poor nutrition knowledge.</t>
  </si>
  <si>
    <t>No structured medical/nutrition support</t>
  </si>
  <si>
    <t>All Iranian</t>
  </si>
  <si>
    <t>Yes (all university students)</t>
  </si>
  <si>
    <t>First study on Iranian dancers; energy deficit largest on dance days (−1202 kcal); improper nutrition knowledge cited; authors recommend sports nutritionist/mental health support</t>
  </si>
  <si>
    <t>Energy intake and energy expenditure of pre-professional female contemporary dancers</t>
  </si>
  <si>
    <t>26.3 ± 5.8</t>
  </si>
  <si>
    <t>Chronic negative energy balance; LEA confirmed by EA calculation; eating disorder history and menstrual dysfunction present.</t>
  </si>
  <si>
    <t>Negative energy balance (−422 kcal/day weekdays), low EA (13.3 kcal/kg FFM/day), 9 dancers oligomenorrheic, 9 dancers with prior ED history, moderate restraint/emotional eating on TFEQ.</t>
  </si>
  <si>
    <t>Weekday energy balance -422 kcal/day; 17/25 dancers in overall deficit; TFEQ showed moderate restraint/emotional eating.</t>
  </si>
  <si>
    <t>Energetic Efficiency, Menstrual Irregularity, and Bone Mineral Density in Elite Professional Female Ballet Dancers</t>
  </si>
  <si>
    <t>&gt;150 min</t>
  </si>
  <si>
    <t>Low energy availability with menstrual irregularities (22% amenorrheic/oligomenorrheic), reduced resting metabolic rate, and lower bone mineral density in female ballet dancers compared to controls.</t>
  </si>
  <si>
    <t>Menstrual dysfunction, suppressed RMR (dancers: 1367 kcal/day vs controls: 1454 kcal/day), lower femur Z-scores, dietary restraint behaviors, low BMI (18.9), chronic energy restriction relative to training demands.</t>
  </si>
  <si>
    <t>6/15 dancers met triad criteria; dancers had significantly lower RMR and energy intake despite matched FFM; supports energetic efficiency as REDs proxy.</t>
  </si>
  <si>
    <t>Eating disorder symptoms and weight pressure in female rowers</t>
  </si>
  <si>
    <t>High risk of eating disorder symptoms (42.3% scored ≥2 on SCOFF) with weight-related pressure from teammates, coaches, and uniforms; body composition concerns linked to performance expectations in fixed-bench rowing.</t>
  </si>
  <si>
    <t>Body dissatisfaction, weight-related pressure from teammates and coaches, uniform-related body concerns, higher BMI associated with ED symptoms, self-concept of strength and pressure from teammates positively associated with ED risk, autonomy negatively associated with ED symptoms.</t>
  </si>
  <si>
    <t>Fixed-bench rowing with no weight class but strong weight-performance link; 42.3% scored above SCOFF cutoff for ED symptom risk</t>
  </si>
  <si>
    <t>Eating disorder risk in adolescent and adult female athletes: the role of body satisfaction, sport type, BMI, level of competition, and training background</t>
  </si>
  <si>
    <t>Aesthetic sports (Recreational: rhythmic gymnastics, aerobics, dance sport, cheerleading, dance)</t>
  </si>
  <si>
    <t>~6</t>
  </si>
  <si>
    <t>No formal diagnosis; EAT-26 score ≥20 threshold used</t>
  </si>
  <si>
    <t>Eating disorder risk based on EAT-26; no clinical diagnosis</t>
  </si>
  <si>
    <t>14.6% of adolescent female athletes had ED risk; OR = 11.5 for lean non-aesthetic sports</t>
  </si>
  <si>
    <t>Ball sports</t>
  </si>
  <si>
    <t>Cross-Sectional Study of the Anthropometric Profile and Nutrient Status of Elite Female Ice Hockey Players</t>
  </si>
  <si>
    <t>Low energy availability with inadequate energy intake relative to total energy expenditure (TEE) in centers and defenders; widespread micronutrient deficiencies including vitamin D (100% of sample), vitamin E, calcium, iron, iodine, zinc, and selenium below RDI; inadequate macronutrient distribution.</t>
  </si>
  <si>
    <t>Energy intake insufficient to meet TEE (centers: 2407 kcal intake vs 3329 kcal TEE; defenders: 2490 kcal intake vs 3229 kcal TEE); vitamin D deficiency (100% below RDI); calcium deficiency (mean 653-833 mg vs 1000 mg RDI); iron deficiency; inadequate carbohydrate intake (3.58-4.66 g/kg vs 6-10 g/kg recommended); elevated body fat % in goalkeepers (27.4%) and centers (26.9%); suboptimal protein timing.</t>
  </si>
  <si>
    <t>Energy intake for centers and defenders did not meet TEE; vitamin D, E, calcium, iron, iodine, zinc deficiencies observed; LEA risk noted despite no formal screening tool</t>
  </si>
  <si>
    <t>Investigating the prevalence of low energy availability, disordered eating and eating disorders in competitive and recreational female endurance runners</t>
  </si>
  <si>
    <t>≥4 (Rec), ≥6 (Comp)</t>
  </si>
  <si>
    <t>Low energy availability risk (47.3% scored ≥8 on LEAF-Q); disordered eating risk (9% scored ≥2 on FAST); eating disorder risk (40% at risk on EDE-Q, 49% at risk on EAT-26); highest risk in 18-24 age group and competitive runners compared to recreational runners; age and competitive level predicted LEA-Q and FAST scores.</t>
  </si>
  <si>
    <t>LEA symptoms per LEAF-Q (47.3%); disordered eating behaviors (FAST ≥2: 9%); menstrual dysfunction; GI symptoms; injury history; bone health concerns; competitive runners had significantly higher risk than recreational runners (53.7% vs 40.7% LEA risk); 18-24 age group had highest rates of ED (11.6%) and LEA (93.3%).</t>
  </si>
  <si>
    <t>Used both LEAF-Q and FAST; highest REDs risk in 18–24 age group; pooled prevalence across competitive and recreational runners</t>
  </si>
  <si>
    <t>Delayed Menarche and Amenorrhea of College Athletes in Relation to Age of Onset of Training</t>
  </si>
  <si>
    <t>Secondary amenorrhea (17.6%); delayed menarche (mean age 13.9±0.5 years); oligomenorrhea and irregular cycles (22%); menstrual dysfunction associated with earlier training onset (pre-menarche training began at mean age 10.1 years in amenorrheic runners vs 13.2 years in eumenorrheic runners).</t>
  </si>
  <si>
    <t>Secondary amenorrhea (3/17), oligomenorrhea (irregular cycles in 22%), delayed menarche compared to general population (13.9 vs 12.8 years), lower body weight (runners: 111.1±1.8 lbs vs controls: MA 51.1±1.7 lbs).</t>
  </si>
  <si>
    <t>15.8% of runners had secondary amenorrhea; delayed menarche and irregular cycles associated with pre-menarche training onset</t>
  </si>
  <si>
    <t>Secondary amenorrhea (5.3%); mean age of menarche 13.2±0.6 years (similar to general population); lower prevalence of menstrual dysfunction compared to runners despite similar training demands.</t>
  </si>
  <si>
    <t>Secondary amenorrhea (1/19), age of menarche 13.2 years, oligomenorrhea present but percentage not clearly reported.</t>
  </si>
  <si>
    <t>5.3% of swimmers had secondary amenorrhea; prevalence lower than runners despite similar training load</t>
  </si>
  <si>
    <t>Determinants of Sports Injury in Young Female Swedish Competitive Figure Skaters</t>
  </si>
  <si>
    <t>Figure Skating</t>
  </si>
  <si>
    <t>Severe sports injury prevalence (33% in past year); menstrual irregularities (42% irregular, 6% amenorrheic); injury associated with older age, increased training intensity, inadequate energy intake, insufficient sleep, skipping meals on weekends.</t>
  </si>
  <si>
    <t>Severe sports injuries (33%), irregular menstruation (42%), amenorrhea (6%), skipping meals on weekends (58% occasionally/often), inadequate breakfast (48%), inadequate sleep &lt;8 hrs (17%), overuse injuries in back (36%), knee (30%), and foot (24%).</t>
  </si>
  <si>
    <t>≥5 sessions/week</t>
  </si>
  <si>
    <t>LEA risk (73.3% scored ≥8 on LEAF-Q); disordered eating in subset; menstrual dysfunction; food intolerances; exercise addiction risk.</t>
  </si>
  <si>
    <t>LEAF-Q score ≥8 (73.3%), menstrual irregularities (22% using hormonal contraception), food intolerances, exercise addiction.</t>
  </si>
  <si>
    <t>No systematic support reported</t>
  </si>
  <si>
    <t>Multi-country European</t>
  </si>
  <si>
    <t>Lowest prevalence group (50%) but still half at risk</t>
  </si>
  <si>
    <t>LEA risk (85.1% scored ≥8 on LEAF-Q - highest of all sports); disordered eating (47% at risk via EDE-Q); menstrual dysfunction; food intolerances most prevalent; exercise addiction strongly correlated with LEA.</t>
  </si>
  <si>
    <t>LEAF-Q score ≥8 (85.1% - highest), disordered eating (47%), menstrual irregularities (19% using hormonal contraception - lowest HC use), food intolerances (highest rate), exercise addiction (strongest correlation).</t>
  </si>
  <si>
    <t>Study found high prevalence of Triad risk factors in HS runners; free T3 inversely correlated with Triad risk; recommends early screening and further lab validation</t>
  </si>
  <si>
    <t>Cross-country skiing</t>
  </si>
  <si>
    <t>LEA risk (73.7% scored ≥8 on LEAF-Q); menstrual dysfunction; food intolerances; exercise addiction risk (higher EAI scores in LEA group).</t>
  </si>
  <si>
    <t>LEAF-Q score ≥8 (73.7%), menstrual irregularities (28% using hormonal contraception), food intolerances/GI symptoms, exercise addiction correlation with LEA.</t>
  </si>
  <si>
    <t>Multi-country Nordic study; 78 skiers from Norway/Sweden/Denmark; training ≥5 sessions/week</t>
  </si>
  <si>
    <t>LEA risk (75.7% scored ≥8 on LEAF-Q); disordered eating (21.2% at risk via EDE-Q); menstrual dysfunction; food intolerances; exercise addiction positively correlated with LEA.</t>
  </si>
  <si>
    <t>LEAF-Q score ≥8 (75.7%), disordered eating risk (21.2%), menstrual irregularities (29% using hormonal contraception), food intolerances, exercise addiction.</t>
  </si>
  <si>
    <t>Prevalence consistent with other cycling cohorts</t>
  </si>
  <si>
    <t>Is athletic amenorrhea specific to runners?</t>
  </si>
  <si>
    <t>Secondary amenorrhea (34.2%); prevalence increased linearly with weekly training mileage (8.6% at &lt;20 miles/week to 42.9% at &gt;80 miles/week); body weight and body fat percentage correlated with amenorrhea; runners lighter than swimmers/cyclists.</t>
  </si>
  <si>
    <t>Secondary amenorrhea (prevalence increased with mileage: 8.6% &lt;20 mi/wk, 15.4% 20-40 mi/wk, 25.7% 40-80 mi/wk, 42.9% &gt;80 mi/wk); lower body weight and body fat associated with amenorrhea.</t>
  </si>
  <si>
    <t>Study compared amenorrhea rates across three sports; found training mileage correlated with amenorrhea in all sports, but body weight/fat only significant in runners; suggests sport-specific mechanisms</t>
  </si>
  <si>
    <t>Secondary amenorrhea (12.3%); similar prevalence to cyclists despite similar training volume; no significant correlation between body weight/body fat and amenorrhea in swimmers; amenorrhea prevalence increased with training mileage but body composition not a factor.</t>
  </si>
  <si>
    <t>Secondary amenorrhea (24/197 swimmers), training mileage correlation present but no body weight/composition correlation unlike runners.</t>
  </si>
  <si>
    <t>Secondary amenorrhea (12.1%); amenorrhea prevalence increased linearly with training mileage in all groups; body weight correlation with amenorrhea in runners and cyclists but not swimmers.</t>
  </si>
  <si>
    <t>Secondary amenorrhea (4/33 cyclists), training mileage correlation with amenorrhea prevalence across all sports.</t>
  </si>
  <si>
    <t>Menstrual cycle disorders as an early symptom of energy deficiency among female physique athletes assessed using the Low Energy Availability in Females Questionnaire (LEAF-Q)</t>
  </si>
  <si>
    <t>Body Building</t>
  </si>
  <si>
    <t>8.6 hrs/week (strength + cardio)</t>
  </si>
  <si>
    <t>LEA risk (43.27% scored ≥8 on LEAF-Q); menstrual disorders (24% current, including 15.38% current amenorrhea, 43% history of amenorrhea); GI problems significantly more frequent in LEA group; 27.9% injury-related training absence; younger athletes and those with higher training loads at increased risk.</t>
  </si>
  <si>
    <t>LEAF-Q score ≥8 (43.27%), current menstrual disorders (24%), current amenorrhea (15.38%), past amenorrhea (43%), bleeding lasted 3-6 days (majority), GI problems (more frequent in ≥8 group, p&lt;0.023), injury-related absence (27.9%), menstrual changes when decreasing exercise intensity/frequency (84.62%).</t>
  </si>
  <si>
    <t>All Polish physique athletes</t>
  </si>
  <si>
    <t>First study using LEAF-Q in physique athletes (bodybuilding/figure); n=104 Polish female physique athletes; mean age 30.77±5.76 years; 8.6 hrs/week training (5.77 strength + 2.86 cardio); younger athletes with higher training loads more at risk; 92.88% using hormonal contraception to avoid pregnancy; significant correlation between LEAF-Q scores and menstrual dysfunction, GI symptoms, and injury absence.</t>
  </si>
  <si>
    <t>Elite collegiate swimmers do not meet sport nutrition recommendations during heavy training: effects of sex and within-day nutrient timing</t>
  </si>
  <si>
    <t>CHO intake inadequacy (73% of females failed to meet IOC/ISSN 8-12 g/kg/day recommendations); only 0-12% met CHO timing guidelines pre/during/post training; mean CHO intake 3.5±1.0 g/kg/day (far below 8-12 g/kg recommendation); fat intake also below recommendations (1.0±0.4 g/kg/day vs 1-2 g/kg/day); protein adequate (1.5±0.2 g/kg/day).</t>
  </si>
  <si>
    <t>Inadequate CHO intake (mean 3.5±1.0 g/kg/day), poor nutrient timing (0-12% met pre/during/post CHO guidelines), low fat intake (1.0±0.4 g/kg/day), total energy intake adequate (mean 2261±397 kcal/day vs TDEE 2251 kcal/day), high protein intake (1.5±0.2 g/kg/day), macronutrient distribution skewed toward protein at expense of CHO and fat.</t>
  </si>
  <si>
    <t>Yes (fueling stations provided, poor compliance)</t>
  </si>
  <si>
    <t>Primarily Caucasian; 1 African American/Caribbean; 1 Latin American</t>
  </si>
  <si>
    <t>Division I collegiate swimmers (n=25; 15 female, 10 male); females showed sex differences with lower CHO consumption at 1500h and 1700h; macronutrient timing deficits most pronounced during heavy training blocks; study monitored two training sessions; fueling station available but underutilized; inadequate CHO timing suggests glycogen depletion risk but study did not formally diagnose REDs.</t>
  </si>
  <si>
    <t>Energy expenditure, intake and availability in female soccer players via doubly labelled water: Are we misrepresenting low energy availability?</t>
  </si>
  <si>
    <t>~9–10 days training camp (matches + training, GPS load monitored)</t>
  </si>
  <si>
    <t>LEA prevalence 4.4% via DLW method (2/45 players &lt;30 kcal/kg FFM); mean EA 48±14 kcal/kg FFM/day (range 27-71); RFPM self-report significantly overestimated LEA prevalence (15% vs 4.4%); ~500 kcal/day under-reporting with RFPM; 38% reduced EA and 5% low EA when using DLW; body mass decreased during camp.</t>
  </si>
  <si>
    <t>LEA via DLW (4.4%, mean EA 48 kcal/kg FFM/day), RFPM under-reporting (~500 kcal/day, 22% error), body mass decrease (Day 0: 61.3±7.3 kg to Day 7/8: 60.9±6.9 kg, p&lt;0.01), CHO intake lower than recommendations (MD-1: 3.1±0.3 g/kg/day), self-reported EI using RFPM showed 15% LEA prevalence (overestimate).</t>
  </si>
  <si>
    <t>Yes (national team setting with staff support)</t>
  </si>
  <si>
    <t>First DLW study in adolescent female international soccer players (U17 n=28, U19 n=17); DLW showed lower LEA prevalence than self-report methods; mean TDEE 2673±373 kcal/day (U17), 2689±238 kcal/day (U19); training camp included matches and GPS-monitored training; study demonstrates self-report methods (RFPM) significantly overestimate LEA prevalence; supports need for objective measures like DLW for accurate EA assessment.</t>
  </si>
  <si>
    <t>A Preliminary Study of Nutrients Related to the Risk of Relative Energy Deficiency in Sport in Top-Performing Female Amateur Triathletes</t>
  </si>
  <si>
    <t>11 ± 3.76</t>
  </si>
  <si>
    <t>LEA risk 50% (10/20 scored ≥8 on LEAF-Q); 50% showed ≥1 LEA symptom; menstrual dysfunction prevalent in high-LEA group (8/10); energy deficits present; dietary differences between groups with high-LEA consuming more fiber, plant protein, and n-6 PUFA; relative total energy expenditure (rTEE) and absolute energy deficit (aED) higher in H-LEA group.</t>
  </si>
  <si>
    <t>LEAF-Q score ≥8 (50%), menstrual dysfunction (8/10 in high-LEA group), GI symptoms (3/10 in high-LEA group), injuries (2/10 in high-LEA group), energy deficit mean -18.6±19.8% in high-LEA group vs -10.1±4.9% in low-LEA group, higher fiber intake (29.82±4.37 g vs 18.68±3.34 g), higher plant protein, higher n-6 PUFA (18.55±2.34 g vs 10.38±2.45 g).</t>
  </si>
  <si>
    <t>All Polish</t>
  </si>
  <si>
    <t>Top-performing Polish female amateur triathletes; training 11±3.76 hrs/week; 80% had energy deficits; high-LEA group had higher rTEE (30.96±4.37 vs 18.68±3.34 kcal/kg/day) and larger absolute energy deficit (-491±4.96 vs -263.7±6.93 kcal/day); dietary macronutrient composition similar between groups but micronutrient patterns differed; plant-based diet characteristics more prominent in high-LEA group.</t>
  </si>
  <si>
    <t>Effects of a 16-Week Digital Intervention on Sports Nutrition Knowledge and Behavior in Female Endurance Athletes with Risk of Relative Energy Deficiency in Sport (REDs)</t>
  </si>
  <si>
    <t>Endurance (multi-sport: running, orienteering, cycling, triathlon, XC skiing, biathlon)</t>
  </si>
  <si>
    <t>≈11–12</t>
  </si>
  <si>
    <t>Screening only via LEAF-Q; no formal clinical REDs diagnosis.</t>
  </si>
  <si>
    <t>Menstrual dysfunction, low energy availability, disordered eating risk markers (study inclusion criteria).</t>
  </si>
  <si>
    <t>Yes (digital nutrition education &amp; counseling in intervention arm)</t>
  </si>
  <si>
    <t>Multi-country European cohort</t>
  </si>
  <si>
    <t>Strong evidence of improved nutrition knowledge in FUEL group; weak evidence for behavior change. Majority still consumed &lt;6 g/kg/day carbohydrate post-intervention.</t>
  </si>
  <si>
    <t>The risk of low energy availability in Chinese elite and recreational female aesthetic sports athletes</t>
  </si>
  <si>
    <t>Aesthetic sports (Elite: trampolining, rhythmic gymnastics, aerobics)</t>
  </si>
  <si>
    <t>28 (median, 12–43)</t>
  </si>
  <si>
    <t>LEA risk 55.8% (LEAF-Q ≥8); menstrual disturbance 67.3%; primary amenorrhea 53.8%; secondary amenorrhea 30.8%; subgroup of 14 national team athletes showed 57% at risk; lower estradiol and lower BMD Z-scores in high-risk group; elevated cortisol and reduced leptin in LEA group.</t>
  </si>
  <si>
    <t>LEAF-Q score ≥8 (55.8%), menstrual disturbance (67.3%), primary amenorrhea (53.8%), secondary amenorrhea (30.8%), lower estradiol (p=0.001), lower lumbar spine BMD Z-score (p=0.226), elevated cortisol, reduced leptin, lower testosterone.</t>
  </si>
  <si>
    <t>Chinese national teams</t>
  </si>
  <si>
    <t>All Chinese</t>
  </si>
  <si>
    <t>Elite national team athletes (n=52) preparing for Tokyo 2020 Olympics; significantly higher LEA risk than recreational athletes (p&lt;0.001); training volume 28 hrs/week (median); whole-body BMD negatively correlated with LEAF-Q scores (r=-0.774, p=0.001); strong correlation between BMI and EA (r=-0.789, p=0.003).c</t>
  </si>
  <si>
    <t>8 (median, 6–12)</t>
  </si>
  <si>
    <t>LEA risk 35.1% (LEAF-Q ≥8); menstrual disturbance 43.9%; primary amenorrhea 13.2%; secondary amenorrhea 24.6%; significantly lower risk than elite athletes but still &gt;1/3 at risk; hormonal and BMD measures within normal ranges.</t>
  </si>
  <si>
    <t>LEAF-Q score ≥8 (35.1%), menstrual disturbance (43.9%), primary amenorrhea (13.2%), secondary amenorrhea (24.6%), dieting behaviors reported (59.6% classified as being at risk of ED via EAT-26 score ≥10).</t>
  </si>
  <si>
    <t>University-based (Beijing Sport University)</t>
  </si>
  <si>
    <t>Yes (students)</t>
  </si>
  <si>
    <t>University-based recreational athletes (Beijing Sport University, n=114); lower training volume (8 hrs/week median) and lower LEA risk than elite athletes; 59.6% at risk of ED via EAT-26; 27.1% reported taking nutritional supplements; Chinese aesthetic sport athletes showed higher LEA prevalence than some international studies but lower than US collegiate aesthetic athletes.</t>
  </si>
  <si>
    <t>Dietary Intake, Serum Hormone Concentrations, Amenorrhea and Bone Mineral Density of Physique Athletes and Active Gym Enthusiasts</t>
  </si>
  <si>
    <t>6.8 ± 2.5</t>
  </si>
  <si>
    <t>LEA prevalence 26% (EA &lt;30 kcal/kg FFM); amenorrhea 27% (similar to gym enthusiasts at 26%); lower body fat and more training years in amenorrheic athletes; elevated cortisol (48% above reference range); BMD within normal range despite LEA; high protein intake (~3.0 g/kg) but inadequate overall EA.</t>
  </si>
  <si>
    <t>LEA (26%, EA = 29.3±6.3 kcal/kg FFM), amenorrhea (27% in athletes vs 26% in gym enthusiasts, p=0.099), elevated cortisol (48% above reference), lower carbohydrate intake (2.9±3.3 g/kg), higher protein intake (3.0 g/kg), similar BMD to gym enthusiasts despite competition background.</t>
  </si>
  <si>
    <t>All Finnish</t>
  </si>
  <si>
    <t>Study compared female physique athletes (n=50) vs gym enthusiasts (n=19); both groups had similar LEA (26%) and amenorrhea (26-27%) prevalence; no significant differences in hormones, BMD, or body composition between groups; amenorrhea associated with IGF-1 (r=0.325, p=0.034) and leptin correlation with body fat; study used 3-day diet records, DXA, and exercise diaries to calculate EA</t>
  </si>
  <si>
    <t>Weightlifting (non-competitive)</t>
  </si>
  <si>
    <t>Weightlifting</t>
  </si>
  <si>
    <t>5.1 ± 2.4</t>
  </si>
  <si>
    <t>LEA prevalence 26% (EA &lt;30 kcal/kg FFM); amenorrhea 26% (5/19, not 0%); elevated cortisol (48% above reference range, similar to athletes); BMD and hormones otherwise within normal range; no competition background but training for physique improvement.</t>
  </si>
  <si>
    <t>LEA (26%, EA = 30.4±8.4 kcal/kg FFM), amenorrhea (26%, same prevalence as physique athletes), elevated cortisol (48%), carbohydrate intake 3.6±3.4 g/kg, protein intake similar to athletes.</t>
  </si>
  <si>
    <t>Yes (students/fitness participants)</t>
  </si>
  <si>
    <t>Physical health and symptoms of relative energy deficiency in female fitness athletes</t>
  </si>
  <si>
    <t>~8–10 (5–6 resistance, 3–4 aerobic)</t>
  </si>
  <si>
    <t>No formal RED-S diagnosis; screening only</t>
  </si>
  <si>
    <t>8–24% amenorrhea, 8% oligomenorrhea; ↑ GI dysfunction; clinically low RMR; reduced resting HR; weight &amp; fat mass loss; ↑ BDI depression score during dieting (but below clinical cutoff)</t>
  </si>
  <si>
    <t>No structured support reported</t>
  </si>
  <si>
    <t>All Norwegian</t>
  </si>
  <si>
    <t>Symptoms of RED-S worsened during dieting phase and some persisted 1 month post-competition. Successful athletes (lower fat mass, higher carb intake) paradoxically showed stronger RED-S indicators.</t>
  </si>
  <si>
    <t>Amenorrhea and oligomenorrhea risk related to exercise training volume and intensity</t>
  </si>
  <si>
    <t>Varied (STRAVA users)</t>
  </si>
  <si>
    <t>Amenorrhea/oligomenorrhea prevalence 22% - highest among all sport groups; consistent with aesthetic sport literature.</t>
  </si>
  <si>
    <t>Menstrual dysfunction</t>
  </si>
  <si>
    <t>Multi-national cohort</t>
  </si>
  <si>
    <t>Large-scale Strava user study (n=7705 total); self-reported training data; AO risk increased with higher weekly training volumes regardless of intensity; odds ratios calculated for volume/intensity combinations</t>
  </si>
  <si>
    <t>Amenorrhea/oligomenorrhea prevalence 16%; largest subgroup (n=2860); odds of AO significantly higher with ≥7h/week LIT, ≥6h/week MIT, or ≥5h/week HIT.</t>
  </si>
  <si>
    <t>Multi-national (UK, USA, France, Germany, Spain, Brazil, etc.)</t>
  </si>
  <si>
    <t>Amenorrhea/oligomenorrhea prevalence 18%; slightly above cohort average.</t>
  </si>
  <si>
    <t>Amenorrhea/oligomenorrhea prevalence 16%; odds of AO increased with weekly training volume regardless of intensity.</t>
  </si>
  <si>
    <t>Amenorrhea/oligomenorrhea prevalence 14% - lowest among all sport groups.</t>
  </si>
  <si>
    <t>Cross trainer</t>
  </si>
  <si>
    <t>Amenorrhea/oligomenorrhea prevalence 18%; moderate sample size (n=424).</t>
  </si>
  <si>
    <t>Ball Sports (Soccer, Field Hockey, Softball, Volleyball, Lacrosse, Basketball, Ice Hockey)</t>
  </si>
  <si>
    <t>Amenorrhea/oligomenorrhea (≤10 menses/year) prevalence 19%; higher than average for cohort.</t>
  </si>
  <si>
    <t>Amenorrhea/oligomenorrhea prevalence 12%; lower than cohort average; smallest subgroup (n=52).</t>
  </si>
  <si>
    <t>Amenorrhea/oligomenorrhea prevalence 17%/16%; strength-focused training; prevalence similar to endurance athletes.</t>
  </si>
  <si>
    <t>Female athlete triad syndrome in the high school athlete</t>
  </si>
  <si>
    <t>Aesthetic sports (cheer, dance, diving, gymnastics, pom-pon)</t>
  </si>
  <si>
    <t>High school training volume</t>
  </si>
  <si>
    <t>Combined DE and MI prevalence 15.4% (highest dual-risk among sport types); disordered eating 41.5%; menstrual irregularity 28.2%; no formal Triad diagnosis.</t>
  </si>
  <si>
    <t>Disordered eating (41.5% scored ≥4 on EDE-Q), menstrual irregularity (28.2%), dual risk (15.4% met both criteria).</t>
  </si>
  <si>
    <t>High school female athletes (n=288 total); used EDE-Q ≥4.0 cutoff for DE risk; MI defined as &lt;10 menses in past 12 months; aesthetic sports had highest dual-risk prevalence; study also assessed BMD and injury history</t>
  </si>
  <si>
    <t>Endurance sports (basketball, cross-country, soccer, mid/long-distance track)</t>
  </si>
  <si>
    <t>Combined DE and MI prevalence 10.1%; disordered eating 32.5%; menstrual irregularity 19.0%; moderate dual-risk consistent with endurance sport vulnerability.</t>
  </si>
  <si>
    <t>Disordered eating (32.5%), menstrual irregularity (19.0%), dual risk (10.1%).</t>
  </si>
  <si>
    <t>Team/anaerobic sports (tennis, volleyball, swimming, softball, golf, track field/sprints)</t>
  </si>
  <si>
    <t>Combined DE and MI prevalence 7.6% (lowest dual-risk); disordered eating 36.5%; menstrual irregularity 17.0%.</t>
  </si>
  <si>
    <t>Disordered eating (36.5%), menstrual irregularity (17.0%), dual risk (7.6%).</t>
  </si>
  <si>
    <t>Participation in leanness sports but not training volume is associated with menstrual dysfunction</t>
  </si>
  <si>
    <t>Aesthetic sports</t>
  </si>
  <si>
    <t>16.7 ± 5.7</t>
  </si>
  <si>
    <t>Menstrual dysfunction 30% (6/20 athletes); highest among sport groups; amenorrhea, oligomenorrhea, and short luteal phase included; sport type (leanness sports) more predictive than training volume.</t>
  </si>
  <si>
    <t>Primary amenorrhea (delayed menarche 13.4±1.4 years), secondary amenorrhea, oligomenorrhea, short luteal phase; menstrual dysfunction significantly associated with sport type, not training hours.</t>
  </si>
  <si>
    <t>Norwegian elite female athletes aged 13-39 years; total n=603 (athletes n=604, controls n=99); MD defined as amenorrhea, oligomenorrhea, or short luteal phase; leanness sport participation (aesthetic, endurance) significantly associated with MD (OR 2.7, p&lt;0.001); training volume not significantly associated with MD; age at menarche later in leanness sports</t>
  </si>
  <si>
    <t>Endurance sports</t>
  </si>
  <si>
    <t>13.0 ± 4.4</t>
  </si>
  <si>
    <t>Menstrual dysfunction 30.5% (18/59); highest prevalence tied with aesthetic sports; leanness sport classification significant predictor.</t>
  </si>
  <si>
    <t>Secondary amenorrhea, oligomenorrhea, short luteal phase; prevalence significantly higher than non-leanness sports.</t>
  </si>
  <si>
    <t>12.9 ± 4.1</t>
  </si>
  <si>
    <t>Menstrual dysfunction 11.1% (1/9); small sample limits interpretation; prevalence similar to controls.</t>
  </si>
  <si>
    <t>Secondary amenorrhea, oligomenorrhea, short luteal phase; prevalence not significantly different from controls.</t>
  </si>
  <si>
    <t>Power lifting</t>
  </si>
  <si>
    <t>14.7 ± 4.4</t>
  </si>
  <si>
    <t>Menstrual dysfunction 15.8% (3/19); moderate prevalence similar to control group (12.9%).</t>
  </si>
  <si>
    <t>Weight class sports</t>
  </si>
  <si>
    <t>14.0 ± 4.4</t>
  </si>
  <si>
    <t>No formal RED-S diagnosis; MD used as proxy</t>
  </si>
  <si>
    <t>Menstrual dysfunction prevalence</t>
  </si>
  <si>
    <t>Lowest prevalence across all groups</t>
  </si>
  <si>
    <t>11.8 ± 4.7</t>
  </si>
  <si>
    <t>Menstrual dysfunction 12.7% (20/158); moderate prevalence; sport type not significant predictor compared to leanness sports.</t>
  </si>
  <si>
    <t>Secondary amenorrhea, oligomenorrhea, short luteal phase; lower prevalence than leanness sports.</t>
  </si>
  <si>
    <t>14.5 ± 6.2</t>
  </si>
  <si>
    <t>Menstrual dysfunction 13.5% (7/52); prevalence similar to controls; sport type not predictive.</t>
  </si>
  <si>
    <t>Prevalence of Amenorrhea in Elite Female Competitive Climbers</t>
  </si>
  <si>
    <t>Climbing</t>
  </si>
  <si>
    <t>Menstrual dysfunction prevalence in elite female climbers (28%) similar to other elite athlete groups; not significantly different from general female athlete populations. Highlights need for closer medical monitoring in climbing.</t>
  </si>
  <si>
    <t>Increased Female Athlete Triad Knowledge Among Collegiate Dancers Following a Brief Educational Video Intervention</t>
  </si>
  <si>
    <t>Screening only; no formal RED-S diagnosis.</t>
  </si>
  <si>
    <t>Restricted dietary intake, desire for weight loss, secondary amenorrhea, &lt;12 menstrual cycles/year, stress-related injuries (e.g., sprains, shin splints, pulled muscles, back pain, concussions)</t>
  </si>
  <si>
    <t>Educational video intervention increased Triad knowledge scores significantly (from 4.08 ± 1.83 to 6.75 ± 0.90). Despite improved knowledge, nearly one-third remained at risk for Triad/REDs via LEAF-Q.</t>
  </si>
  <si>
    <t>ASSOCIATIONS BETWEEN THE FEMALE ATHLETE TRIAD AND INJURY AMONG HIGH SCHOOL RUNNERS</t>
  </si>
  <si>
    <t>Screening only; EDE-Q for DE, menstrual history for MD, DXA for BMD. No formal RED-S diagnosis.</t>
  </si>
  <si>
    <t>Yes – 43.8% Caucasian, 24.7% Hispanic/Latino, 20.2% Asian/Pacific Islander, 2.3% other.</t>
  </si>
  <si>
    <t>42.7% of runners sustained ≥1 lower extremity musculoskeletal injury. Most common sites: shin/calf, knee, foot, ankle. Low BMD (Z-score ≤ -1.0 SD) and menstrual dysfunction significantly increased injury risk.</t>
  </si>
  <si>
    <t>Eating Disorder Risk and the Role of Clothing in Collegiate Cheerleaders’ Body Images</t>
  </si>
  <si>
    <t>Screening for eating disorder risk with EAT-26; BMI and body image perceptions also evaluated</t>
  </si>
  <si>
    <t>33.1% of female collegiate cheerleaders classified at risk for EDs; flyers had greatest odds (OR = 4.4) compared to bases/back spots. Pathogenic weight control behaviors included binge eating (11.8%), laxatives (9.6%), diet pills (19.9%), diuretics (1.5%), excessive exercise &gt;60 min/day (11.8%).</t>
  </si>
  <si>
    <t>Flyers displayed the highest body image dissatisfaction, particularly when wearing midriff uniforms; study highlighted clothing as a risk factor in disordered eating risk.</t>
  </si>
  <si>
    <t>~30 hrs/week</t>
  </si>
  <si>
    <t>RED-S risk defined by LEAF-Q ≥8, low energy availability (EA &lt;30 kcal/kg FFM/day), low EI (&lt;1800 kcal/day), menstrual dysfunction, and low BMD.</t>
  </si>
  <si>
    <t>40% menstrual dysfunction (25% secondary amenorrhea, 15% oligomenorrhea); 44% reduced EA; 22% low EA; 35% reported restricted diets; uncontrolled eating most common behavior.</t>
  </si>
  <si>
    <t>80% of dancers showed ≥1 factor of RED-S; 20% had ≥3 factors; vitamin D insufficiency common; weekday EI insufficient compared to TEE due to training demands.</t>
  </si>
  <si>
    <t>Examination of the Prevalence of Female Athlete Triad Components among Competitive Cheerleaders</t>
  </si>
  <si>
    <t>100% of cheerleaders identified at risk for at least one Triad component; 52.6% demonstrated LEA with disordered eating risk, 47.4% had LEA without ED risk, 52.6% reported menstrual dysfunction, none had low BMD.</t>
  </si>
  <si>
    <t>ED risk (42.1% by EDI-3 SC, 21.1% elevated clinical risk), restricting behaviors (52.6%), laxative use (10.5%), diet pills (5.3%), exercise to control weight (36.8%); 52.6% self-reported secondary amenorrhea.</t>
  </si>
  <si>
    <t>Reported (63.2% Caucasian, 15.8% African American, 10.5% Hispanic American, 10.5% Multiethnic)</t>
  </si>
  <si>
    <t>47.7% had one Triad component, 52.6% had two (LEA + MD); hormonal assessments confirmed lower prevalence of MD vs self-report; none had low BMD.</t>
  </si>
  <si>
    <t>Menstrual Irregularity and Musculoskeletal Injury in Female High School Athletes</t>
  </si>
  <si>
    <t>27.3% reported MI across cheerleading and gymnastics</t>
  </si>
  <si>
    <t>Menstrual irregularity, higher severe injury proportion among MI athletes</t>
  </si>
  <si>
    <t>Cross-country + Swimming</t>
  </si>
  <si>
    <t>25% reported MI across cross-country and swimming</t>
  </si>
  <si>
    <t>Diving</t>
  </si>
  <si>
    <t>Technical Sports</t>
  </si>
  <si>
    <t>1/2 reported MI</t>
  </si>
  <si>
    <t>Menstrual irregularity, higher severe injury p</t>
  </si>
  <si>
    <t>56% reported MI</t>
  </si>
  <si>
    <t>36.4% reported MI across dance team and pom-pon</t>
  </si>
  <si>
    <t>Track &amp; Field (events &amp; sprints)</t>
  </si>
  <si>
    <t>16.7% reported MI</t>
  </si>
  <si>
    <t>Ball Sports (Basketball, Soccer, Softball)</t>
  </si>
  <si>
    <t>19.6% reported MI across basketball, soccer, and softball</t>
  </si>
  <si>
    <t>1/14 reported MI</t>
  </si>
  <si>
    <t>Adolescent Female Athletes With Menstrual Dysfunction Report Worse Sleep and Stress Than Those Without Menstrual Dysfunction</t>
  </si>
  <si>
    <t>Flag football</t>
  </si>
  <si>
    <t>Menstrual dysfunction (≤9 cycles per year)</t>
  </si>
  <si>
    <t>Worse sleep quality, higher stress</t>
  </si>
  <si>
    <t>Focus on adolescent female athletes in non-traditional team sport</t>
  </si>
  <si>
    <t>Bone Mineral Density in Collegiate Female Athletes: Comparisons Among Sports</t>
  </si>
  <si>
    <t>Running (Cross-country + Track distance)</t>
  </si>
  <si>
    <t>Low BMD</t>
  </si>
  <si>
    <t>Lowest total-body and site-specific BMD across all sites; menstrual dysfunction prevalence also high</t>
  </si>
  <si>
    <t>Oligomenorrhea/amenorrhea</t>
  </si>
  <si>
    <t>Higher BMD than runners/swimmers; menstrual dysfunction prevalence also high</t>
  </si>
  <si>
    <t>Menstrual dysfunction reported, BMD higher than runners/swimmers</t>
  </si>
  <si>
    <t>Lowest prevalence of menstrual dysfunction; BMD higher than runners/swimmers</t>
  </si>
  <si>
    <t>Category</t>
  </si>
  <si>
    <t>N</t>
  </si>
  <si>
    <t>Mean %</t>
  </si>
  <si>
    <t>SD</t>
  </si>
  <si>
    <t>Range</t>
  </si>
  <si>
    <t>Median Value</t>
  </si>
  <si>
    <t>Aesthetic Sports</t>
  </si>
  <si>
    <t>Overall</t>
  </si>
  <si>
    <t>Non-Aesthetic Sports</t>
  </si>
  <si>
    <t>Team Sports</t>
  </si>
  <si>
    <t>Individual Sports</t>
  </si>
  <si>
    <t>Pure Endurance (1-2)</t>
  </si>
  <si>
    <t>Combo (3)</t>
  </si>
  <si>
    <t>Strength-Leaning (4-5)</t>
  </si>
  <si>
    <t>Low Coverage (1-2)</t>
  </si>
  <si>
    <t>Moderate Coverage (3)</t>
  </si>
  <si>
    <t>High Coverage (4-5)</t>
  </si>
  <si>
    <t>Column</t>
  </si>
  <si>
    <t>Accepted_Values</t>
  </si>
  <si>
    <t>Description</t>
  </si>
  <si>
    <t>Team, Individual</t>
  </si>
  <si>
    <t>Whether the sport is practiced individually or as part of a team</t>
  </si>
  <si>
    <t>Sport_Category</t>
  </si>
  <si>
    <t>Endurance, Sprinting, Strength, Combo, Technical</t>
  </si>
  <si>
    <t>Primary physical demands of the sport: endurance, sprinting, strength, mixed (combo), or technical skill</t>
  </si>
  <si>
    <t>Uniform_Modesty_Level</t>
  </si>
  <si>
    <t>1 = Minimal (e.g., bikini, leotard), 2 = Moderate (e.g., shorts/tank), 3 = Full (e.g., long sleeves/pants or loose-fitting)</t>
  </si>
  <si>
    <t>Level of skin exposure required by the typical competition uniform</t>
  </si>
  <si>
    <t>Significant, Partial, None</t>
  </si>
  <si>
    <t>Whether appearance-based judging/scoring is part of the sport</t>
  </si>
  <si>
    <t>Weigh_In_Required</t>
  </si>
  <si>
    <t>Yes, No</t>
  </si>
  <si>
    <t>Whether athletes must weigh in for competition</t>
  </si>
  <si>
    <t>Screening_Tool_Used</t>
  </si>
  <si>
    <t>LEAF-Q, DXA, Bloodwork, None</t>
  </si>
  <si>
    <t>Diagnostic tool used in the study to identify RED(s) or low energy availability</t>
  </si>
  <si>
    <t>Whether RED(s) risk or diagnosis was reported in the study</t>
  </si>
  <si>
    <t>Diagnosis_Made</t>
  </si>
  <si>
    <t>Whether a formal medical diagnosis of RED(s) was made or confirmed</t>
  </si>
  <si>
    <t>Dietitian, AT (Athletic Trainer), None</t>
  </si>
  <si>
    <t>Types of athlete support systems referenced in the study (nutrition, medical, etc.)</t>
  </si>
  <si>
    <t>Media_Body_Descriptors</t>
  </si>
  <si>
    <t>Appearance-Focused, Relational/Passive, Performance-Focused, Neutral/Other</t>
  </si>
  <si>
    <t>Dominant descriptor tone in media coverage: appearance-based, relational (e.g., family status), performance-based, or neutral</t>
  </si>
  <si>
    <t>Score</t>
  </si>
  <si>
    <t>Dominant Emphasis</t>
  </si>
  <si>
    <t>Example Sports</t>
  </si>
  <si>
    <t>Pure Endurance</t>
  </si>
  <si>
    <t>Cross-country, marathon, triathlon</t>
  </si>
  <si>
    <t>Endurance-Leaning Combo</t>
  </si>
  <si>
    <t>Ballet, swimming, rowing, track/XC</t>
  </si>
  <si>
    <t>Balanced Combo</t>
  </si>
  <si>
    <t>Soccer, field hockey, tennis, volleyball, basketball</t>
  </si>
  <si>
    <t>Strength-Leaning Combo</t>
  </si>
  <si>
    <t>Ice hockey, cheer, gymnastics</t>
  </si>
  <si>
    <t>Pure Strength/Power</t>
  </si>
  <si>
    <t>Powerlifting, weightlifting, cheer stunting</t>
  </si>
  <si>
    <t>Minimal coverage; skin-exposing (midriff or upper thighs), tight-fitting uniforms (e.g., bikinis, briefs, leotards)</t>
  </si>
  <si>
    <t>Moderate coverage; tight or fitted gear (e.g., compression shorts/tops, spandex kits)</t>
  </si>
  <si>
    <t>Athletic coverage; moderate modesty (e.g., loose shorts/jerseys in soccer, basketball, lacrosse)</t>
  </si>
  <si>
    <t>Full coverage due to tradition or function (e.g., equestrian, fencing, softball, karate)</t>
  </si>
  <si>
    <t>Body-hiding uniforms with bulky or layered gear that obscure physique entirely (e.g., ice hockey, tackle football, goalkeepers)</t>
  </si>
  <si>
    <t>Risk % Prioritization Hierarchy (Screening Tools)</t>
  </si>
  <si>
    <r>
      <t>LEAF-Q (≥8 cutoff)</t>
    </r>
    <r>
      <rPr>
        <sz val="11"/>
        <color theme="1"/>
        <rFont val="Aptos Narrow"/>
        <family val="2"/>
        <scheme val="minor"/>
      </rPr>
      <t xml:space="preserve"> – use reported prevalence.</t>
    </r>
  </si>
  <si>
    <r>
      <rPr>
        <b/>
        <sz val="11"/>
        <color rgb="FF000000"/>
        <rFont val="Aptos Narrow"/>
      </rPr>
      <t>Calculated Energy Availability (EA calculation) (EA &lt;30 kcal/kg FFM)</t>
    </r>
    <r>
      <rPr>
        <sz val="11"/>
        <color rgb="FF000000"/>
        <rFont val="Aptos Narrow"/>
      </rPr>
      <t xml:space="preserve"> – use reported prevalence.</t>
    </r>
  </si>
  <si>
    <r>
      <t>DEAQ (Dance-Specific Energy Availability Questionnaire)</t>
    </r>
    <r>
      <rPr>
        <sz val="11"/>
        <color theme="1"/>
        <rFont val="Aptos Narrow"/>
        <family val="2"/>
        <scheme val="minor"/>
      </rPr>
      <t xml:space="preserve"> – use reported prevalence.</t>
    </r>
  </si>
  <si>
    <r>
      <rPr>
        <b/>
        <sz val="11"/>
        <color rgb="FF000000"/>
        <rFont val="Aptos Narrow"/>
      </rPr>
      <t>Disordered Eating screen (DE screen) as proxy for LEA</t>
    </r>
    <r>
      <rPr>
        <sz val="11"/>
        <color rgb="FF000000"/>
        <rFont val="Aptos Narrow"/>
      </rPr>
      <t xml:space="preserve"> – use prevalence from EDE-Q, EAT-26, or similar validated DE screen above clinical cutoff.</t>
    </r>
  </si>
  <si>
    <r>
      <t>Composite Triad risk</t>
    </r>
    <r>
      <rPr>
        <sz val="11"/>
        <color theme="1"/>
        <rFont val="Aptos Narrow"/>
        <family val="2"/>
        <scheme val="minor"/>
      </rPr>
      <t xml:space="preserve"> – if study reports prevalence of athletes meeting ≥1 Triad criteria (LEA/DE, MD, or low BMD).</t>
    </r>
  </si>
  <si>
    <r>
      <rPr>
        <b/>
        <sz val="11"/>
        <color rgb="FF000000"/>
        <rFont val="Aptos Narrow"/>
      </rPr>
      <t>Menstrual dysfunction (MD)</t>
    </r>
    <r>
      <rPr>
        <sz val="11"/>
        <color rgb="FF000000"/>
        <rFont val="Aptos Narrow"/>
      </rPr>
      <t xml:space="preserve"> – use prevalence of oligomenorrhea/amenorrhea (≤10–11 menses per year).</t>
    </r>
  </si>
  <si>
    <r>
      <t>Lab measures (e.g., ferritin &lt;20 ng/ml, hemoglobin &lt;12 g/dl, other clinical markers of deficiency)</t>
    </r>
    <r>
      <rPr>
        <sz val="11"/>
        <color theme="1"/>
        <rFont val="Aptos Narrow"/>
        <family val="2"/>
        <scheme val="minor"/>
      </rPr>
      <t xml:space="preserve"> – use prevalence of athletes below cutoff.</t>
    </r>
  </si>
  <si>
    <r>
      <t>Low BMD</t>
    </r>
    <r>
      <rPr>
        <sz val="11"/>
        <color theme="1"/>
        <rFont val="Aptos Narrow"/>
        <family val="2"/>
        <scheme val="minor"/>
      </rPr>
      <t xml:space="preserve"> – use prevalence of athletes with BMD Z-score ≤ –1.0 (or equivalent).</t>
    </r>
  </si>
  <si>
    <t>Weight_Class_Required</t>
  </si>
  <si>
    <t>%_REDs_Reported</t>
  </si>
  <si>
    <t>Media_Sample_Count</t>
  </si>
  <si>
    <t>Media_Term_Frequency</t>
  </si>
  <si>
    <t>Energy availability and dietary patterns of adult male and female competitive cyclists</t>
  </si>
  <si>
    <t>None</t>
  </si>
  <si>
    <t>TFEQ</t>
  </si>
  <si>
    <t>LEA</t>
  </si>
  <si>
    <t>4 females included, focused on LEA and bone density.</t>
  </si>
  <si>
    <t>Influence of High Intensity Training on Menstrual Cycle Disorders in Athletes</t>
  </si>
  <si>
    <t>Estimated subset of 67</t>
  </si>
  <si>
    <t>Amenorrhea</t>
  </si>
  <si>
    <t>Secondary amenorrhea</t>
  </si>
  <si>
    <t>Unknown subset of 67 (but runners had highest prevalence)</t>
  </si>
  <si>
    <t>Considerations of Low Carbohydrate Availability (LCA) to RED-S in Female Endurance Athletes</t>
  </si>
  <si>
    <t>LEA, Low BMD, Menstrual Dysfunction</t>
  </si>
  <si>
    <t>LEA, Amenorrhea, Low BMD, Injury Risk</t>
  </si>
  <si>
    <t>Narrative review; 45–98% of female endurance athletes fail to meet CHO intake guidelines. Independent effects of LCA on RED-S hypothesized; no female-only primary studies.</t>
  </si>
  <si>
    <t>Nutritional Status and Cardiovascular Health in Female Adolescent Artistic Gymnasts and Swimmers</t>
  </si>
  <si>
    <t>Sprint/Power</t>
  </si>
  <si>
    <t>3-day food diary, DXA, HR/BP</t>
  </si>
  <si>
    <t>No diagnosis</t>
  </si>
  <si>
    <t>Low energy intake, low BMI, bradycardia</t>
  </si>
  <si>
    <t>Gymnasts had lower energy intake, lower BMI, and more cardiovascular suppression than swimmers.</t>
  </si>
  <si>
    <t>Swimmers had similar nutrient deficiencies to gymnasts but were slightly less affected in body composition and heart rate.</t>
  </si>
  <si>
    <t>Development and Evaluation of an Educational Intervention Program for Pre-professional Adolescent Ballet Dancers</t>
  </si>
  <si>
    <t>~30+ hrs/week (intensive)</t>
  </si>
  <si>
    <t>SNKBQ, AEB scale (5 questions from EAT-26), FFQ</t>
  </si>
  <si>
    <t>Yes (self-reported behaviors)</t>
  </si>
  <si>
    <t>No formal diagnosis</t>
  </si>
  <si>
    <t>Low self-efficacy, limited nutrition knowledge, perceived triad severity, abnormal eating behaviors</t>
  </si>
  <si>
    <t>Large intervention study; post-program, dancers reported improved knowledge and reduced candy, fat, and soda intake; high perceived risk for triad conditions.</t>
  </si>
  <si>
    <t>Dietary Restraint and Low Bone Mass in Female Adolescent Endurance Runners</t>
  </si>
  <si>
    <t>EDE-Q, menstrual history, DXA</t>
  </si>
  <si>
    <t>No formal diagnosis, but 5.4% had dietary restraint &amp; significantly lower BMD</t>
  </si>
  <si>
    <t>Low BMD, possible MI, dietary restraint, disordered eating behaviors</t>
  </si>
  <si>
    <t>5 runners with elevated dietary restraint had significantly lower lumbar spine BMD; EDE-Q subscales were strongly correlated with BMD deficits in MI group; study supports dietary restraint as a REDs risk indicator independent of body weight.</t>
  </si>
  <si>
    <t>Perfectionism, disordered eating and well-being in aesthetic sports: The mediating role of passion</t>
  </si>
  <si>
    <t>Nutritional Considerations for Female Athletes</t>
  </si>
  <si>
    <t>Relative Energy Deficiency in Sport: Clinical Practice</t>
  </si>
  <si>
    <t>Menstrual Dysfunction in Adolescent Female Athletes</t>
  </si>
  <si>
    <t>Rhythmic Gymnastics</t>
  </si>
  <si>
    <t>Technique</t>
  </si>
  <si>
    <t>~25</t>
  </si>
  <si>
    <t>Summary of multiple prior studies</t>
  </si>
  <si>
    <t>No formal diagnosis; symptoms drawn from literature</t>
  </si>
  <si>
    <t>Amenorrhea, oligomenorrhea, delayed menarche</t>
  </si>
  <si>
    <t>Review article; draws from multiple rhythmic gymnastics sources with consistent REDs risk factors</t>
  </si>
  <si>
    <t>High RED-S risk prevalence (58.8%) in female athletes</t>
  </si>
  <si>
    <t>Strength-Endurance</t>
  </si>
  <si>
    <t>15–82%</t>
  </si>
  <si>
    <t>No formal diagnosis; prevalence range varies widely</t>
  </si>
  <si>
    <t>Oligomenorrhea, triad components, amenorrhea</t>
  </si>
  <si>
    <t>Summarized from prior studies; wide MD prevalence range due to variation across swimmers</t>
  </si>
  <si>
    <t>Female cyclists had notable RED-S risk levels</t>
  </si>
  <si>
    <t>Exploring different interventions for Relative Energy Deficiency in Sport (REDs): A systematic review</t>
  </si>
  <si>
    <t>Analysis of Anthropometric and Physical Characteristics of Athletes in Artistic Gymnastics and Artistic Swimming</t>
  </si>
  <si>
    <t>Focused on somatotype and jump performance in young female gymnasts; no REDs screening.</t>
  </si>
  <si>
    <t>Artistic Swimming</t>
  </si>
  <si>
    <t>Compared somatotype and breath-hold capacity in artistic swimmers; no REDs screening.</t>
  </si>
  <si>
    <t xml:space="preserve"> The level of competition as a factor for the development of eating disorders in female collegiate athletes</t>
  </si>
  <si>
    <t>EAT-26</t>
  </si>
  <si>
    <t>Disordered eating behaviors</t>
  </si>
  <si>
    <t>Small sample size; collegiate athletes</t>
  </si>
  <si>
    <t>Track and Field</t>
  </si>
  <si>
    <t>Lean</t>
  </si>
  <si>
    <t>Ball</t>
  </si>
  <si>
    <t>Homan - Motivation for sport participation and eating disorder risk among female collegiate athletes</t>
  </si>
  <si>
    <t>Multi-sport (female collegiate)</t>
  </si>
  <si>
    <t>Mixed</t>
  </si>
  <si>
    <t>Varied</t>
  </si>
  <si>
    <t>EDI-3</t>
  </si>
  <si>
    <t>Body dissatisfaction, weight control attempts, prior ED diagnosis</t>
  </si>
  <si>
    <t>Used EDI-3; found intrinsic motivation protective and extrinsic motivation a risk factor in high-intensity and leanness-oriented sports</t>
  </si>
  <si>
    <t>Mancine - Prevalence of disordered eating in athletes categorized by emphasis on leanness and activity type</t>
  </si>
  <si>
    <t>Multi-sport (female)</t>
  </si>
  <si>
    <t>Some</t>
  </si>
  <si>
    <t>EAT-26, EDE-Q, ATHLETE, Q-EDD (varies by study)</t>
  </si>
  <si>
    <t>Range across studies: 12.8–84% in lean sports</t>
  </si>
  <si>
    <t>Disordered eating behaviors (dieting, fasting, bingeing, purging)</t>
  </si>
  <si>
    <t>Systematic review; lean sports consistently associated with higher DE risk; especially aesthetic and weight-class sports</t>
  </si>
  <si>
    <t>Time Loss Injuries Among Former Collegiate Gymnasts</t>
  </si>
  <si>
    <t>Self-reported DE and MI survey</t>
  </si>
  <si>
    <t>Menstrual irregularity, disordered eating, increased injury requiring surgery</t>
  </si>
  <si>
    <t>DE and MI symptoms strongly associated with higher rates of injury, surgery, and time loss; no REDs label used but strong alignment with REDs symptomology</t>
  </si>
  <si>
    <t>O’Donnell - Perspectives on relative energy deficiency in sport: A qualitative case study of athletes, coaches and medical professionals from a super league netball club</t>
  </si>
  <si>
    <t>Netball</t>
  </si>
  <si>
    <t>21 (13 players, 4 coaches, 4 medical staff)</t>
  </si>
  <si>
    <t>8–20 hrs depending on athlete</t>
  </si>
  <si>
    <t>None (qualitative interviews only)</t>
  </si>
  <si>
    <t>Yes (risk factors identified qualitatively)</t>
  </si>
  <si>
    <t>NR (qualitative, no prevalence %)</t>
  </si>
  <si>
    <t>No formal diagnosis; excluded anyone with prior ED diagnosis</t>
  </si>
  <si>
    <t>Menstrual dysfunction (loss of menses ≥3 months in several athletes); heavy menstrual bleeding; use of OCP/IUD for performance reasons; fatigue; injury risk with weight loss; restrictive eating; body image concerns</t>
  </si>
  <si>
    <t>Yes (nutritionist support at national level; MDT at club suggested but limited)</t>
  </si>
  <si>
    <t>Yes (coach remarks about size/weight; commentators critiquing agility/appearance; social media influences; pressure of dresses as uniform)</t>
  </si>
  <si>
    <t>First RED-S qualitative study in netball; found low awareness among players/coaches, higher awareness among medical staff; internal/external appearance pressures linked to RED-S risk; athletes described using contraception to manage menstruation during competition; cultural transition in netball (amateur→professional) heightened pressures:contentReference[oaicite:1]{index=1}</t>
  </si>
  <si>
    <t>Lightweight rowers’ perspectives of living with Relative Energy Deficiency in Sport</t>
  </si>
  <si>
    <t>Rowing (Lightweight)</t>
  </si>
  <si>
    <t>2–4 sessions/day in training + extra “sweat sessions” before weigh-ins</t>
  </si>
  <si>
    <t>Qualitative interviews (no formal screening tool; eligibility required ≥1 RED-S symptom)</t>
  </si>
  <si>
    <t>NR (all participants recruited had ≥1 RED-S symptom)</t>
  </si>
  <si>
    <t>No formal medical diagnosis; self-reported symptoms</t>
  </si>
  <si>
    <t>Menstrual dysfunction (62% of females); fatigue; disrupted sleep; decreased performance; impaired recovery; bowel disruption; weakened immune system; musculoskeletal pain/injury; disordered eating; poor concentration; negative body image; reduced social interaction; guilt/anxiety around food:contentReference[oaicite:0]{index=0}</t>
  </si>
  <si>
    <t>No formal system; some saw doctors but reported poor recognition</t>
  </si>
  <si>
    <t>Yes (internalized pressure around weight and body image)</t>
  </si>
  <si>
    <t>Qualitative insights: athletes used calorie restriction, fasting, laxatives, excessive training to make weight; psychosocial impacts persisted post-retirement; athletes described negative coaching remarks, body dysmorphia, and disordered eating behaviours continuing beyond sport:contentReference[oaicite:1]{index=1}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</si>
</sst>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</font>
    <font>
      <sz val="11"/>
      <color rgb="FF000000"/>
      <name val="Aptos Narrow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18" fillId="0" borderId="0" xfId="0" applyFont="1"/>
    <xf numFmtId="10" fontId="18" fillId="0" borderId="0" xfId="0" applyNumberFormat="1" applyFont="1"/>
    <xf numFmtId="10" fontId="16" fillId="0" borderId="0" xfId="0" applyNumberFormat="1" applyFont="1"/>
    <xf numFmtId="10" fontId="0" fillId="0" borderId="0" xfId="0" applyNumberFormat="1"/>
    <xf numFmtId="0" fontId="18" fillId="33" borderId="0" xfId="0" applyFont="1" applyFill="1"/>
    <xf numFmtId="0" fontId="0" fillId="33" borderId="0" xfId="0" applyFill="1"/>
    <xf numFmtId="10" fontId="18" fillId="33" borderId="0" xfId="0" applyNumberFormat="1" applyFont="1" applyFill="1"/>
    <xf numFmtId="164" fontId="0" fillId="0" borderId="0" xfId="0" applyNumberFormat="1"/>
    <xf numFmtId="164" fontId="16" fillId="0" borderId="0" xfId="0" applyNumberFormat="1" applyFont="1"/>
    <xf numFmtId="0" fontId="19" fillId="0" borderId="0" xfId="0" applyFont="1"/>
    <xf numFmtId="164" fontId="0" fillId="0" borderId="10" xfId="0" applyNumberFormat="1" applyBorder="1"/>
    <xf numFmtId="164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164" formatCode="0.0"/>
    </dxf>
    <dxf>
      <numFmt numFmtId="164" formatCode="0.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ill>
        <patternFill patternType="none">
          <fgColor indexed="64"/>
          <bgColor rgb="FFFFFF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E3DD67-4871-4F92-B01F-2410F0D9F622}" name="Table1" displayName="Table1" ref="A1:W146" totalsRowShown="0" headerRowDxfId="10">
  <autoFilter ref="A1:W146" xr:uid="{55E3DD67-4871-4F92-B01F-2410F0D9F622}"/>
  <sortState xmlns:xlrd2="http://schemas.microsoft.com/office/spreadsheetml/2017/richdata2" ref="A2:W146">
    <sortCondition ref="A1:A146"/>
  </sortState>
  <tableColumns count="23">
    <tableColumn id="1" xr3:uid="{AC7EEED4-F5A1-4F2C-8ED0-EC2B89749493}" name="Ref #"/>
    <tableColumn id="2" xr3:uid="{622FB7E3-B794-4648-827F-8563806A1442}" name="Study_Title"/>
    <tableColumn id="3" xr3:uid="{F8E5B663-C74D-494F-BBDA-EBA9406B6DC6}" name="Year"/>
    <tableColumn id="24" xr3:uid="{48A29248-1184-4F92-8C79-18E6A0A64E5F}" name="Sport" dataDxfId="8" totalsRowDxfId="9"/>
    <tableColumn id="4" xr3:uid="{43FCF401-22D7-4BAC-AAFE-0E9DD77A2305}" name="Sport Grouping" dataDxfId="6" totalsRowDxfId="7"/>
    <tableColumn id="5" xr3:uid="{1760BE52-6887-414C-996C-5BF9F5AFE979}" name="Number_Studied"/>
    <tableColumn id="6" xr3:uid="{018840D4-4575-4136-B354-1570DEE843FE}" name="Sport_Type"/>
    <tableColumn id="7" xr3:uid="{97E82A3A-1E5E-4787-9732-7F86423C4A8E}" name="Fitness_Category"/>
    <tableColumn id="8" xr3:uid="{DE89B444-6EA6-4BCD-AAA6-CEBF9E4CE4E5}" name="Competition_Attire_Modesty_Level"/>
    <tableColumn id="9" xr3:uid="{203F065E-BC06-444A-B0FA-B136CF63823B}" name="Aesthetic_Scoring"/>
    <tableColumn id="10" xr3:uid="{F76F62F5-4BE7-46B0-B609-27D102F919C4}" name="Weight or Physique_Class_Required"/>
    <tableColumn id="11" xr3:uid="{5D3EA937-9164-4036-865B-49BB4AF55AD3}" name="Training_Load_hrs_week"/>
    <tableColumn id="12" xr3:uid="{5F8C2128-068F-445F-8B43-089F9D8A8D47}" name="Primary_Screening_Tool_Used"/>
    <tableColumn id="13" xr3:uid="{533838A9-9936-4165-9A15-6405D6C090D8}" name="REDs_Reported"/>
    <tableColumn id="14" xr3:uid="{3C513238-3A7D-42DB-9011-13CA0053DB78}" name="%_REDs__Risk_Reported" dataDxfId="4" totalsRowDxfId="5"/>
    <tableColumn id="25" xr3:uid="{9F58B807-C4B9-4A26-B5BA-FE8CE5A08207}" name="High Risk?" dataDxfId="2" totalsRowDxfId="3">
      <calculatedColumnFormula>IF(O2 &gt; VLOOKUP(M2, 'Descriptive Statistics'!H:I, 2, FALSE), "yes", "no")</calculatedColumnFormula>
    </tableColumn>
    <tableColumn id="26" xr3:uid="{144F58D3-3F01-4F56-8DAF-0D39C2D15D30}" name="REDs_Risk_Cleaned" dataDxfId="0" totalsRowDxfId="1">
      <calculatedColumnFormula>IFERROR(VALUE(SUBSTITUTE(O2,"%","")), "")</calculatedColumnFormula>
    </tableColumn>
    <tableColumn id="15" xr3:uid="{A1BB2CF2-AE47-47BC-B936-6D8B7C6288E6}" name="Diagnosis_Description"/>
    <tableColumn id="16" xr3:uid="{715763D3-7E22-44B4-B71F-77761BA1F43B}" name="Symptoms_Reported"/>
    <tableColumn id="17" xr3:uid="{513E90A0-C830-456B-B25F-82FAD9999C37}" name="Access_to_Support"/>
    <tableColumn id="18" xr3:uid="{96568BFE-67DB-4036-AE58-0068B7D35D63}" name="Race_Reported"/>
    <tableColumn id="19" xr3:uid="{6DC6FAE0-63BD-4A3B-AEAE-B1A0B504105C}" name="SES_Reported"/>
    <tableColumn id="23" xr3:uid="{F1CFC2F7-7427-4012-AAA2-D1980C18AA86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A35A-AE6F-4126-9C6C-86FCCF2829B7}">
  <dimension ref="A1:W146"/>
  <sheetViews>
    <sheetView workbookViewId="0">
      <pane ySplit="1" topLeftCell="A2" activePane="bottomLeft" state="frozen"/>
      <selection pane="bottomLeft" activeCell="I1" sqref="I1:I29"/>
    </sheetView>
  </sheetViews>
  <sheetFormatPr defaultRowHeight="15" customHeight="1"/>
  <cols>
    <col min="2" max="2" width="88.42578125" customWidth="1"/>
    <col min="3" max="3" width="7.42578125" bestFit="1" customWidth="1"/>
    <col min="4" max="4" width="19.140625" customWidth="1"/>
    <col min="5" max="5" width="31.85546875" customWidth="1"/>
    <col min="6" max="6" width="18.42578125" bestFit="1" customWidth="1"/>
    <col min="7" max="7" width="13.28515625" bestFit="1" customWidth="1"/>
    <col min="8" max="8" width="18.5703125" bestFit="1" customWidth="1"/>
    <col min="9" max="9" width="12.5703125" customWidth="1"/>
    <col min="10" max="10" width="13.5703125" customWidth="1"/>
    <col min="11" max="11" width="15" customWidth="1"/>
    <col min="12" max="12" width="25.42578125" customWidth="1"/>
    <col min="13" max="13" width="62.42578125" customWidth="1"/>
    <col min="14" max="14" width="17.28515625" bestFit="1" customWidth="1"/>
    <col min="15" max="15" width="25.5703125" style="5" bestFit="1" customWidth="1"/>
    <col min="16" max="16" width="25.5703125" style="5" customWidth="1"/>
    <col min="17" max="17" width="25.5703125" style="9" customWidth="1"/>
    <col min="18" max="18" width="36" customWidth="1"/>
    <col min="19" max="19" width="147.28515625" customWidth="1"/>
    <col min="20" max="20" width="51" customWidth="1"/>
    <col min="21" max="21" width="46.85546875" customWidth="1"/>
    <col min="22" max="22" width="20.42578125" customWidth="1"/>
    <col min="23" max="23" width="138.7109375" customWidth="1"/>
  </cols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4" t="s">
        <v>15</v>
      </c>
      <c r="Q1" s="10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4</v>
      </c>
      <c r="B2" t="s">
        <v>23</v>
      </c>
      <c r="C2">
        <v>2004</v>
      </c>
      <c r="D2" t="s">
        <v>24</v>
      </c>
      <c r="E2" t="s">
        <v>25</v>
      </c>
      <c r="F2">
        <v>87</v>
      </c>
      <c r="G2" t="s">
        <v>26</v>
      </c>
      <c r="H2">
        <v>2</v>
      </c>
      <c r="I2">
        <v>1</v>
      </c>
      <c r="J2" t="s">
        <v>27</v>
      </c>
      <c r="K2" t="s">
        <v>27</v>
      </c>
      <c r="L2" t="s">
        <v>28</v>
      </c>
      <c r="M2" t="s">
        <v>29</v>
      </c>
      <c r="N2" t="s">
        <v>27</v>
      </c>
      <c r="O2" s="5">
        <v>0.25700000000000001</v>
      </c>
      <c r="P2" s="5" t="str">
        <f>IF(O2 &gt; VLOOKUP(M2, 'Descriptive Statistics'!H:I, 2, FALSE), "yes", "no")</f>
        <v>yes</v>
      </c>
      <c r="Q2" s="9">
        <f>IFERROR(VALUE(SUBSTITUTE(O2,"%","")), "")</f>
        <v>0.25700000000000001</v>
      </c>
      <c r="R2" t="s">
        <v>30</v>
      </c>
      <c r="S2" t="s">
        <v>31</v>
      </c>
      <c r="T2" t="s">
        <v>27</v>
      </c>
      <c r="U2" t="s">
        <v>27</v>
      </c>
      <c r="V2" t="s">
        <v>27</v>
      </c>
      <c r="W2" t="s">
        <v>32</v>
      </c>
    </row>
    <row r="3" spans="1:23">
      <c r="A3">
        <v>4</v>
      </c>
      <c r="B3" t="s">
        <v>23</v>
      </c>
      <c r="C3">
        <v>2004</v>
      </c>
      <c r="D3" t="s">
        <v>33</v>
      </c>
      <c r="E3" t="s">
        <v>25</v>
      </c>
      <c r="F3">
        <v>87</v>
      </c>
      <c r="G3" t="s">
        <v>26</v>
      </c>
      <c r="H3">
        <v>2</v>
      </c>
      <c r="I3">
        <v>1</v>
      </c>
      <c r="J3" t="s">
        <v>27</v>
      </c>
      <c r="K3" t="s">
        <v>27</v>
      </c>
      <c r="L3" t="s">
        <v>28</v>
      </c>
      <c r="M3" t="s">
        <v>29</v>
      </c>
      <c r="N3" t="s">
        <v>27</v>
      </c>
      <c r="O3" s="5">
        <v>0.123</v>
      </c>
      <c r="P3" s="5" t="str">
        <f>IF(O3 &gt; VLOOKUP(M3, 'Descriptive Statistics'!H:I, 2, FALSE), "yes", "no")</f>
        <v>no</v>
      </c>
      <c r="Q3" s="9">
        <f>IFERROR(VALUE(SUBSTITUTE(O3,"%","")), "")</f>
        <v>0.123</v>
      </c>
      <c r="R3" t="s">
        <v>30</v>
      </c>
      <c r="T3" t="s">
        <v>27</v>
      </c>
      <c r="U3" t="s">
        <v>27</v>
      </c>
      <c r="V3" t="s">
        <v>27</v>
      </c>
      <c r="W3" t="s">
        <v>32</v>
      </c>
    </row>
    <row r="4" spans="1:23">
      <c r="A4">
        <v>4</v>
      </c>
      <c r="B4" t="s">
        <v>23</v>
      </c>
      <c r="C4">
        <v>2004</v>
      </c>
      <c r="D4" t="s">
        <v>34</v>
      </c>
      <c r="E4" t="s">
        <v>25</v>
      </c>
      <c r="F4">
        <v>87</v>
      </c>
      <c r="G4" t="s">
        <v>26</v>
      </c>
      <c r="H4">
        <v>1</v>
      </c>
      <c r="I4">
        <v>2</v>
      </c>
      <c r="J4" t="s">
        <v>27</v>
      </c>
      <c r="K4" t="s">
        <v>27</v>
      </c>
      <c r="L4" t="s">
        <v>28</v>
      </c>
      <c r="M4" t="s">
        <v>29</v>
      </c>
      <c r="N4" t="s">
        <v>27</v>
      </c>
      <c r="O4" s="5">
        <v>0.121</v>
      </c>
      <c r="P4" s="5" t="str">
        <f>IF(O4 &gt; VLOOKUP(M4, 'Descriptive Statistics'!H:I, 2, FALSE), "yes", "no")</f>
        <v>no</v>
      </c>
      <c r="Q4" s="9">
        <f>IFERROR(VALUE(SUBSTITUTE(O4,"%","")), "")</f>
        <v>0.121</v>
      </c>
      <c r="R4" t="s">
        <v>30</v>
      </c>
      <c r="T4" t="s">
        <v>27</v>
      </c>
      <c r="U4" t="s">
        <v>27</v>
      </c>
      <c r="V4" t="s">
        <v>27</v>
      </c>
      <c r="W4" t="s">
        <v>32</v>
      </c>
    </row>
    <row r="5" spans="1:23">
      <c r="A5">
        <v>4</v>
      </c>
      <c r="B5" t="s">
        <v>23</v>
      </c>
      <c r="C5">
        <v>2004</v>
      </c>
      <c r="D5" t="s">
        <v>35</v>
      </c>
      <c r="E5" t="s">
        <v>36</v>
      </c>
      <c r="F5">
        <v>87</v>
      </c>
      <c r="G5" t="s">
        <v>37</v>
      </c>
      <c r="H5">
        <v>3</v>
      </c>
      <c r="I5">
        <v>3</v>
      </c>
      <c r="J5" t="s">
        <v>27</v>
      </c>
      <c r="K5" t="s">
        <v>27</v>
      </c>
      <c r="L5" t="s">
        <v>28</v>
      </c>
      <c r="M5" t="s">
        <v>29</v>
      </c>
      <c r="N5" t="s">
        <v>27</v>
      </c>
      <c r="O5" s="5">
        <v>0</v>
      </c>
      <c r="P5" s="5" t="str">
        <f>IF(O5 &gt; VLOOKUP(M5, 'Descriptive Statistics'!H:I, 2, FALSE), "yes", "no")</f>
        <v>no</v>
      </c>
      <c r="Q5" s="9">
        <f>IFERROR(VALUE(SUBSTITUTE(O5,"%","")), "")</f>
        <v>0</v>
      </c>
      <c r="R5" t="s">
        <v>30</v>
      </c>
      <c r="T5" t="s">
        <v>27</v>
      </c>
      <c r="U5" t="s">
        <v>27</v>
      </c>
      <c r="V5" t="s">
        <v>27</v>
      </c>
      <c r="W5" t="s">
        <v>32</v>
      </c>
    </row>
    <row r="6" spans="1:23">
      <c r="A6">
        <v>5</v>
      </c>
      <c r="B6" s="2" t="s">
        <v>38</v>
      </c>
      <c r="C6" s="2">
        <v>2022</v>
      </c>
      <c r="D6" s="2" t="s">
        <v>39</v>
      </c>
      <c r="E6" t="s">
        <v>25</v>
      </c>
      <c r="F6" s="2">
        <v>50</v>
      </c>
      <c r="G6" s="2" t="s">
        <v>26</v>
      </c>
      <c r="H6" s="2">
        <v>1</v>
      </c>
      <c r="I6" s="2">
        <v>1</v>
      </c>
      <c r="J6" s="2" t="s">
        <v>27</v>
      </c>
      <c r="K6" s="2" t="s">
        <v>27</v>
      </c>
      <c r="L6" t="s">
        <v>28</v>
      </c>
      <c r="M6" s="2" t="s">
        <v>40</v>
      </c>
      <c r="N6" s="2" t="s">
        <v>41</v>
      </c>
      <c r="O6" s="3">
        <v>0.5</v>
      </c>
      <c r="P6" s="3" t="str">
        <f>IF(O6 &gt; VLOOKUP(M6, 'Descriptive Statistics'!H:I, 2, FALSE), "yes", "no")</f>
        <v>no</v>
      </c>
      <c r="Q6" s="9">
        <f>IFERROR(VALUE(SUBSTITUTE(O6,"%","")), "")</f>
        <v>0.5</v>
      </c>
      <c r="R6" s="2" t="s">
        <v>42</v>
      </c>
      <c r="S6" s="2" t="s">
        <v>43</v>
      </c>
      <c r="T6" s="2" t="s">
        <v>27</v>
      </c>
      <c r="U6" s="2" t="s">
        <v>27</v>
      </c>
      <c r="V6" s="2" t="s">
        <v>27</v>
      </c>
      <c r="W6" s="2" t="s">
        <v>44</v>
      </c>
    </row>
    <row r="7" spans="1:23">
      <c r="A7">
        <v>5</v>
      </c>
      <c r="B7" s="2" t="s">
        <v>38</v>
      </c>
      <c r="C7" s="2">
        <v>2022</v>
      </c>
      <c r="D7" s="2" t="s">
        <v>24</v>
      </c>
      <c r="E7" t="s">
        <v>25</v>
      </c>
      <c r="F7" s="2">
        <v>54</v>
      </c>
      <c r="G7" s="2" t="s">
        <v>26</v>
      </c>
      <c r="H7" s="2">
        <v>2</v>
      </c>
      <c r="I7" s="2">
        <v>1</v>
      </c>
      <c r="J7" s="2" t="s">
        <v>27</v>
      </c>
      <c r="K7" s="2" t="s">
        <v>27</v>
      </c>
      <c r="L7" t="s">
        <v>28</v>
      </c>
      <c r="M7" s="2" t="s">
        <v>40</v>
      </c>
      <c r="N7" s="2" t="s">
        <v>41</v>
      </c>
      <c r="O7" s="3">
        <v>0.85199999999999998</v>
      </c>
      <c r="P7" s="3" t="str">
        <f>IF(O7 &gt; VLOOKUP(M7, 'Descriptive Statistics'!H:I, 2, FALSE), "yes", "no")</f>
        <v>yes</v>
      </c>
      <c r="Q7" s="9">
        <f>IFERROR(VALUE(SUBSTITUTE(O7,"%","")), "")</f>
        <v>0.85199999999999998</v>
      </c>
      <c r="R7" s="2" t="s">
        <v>45</v>
      </c>
      <c r="S7" s="2" t="s">
        <v>43</v>
      </c>
      <c r="T7" s="2" t="s">
        <v>27</v>
      </c>
      <c r="U7" s="2" t="s">
        <v>27</v>
      </c>
      <c r="V7" s="2" t="s">
        <v>27</v>
      </c>
      <c r="W7" s="2" t="s">
        <v>44</v>
      </c>
    </row>
    <row r="8" spans="1:23">
      <c r="A8">
        <v>5</v>
      </c>
      <c r="B8" s="2" t="s">
        <v>38</v>
      </c>
      <c r="C8" s="2">
        <v>2022</v>
      </c>
      <c r="D8" s="2" t="s">
        <v>46</v>
      </c>
      <c r="E8" t="s">
        <v>25</v>
      </c>
      <c r="F8" s="2">
        <v>13</v>
      </c>
      <c r="G8" s="2" t="s">
        <v>26</v>
      </c>
      <c r="H8" s="2">
        <v>1</v>
      </c>
      <c r="I8" s="2">
        <v>2</v>
      </c>
      <c r="J8" s="2" t="s">
        <v>27</v>
      </c>
      <c r="K8" s="2" t="s">
        <v>27</v>
      </c>
      <c r="L8" t="s">
        <v>28</v>
      </c>
      <c r="M8" s="2" t="s">
        <v>40</v>
      </c>
      <c r="N8" s="2" t="s">
        <v>41</v>
      </c>
      <c r="O8" s="3">
        <v>0.53800000000000003</v>
      </c>
      <c r="P8" s="3" t="str">
        <f>IF(O8 &gt; VLOOKUP(M8, 'Descriptive Statistics'!H:I, 2, FALSE), "yes", "no")</f>
        <v>no</v>
      </c>
      <c r="Q8" s="9">
        <f>IFERROR(VALUE(SUBSTITUTE(O8,"%","")), "")</f>
        <v>0.53800000000000003</v>
      </c>
      <c r="R8" s="2" t="s">
        <v>47</v>
      </c>
      <c r="S8" s="2" t="s">
        <v>43</v>
      </c>
      <c r="T8" s="2" t="s">
        <v>27</v>
      </c>
      <c r="U8" s="2" t="s">
        <v>27</v>
      </c>
      <c r="V8" s="2" t="s">
        <v>27</v>
      </c>
      <c r="W8" s="2" t="s">
        <v>44</v>
      </c>
    </row>
    <row r="9" spans="1:23">
      <c r="A9">
        <v>5</v>
      </c>
      <c r="B9" s="2" t="s">
        <v>38</v>
      </c>
      <c r="C9" s="2">
        <v>2022</v>
      </c>
      <c r="D9" s="2" t="s">
        <v>34</v>
      </c>
      <c r="E9" t="s">
        <v>25</v>
      </c>
      <c r="F9" s="2">
        <v>45</v>
      </c>
      <c r="G9" s="2" t="s">
        <v>26</v>
      </c>
      <c r="H9" s="2">
        <v>1</v>
      </c>
      <c r="I9" s="2">
        <v>2</v>
      </c>
      <c r="J9" s="2" t="s">
        <v>27</v>
      </c>
      <c r="K9" s="2" t="s">
        <v>27</v>
      </c>
      <c r="L9" t="s">
        <v>28</v>
      </c>
      <c r="M9" s="2" t="s">
        <v>40</v>
      </c>
      <c r="N9" s="2" t="s">
        <v>41</v>
      </c>
      <c r="O9" s="3">
        <v>0.57799999999999996</v>
      </c>
      <c r="P9" s="3" t="str">
        <f>IF(O9 &gt; VLOOKUP(M9, 'Descriptive Statistics'!H:I, 2, FALSE), "yes", "no")</f>
        <v>no</v>
      </c>
      <c r="Q9" s="9">
        <f>IFERROR(VALUE(SUBSTITUTE(O9,"%","")), "")</f>
        <v>0.57799999999999996</v>
      </c>
      <c r="R9" s="2" t="s">
        <v>48</v>
      </c>
      <c r="S9" s="2" t="s">
        <v>43</v>
      </c>
      <c r="T9" s="2" t="s">
        <v>27</v>
      </c>
      <c r="U9" s="2" t="s">
        <v>27</v>
      </c>
      <c r="V9" s="2" t="s">
        <v>27</v>
      </c>
      <c r="W9" s="2" t="s">
        <v>44</v>
      </c>
    </row>
    <row r="10" spans="1:23">
      <c r="A10">
        <v>5</v>
      </c>
      <c r="B10" s="2" t="s">
        <v>38</v>
      </c>
      <c r="C10" s="2">
        <v>2022</v>
      </c>
      <c r="D10" s="2" t="s">
        <v>49</v>
      </c>
      <c r="E10" t="s">
        <v>25</v>
      </c>
      <c r="F10" s="2">
        <v>20</v>
      </c>
      <c r="G10" s="2" t="s">
        <v>26</v>
      </c>
      <c r="H10" s="2">
        <v>2</v>
      </c>
      <c r="I10" s="2">
        <v>2</v>
      </c>
      <c r="J10" s="2" t="s">
        <v>27</v>
      </c>
      <c r="K10" s="2" t="s">
        <v>27</v>
      </c>
      <c r="L10" t="s">
        <v>28</v>
      </c>
      <c r="M10" s="2" t="s">
        <v>40</v>
      </c>
      <c r="N10" s="2" t="s">
        <v>41</v>
      </c>
      <c r="O10" s="3">
        <v>0.65</v>
      </c>
      <c r="P10" s="3" t="str">
        <f>IF(O10 &gt; VLOOKUP(M10, 'Descriptive Statistics'!H:I, 2, FALSE), "yes", "no")</f>
        <v>yes</v>
      </c>
      <c r="Q10" s="9">
        <f>IFERROR(VALUE(SUBSTITUTE(O10,"%","")), "")</f>
        <v>0.65</v>
      </c>
      <c r="R10" s="2" t="s">
        <v>50</v>
      </c>
      <c r="S10" s="2" t="s">
        <v>43</v>
      </c>
      <c r="T10" s="2" t="s">
        <v>27</v>
      </c>
      <c r="U10" s="2" t="s">
        <v>27</v>
      </c>
      <c r="V10" s="2" t="s">
        <v>27</v>
      </c>
      <c r="W10" s="2" t="s">
        <v>44</v>
      </c>
    </row>
    <row r="11" spans="1:23" ht="15" customHeight="1">
      <c r="A11">
        <v>5</v>
      </c>
      <c r="B11" s="2" t="s">
        <v>38</v>
      </c>
      <c r="C11" s="2">
        <v>2022</v>
      </c>
      <c r="D11" s="2" t="s">
        <v>51</v>
      </c>
      <c r="E11" t="s">
        <v>25</v>
      </c>
      <c r="F11" s="2">
        <v>18</v>
      </c>
      <c r="G11" s="2" t="s">
        <v>26</v>
      </c>
      <c r="H11" s="2">
        <v>4</v>
      </c>
      <c r="I11" s="2">
        <v>3</v>
      </c>
      <c r="J11" s="2" t="s">
        <v>27</v>
      </c>
      <c r="K11" s="2" t="s">
        <v>27</v>
      </c>
      <c r="L11" t="s">
        <v>28</v>
      </c>
      <c r="M11" s="2" t="s">
        <v>40</v>
      </c>
      <c r="N11" s="2" t="s">
        <v>41</v>
      </c>
      <c r="O11" s="3">
        <v>0.77800000000000002</v>
      </c>
      <c r="P11" s="3" t="str">
        <f>IF(O11 &gt; VLOOKUP(M11, 'Descriptive Statistics'!H:I, 2, FALSE), "yes", "no")</f>
        <v>yes</v>
      </c>
      <c r="Q11" s="9">
        <f>IFERROR(VALUE(SUBSTITUTE(O11,"%","")), "")</f>
        <v>0.77800000000000002</v>
      </c>
      <c r="R11" s="2" t="s">
        <v>52</v>
      </c>
      <c r="S11" s="2" t="s">
        <v>43</v>
      </c>
      <c r="T11" s="2" t="s">
        <v>27</v>
      </c>
      <c r="U11" s="2" t="s">
        <v>27</v>
      </c>
      <c r="V11" s="2" t="s">
        <v>27</v>
      </c>
      <c r="W11" s="2" t="s">
        <v>44</v>
      </c>
    </row>
    <row r="12" spans="1:23" ht="15" customHeight="1">
      <c r="A12">
        <v>6</v>
      </c>
      <c r="B12" s="2" t="s">
        <v>53</v>
      </c>
      <c r="C12" s="2">
        <v>2024</v>
      </c>
      <c r="D12" s="2" t="s">
        <v>54</v>
      </c>
      <c r="E12" s="2" t="s">
        <v>54</v>
      </c>
      <c r="F12">
        <v>33</v>
      </c>
      <c r="G12" s="2" t="s">
        <v>37</v>
      </c>
      <c r="H12">
        <v>3</v>
      </c>
      <c r="I12" s="2">
        <v>2</v>
      </c>
      <c r="J12" s="2" t="s">
        <v>27</v>
      </c>
      <c r="K12" s="2" t="s">
        <v>27</v>
      </c>
      <c r="L12" t="s">
        <v>55</v>
      </c>
      <c r="M12" s="2" t="s">
        <v>40</v>
      </c>
      <c r="N12" s="2" t="s">
        <v>41</v>
      </c>
      <c r="O12" s="3">
        <v>0.63800000000000001</v>
      </c>
      <c r="P12" s="3" t="str">
        <f>IF(O12 &gt; VLOOKUP(M12, 'Descriptive Statistics'!H:I, 2, FALSE), "yes", "no")</f>
        <v>no</v>
      </c>
      <c r="Q12" s="9">
        <f>IFERROR(VALUE(SUBSTITUTE(O12,"%","")), "")</f>
        <v>0.63800000000000001</v>
      </c>
      <c r="R12" s="2" t="s">
        <v>56</v>
      </c>
      <c r="S12" s="2" t="s">
        <v>57</v>
      </c>
      <c r="T12" s="2" t="s">
        <v>27</v>
      </c>
      <c r="U12" s="2" t="s">
        <v>27</v>
      </c>
      <c r="V12" s="2" t="s">
        <v>27</v>
      </c>
      <c r="W12" t="s">
        <v>58</v>
      </c>
    </row>
    <row r="13" spans="1:23" ht="15" customHeight="1">
      <c r="A13">
        <v>6</v>
      </c>
      <c r="B13" s="2" t="s">
        <v>53</v>
      </c>
      <c r="C13" s="2">
        <v>2024</v>
      </c>
      <c r="D13" s="2" t="s">
        <v>59</v>
      </c>
      <c r="E13" t="s">
        <v>36</v>
      </c>
      <c r="F13">
        <v>34</v>
      </c>
      <c r="G13" s="2" t="s">
        <v>37</v>
      </c>
      <c r="H13">
        <v>3</v>
      </c>
      <c r="I13" s="2">
        <v>3</v>
      </c>
      <c r="J13" s="2" t="s">
        <v>27</v>
      </c>
      <c r="K13" s="2" t="s">
        <v>27</v>
      </c>
      <c r="L13" t="s">
        <v>55</v>
      </c>
      <c r="M13" s="2" t="s">
        <v>40</v>
      </c>
      <c r="N13" s="2" t="s">
        <v>41</v>
      </c>
      <c r="O13" s="3">
        <v>0.63800000000000001</v>
      </c>
      <c r="P13" s="3" t="str">
        <f>IF(O13 &gt; VLOOKUP(M13, 'Descriptive Statistics'!H:I, 2, FALSE), "yes", "no")</f>
        <v>no</v>
      </c>
      <c r="Q13" s="9">
        <f>IFERROR(VALUE(SUBSTITUTE(O13,"%","")), "")</f>
        <v>0.63800000000000001</v>
      </c>
      <c r="R13" s="2" t="s">
        <v>56</v>
      </c>
      <c r="S13" s="2" t="s">
        <v>57</v>
      </c>
      <c r="T13" s="2" t="s">
        <v>27</v>
      </c>
      <c r="U13" s="2" t="s">
        <v>27</v>
      </c>
      <c r="V13" s="2" t="s">
        <v>27</v>
      </c>
      <c r="W13" t="s">
        <v>58</v>
      </c>
    </row>
    <row r="14" spans="1:23" ht="15" customHeight="1">
      <c r="A14">
        <v>6</v>
      </c>
      <c r="B14" s="2" t="s">
        <v>53</v>
      </c>
      <c r="C14" s="2">
        <v>2024</v>
      </c>
      <c r="D14" s="2" t="s">
        <v>35</v>
      </c>
      <c r="E14" t="s">
        <v>36</v>
      </c>
      <c r="F14">
        <v>16</v>
      </c>
      <c r="G14" s="2" t="s">
        <v>37</v>
      </c>
      <c r="H14">
        <v>3</v>
      </c>
      <c r="I14" s="2">
        <v>3</v>
      </c>
      <c r="J14" s="2" t="s">
        <v>27</v>
      </c>
      <c r="K14" s="2" t="s">
        <v>27</v>
      </c>
      <c r="L14" t="s">
        <v>55</v>
      </c>
      <c r="M14" s="2" t="s">
        <v>40</v>
      </c>
      <c r="N14" s="2" t="s">
        <v>41</v>
      </c>
      <c r="O14" s="3">
        <v>0.63800000000000001</v>
      </c>
      <c r="P14" s="3" t="str">
        <f>IF(O14 &gt; VLOOKUP(M14, 'Descriptive Statistics'!H:I, 2, FALSE), "yes", "no")</f>
        <v>no</v>
      </c>
      <c r="Q14" s="9">
        <f>IFERROR(VALUE(SUBSTITUTE(O14,"%","")), "")</f>
        <v>0.63800000000000001</v>
      </c>
      <c r="R14" s="2" t="s">
        <v>56</v>
      </c>
      <c r="S14" s="2" t="s">
        <v>57</v>
      </c>
      <c r="T14" s="2" t="s">
        <v>27</v>
      </c>
      <c r="U14" s="2" t="s">
        <v>27</v>
      </c>
      <c r="V14" s="2" t="s">
        <v>27</v>
      </c>
      <c r="W14" t="s">
        <v>58</v>
      </c>
    </row>
    <row r="15" spans="1:23" ht="15" customHeight="1">
      <c r="A15">
        <v>7</v>
      </c>
      <c r="B15" s="2" t="s">
        <v>60</v>
      </c>
      <c r="C15" s="2">
        <v>2006</v>
      </c>
      <c r="D15" s="2" t="s">
        <v>61</v>
      </c>
      <c r="E15" t="s">
        <v>62</v>
      </c>
      <c r="F15">
        <v>38</v>
      </c>
      <c r="G15" s="2" t="s">
        <v>26</v>
      </c>
      <c r="H15">
        <v>2</v>
      </c>
      <c r="I15" s="2">
        <v>1</v>
      </c>
      <c r="J15" s="2" t="s">
        <v>41</v>
      </c>
      <c r="K15" s="2" t="s">
        <v>27</v>
      </c>
      <c r="L15" t="s">
        <v>63</v>
      </c>
      <c r="M15" s="2" t="s">
        <v>29</v>
      </c>
      <c r="N15" s="2" t="s">
        <v>41</v>
      </c>
      <c r="O15" s="3">
        <v>0.42</v>
      </c>
      <c r="P15" s="3" t="str">
        <f>IF(O15 &gt; VLOOKUP(M15, 'Descriptive Statistics'!H:I, 2, FALSE), "yes", "no")</f>
        <v>yes</v>
      </c>
      <c r="Q15" s="9">
        <f>IFERROR(VALUE(SUBSTITUTE(O15,"%","")), "")</f>
        <v>0.42</v>
      </c>
      <c r="R15" s="2" t="s">
        <v>64</v>
      </c>
      <c r="S15" s="2" t="s">
        <v>65</v>
      </c>
      <c r="T15" s="2" t="s">
        <v>27</v>
      </c>
      <c r="U15" s="2" t="s">
        <v>41</v>
      </c>
      <c r="V15" s="2" t="s">
        <v>41</v>
      </c>
      <c r="W15" t="s">
        <v>66</v>
      </c>
    </row>
    <row r="16" spans="1:23" ht="15" customHeight="1">
      <c r="A16">
        <v>8</v>
      </c>
      <c r="B16" s="2" t="s">
        <v>67</v>
      </c>
      <c r="C16" s="2">
        <v>2025</v>
      </c>
      <c r="D16" s="2" t="s">
        <v>68</v>
      </c>
      <c r="E16" t="s">
        <v>25</v>
      </c>
      <c r="F16">
        <v>50</v>
      </c>
      <c r="G16" s="2" t="s">
        <v>26</v>
      </c>
      <c r="H16">
        <v>1</v>
      </c>
      <c r="I16" s="2">
        <v>1</v>
      </c>
      <c r="J16" s="2" t="s">
        <v>27</v>
      </c>
      <c r="K16" s="2" t="s">
        <v>27</v>
      </c>
      <c r="L16">
        <v>10.8</v>
      </c>
      <c r="M16" s="2" t="s">
        <v>40</v>
      </c>
      <c r="N16" s="2" t="s">
        <v>41</v>
      </c>
      <c r="O16" s="3">
        <v>0.57999999999999996</v>
      </c>
      <c r="P16" s="3" t="str">
        <f>IF(O16 &gt; VLOOKUP(M16, 'Descriptive Statistics'!H:I, 2, FALSE), "yes", "no")</f>
        <v>no</v>
      </c>
      <c r="Q16" s="9">
        <f>IFERROR(VALUE(SUBSTITUTE(O16,"%","")), "")</f>
        <v>0.57999999999999996</v>
      </c>
      <c r="R16" s="2" t="s">
        <v>69</v>
      </c>
      <c r="S16" s="2" t="s">
        <v>70</v>
      </c>
      <c r="T16" s="2" t="s">
        <v>41</v>
      </c>
      <c r="U16" s="2" t="s">
        <v>27</v>
      </c>
      <c r="V16" s="2" t="s">
        <v>27</v>
      </c>
      <c r="W16" t="s">
        <v>71</v>
      </c>
    </row>
    <row r="17" spans="1:23" ht="15" customHeight="1">
      <c r="A17">
        <v>9</v>
      </c>
      <c r="B17" s="2" t="s">
        <v>72</v>
      </c>
      <c r="C17" s="2">
        <v>2025</v>
      </c>
      <c r="D17" s="2" t="s">
        <v>73</v>
      </c>
      <c r="E17" s="2" t="s">
        <v>74</v>
      </c>
      <c r="F17" s="2">
        <v>2</v>
      </c>
      <c r="G17" s="2" t="s">
        <v>37</v>
      </c>
      <c r="H17">
        <v>4</v>
      </c>
      <c r="I17" s="2">
        <v>1</v>
      </c>
      <c r="J17" s="2" t="s">
        <v>41</v>
      </c>
      <c r="K17" s="2" t="s">
        <v>27</v>
      </c>
      <c r="L17" t="s">
        <v>28</v>
      </c>
      <c r="M17" s="2" t="s">
        <v>75</v>
      </c>
      <c r="N17" s="2" t="s">
        <v>41</v>
      </c>
      <c r="O17" s="3">
        <v>0.63</v>
      </c>
      <c r="P17" s="3" t="str">
        <f>IF(O17 &gt; VLOOKUP(M17, 'Descriptive Statistics'!H:I, 2, FALSE), "yes", "no")</f>
        <v>no</v>
      </c>
      <c r="Q17" s="9">
        <f>IFERROR(VALUE(SUBSTITUTE(O17,"%","")), "")</f>
        <v>0.63</v>
      </c>
      <c r="R17" s="2" t="s">
        <v>76</v>
      </c>
      <c r="S17" s="2" t="s">
        <v>77</v>
      </c>
      <c r="T17" s="2"/>
      <c r="U17" s="2" t="s">
        <v>41</v>
      </c>
      <c r="V17" s="2" t="s">
        <v>27</v>
      </c>
      <c r="W17" s="2" t="s">
        <v>78</v>
      </c>
    </row>
    <row r="18" spans="1:23" ht="15" customHeight="1">
      <c r="A18">
        <v>9</v>
      </c>
      <c r="B18" s="2" t="s">
        <v>72</v>
      </c>
      <c r="C18" s="2">
        <v>2025</v>
      </c>
      <c r="D18" t="s">
        <v>79</v>
      </c>
      <c r="E18" t="s">
        <v>25</v>
      </c>
      <c r="F18" s="2">
        <v>9</v>
      </c>
      <c r="G18" t="s">
        <v>26</v>
      </c>
      <c r="H18">
        <v>1</v>
      </c>
      <c r="I18" s="2">
        <v>1</v>
      </c>
      <c r="J18" s="2" t="s">
        <v>27</v>
      </c>
      <c r="K18" s="2" t="s">
        <v>27</v>
      </c>
      <c r="L18" t="s">
        <v>28</v>
      </c>
      <c r="M18" s="2" t="s">
        <v>75</v>
      </c>
      <c r="N18" s="2" t="s">
        <v>41</v>
      </c>
      <c r="O18" s="3">
        <v>0.63</v>
      </c>
      <c r="P18" s="3" t="str">
        <f>IF(O18 &gt; VLOOKUP(M18, 'Descriptive Statistics'!H:I, 2, FALSE), "yes", "no")</f>
        <v>no</v>
      </c>
      <c r="Q18" s="9">
        <f>IFERROR(VALUE(SUBSTITUTE(O18,"%","")), "")</f>
        <v>0.63</v>
      </c>
      <c r="R18" s="2" t="s">
        <v>76</v>
      </c>
      <c r="S18" s="2" t="s">
        <v>77</v>
      </c>
      <c r="T18" s="2"/>
      <c r="U18" s="2" t="s">
        <v>41</v>
      </c>
      <c r="V18" s="2" t="s">
        <v>27</v>
      </c>
      <c r="W18" s="2" t="s">
        <v>78</v>
      </c>
    </row>
    <row r="19" spans="1:23" ht="15" customHeight="1">
      <c r="A19">
        <v>9</v>
      </c>
      <c r="B19" s="2" t="s">
        <v>72</v>
      </c>
      <c r="C19" s="2">
        <v>2025</v>
      </c>
      <c r="D19" s="2" t="s">
        <v>80</v>
      </c>
      <c r="E19" s="2" t="s">
        <v>80</v>
      </c>
      <c r="F19" s="2">
        <v>12</v>
      </c>
      <c r="G19" s="2" t="s">
        <v>37</v>
      </c>
      <c r="H19">
        <v>2</v>
      </c>
      <c r="I19" s="2">
        <v>2</v>
      </c>
      <c r="J19" s="2" t="s">
        <v>27</v>
      </c>
      <c r="K19" s="2" t="s">
        <v>41</v>
      </c>
      <c r="L19" t="s">
        <v>28</v>
      </c>
      <c r="M19" s="2" t="s">
        <v>75</v>
      </c>
      <c r="N19" s="2" t="s">
        <v>41</v>
      </c>
      <c r="O19" s="3">
        <v>0.63</v>
      </c>
      <c r="P19" s="3" t="str">
        <f>IF(O19 &gt; VLOOKUP(M19, 'Descriptive Statistics'!H:I, 2, FALSE), "yes", "no")</f>
        <v>no</v>
      </c>
      <c r="Q19" s="9">
        <f>IFERROR(VALUE(SUBSTITUTE(O19,"%","")), "")</f>
        <v>0.63</v>
      </c>
      <c r="R19" s="2" t="s">
        <v>76</v>
      </c>
      <c r="S19" s="2" t="s">
        <v>77</v>
      </c>
      <c r="T19" s="2"/>
      <c r="U19" s="2" t="s">
        <v>41</v>
      </c>
      <c r="V19" s="2" t="s">
        <v>27</v>
      </c>
      <c r="W19" s="2" t="s">
        <v>78</v>
      </c>
    </row>
    <row r="20" spans="1:23" ht="15" customHeight="1">
      <c r="A20">
        <v>9</v>
      </c>
      <c r="B20" s="2" t="s">
        <v>72</v>
      </c>
      <c r="C20" s="2">
        <v>2025</v>
      </c>
      <c r="D20" s="2" t="s">
        <v>54</v>
      </c>
      <c r="E20" s="2" t="s">
        <v>54</v>
      </c>
      <c r="F20" s="2">
        <v>8</v>
      </c>
      <c r="G20" s="2" t="s">
        <v>37</v>
      </c>
      <c r="H20">
        <v>3</v>
      </c>
      <c r="I20" s="2">
        <v>2</v>
      </c>
      <c r="J20" s="2" t="s">
        <v>27</v>
      </c>
      <c r="K20" s="2" t="s">
        <v>27</v>
      </c>
      <c r="L20" t="s">
        <v>28</v>
      </c>
      <c r="M20" s="2" t="s">
        <v>75</v>
      </c>
      <c r="N20" s="2" t="s">
        <v>41</v>
      </c>
      <c r="O20" s="3">
        <v>0.63</v>
      </c>
      <c r="P20" s="3" t="str">
        <f>IF(O20 &gt; VLOOKUP(M20, 'Descriptive Statistics'!H:I, 2, FALSE), "yes", "no")</f>
        <v>no</v>
      </c>
      <c r="Q20" s="9">
        <f>IFERROR(VALUE(SUBSTITUTE(O20,"%","")), "")</f>
        <v>0.63</v>
      </c>
      <c r="R20" s="2" t="s">
        <v>76</v>
      </c>
      <c r="S20" s="2" t="s">
        <v>77</v>
      </c>
      <c r="T20" s="2"/>
      <c r="U20" s="2" t="s">
        <v>41</v>
      </c>
      <c r="V20" s="2" t="s">
        <v>27</v>
      </c>
      <c r="W20" s="2" t="s">
        <v>78</v>
      </c>
    </row>
    <row r="21" spans="1:23" ht="15" customHeight="1">
      <c r="A21">
        <v>9</v>
      </c>
      <c r="B21" s="2" t="s">
        <v>72</v>
      </c>
      <c r="C21" s="2">
        <v>2025</v>
      </c>
      <c r="D21" s="2" t="s">
        <v>81</v>
      </c>
      <c r="E21" t="s">
        <v>36</v>
      </c>
      <c r="F21" s="2">
        <v>8</v>
      </c>
      <c r="G21" s="2" t="s">
        <v>37</v>
      </c>
      <c r="H21">
        <v>3</v>
      </c>
      <c r="I21" s="2">
        <v>3</v>
      </c>
      <c r="J21" s="2" t="s">
        <v>27</v>
      </c>
      <c r="K21" s="2" t="s">
        <v>27</v>
      </c>
      <c r="L21" t="s">
        <v>28</v>
      </c>
      <c r="M21" s="2" t="s">
        <v>75</v>
      </c>
      <c r="N21" s="2" t="s">
        <v>41</v>
      </c>
      <c r="O21" s="3">
        <v>0.63</v>
      </c>
      <c r="P21" s="3" t="str">
        <f>IF(O21 &gt; VLOOKUP(M21, 'Descriptive Statistics'!H:I, 2, FALSE), "yes", "no")</f>
        <v>no</v>
      </c>
      <c r="Q21" s="9">
        <f>IFERROR(VALUE(SUBSTITUTE(O21,"%","")), "")</f>
        <v>0.63</v>
      </c>
      <c r="R21" s="2" t="s">
        <v>76</v>
      </c>
      <c r="S21" s="2" t="s">
        <v>77</v>
      </c>
      <c r="T21" s="2"/>
      <c r="U21" s="2" t="s">
        <v>41</v>
      </c>
      <c r="V21" s="2" t="s">
        <v>27</v>
      </c>
      <c r="W21" s="2" t="s">
        <v>78</v>
      </c>
    </row>
    <row r="22" spans="1:23" ht="15" customHeight="1">
      <c r="A22">
        <v>9</v>
      </c>
      <c r="B22" s="2" t="s">
        <v>72</v>
      </c>
      <c r="C22" s="2">
        <v>2025</v>
      </c>
      <c r="D22" s="2" t="s">
        <v>82</v>
      </c>
      <c r="E22" t="s">
        <v>36</v>
      </c>
      <c r="F22" s="2">
        <v>4</v>
      </c>
      <c r="G22" s="2" t="s">
        <v>37</v>
      </c>
      <c r="H22">
        <v>3</v>
      </c>
      <c r="I22" s="2">
        <v>3</v>
      </c>
      <c r="J22" s="2" t="s">
        <v>27</v>
      </c>
      <c r="K22" s="2" t="s">
        <v>27</v>
      </c>
      <c r="L22" t="s">
        <v>28</v>
      </c>
      <c r="M22" s="2" t="s">
        <v>75</v>
      </c>
      <c r="N22" s="2" t="s">
        <v>41</v>
      </c>
      <c r="O22" s="3">
        <v>0.63</v>
      </c>
      <c r="P22" s="3" t="str">
        <f>IF(O22 &gt; VLOOKUP(M22, 'Descriptive Statistics'!H:I, 2, FALSE), "yes", "no")</f>
        <v>no</v>
      </c>
      <c r="Q22" s="9">
        <f>IFERROR(VALUE(SUBSTITUTE(O22,"%","")), "")</f>
        <v>0.63</v>
      </c>
      <c r="R22" s="2" t="s">
        <v>76</v>
      </c>
      <c r="S22" s="2" t="s">
        <v>77</v>
      </c>
      <c r="T22" s="2"/>
      <c r="U22" s="2" t="s">
        <v>41</v>
      </c>
      <c r="V22" s="2" t="s">
        <v>27</v>
      </c>
      <c r="W22" s="2" t="s">
        <v>78</v>
      </c>
    </row>
    <row r="23" spans="1:23" ht="15" customHeight="1">
      <c r="A23">
        <v>9</v>
      </c>
      <c r="B23" s="2" t="s">
        <v>72</v>
      </c>
      <c r="C23" s="2">
        <v>2025</v>
      </c>
      <c r="D23" s="2" t="s">
        <v>59</v>
      </c>
      <c r="E23" t="s">
        <v>36</v>
      </c>
      <c r="F23" s="2">
        <v>2</v>
      </c>
      <c r="G23" s="2" t="s">
        <v>37</v>
      </c>
      <c r="H23">
        <v>3</v>
      </c>
      <c r="I23" s="2">
        <v>3</v>
      </c>
      <c r="J23" s="2" t="s">
        <v>27</v>
      </c>
      <c r="K23" s="2" t="s">
        <v>27</v>
      </c>
      <c r="L23" t="s">
        <v>28</v>
      </c>
      <c r="M23" s="2" t="s">
        <v>75</v>
      </c>
      <c r="N23" s="2" t="s">
        <v>41</v>
      </c>
      <c r="O23" s="3">
        <v>0.63</v>
      </c>
      <c r="P23" s="3" t="str">
        <f>IF(O23 &gt; VLOOKUP(M23, 'Descriptive Statistics'!H:I, 2, FALSE), "yes", "no")</f>
        <v>no</v>
      </c>
      <c r="Q23" s="9">
        <f>IFERROR(VALUE(SUBSTITUTE(O23,"%","")), "")</f>
        <v>0.63</v>
      </c>
      <c r="R23" s="2" t="s">
        <v>76</v>
      </c>
      <c r="S23" s="2" t="s">
        <v>77</v>
      </c>
      <c r="T23" s="2"/>
      <c r="U23" s="2" t="s">
        <v>41</v>
      </c>
      <c r="V23" s="2" t="s">
        <v>27</v>
      </c>
      <c r="W23" s="2" t="s">
        <v>78</v>
      </c>
    </row>
    <row r="24" spans="1:23" ht="15" customHeight="1">
      <c r="A24">
        <v>9</v>
      </c>
      <c r="B24" s="2" t="s">
        <v>72</v>
      </c>
      <c r="C24" s="2">
        <v>2025</v>
      </c>
      <c r="D24" s="2" t="s">
        <v>35</v>
      </c>
      <c r="E24" t="s">
        <v>36</v>
      </c>
      <c r="F24" s="2">
        <v>1</v>
      </c>
      <c r="G24" s="2" t="s">
        <v>37</v>
      </c>
      <c r="H24">
        <v>3</v>
      </c>
      <c r="I24" s="2">
        <v>3</v>
      </c>
      <c r="J24" s="2" t="s">
        <v>27</v>
      </c>
      <c r="K24" s="2" t="s">
        <v>27</v>
      </c>
      <c r="L24" t="s">
        <v>28</v>
      </c>
      <c r="M24" s="2" t="s">
        <v>75</v>
      </c>
      <c r="N24" s="2" t="s">
        <v>41</v>
      </c>
      <c r="O24" s="3">
        <v>0.63</v>
      </c>
      <c r="P24" s="3" t="str">
        <f>IF(O24 &gt; VLOOKUP(M24, 'Descriptive Statistics'!H:I, 2, FALSE), "yes", "no")</f>
        <v>no</v>
      </c>
      <c r="Q24" s="9">
        <f>IFERROR(VALUE(SUBSTITUTE(O24,"%","")), "")</f>
        <v>0.63</v>
      </c>
      <c r="R24" s="2" t="s">
        <v>76</v>
      </c>
      <c r="S24" s="2" t="s">
        <v>77</v>
      </c>
      <c r="T24" s="2"/>
      <c r="U24" s="2" t="s">
        <v>41</v>
      </c>
      <c r="V24" s="2" t="s">
        <v>27</v>
      </c>
      <c r="W24" s="2" t="s">
        <v>78</v>
      </c>
    </row>
    <row r="25" spans="1:23" ht="15" customHeight="1">
      <c r="A25">
        <v>9</v>
      </c>
      <c r="B25" s="2" t="s">
        <v>72</v>
      </c>
      <c r="C25" s="2">
        <v>2025</v>
      </c>
      <c r="D25" s="2" t="s">
        <v>83</v>
      </c>
      <c r="E25" t="s">
        <v>84</v>
      </c>
      <c r="F25" s="2">
        <v>4</v>
      </c>
      <c r="G25" s="2" t="s">
        <v>26</v>
      </c>
      <c r="H25">
        <v>3</v>
      </c>
      <c r="I25" s="2">
        <v>3</v>
      </c>
      <c r="J25" s="2" t="s">
        <v>27</v>
      </c>
      <c r="K25" s="2" t="s">
        <v>27</v>
      </c>
      <c r="L25" t="s">
        <v>28</v>
      </c>
      <c r="M25" s="2" t="s">
        <v>75</v>
      </c>
      <c r="N25" s="2" t="s">
        <v>41</v>
      </c>
      <c r="O25" s="3">
        <v>0.63</v>
      </c>
      <c r="P25" s="3" t="str">
        <f>IF(O25 &gt; VLOOKUP(M25, 'Descriptive Statistics'!H:I, 2, FALSE), "yes", "no")</f>
        <v>no</v>
      </c>
      <c r="Q25" s="9">
        <f>IFERROR(VALUE(SUBSTITUTE(O25,"%","")), "")</f>
        <v>0.63</v>
      </c>
      <c r="R25" s="2" t="s">
        <v>76</v>
      </c>
      <c r="S25" s="2" t="s">
        <v>77</v>
      </c>
      <c r="T25" s="2"/>
      <c r="U25" s="2" t="s">
        <v>41</v>
      </c>
      <c r="V25" s="2" t="s">
        <v>27</v>
      </c>
      <c r="W25" s="2" t="s">
        <v>78</v>
      </c>
    </row>
    <row r="26" spans="1:23" ht="15" customHeight="1">
      <c r="A26">
        <v>9</v>
      </c>
      <c r="B26" s="2" t="s">
        <v>72</v>
      </c>
      <c r="C26" s="2">
        <v>2025</v>
      </c>
      <c r="D26" s="2" t="s">
        <v>85</v>
      </c>
      <c r="E26" s="2" t="s">
        <v>85</v>
      </c>
      <c r="F26" s="2">
        <v>3</v>
      </c>
      <c r="G26" s="2" t="s">
        <v>37</v>
      </c>
      <c r="H26">
        <v>4</v>
      </c>
      <c r="I26" s="2">
        <v>5</v>
      </c>
      <c r="J26" s="2" t="s">
        <v>27</v>
      </c>
      <c r="K26" s="2" t="s">
        <v>27</v>
      </c>
      <c r="L26" t="s">
        <v>28</v>
      </c>
      <c r="M26" s="2" t="s">
        <v>75</v>
      </c>
      <c r="N26" s="2" t="s">
        <v>41</v>
      </c>
      <c r="O26" s="3">
        <v>0.63</v>
      </c>
      <c r="P26" s="3" t="str">
        <f>IF(O26 &gt; VLOOKUP(M26, 'Descriptive Statistics'!H:I, 2, FALSE), "yes", "no")</f>
        <v>no</v>
      </c>
      <c r="Q26" s="13">
        <f>IFERROR(VALUE(SUBSTITUTE(O26,"%","")), "")</f>
        <v>0.63</v>
      </c>
      <c r="R26" s="2" t="s">
        <v>76</v>
      </c>
      <c r="S26" s="2" t="s">
        <v>77</v>
      </c>
      <c r="T26" s="2"/>
      <c r="U26" s="2" t="s">
        <v>41</v>
      </c>
      <c r="V26" s="2" t="s">
        <v>27</v>
      </c>
      <c r="W26" s="2" t="s">
        <v>78</v>
      </c>
    </row>
    <row r="27" spans="1:23" ht="15" customHeight="1">
      <c r="A27">
        <v>10</v>
      </c>
      <c r="B27" t="s">
        <v>86</v>
      </c>
      <c r="C27">
        <v>2023</v>
      </c>
      <c r="D27" t="s">
        <v>59</v>
      </c>
      <c r="E27" t="s">
        <v>36</v>
      </c>
      <c r="F27">
        <v>19</v>
      </c>
      <c r="G27" t="s">
        <v>37</v>
      </c>
      <c r="H27">
        <v>3</v>
      </c>
      <c r="I27">
        <v>3</v>
      </c>
      <c r="J27" t="s">
        <v>27</v>
      </c>
      <c r="K27" t="s">
        <v>27</v>
      </c>
      <c r="L27" t="s">
        <v>87</v>
      </c>
      <c r="M27" t="s">
        <v>75</v>
      </c>
      <c r="N27" t="s">
        <v>27</v>
      </c>
      <c r="O27" s="5">
        <v>0.33</v>
      </c>
      <c r="P27" s="5" t="str">
        <f>IF(O27 &gt; VLOOKUP(M27, 'Descriptive Statistics'!H:I, 2, FALSE), "yes", "no")</f>
        <v>no</v>
      </c>
      <c r="Q27" s="9">
        <f>IFERROR(VALUE(SUBSTITUTE(O27,"%","")), "")</f>
        <v>0.33</v>
      </c>
      <c r="R27" t="s">
        <v>88</v>
      </c>
      <c r="S27" t="s">
        <v>89</v>
      </c>
      <c r="T27" t="s">
        <v>27</v>
      </c>
      <c r="U27" t="s">
        <v>27</v>
      </c>
      <c r="V27" t="s">
        <v>27</v>
      </c>
      <c r="W27" t="s">
        <v>90</v>
      </c>
    </row>
    <row r="28" spans="1:23">
      <c r="A28">
        <v>11</v>
      </c>
      <c r="B28" t="s">
        <v>91</v>
      </c>
      <c r="C28">
        <v>2023</v>
      </c>
      <c r="D28" t="s">
        <v>54</v>
      </c>
      <c r="E28" t="s">
        <v>54</v>
      </c>
      <c r="F28">
        <v>12</v>
      </c>
      <c r="G28" t="s">
        <v>37</v>
      </c>
      <c r="H28">
        <v>3</v>
      </c>
      <c r="I28">
        <v>2</v>
      </c>
      <c r="J28" t="s">
        <v>27</v>
      </c>
      <c r="K28" t="s">
        <v>27</v>
      </c>
      <c r="L28" t="s">
        <v>87</v>
      </c>
      <c r="M28" t="s">
        <v>75</v>
      </c>
      <c r="N28" t="s">
        <v>27</v>
      </c>
      <c r="O28" s="5">
        <v>0.17</v>
      </c>
      <c r="P28" s="5" t="str">
        <f>IF(O28 &gt; VLOOKUP(M28, 'Descriptive Statistics'!H:I, 2, FALSE), "yes", "no")</f>
        <v>no</v>
      </c>
      <c r="Q28" s="9">
        <f>IFERROR(VALUE(SUBSTITUTE(O28,"%","")), "")</f>
        <v>0.17</v>
      </c>
      <c r="R28" t="s">
        <v>92</v>
      </c>
      <c r="S28" t="s">
        <v>93</v>
      </c>
      <c r="T28" t="s">
        <v>27</v>
      </c>
      <c r="U28" t="s">
        <v>27</v>
      </c>
      <c r="V28" t="s">
        <v>27</v>
      </c>
      <c r="W28" t="s">
        <v>94</v>
      </c>
    </row>
    <row r="29" spans="1:23">
      <c r="A29">
        <v>12</v>
      </c>
      <c r="B29" t="s">
        <v>95</v>
      </c>
      <c r="C29">
        <v>1996</v>
      </c>
      <c r="D29" t="s">
        <v>24</v>
      </c>
      <c r="E29" t="s">
        <v>25</v>
      </c>
      <c r="F29">
        <v>25</v>
      </c>
      <c r="G29" t="s">
        <v>26</v>
      </c>
      <c r="H29">
        <v>2</v>
      </c>
      <c r="I29">
        <v>1</v>
      </c>
      <c r="J29" t="s">
        <v>27</v>
      </c>
      <c r="K29" t="s">
        <v>27</v>
      </c>
      <c r="L29">
        <v>10.3</v>
      </c>
      <c r="M29" t="s">
        <v>96</v>
      </c>
      <c r="N29" t="s">
        <v>41</v>
      </c>
      <c r="O29" s="5">
        <v>0.28000000000000003</v>
      </c>
      <c r="P29" s="5" t="str">
        <f>IF(O29 &gt; VLOOKUP(M29, 'Descriptive Statistics'!H:I, 2, FALSE), "yes", "no")</f>
        <v>no</v>
      </c>
      <c r="Q29" s="9">
        <f>IFERROR(VALUE(SUBSTITUTE(O29,"%","")), "")</f>
        <v>0.28000000000000003</v>
      </c>
      <c r="R29" t="s">
        <v>97</v>
      </c>
      <c r="S29" t="s">
        <v>98</v>
      </c>
      <c r="T29" t="s">
        <v>99</v>
      </c>
      <c r="U29" t="s">
        <v>27</v>
      </c>
      <c r="V29" t="s">
        <v>27</v>
      </c>
      <c r="W29" t="s">
        <v>100</v>
      </c>
    </row>
    <row r="30" spans="1:23">
      <c r="A30">
        <v>12</v>
      </c>
      <c r="B30" t="s">
        <v>95</v>
      </c>
      <c r="C30">
        <v>1996</v>
      </c>
      <c r="D30" t="s">
        <v>101</v>
      </c>
      <c r="E30" t="s">
        <v>36</v>
      </c>
      <c r="F30">
        <v>20</v>
      </c>
      <c r="G30" t="s">
        <v>37</v>
      </c>
      <c r="H30">
        <v>3</v>
      </c>
      <c r="I30" s="2">
        <v>3</v>
      </c>
      <c r="J30" t="s">
        <v>27</v>
      </c>
      <c r="K30" t="s">
        <v>27</v>
      </c>
      <c r="L30">
        <v>7.9</v>
      </c>
      <c r="M30" t="s">
        <v>96</v>
      </c>
      <c r="N30" t="s">
        <v>41</v>
      </c>
      <c r="O30" s="5">
        <v>0.35</v>
      </c>
      <c r="P30" s="5" t="str">
        <f>IF(O30 &gt; VLOOKUP(M30, 'Descriptive Statistics'!H:I, 2, FALSE), "yes", "no")</f>
        <v>no</v>
      </c>
      <c r="Q30" s="9">
        <f>IFERROR(VALUE(SUBSTITUTE(O30,"%","")), "")</f>
        <v>0.35</v>
      </c>
      <c r="R30" t="s">
        <v>102</v>
      </c>
      <c r="S30" t="s">
        <v>103</v>
      </c>
      <c r="T30" t="s">
        <v>27</v>
      </c>
      <c r="U30" t="s">
        <v>27</v>
      </c>
      <c r="V30" t="s">
        <v>27</v>
      </c>
      <c r="W30" t="s">
        <v>100</v>
      </c>
    </row>
    <row r="31" spans="1:23" ht="15" customHeight="1">
      <c r="A31">
        <v>12</v>
      </c>
      <c r="B31" t="s">
        <v>95</v>
      </c>
      <c r="C31">
        <v>1996</v>
      </c>
      <c r="D31" t="s">
        <v>35</v>
      </c>
      <c r="E31" t="s">
        <v>36</v>
      </c>
      <c r="F31">
        <v>20</v>
      </c>
      <c r="G31" t="s">
        <v>37</v>
      </c>
      <c r="H31">
        <v>3</v>
      </c>
      <c r="I31">
        <v>3</v>
      </c>
      <c r="J31" t="s">
        <v>27</v>
      </c>
      <c r="K31" t="s">
        <v>27</v>
      </c>
      <c r="L31">
        <v>8.3000000000000007</v>
      </c>
      <c r="M31" t="s">
        <v>96</v>
      </c>
      <c r="N31" t="s">
        <v>41</v>
      </c>
      <c r="O31" s="5">
        <v>0.45</v>
      </c>
      <c r="P31" s="5" t="str">
        <f>IF(O31 &gt; VLOOKUP(M31, 'Descriptive Statistics'!H:I, 2, FALSE), "yes", "no")</f>
        <v>yes</v>
      </c>
      <c r="Q31" s="9">
        <f>IFERROR(VALUE(SUBSTITUTE(O31,"%","")), "")</f>
        <v>0.45</v>
      </c>
      <c r="R31" t="s">
        <v>104</v>
      </c>
      <c r="S31" t="s">
        <v>105</v>
      </c>
      <c r="T31" t="s">
        <v>27</v>
      </c>
      <c r="U31" t="s">
        <v>27</v>
      </c>
      <c r="V31" t="s">
        <v>27</v>
      </c>
      <c r="W31" t="s">
        <v>100</v>
      </c>
    </row>
    <row r="32" spans="1:23" ht="15" customHeight="1">
      <c r="A32">
        <v>12</v>
      </c>
      <c r="B32" t="s">
        <v>95</v>
      </c>
      <c r="C32">
        <v>1996</v>
      </c>
      <c r="D32" t="s">
        <v>106</v>
      </c>
      <c r="E32" t="s">
        <v>107</v>
      </c>
      <c r="F32">
        <v>19</v>
      </c>
      <c r="G32" t="s">
        <v>26</v>
      </c>
      <c r="H32">
        <v>4</v>
      </c>
      <c r="I32">
        <v>4</v>
      </c>
      <c r="J32" t="s">
        <v>27</v>
      </c>
      <c r="K32" t="s">
        <v>27</v>
      </c>
      <c r="L32">
        <v>5.8</v>
      </c>
      <c r="M32" t="s">
        <v>96</v>
      </c>
      <c r="N32" t="s">
        <v>41</v>
      </c>
      <c r="O32" s="5">
        <v>0.47299999999999998</v>
      </c>
      <c r="P32" s="5" t="str">
        <f>IF(O32 &gt; VLOOKUP(M32, 'Descriptive Statistics'!H:I, 2, FALSE), "yes", "no")</f>
        <v>yes</v>
      </c>
      <c r="Q32" s="13">
        <f>IFERROR(VALUE(SUBSTITUTE(O32,"%","")), "")</f>
        <v>0.47299999999999998</v>
      </c>
      <c r="R32" t="s">
        <v>108</v>
      </c>
      <c r="S32" t="s">
        <v>109</v>
      </c>
      <c r="T32" t="s">
        <v>27</v>
      </c>
      <c r="U32" t="s">
        <v>27</v>
      </c>
      <c r="V32" t="s">
        <v>27</v>
      </c>
      <c r="W32" t="s">
        <v>100</v>
      </c>
    </row>
    <row r="33" spans="1:23" ht="15" customHeight="1">
      <c r="A33">
        <v>13</v>
      </c>
      <c r="B33" t="s">
        <v>110</v>
      </c>
      <c r="C33">
        <v>2002</v>
      </c>
      <c r="D33" t="s">
        <v>54</v>
      </c>
      <c r="E33" t="s">
        <v>54</v>
      </c>
      <c r="F33">
        <v>23</v>
      </c>
      <c r="G33" t="s">
        <v>37</v>
      </c>
      <c r="H33">
        <v>3</v>
      </c>
      <c r="I33">
        <v>2</v>
      </c>
      <c r="J33" t="s">
        <v>27</v>
      </c>
      <c r="K33" t="s">
        <v>27</v>
      </c>
      <c r="L33" t="s">
        <v>87</v>
      </c>
      <c r="M33" t="s">
        <v>111</v>
      </c>
      <c r="N33" t="s">
        <v>27</v>
      </c>
      <c r="O33" s="5">
        <v>0.3</v>
      </c>
      <c r="P33" s="5" t="str">
        <f>IF(O33 &gt; VLOOKUP(M33, 'Descriptive Statistics'!H:I, 2, FALSE), "yes", "no")</f>
        <v>no</v>
      </c>
      <c r="Q33" s="9">
        <f>IFERROR(VALUE(SUBSTITUTE(O33,"%","")), "")</f>
        <v>0.3</v>
      </c>
      <c r="R33" t="s">
        <v>112</v>
      </c>
      <c r="S33" t="s">
        <v>113</v>
      </c>
      <c r="T33" t="s">
        <v>27</v>
      </c>
      <c r="U33" t="s">
        <v>27</v>
      </c>
      <c r="V33" t="s">
        <v>27</v>
      </c>
      <c r="W33" t="s">
        <v>114</v>
      </c>
    </row>
    <row r="34" spans="1:23" ht="15" customHeight="1">
      <c r="A34">
        <v>14</v>
      </c>
      <c r="B34" t="s">
        <v>115</v>
      </c>
      <c r="C34">
        <v>2003</v>
      </c>
      <c r="D34" s="2" t="s">
        <v>73</v>
      </c>
      <c r="E34" s="2" t="s">
        <v>74</v>
      </c>
      <c r="F34">
        <v>9</v>
      </c>
      <c r="G34" s="2" t="s">
        <v>37</v>
      </c>
      <c r="H34">
        <v>4</v>
      </c>
      <c r="I34">
        <v>1</v>
      </c>
      <c r="J34" t="s">
        <v>41</v>
      </c>
      <c r="K34" t="s">
        <v>27</v>
      </c>
      <c r="M34" t="s">
        <v>111</v>
      </c>
      <c r="N34" t="s">
        <v>41</v>
      </c>
      <c r="O34" s="5">
        <v>0.33</v>
      </c>
      <c r="P34" s="5" t="str">
        <f>IF(O34 &gt; VLOOKUP(M34, 'Descriptive Statistics'!H:I, 2, FALSE), "yes", "no")</f>
        <v>yes</v>
      </c>
      <c r="Q34" s="9">
        <v>0.3</v>
      </c>
      <c r="R34" t="s">
        <v>116</v>
      </c>
      <c r="S34" t="s">
        <v>117</v>
      </c>
      <c r="T34" t="s">
        <v>118</v>
      </c>
      <c r="U34" t="s">
        <v>119</v>
      </c>
      <c r="V34" t="s">
        <v>27</v>
      </c>
      <c r="W34" t="s">
        <v>120</v>
      </c>
    </row>
    <row r="35" spans="1:23" ht="15" customHeight="1">
      <c r="A35">
        <v>14</v>
      </c>
      <c r="B35" t="s">
        <v>115</v>
      </c>
      <c r="C35">
        <v>2003</v>
      </c>
      <c r="D35" t="s">
        <v>121</v>
      </c>
      <c r="E35" s="2" t="s">
        <v>74</v>
      </c>
      <c r="F35">
        <v>6</v>
      </c>
      <c r="G35" t="s">
        <v>26</v>
      </c>
      <c r="H35">
        <v>2</v>
      </c>
      <c r="I35">
        <v>1</v>
      </c>
      <c r="J35" t="s">
        <v>41</v>
      </c>
      <c r="K35" t="s">
        <v>27</v>
      </c>
      <c r="M35" t="s">
        <v>111</v>
      </c>
      <c r="N35" t="s">
        <v>41</v>
      </c>
      <c r="O35" s="5">
        <v>0.5</v>
      </c>
      <c r="P35" s="5" t="str">
        <f>IF(O35 &gt; VLOOKUP(M35, 'Descriptive Statistics'!H:I, 2, FALSE), "yes", "no")</f>
        <v>yes</v>
      </c>
      <c r="Q35" s="9">
        <v>0.5</v>
      </c>
      <c r="R35" t="s">
        <v>116</v>
      </c>
      <c r="S35" t="s">
        <v>122</v>
      </c>
      <c r="T35" t="s">
        <v>118</v>
      </c>
      <c r="U35" t="s">
        <v>119</v>
      </c>
      <c r="V35" t="s">
        <v>27</v>
      </c>
      <c r="W35" t="s">
        <v>123</v>
      </c>
    </row>
    <row r="36" spans="1:23" ht="15" customHeight="1">
      <c r="A36">
        <v>14</v>
      </c>
      <c r="B36" t="s">
        <v>115</v>
      </c>
      <c r="C36">
        <v>2003</v>
      </c>
      <c r="D36" t="s">
        <v>124</v>
      </c>
      <c r="E36" s="2" t="s">
        <v>62</v>
      </c>
      <c r="F36">
        <v>30</v>
      </c>
      <c r="G36" t="s">
        <v>26</v>
      </c>
      <c r="H36">
        <v>2</v>
      </c>
      <c r="I36">
        <v>1</v>
      </c>
      <c r="J36" t="s">
        <v>41</v>
      </c>
      <c r="K36" t="s">
        <v>27</v>
      </c>
      <c r="M36" t="s">
        <v>111</v>
      </c>
      <c r="N36" t="s">
        <v>41</v>
      </c>
      <c r="O36" s="5">
        <v>0.2</v>
      </c>
      <c r="P36" s="5" t="str">
        <f>IF(O36 &gt; VLOOKUP(M36, 'Descriptive Statistics'!H:I, 2, FALSE), "yes", "no")</f>
        <v>no</v>
      </c>
      <c r="Q36" s="9">
        <v>0.2</v>
      </c>
      <c r="R36" t="s">
        <v>116</v>
      </c>
      <c r="S36" t="s">
        <v>125</v>
      </c>
      <c r="T36" t="s">
        <v>118</v>
      </c>
      <c r="U36" t="s">
        <v>119</v>
      </c>
      <c r="V36" t="s">
        <v>27</v>
      </c>
      <c r="W36" t="s">
        <v>126</v>
      </c>
    </row>
    <row r="37" spans="1:23" ht="15" customHeight="1">
      <c r="A37">
        <v>14</v>
      </c>
      <c r="B37" t="s">
        <v>115</v>
      </c>
      <c r="C37">
        <v>2003</v>
      </c>
      <c r="D37" t="s">
        <v>127</v>
      </c>
      <c r="E37" s="2" t="s">
        <v>62</v>
      </c>
      <c r="F37">
        <v>11</v>
      </c>
      <c r="G37" t="s">
        <v>26</v>
      </c>
      <c r="H37">
        <v>2</v>
      </c>
      <c r="I37">
        <v>1</v>
      </c>
      <c r="J37" t="s">
        <v>41</v>
      </c>
      <c r="K37" t="s">
        <v>27</v>
      </c>
      <c r="M37" t="s">
        <v>111</v>
      </c>
      <c r="N37" t="s">
        <v>41</v>
      </c>
      <c r="O37" s="5">
        <v>0.45</v>
      </c>
      <c r="P37" s="5" t="str">
        <f>IF(O37 &gt; VLOOKUP(M37, 'Descriptive Statistics'!H:I, 2, FALSE), "yes", "no")</f>
        <v>yes</v>
      </c>
      <c r="Q37" s="9">
        <v>0.5</v>
      </c>
      <c r="R37" t="s">
        <v>116</v>
      </c>
      <c r="S37" t="s">
        <v>128</v>
      </c>
      <c r="T37" t="s">
        <v>118</v>
      </c>
      <c r="U37" t="s">
        <v>119</v>
      </c>
      <c r="V37" t="s">
        <v>27</v>
      </c>
      <c r="W37" t="s">
        <v>129</v>
      </c>
    </row>
    <row r="38" spans="1:23" ht="15" customHeight="1">
      <c r="A38">
        <v>14</v>
      </c>
      <c r="B38" t="s">
        <v>115</v>
      </c>
      <c r="C38">
        <v>2003</v>
      </c>
      <c r="D38" t="s">
        <v>130</v>
      </c>
      <c r="E38" t="s">
        <v>25</v>
      </c>
      <c r="F38">
        <v>11</v>
      </c>
      <c r="G38" t="s">
        <v>26</v>
      </c>
      <c r="H38">
        <v>1</v>
      </c>
      <c r="I38">
        <v>1</v>
      </c>
      <c r="J38" t="s">
        <v>27</v>
      </c>
      <c r="K38" t="s">
        <v>27</v>
      </c>
      <c r="M38" t="s">
        <v>111</v>
      </c>
      <c r="N38" t="s">
        <v>41</v>
      </c>
      <c r="O38" s="5">
        <v>0.45</v>
      </c>
      <c r="P38" s="5" t="str">
        <f>IF(O38 &gt; VLOOKUP(M38, 'Descriptive Statistics'!H:I, 2, FALSE), "yes", "no")</f>
        <v>yes</v>
      </c>
      <c r="Q38" s="9">
        <v>0.5</v>
      </c>
      <c r="R38" t="s">
        <v>116</v>
      </c>
      <c r="S38" t="s">
        <v>128</v>
      </c>
      <c r="T38" t="s">
        <v>118</v>
      </c>
      <c r="U38" t="s">
        <v>119</v>
      </c>
      <c r="V38" t="s">
        <v>27</v>
      </c>
      <c r="W38" t="s">
        <v>131</v>
      </c>
    </row>
    <row r="39" spans="1:23" ht="15" customHeight="1">
      <c r="A39">
        <v>14</v>
      </c>
      <c r="B39" t="s">
        <v>115</v>
      </c>
      <c r="C39">
        <v>2003</v>
      </c>
      <c r="D39" t="s">
        <v>132</v>
      </c>
      <c r="E39" t="s">
        <v>25</v>
      </c>
      <c r="F39">
        <v>16</v>
      </c>
      <c r="G39" t="s">
        <v>26</v>
      </c>
      <c r="H39">
        <v>1</v>
      </c>
      <c r="I39">
        <v>1</v>
      </c>
      <c r="J39" t="s">
        <v>27</v>
      </c>
      <c r="K39" t="s">
        <v>27</v>
      </c>
      <c r="M39" t="s">
        <v>111</v>
      </c>
      <c r="N39" t="s">
        <v>41</v>
      </c>
      <c r="O39" s="5">
        <v>0.38</v>
      </c>
      <c r="P39" s="5" t="str">
        <f>IF(O39 &gt; VLOOKUP(M39, 'Descriptive Statistics'!H:I, 2, FALSE), "yes", "no")</f>
        <v>yes</v>
      </c>
      <c r="Q39" s="9">
        <v>0.4</v>
      </c>
      <c r="R39" t="s">
        <v>116</v>
      </c>
      <c r="S39" t="s">
        <v>133</v>
      </c>
      <c r="T39" t="s">
        <v>118</v>
      </c>
      <c r="U39" t="s">
        <v>119</v>
      </c>
      <c r="V39" t="s">
        <v>27</v>
      </c>
      <c r="W39" t="s">
        <v>134</v>
      </c>
    </row>
    <row r="40" spans="1:23" ht="15" customHeight="1">
      <c r="A40">
        <v>14</v>
      </c>
      <c r="B40" t="s">
        <v>115</v>
      </c>
      <c r="C40">
        <v>2003</v>
      </c>
      <c r="D40" t="s">
        <v>33</v>
      </c>
      <c r="E40" t="s">
        <v>25</v>
      </c>
      <c r="F40">
        <v>20</v>
      </c>
      <c r="G40" t="s">
        <v>26</v>
      </c>
      <c r="H40">
        <v>2</v>
      </c>
      <c r="I40">
        <v>1</v>
      </c>
      <c r="J40" t="s">
        <v>27</v>
      </c>
      <c r="K40" t="s">
        <v>27</v>
      </c>
      <c r="M40" t="s">
        <v>111</v>
      </c>
      <c r="N40" t="s">
        <v>41</v>
      </c>
      <c r="O40" s="5">
        <v>0.25</v>
      </c>
      <c r="P40" s="5" t="str">
        <f>IF(O40 &gt; VLOOKUP(M40, 'Descriptive Statistics'!H:I, 2, FALSE), "yes", "no")</f>
        <v>no</v>
      </c>
      <c r="Q40" s="9">
        <v>0.3</v>
      </c>
      <c r="R40" t="s">
        <v>116</v>
      </c>
      <c r="S40" t="s">
        <v>135</v>
      </c>
      <c r="T40" t="s">
        <v>118</v>
      </c>
      <c r="U40" t="s">
        <v>119</v>
      </c>
      <c r="V40" t="s">
        <v>27</v>
      </c>
      <c r="W40" t="s">
        <v>136</v>
      </c>
    </row>
    <row r="41" spans="1:23" ht="15" customHeight="1">
      <c r="A41">
        <v>14</v>
      </c>
      <c r="B41" t="s">
        <v>115</v>
      </c>
      <c r="C41">
        <v>2003</v>
      </c>
      <c r="D41" t="s">
        <v>54</v>
      </c>
      <c r="E41" s="2" t="s">
        <v>54</v>
      </c>
      <c r="F41">
        <v>8</v>
      </c>
      <c r="G41" t="s">
        <v>37</v>
      </c>
      <c r="H41">
        <v>3</v>
      </c>
      <c r="I41">
        <v>2</v>
      </c>
      <c r="J41" t="s">
        <v>27</v>
      </c>
      <c r="K41" t="s">
        <v>27</v>
      </c>
      <c r="M41" t="s">
        <v>111</v>
      </c>
      <c r="N41" t="s">
        <v>41</v>
      </c>
      <c r="O41" s="5">
        <v>0.13</v>
      </c>
      <c r="P41" s="5" t="str">
        <f>IF(O41 &gt; VLOOKUP(M41, 'Descriptive Statistics'!H:I, 2, FALSE), "yes", "no")</f>
        <v>no</v>
      </c>
      <c r="Q41" s="9">
        <v>0.1</v>
      </c>
      <c r="R41" t="s">
        <v>116</v>
      </c>
      <c r="S41" t="s">
        <v>137</v>
      </c>
      <c r="T41" t="s">
        <v>118</v>
      </c>
      <c r="U41" t="s">
        <v>119</v>
      </c>
      <c r="V41" t="s">
        <v>27</v>
      </c>
      <c r="W41" t="s">
        <v>138</v>
      </c>
    </row>
    <row r="42" spans="1:23" ht="15" customHeight="1">
      <c r="A42">
        <v>14</v>
      </c>
      <c r="B42" t="s">
        <v>115</v>
      </c>
      <c r="C42">
        <v>2003</v>
      </c>
      <c r="D42" t="s">
        <v>35</v>
      </c>
      <c r="E42" t="s">
        <v>36</v>
      </c>
      <c r="F42">
        <v>7</v>
      </c>
      <c r="G42" t="s">
        <v>37</v>
      </c>
      <c r="H42">
        <v>3</v>
      </c>
      <c r="I42">
        <v>3</v>
      </c>
      <c r="J42" t="s">
        <v>27</v>
      </c>
      <c r="K42" t="s">
        <v>27</v>
      </c>
      <c r="M42" t="s">
        <v>111</v>
      </c>
      <c r="N42" t="s">
        <v>27</v>
      </c>
      <c r="O42" s="5">
        <v>0</v>
      </c>
      <c r="P42" s="5" t="str">
        <f>IF(O42 &gt; VLOOKUP(M42, 'Descriptive Statistics'!H:I, 2, FALSE), "yes", "no")</f>
        <v>no</v>
      </c>
      <c r="Q42" s="9">
        <v>0</v>
      </c>
      <c r="R42" t="s">
        <v>116</v>
      </c>
      <c r="S42" t="s">
        <v>139</v>
      </c>
      <c r="T42" t="s">
        <v>118</v>
      </c>
      <c r="U42" t="s">
        <v>119</v>
      </c>
      <c r="V42" t="s">
        <v>27</v>
      </c>
      <c r="W42" t="s">
        <v>140</v>
      </c>
    </row>
    <row r="43" spans="1:23" ht="15" customHeight="1">
      <c r="A43">
        <v>14</v>
      </c>
      <c r="B43" t="s">
        <v>115</v>
      </c>
      <c r="C43">
        <v>2003</v>
      </c>
      <c r="D43" t="s">
        <v>83</v>
      </c>
      <c r="E43" t="s">
        <v>84</v>
      </c>
      <c r="F43">
        <v>8</v>
      </c>
      <c r="G43" t="s">
        <v>26</v>
      </c>
      <c r="H43">
        <v>3</v>
      </c>
      <c r="I43">
        <v>3</v>
      </c>
      <c r="J43" t="s">
        <v>27</v>
      </c>
      <c r="K43" t="s">
        <v>27</v>
      </c>
      <c r="M43" t="s">
        <v>111</v>
      </c>
      <c r="N43" t="s">
        <v>41</v>
      </c>
      <c r="O43" s="5">
        <v>0.25</v>
      </c>
      <c r="P43" s="5" t="str">
        <f>IF(O43 &gt; VLOOKUP(M43, 'Descriptive Statistics'!H:I, 2, FALSE), "yes", "no")</f>
        <v>no</v>
      </c>
      <c r="Q43" s="9">
        <v>0.3</v>
      </c>
      <c r="R43" t="s">
        <v>116</v>
      </c>
      <c r="S43" t="s">
        <v>135</v>
      </c>
      <c r="T43" t="s">
        <v>118</v>
      </c>
      <c r="U43" t="s">
        <v>119</v>
      </c>
      <c r="V43" t="s">
        <v>27</v>
      </c>
      <c r="W43" t="s">
        <v>141</v>
      </c>
    </row>
    <row r="44" spans="1:23" ht="15" customHeight="1">
      <c r="A44">
        <v>14</v>
      </c>
      <c r="B44" t="s">
        <v>115</v>
      </c>
      <c r="C44">
        <v>2003</v>
      </c>
      <c r="D44" t="s">
        <v>142</v>
      </c>
      <c r="E44" s="2" t="s">
        <v>143</v>
      </c>
      <c r="F44">
        <v>10</v>
      </c>
      <c r="G44" t="s">
        <v>26</v>
      </c>
      <c r="H44">
        <v>3</v>
      </c>
      <c r="I44">
        <v>3</v>
      </c>
      <c r="J44" t="s">
        <v>27</v>
      </c>
      <c r="K44" t="s">
        <v>27</v>
      </c>
      <c r="M44" t="s">
        <v>111</v>
      </c>
      <c r="N44" t="s">
        <v>41</v>
      </c>
      <c r="O44" s="5">
        <v>0.4</v>
      </c>
      <c r="P44" s="5" t="str">
        <f>IF(O44 &gt; VLOOKUP(M44, 'Descriptive Statistics'!H:I, 2, FALSE), "yes", "no")</f>
        <v>yes</v>
      </c>
      <c r="Q44" s="9">
        <v>0.4</v>
      </c>
      <c r="R44" t="s">
        <v>116</v>
      </c>
      <c r="S44" t="s">
        <v>144</v>
      </c>
      <c r="T44" t="s">
        <v>118</v>
      </c>
      <c r="U44" t="s">
        <v>119</v>
      </c>
      <c r="V44" t="s">
        <v>27</v>
      </c>
      <c r="W44" t="s">
        <v>145</v>
      </c>
    </row>
    <row r="45" spans="1:23" ht="15" customHeight="1">
      <c r="A45">
        <v>14</v>
      </c>
      <c r="B45" t="s">
        <v>115</v>
      </c>
      <c r="C45">
        <v>2003</v>
      </c>
      <c r="D45" t="s">
        <v>146</v>
      </c>
      <c r="E45" t="s">
        <v>36</v>
      </c>
      <c r="F45">
        <v>12</v>
      </c>
      <c r="G45" t="s">
        <v>37</v>
      </c>
      <c r="H45">
        <v>3</v>
      </c>
      <c r="I45">
        <v>4</v>
      </c>
      <c r="J45" t="s">
        <v>27</v>
      </c>
      <c r="K45" t="s">
        <v>27</v>
      </c>
      <c r="M45" t="s">
        <v>111</v>
      </c>
      <c r="N45" t="s">
        <v>27</v>
      </c>
      <c r="O45" s="5">
        <v>0</v>
      </c>
      <c r="P45" s="5" t="str">
        <f>IF(O45 &gt; VLOOKUP(M45, 'Descriptive Statistics'!H:I, 2, FALSE), "yes", "no")</f>
        <v>no</v>
      </c>
      <c r="Q45" s="13">
        <v>0</v>
      </c>
      <c r="R45" t="s">
        <v>116</v>
      </c>
      <c r="S45" t="s">
        <v>139</v>
      </c>
      <c r="T45" t="s">
        <v>118</v>
      </c>
      <c r="U45" t="s">
        <v>119</v>
      </c>
      <c r="V45" t="s">
        <v>27</v>
      </c>
      <c r="W45" t="s">
        <v>147</v>
      </c>
    </row>
    <row r="46" spans="1:23" ht="15" customHeight="1">
      <c r="A46">
        <v>15</v>
      </c>
      <c r="B46" t="s">
        <v>148</v>
      </c>
      <c r="C46">
        <v>2008</v>
      </c>
      <c r="D46" t="s">
        <v>61</v>
      </c>
      <c r="E46" t="s">
        <v>62</v>
      </c>
      <c r="F46">
        <v>46</v>
      </c>
      <c r="G46" t="s">
        <v>26</v>
      </c>
      <c r="H46">
        <v>2</v>
      </c>
      <c r="I46">
        <v>1</v>
      </c>
      <c r="J46" t="s">
        <v>41</v>
      </c>
      <c r="K46" t="s">
        <v>27</v>
      </c>
      <c r="L46">
        <v>10.199999999999999</v>
      </c>
      <c r="M46" t="s">
        <v>111</v>
      </c>
      <c r="N46" t="s">
        <v>27</v>
      </c>
      <c r="O46" s="5">
        <v>0.23899999999999999</v>
      </c>
      <c r="P46" s="5" t="str">
        <f>IF(O46 &gt; VLOOKUP(M46, 'Descriptive Statistics'!H:I, 2, FALSE), "yes", "no")</f>
        <v>no</v>
      </c>
      <c r="Q46" s="9">
        <f>IFERROR(VALUE(SUBSTITUTE(O46,"%","")), "")</f>
        <v>0.23899999999999999</v>
      </c>
      <c r="R46" t="s">
        <v>149</v>
      </c>
      <c r="S46" t="s">
        <v>150</v>
      </c>
      <c r="T46" t="s">
        <v>27</v>
      </c>
      <c r="U46" t="s">
        <v>27</v>
      </c>
      <c r="V46" t="s">
        <v>27</v>
      </c>
      <c r="W46" t="s">
        <v>151</v>
      </c>
    </row>
    <row r="47" spans="1:23" ht="15" customHeight="1">
      <c r="A47">
        <v>16</v>
      </c>
      <c r="B47" t="s">
        <v>152</v>
      </c>
      <c r="C47">
        <v>2023</v>
      </c>
      <c r="D47" s="2" t="s">
        <v>80</v>
      </c>
      <c r="E47" s="2" t="s">
        <v>80</v>
      </c>
      <c r="F47">
        <v>25</v>
      </c>
      <c r="G47" t="s">
        <v>37</v>
      </c>
      <c r="H47">
        <v>2</v>
      </c>
      <c r="I47">
        <v>2</v>
      </c>
      <c r="J47" t="s">
        <v>27</v>
      </c>
      <c r="K47" t="s">
        <v>41</v>
      </c>
      <c r="L47" t="s">
        <v>153</v>
      </c>
      <c r="M47" t="s">
        <v>75</v>
      </c>
      <c r="N47" t="s">
        <v>41</v>
      </c>
      <c r="O47" s="5">
        <v>0.64</v>
      </c>
      <c r="P47" s="5" t="str">
        <f>IF(O47 &gt; VLOOKUP(M47, 'Descriptive Statistics'!H:I, 2, FALSE), "yes", "no")</f>
        <v>yes</v>
      </c>
      <c r="Q47" s="9">
        <f>IFERROR(VALUE(SUBSTITUTE(O47,"%","")), "")</f>
        <v>0.64</v>
      </c>
      <c r="R47" t="s">
        <v>154</v>
      </c>
      <c r="S47" t="s">
        <v>155</v>
      </c>
      <c r="T47" t="s">
        <v>156</v>
      </c>
      <c r="U47" t="s">
        <v>27</v>
      </c>
      <c r="V47" t="s">
        <v>27</v>
      </c>
      <c r="W47" t="s">
        <v>157</v>
      </c>
    </row>
    <row r="48" spans="1:23" ht="15" customHeight="1">
      <c r="A48">
        <v>17</v>
      </c>
      <c r="B48" t="s">
        <v>158</v>
      </c>
      <c r="C48">
        <v>2025</v>
      </c>
      <c r="D48" t="s">
        <v>61</v>
      </c>
      <c r="E48" t="s">
        <v>62</v>
      </c>
      <c r="F48">
        <v>27</v>
      </c>
      <c r="G48" t="s">
        <v>26</v>
      </c>
      <c r="H48">
        <v>2</v>
      </c>
      <c r="I48">
        <v>1</v>
      </c>
      <c r="J48" t="s">
        <v>41</v>
      </c>
      <c r="K48" t="s">
        <v>27</v>
      </c>
      <c r="L48">
        <v>31</v>
      </c>
      <c r="M48" t="s">
        <v>159</v>
      </c>
      <c r="N48" t="s">
        <v>27</v>
      </c>
      <c r="O48" s="5">
        <v>0.3</v>
      </c>
      <c r="P48" s="5" t="str">
        <f>IF(O48 &gt; VLOOKUP(M48, 'Descriptive Statistics'!H:I, 2, FALSE), "yes", "no")</f>
        <v>no</v>
      </c>
      <c r="Q48" s="9">
        <f>IFERROR(VALUE(SUBSTITUTE(O48,"%","")), "")</f>
        <v>0.3</v>
      </c>
      <c r="R48" t="s">
        <v>160</v>
      </c>
      <c r="S48" t="s">
        <v>161</v>
      </c>
      <c r="T48" t="s">
        <v>162</v>
      </c>
      <c r="U48" t="s">
        <v>163</v>
      </c>
      <c r="W48" t="s">
        <v>164</v>
      </c>
    </row>
    <row r="49" spans="1:23" ht="15" customHeight="1">
      <c r="A49">
        <v>18</v>
      </c>
      <c r="B49" t="s">
        <v>165</v>
      </c>
      <c r="C49">
        <v>2023</v>
      </c>
      <c r="D49" s="2" t="s">
        <v>68</v>
      </c>
      <c r="E49" t="s">
        <v>25</v>
      </c>
      <c r="F49">
        <v>11</v>
      </c>
      <c r="G49" s="2" t="s">
        <v>26</v>
      </c>
      <c r="H49">
        <v>1</v>
      </c>
      <c r="I49" s="2">
        <v>1</v>
      </c>
      <c r="J49" s="2" t="s">
        <v>27</v>
      </c>
      <c r="K49" s="2" t="s">
        <v>27</v>
      </c>
      <c r="L49" t="s">
        <v>166</v>
      </c>
      <c r="M49" t="s">
        <v>75</v>
      </c>
      <c r="N49" t="s">
        <v>41</v>
      </c>
      <c r="O49" s="5">
        <v>0.82</v>
      </c>
      <c r="P49" s="5" t="str">
        <f>IF(O49 &gt; VLOOKUP(M49, 'Descriptive Statistics'!H:I, 2, FALSE), "yes", "no")</f>
        <v>yes</v>
      </c>
      <c r="Q49" s="9">
        <f>IFERROR(VALUE(SUBSTITUTE(O49,"%","")), "")</f>
        <v>0.82</v>
      </c>
      <c r="R49" t="s">
        <v>167</v>
      </c>
      <c r="S49" t="s">
        <v>168</v>
      </c>
      <c r="T49" t="s">
        <v>169</v>
      </c>
      <c r="U49" t="s">
        <v>27</v>
      </c>
      <c r="V49" t="s">
        <v>27</v>
      </c>
      <c r="W49" t="s">
        <v>170</v>
      </c>
    </row>
    <row r="50" spans="1:23" ht="15" customHeight="1">
      <c r="A50">
        <v>18</v>
      </c>
      <c r="B50" t="s">
        <v>165</v>
      </c>
      <c r="C50">
        <v>2023</v>
      </c>
      <c r="D50" t="s">
        <v>34</v>
      </c>
      <c r="E50" t="s">
        <v>25</v>
      </c>
      <c r="F50">
        <v>10</v>
      </c>
      <c r="G50" t="s">
        <v>26</v>
      </c>
      <c r="H50">
        <v>1</v>
      </c>
      <c r="I50">
        <v>2</v>
      </c>
      <c r="J50" t="s">
        <v>27</v>
      </c>
      <c r="K50" t="s">
        <v>27</v>
      </c>
      <c r="L50" t="s">
        <v>171</v>
      </c>
      <c r="M50" t="s">
        <v>75</v>
      </c>
      <c r="N50" t="s">
        <v>41</v>
      </c>
      <c r="O50" s="5">
        <v>0.7</v>
      </c>
      <c r="P50" s="5" t="str">
        <f>IF(O50 &gt; VLOOKUP(M50, 'Descriptive Statistics'!H:I, 2, FALSE), "yes", "no")</f>
        <v>yes</v>
      </c>
      <c r="Q50" s="9">
        <f>IFERROR(VALUE(SUBSTITUTE(O50,"%","")), "")</f>
        <v>0.7</v>
      </c>
      <c r="R50" t="s">
        <v>172</v>
      </c>
      <c r="S50" t="s">
        <v>173</v>
      </c>
      <c r="T50" t="s">
        <v>174</v>
      </c>
      <c r="U50" t="s">
        <v>27</v>
      </c>
      <c r="V50" t="s">
        <v>27</v>
      </c>
      <c r="W50" t="s">
        <v>175</v>
      </c>
    </row>
    <row r="51" spans="1:23" ht="15" customHeight="1">
      <c r="A51">
        <v>18</v>
      </c>
      <c r="B51" t="s">
        <v>165</v>
      </c>
      <c r="C51">
        <v>2023</v>
      </c>
      <c r="D51" t="s">
        <v>176</v>
      </c>
      <c r="E51" t="s">
        <v>36</v>
      </c>
      <c r="F51">
        <v>9</v>
      </c>
      <c r="G51" t="s">
        <v>37</v>
      </c>
      <c r="H51">
        <v>4</v>
      </c>
      <c r="I51">
        <v>3</v>
      </c>
      <c r="J51" t="s">
        <v>27</v>
      </c>
      <c r="K51" t="s">
        <v>27</v>
      </c>
      <c r="L51" t="s">
        <v>171</v>
      </c>
      <c r="M51" t="s">
        <v>75</v>
      </c>
      <c r="N51" t="s">
        <v>41</v>
      </c>
      <c r="O51" s="5">
        <v>0.22</v>
      </c>
      <c r="P51" s="5" t="str">
        <f>IF(O51 &gt; VLOOKUP(M51, 'Descriptive Statistics'!H:I, 2, FALSE), "yes", "no")</f>
        <v>no</v>
      </c>
      <c r="Q51" s="9">
        <f>IFERROR(VALUE(SUBSTITUTE(O51,"%","")), "")</f>
        <v>0.22</v>
      </c>
      <c r="R51" t="s">
        <v>177</v>
      </c>
      <c r="S51" t="s">
        <v>178</v>
      </c>
      <c r="T51" t="s">
        <v>179</v>
      </c>
      <c r="U51" t="s">
        <v>27</v>
      </c>
      <c r="V51" t="s">
        <v>27</v>
      </c>
      <c r="W51" t="s">
        <v>180</v>
      </c>
    </row>
    <row r="52" spans="1:23" ht="15" customHeight="1">
      <c r="A52">
        <v>19</v>
      </c>
      <c r="B52" t="s">
        <v>181</v>
      </c>
      <c r="C52">
        <v>2025</v>
      </c>
      <c r="D52" t="s">
        <v>24</v>
      </c>
      <c r="E52" t="s">
        <v>25</v>
      </c>
      <c r="F52">
        <v>44</v>
      </c>
      <c r="G52" t="s">
        <v>26</v>
      </c>
      <c r="H52">
        <v>2</v>
      </c>
      <c r="I52">
        <v>1</v>
      </c>
      <c r="J52" t="s">
        <v>27</v>
      </c>
      <c r="K52" t="s">
        <v>27</v>
      </c>
      <c r="L52">
        <v>4</v>
      </c>
      <c r="M52" t="s">
        <v>159</v>
      </c>
      <c r="N52" t="s">
        <v>41</v>
      </c>
      <c r="O52" s="5">
        <v>0.28999999999999998</v>
      </c>
      <c r="P52" s="5" t="str">
        <f>IF(O52 &gt; VLOOKUP(M52, 'Descriptive Statistics'!H:I, 2, FALSE), "yes", "no")</f>
        <v>no</v>
      </c>
      <c r="Q52" s="9">
        <f>IFERROR(VALUE(SUBSTITUTE(O52,"%","")), "")</f>
        <v>0.28999999999999998</v>
      </c>
      <c r="R52" t="s">
        <v>182</v>
      </c>
      <c r="S52" t="s">
        <v>183</v>
      </c>
      <c r="U52" t="s">
        <v>27</v>
      </c>
      <c r="V52" t="s">
        <v>27</v>
      </c>
      <c r="W52" t="s">
        <v>184</v>
      </c>
    </row>
    <row r="53" spans="1:23" ht="15" customHeight="1">
      <c r="A53">
        <v>19</v>
      </c>
      <c r="B53" t="s">
        <v>181</v>
      </c>
      <c r="C53">
        <v>2025</v>
      </c>
      <c r="D53" t="s">
        <v>24</v>
      </c>
      <c r="E53" t="s">
        <v>25</v>
      </c>
      <c r="F53">
        <v>27</v>
      </c>
      <c r="G53" t="s">
        <v>26</v>
      </c>
      <c r="H53">
        <v>2</v>
      </c>
      <c r="I53">
        <v>1</v>
      </c>
      <c r="J53" t="s">
        <v>27</v>
      </c>
      <c r="K53" t="s">
        <v>27</v>
      </c>
      <c r="L53">
        <v>4.8</v>
      </c>
      <c r="M53" t="s">
        <v>159</v>
      </c>
      <c r="N53" t="s">
        <v>41</v>
      </c>
      <c r="O53" s="5">
        <v>0.64</v>
      </c>
      <c r="P53" s="5" t="str">
        <f>IF(O53 &gt; VLOOKUP(M53, 'Descriptive Statistics'!H:I, 2, FALSE), "yes", "no")</f>
        <v>yes</v>
      </c>
      <c r="Q53" s="9">
        <f>IFERROR(VALUE(SUBSTITUTE(O53,"%","")), "")</f>
        <v>0.64</v>
      </c>
      <c r="R53" t="s">
        <v>182</v>
      </c>
      <c r="S53" t="s">
        <v>183</v>
      </c>
      <c r="U53" t="s">
        <v>27</v>
      </c>
      <c r="V53" t="s">
        <v>27</v>
      </c>
      <c r="W53" t="s">
        <v>185</v>
      </c>
    </row>
    <row r="54" spans="1:23" ht="15" customHeight="1">
      <c r="A54">
        <v>20</v>
      </c>
      <c r="B54" t="s">
        <v>186</v>
      </c>
      <c r="C54">
        <v>2025</v>
      </c>
      <c r="D54" t="s">
        <v>187</v>
      </c>
      <c r="E54" s="2" t="s">
        <v>74</v>
      </c>
      <c r="F54">
        <v>37</v>
      </c>
      <c r="G54" t="s">
        <v>37</v>
      </c>
      <c r="H54">
        <v>2</v>
      </c>
      <c r="I54">
        <v>1</v>
      </c>
      <c r="J54" t="s">
        <v>41</v>
      </c>
      <c r="K54" t="s">
        <v>27</v>
      </c>
      <c r="L54" t="s">
        <v>118</v>
      </c>
      <c r="M54" t="s">
        <v>40</v>
      </c>
      <c r="N54" t="s">
        <v>41</v>
      </c>
      <c r="O54" s="5">
        <v>0.36399999999999999</v>
      </c>
      <c r="P54" s="5" t="str">
        <f>IF(O54 &gt; VLOOKUP(M54, 'Descriptive Statistics'!H:I, 2, FALSE), "yes", "no")</f>
        <v>no</v>
      </c>
      <c r="Q54" s="9">
        <f>IFERROR(VALUE(SUBSTITUTE(O54,"%","")), "")</f>
        <v>0.36399999999999999</v>
      </c>
      <c r="R54" t="s">
        <v>188</v>
      </c>
      <c r="S54" t="s">
        <v>189</v>
      </c>
      <c r="T54" t="s">
        <v>190</v>
      </c>
      <c r="U54" t="s">
        <v>27</v>
      </c>
      <c r="V54" t="s">
        <v>27</v>
      </c>
      <c r="W54" t="s">
        <v>191</v>
      </c>
    </row>
    <row r="55" spans="1:23" ht="15" customHeight="1">
      <c r="A55">
        <v>20</v>
      </c>
      <c r="B55" t="s">
        <v>186</v>
      </c>
      <c r="C55">
        <v>2025</v>
      </c>
      <c r="D55" t="s">
        <v>121</v>
      </c>
      <c r="E55" s="2" t="s">
        <v>74</v>
      </c>
      <c r="F55">
        <v>37</v>
      </c>
      <c r="G55" t="s">
        <v>26</v>
      </c>
      <c r="H55">
        <v>2</v>
      </c>
      <c r="I55">
        <v>1</v>
      </c>
      <c r="J55" t="s">
        <v>41</v>
      </c>
      <c r="K55" t="s">
        <v>27</v>
      </c>
      <c r="L55" t="s">
        <v>118</v>
      </c>
      <c r="M55" t="s">
        <v>40</v>
      </c>
      <c r="N55" t="s">
        <v>41</v>
      </c>
      <c r="O55" s="5">
        <v>0.76500000000000001</v>
      </c>
      <c r="P55" s="5" t="str">
        <f>IF(O55 &gt; VLOOKUP(M55, 'Descriptive Statistics'!H:I, 2, FALSE), "yes", "no")</f>
        <v>yes</v>
      </c>
      <c r="Q55" s="9">
        <f>IFERROR(VALUE(SUBSTITUTE(O55,"%","")), "")</f>
        <v>0.76500000000000001</v>
      </c>
      <c r="R55" t="s">
        <v>188</v>
      </c>
      <c r="S55" t="s">
        <v>189</v>
      </c>
      <c r="T55" t="s">
        <v>190</v>
      </c>
      <c r="U55" t="s">
        <v>27</v>
      </c>
      <c r="V55" t="s">
        <v>27</v>
      </c>
      <c r="W55" t="s">
        <v>191</v>
      </c>
    </row>
    <row r="56" spans="1:23" ht="15" customHeight="1">
      <c r="A56">
        <v>20</v>
      </c>
      <c r="B56" t="s">
        <v>186</v>
      </c>
      <c r="C56">
        <v>2025</v>
      </c>
      <c r="D56" t="s">
        <v>192</v>
      </c>
      <c r="E56" t="s">
        <v>25</v>
      </c>
      <c r="F56">
        <v>17</v>
      </c>
      <c r="G56" t="s">
        <v>26</v>
      </c>
      <c r="H56">
        <v>1</v>
      </c>
      <c r="I56">
        <v>1</v>
      </c>
      <c r="J56" t="s">
        <v>27</v>
      </c>
      <c r="K56" t="s">
        <v>27</v>
      </c>
      <c r="L56" t="s">
        <v>118</v>
      </c>
      <c r="M56" t="s">
        <v>40</v>
      </c>
      <c r="N56" t="s">
        <v>41</v>
      </c>
      <c r="O56" s="5">
        <v>0.75</v>
      </c>
      <c r="P56" s="5" t="str">
        <f>IF(O56 &gt; VLOOKUP(M56, 'Descriptive Statistics'!H:I, 2, FALSE), "yes", "no")</f>
        <v>yes</v>
      </c>
      <c r="Q56" s="9">
        <f>IFERROR(VALUE(SUBSTITUTE(O56,"%","")), "")</f>
        <v>0.75</v>
      </c>
      <c r="R56" t="s">
        <v>188</v>
      </c>
      <c r="S56" t="s">
        <v>193</v>
      </c>
      <c r="T56" t="s">
        <v>194</v>
      </c>
      <c r="U56" t="s">
        <v>27</v>
      </c>
      <c r="V56" t="s">
        <v>27</v>
      </c>
      <c r="W56" t="s">
        <v>195</v>
      </c>
    </row>
    <row r="57" spans="1:23" ht="15" customHeight="1">
      <c r="A57">
        <v>20</v>
      </c>
      <c r="B57" t="s">
        <v>186</v>
      </c>
      <c r="C57">
        <v>2025</v>
      </c>
      <c r="D57" t="s">
        <v>81</v>
      </c>
      <c r="E57" t="s">
        <v>36</v>
      </c>
      <c r="F57">
        <v>84</v>
      </c>
      <c r="G57" t="s">
        <v>37</v>
      </c>
      <c r="H57">
        <v>3</v>
      </c>
      <c r="I57">
        <v>3</v>
      </c>
      <c r="J57" t="s">
        <v>27</v>
      </c>
      <c r="K57" t="s">
        <v>27</v>
      </c>
      <c r="L57" t="s">
        <v>118</v>
      </c>
      <c r="M57" t="s">
        <v>40</v>
      </c>
      <c r="N57" t="s">
        <v>41</v>
      </c>
      <c r="O57" s="5">
        <v>0.72399999999999998</v>
      </c>
      <c r="P57" s="5" t="str">
        <f>IF(O57 &gt; VLOOKUP(M57, 'Descriptive Statistics'!H:I, 2, FALSE), "yes", "no")</f>
        <v>yes</v>
      </c>
      <c r="Q57" s="9">
        <f>IFERROR(VALUE(SUBSTITUTE(O57,"%","")), "")</f>
        <v>0.72399999999999998</v>
      </c>
      <c r="R57" t="s">
        <v>188</v>
      </c>
      <c r="S57" t="s">
        <v>193</v>
      </c>
      <c r="T57" t="s">
        <v>194</v>
      </c>
      <c r="U57" t="s">
        <v>27</v>
      </c>
      <c r="V57" t="s">
        <v>27</v>
      </c>
      <c r="W57" t="s">
        <v>196</v>
      </c>
    </row>
    <row r="58" spans="1:23" ht="15" customHeight="1">
      <c r="A58">
        <v>20</v>
      </c>
      <c r="B58" t="s">
        <v>186</v>
      </c>
      <c r="C58">
        <v>2025</v>
      </c>
      <c r="D58" t="s">
        <v>59</v>
      </c>
      <c r="E58" t="s">
        <v>36</v>
      </c>
      <c r="F58">
        <v>84</v>
      </c>
      <c r="G58" t="s">
        <v>37</v>
      </c>
      <c r="H58">
        <v>3</v>
      </c>
      <c r="I58">
        <v>3</v>
      </c>
      <c r="J58" t="s">
        <v>27</v>
      </c>
      <c r="K58" t="s">
        <v>27</v>
      </c>
      <c r="L58" t="s">
        <v>118</v>
      </c>
      <c r="M58" t="s">
        <v>40</v>
      </c>
      <c r="N58" t="s">
        <v>41</v>
      </c>
      <c r="O58" s="5">
        <v>0.52900000000000003</v>
      </c>
      <c r="P58" s="5" t="str">
        <f>IF(O58 &gt; VLOOKUP(M58, 'Descriptive Statistics'!H:I, 2, FALSE), "yes", "no")</f>
        <v>no</v>
      </c>
      <c r="Q58" s="9">
        <f>IFERROR(VALUE(SUBSTITUTE(O58,"%","")), "")</f>
        <v>0.52900000000000003</v>
      </c>
      <c r="R58" t="s">
        <v>188</v>
      </c>
      <c r="S58" t="s">
        <v>193</v>
      </c>
      <c r="T58" t="s">
        <v>194</v>
      </c>
      <c r="U58" t="s">
        <v>27</v>
      </c>
      <c r="V58" t="s">
        <v>27</v>
      </c>
      <c r="W58" t="s">
        <v>196</v>
      </c>
    </row>
    <row r="59" spans="1:23" ht="15" customHeight="1">
      <c r="A59">
        <v>20</v>
      </c>
      <c r="B59" t="s">
        <v>186</v>
      </c>
      <c r="C59">
        <v>2025</v>
      </c>
      <c r="D59" t="s">
        <v>146</v>
      </c>
      <c r="E59" t="s">
        <v>36</v>
      </c>
      <c r="F59">
        <v>84</v>
      </c>
      <c r="G59" t="s">
        <v>37</v>
      </c>
      <c r="H59">
        <v>3</v>
      </c>
      <c r="I59">
        <v>4</v>
      </c>
      <c r="J59" t="s">
        <v>27</v>
      </c>
      <c r="K59" t="s">
        <v>27</v>
      </c>
      <c r="L59" t="s">
        <v>118</v>
      </c>
      <c r="M59" t="s">
        <v>40</v>
      </c>
      <c r="N59" t="s">
        <v>41</v>
      </c>
      <c r="O59" s="5">
        <v>0.68200000000000005</v>
      </c>
      <c r="P59" s="5" t="str">
        <f>IF(O59 &gt; VLOOKUP(M59, 'Descriptive Statistics'!H:I, 2, FALSE), "yes", "no")</f>
        <v>yes</v>
      </c>
      <c r="Q59" s="13">
        <f>IFERROR(VALUE(SUBSTITUTE(O59,"%","")), "")</f>
        <v>0.68200000000000005</v>
      </c>
      <c r="R59" t="s">
        <v>188</v>
      </c>
      <c r="S59" t="s">
        <v>193</v>
      </c>
      <c r="T59" t="s">
        <v>194</v>
      </c>
      <c r="U59" t="s">
        <v>27</v>
      </c>
      <c r="V59" t="s">
        <v>27</v>
      </c>
      <c r="W59" t="s">
        <v>196</v>
      </c>
    </row>
    <row r="60" spans="1:23" ht="15" customHeight="1">
      <c r="A60">
        <v>21</v>
      </c>
      <c r="B60" t="s">
        <v>197</v>
      </c>
      <c r="C60">
        <v>2021</v>
      </c>
      <c r="D60" t="s">
        <v>61</v>
      </c>
      <c r="E60" t="s">
        <v>62</v>
      </c>
      <c r="F60">
        <v>26</v>
      </c>
      <c r="G60" t="s">
        <v>26</v>
      </c>
      <c r="H60">
        <v>2</v>
      </c>
      <c r="I60">
        <v>1</v>
      </c>
      <c r="J60" t="s">
        <v>41</v>
      </c>
      <c r="K60" t="s">
        <v>27</v>
      </c>
      <c r="L60" t="s">
        <v>28</v>
      </c>
      <c r="M60" t="s">
        <v>75</v>
      </c>
      <c r="N60" t="s">
        <v>41</v>
      </c>
      <c r="O60" s="3">
        <v>0.96199999999999997</v>
      </c>
      <c r="P60" s="3" t="str">
        <f>IF(O60 &gt; VLOOKUP(M60, 'Descriptive Statistics'!H:I, 2, FALSE), "yes", "no")</f>
        <v>yes</v>
      </c>
      <c r="Q60" s="9">
        <f>IFERROR(VALUE(SUBSTITUTE(O60,"%","")), "")</f>
        <v>0.96199999999999997</v>
      </c>
      <c r="R60" t="s">
        <v>198</v>
      </c>
      <c r="S60" t="s">
        <v>199</v>
      </c>
      <c r="U60" t="s">
        <v>27</v>
      </c>
      <c r="V60" t="s">
        <v>27</v>
      </c>
      <c r="W60" t="s">
        <v>200</v>
      </c>
    </row>
    <row r="61" spans="1:23" ht="15" customHeight="1">
      <c r="A61">
        <v>21</v>
      </c>
      <c r="B61" t="s">
        <v>197</v>
      </c>
      <c r="C61">
        <v>2021</v>
      </c>
      <c r="D61" t="s">
        <v>201</v>
      </c>
      <c r="E61" t="s">
        <v>54</v>
      </c>
      <c r="F61">
        <v>18</v>
      </c>
      <c r="G61" t="s">
        <v>37</v>
      </c>
      <c r="H61">
        <v>3</v>
      </c>
      <c r="I61">
        <v>1</v>
      </c>
      <c r="J61" t="s">
        <v>27</v>
      </c>
      <c r="K61" t="s">
        <v>27</v>
      </c>
      <c r="L61" t="s">
        <v>28</v>
      </c>
      <c r="M61" t="s">
        <v>75</v>
      </c>
      <c r="N61" t="s">
        <v>41</v>
      </c>
      <c r="O61" s="3">
        <v>0.94399999999999995</v>
      </c>
      <c r="P61" s="3" t="str">
        <f>IF(O61 &gt; VLOOKUP(M61, 'Descriptive Statistics'!H:I, 2, FALSE), "yes", "no")</f>
        <v>yes</v>
      </c>
      <c r="Q61" s="9">
        <f>IFERROR(VALUE(SUBSTITUTE(O61,"%","")), "")</f>
        <v>0.94399999999999995</v>
      </c>
      <c r="R61" t="s">
        <v>198</v>
      </c>
      <c r="S61" t="s">
        <v>202</v>
      </c>
      <c r="U61" t="s">
        <v>27</v>
      </c>
      <c r="V61" t="s">
        <v>27</v>
      </c>
      <c r="W61" t="s">
        <v>203</v>
      </c>
    </row>
    <row r="62" spans="1:23" ht="15" customHeight="1">
      <c r="A62">
        <v>21</v>
      </c>
      <c r="B62" t="s">
        <v>197</v>
      </c>
      <c r="C62">
        <v>2021</v>
      </c>
      <c r="D62" t="s">
        <v>54</v>
      </c>
      <c r="E62" t="s">
        <v>54</v>
      </c>
      <c r="F62">
        <v>12</v>
      </c>
      <c r="G62" t="s">
        <v>37</v>
      </c>
      <c r="H62">
        <v>3</v>
      </c>
      <c r="I62">
        <v>2</v>
      </c>
      <c r="J62" t="s">
        <v>27</v>
      </c>
      <c r="K62" t="s">
        <v>27</v>
      </c>
      <c r="L62" t="s">
        <v>28</v>
      </c>
      <c r="M62" t="s">
        <v>75</v>
      </c>
      <c r="N62" t="s">
        <v>41</v>
      </c>
      <c r="O62" s="3">
        <v>0.83299999999999996</v>
      </c>
      <c r="P62" s="3" t="str">
        <f>IF(O62 &gt; VLOOKUP(M62, 'Descriptive Statistics'!H:I, 2, FALSE), "yes", "no")</f>
        <v>yes</v>
      </c>
      <c r="Q62" s="9">
        <f>IFERROR(VALUE(SUBSTITUTE(O62,"%","")), "")</f>
        <v>0.83299999999999996</v>
      </c>
      <c r="R62" t="s">
        <v>198</v>
      </c>
      <c r="S62" t="s">
        <v>204</v>
      </c>
      <c r="U62" t="s">
        <v>27</v>
      </c>
      <c r="V62" t="s">
        <v>27</v>
      </c>
      <c r="W62" t="s">
        <v>205</v>
      </c>
    </row>
    <row r="63" spans="1:23" ht="15" customHeight="1">
      <c r="A63">
        <v>21</v>
      </c>
      <c r="B63" t="s">
        <v>197</v>
      </c>
      <c r="C63">
        <v>2021</v>
      </c>
      <c r="D63" t="s">
        <v>59</v>
      </c>
      <c r="E63" t="s">
        <v>36</v>
      </c>
      <c r="F63">
        <v>20</v>
      </c>
      <c r="G63" t="s">
        <v>37</v>
      </c>
      <c r="H63">
        <v>3</v>
      </c>
      <c r="I63">
        <v>3</v>
      </c>
      <c r="J63" t="s">
        <v>27</v>
      </c>
      <c r="K63" t="s">
        <v>27</v>
      </c>
      <c r="L63" t="s">
        <v>28</v>
      </c>
      <c r="M63" t="s">
        <v>75</v>
      </c>
      <c r="N63" t="s">
        <v>41</v>
      </c>
      <c r="O63" s="3">
        <v>0.3</v>
      </c>
      <c r="P63" s="3" t="str">
        <f>IF(O63 &gt; VLOOKUP(M63, 'Descriptive Statistics'!H:I, 2, FALSE), "yes", "no")</f>
        <v>no</v>
      </c>
      <c r="Q63" s="9">
        <f>IFERROR(VALUE(SUBSTITUTE(O63,"%","")), "")</f>
        <v>0.3</v>
      </c>
      <c r="R63" t="s">
        <v>198</v>
      </c>
      <c r="S63" t="s">
        <v>206</v>
      </c>
      <c r="U63" t="s">
        <v>27</v>
      </c>
      <c r="V63" t="s">
        <v>27</v>
      </c>
      <c r="W63" t="s">
        <v>207</v>
      </c>
    </row>
    <row r="64" spans="1:23" ht="15" customHeight="1">
      <c r="A64">
        <v>21</v>
      </c>
      <c r="B64" t="s">
        <v>197</v>
      </c>
      <c r="C64">
        <v>2021</v>
      </c>
      <c r="D64" t="s">
        <v>146</v>
      </c>
      <c r="E64" t="s">
        <v>36</v>
      </c>
      <c r="F64">
        <v>17</v>
      </c>
      <c r="G64" t="s">
        <v>37</v>
      </c>
      <c r="H64">
        <v>3</v>
      </c>
      <c r="I64">
        <v>4</v>
      </c>
      <c r="J64" t="s">
        <v>27</v>
      </c>
      <c r="K64" t="s">
        <v>27</v>
      </c>
      <c r="L64" t="s">
        <v>28</v>
      </c>
      <c r="M64" t="s">
        <v>75</v>
      </c>
      <c r="N64" t="s">
        <v>41</v>
      </c>
      <c r="O64" s="3">
        <v>1</v>
      </c>
      <c r="P64" s="3" t="str">
        <f>IF(O64 &gt; VLOOKUP(M64, 'Descriptive Statistics'!H:I, 2, FALSE), "yes", "no")</f>
        <v>yes</v>
      </c>
      <c r="Q64" s="13">
        <f>IFERROR(VALUE(SUBSTITUTE(O64,"%","")), "")</f>
        <v>1</v>
      </c>
      <c r="R64" t="s">
        <v>198</v>
      </c>
      <c r="S64" t="s">
        <v>208</v>
      </c>
      <c r="U64" t="s">
        <v>27</v>
      </c>
      <c r="V64" t="s">
        <v>27</v>
      </c>
      <c r="W64" t="s">
        <v>209</v>
      </c>
    </row>
    <row r="65" spans="1:23" ht="15" customHeight="1">
      <c r="A65">
        <v>21</v>
      </c>
      <c r="B65" t="s">
        <v>197</v>
      </c>
      <c r="C65">
        <v>2021</v>
      </c>
      <c r="D65" t="s">
        <v>210</v>
      </c>
      <c r="E65" t="s">
        <v>143</v>
      </c>
      <c r="F65">
        <v>28</v>
      </c>
      <c r="G65" t="s">
        <v>26</v>
      </c>
      <c r="H65">
        <v>3</v>
      </c>
      <c r="I65">
        <v>4</v>
      </c>
      <c r="J65" t="s">
        <v>41</v>
      </c>
      <c r="K65" t="s">
        <v>27</v>
      </c>
      <c r="L65" t="s">
        <v>28</v>
      </c>
      <c r="M65" t="s">
        <v>75</v>
      </c>
      <c r="N65" t="s">
        <v>41</v>
      </c>
      <c r="O65" s="3">
        <v>0.82099999999999995</v>
      </c>
      <c r="P65" s="3" t="str">
        <f>IF(O65 &gt; VLOOKUP(M65, 'Descriptive Statistics'!H:I, 2, FALSE), "yes", "no")</f>
        <v>yes</v>
      </c>
      <c r="Q65" s="13">
        <f>IFERROR(VALUE(SUBSTITUTE(O65,"%","")), "")</f>
        <v>0.82099999999999995</v>
      </c>
      <c r="R65" t="s">
        <v>198</v>
      </c>
      <c r="S65" t="s">
        <v>211</v>
      </c>
      <c r="U65" t="s">
        <v>27</v>
      </c>
      <c r="V65" t="s">
        <v>27</v>
      </c>
      <c r="W65" t="s">
        <v>212</v>
      </c>
    </row>
    <row r="66" spans="1:23" ht="15" customHeight="1">
      <c r="A66">
        <v>22</v>
      </c>
      <c r="B66" t="s">
        <v>213</v>
      </c>
      <c r="C66">
        <v>2007</v>
      </c>
      <c r="D66" t="s">
        <v>59</v>
      </c>
      <c r="E66" t="s">
        <v>36</v>
      </c>
      <c r="F66">
        <v>28</v>
      </c>
      <c r="G66" t="s">
        <v>37</v>
      </c>
      <c r="H66">
        <v>3</v>
      </c>
      <c r="I66">
        <v>3</v>
      </c>
      <c r="J66" t="s">
        <v>27</v>
      </c>
      <c r="K66" t="s">
        <v>27</v>
      </c>
      <c r="L66" t="s">
        <v>214</v>
      </c>
      <c r="M66" t="s">
        <v>96</v>
      </c>
      <c r="N66" t="s">
        <v>41</v>
      </c>
      <c r="O66" s="5">
        <v>0.59</v>
      </c>
      <c r="P66" s="5" t="str">
        <f>IF(O66 &gt; VLOOKUP(M66, 'Descriptive Statistics'!H:I, 2, FALSE), "yes", "no")</f>
        <v>yes</v>
      </c>
      <c r="Q66" s="9">
        <f>IFERROR(VALUE(SUBSTITUTE(O66,"%","")), "")</f>
        <v>0.59</v>
      </c>
      <c r="R66" t="s">
        <v>215</v>
      </c>
      <c r="S66" t="s">
        <v>216</v>
      </c>
      <c r="T66" t="s">
        <v>217</v>
      </c>
      <c r="U66" t="s">
        <v>27</v>
      </c>
      <c r="V66" t="s">
        <v>27</v>
      </c>
      <c r="W66" t="s">
        <v>218</v>
      </c>
    </row>
    <row r="67" spans="1:23" ht="15" customHeight="1">
      <c r="A67">
        <v>23</v>
      </c>
      <c r="B67" t="s">
        <v>219</v>
      </c>
      <c r="C67">
        <v>2022</v>
      </c>
      <c r="D67" t="s">
        <v>59</v>
      </c>
      <c r="E67" t="s">
        <v>36</v>
      </c>
      <c r="F67">
        <v>28</v>
      </c>
      <c r="G67" t="s">
        <v>37</v>
      </c>
      <c r="H67">
        <v>3</v>
      </c>
      <c r="I67">
        <v>3</v>
      </c>
      <c r="J67" t="s">
        <v>27</v>
      </c>
      <c r="K67" t="s">
        <v>27</v>
      </c>
      <c r="L67" t="s">
        <v>220</v>
      </c>
      <c r="M67" t="s">
        <v>96</v>
      </c>
      <c r="N67" t="s">
        <v>41</v>
      </c>
      <c r="O67" s="5">
        <v>8.3000000000000004E-2</v>
      </c>
      <c r="P67" s="5" t="str">
        <f>IF(O67 &gt; VLOOKUP(M67, 'Descriptive Statistics'!H:I, 2, FALSE), "yes", "no")</f>
        <v>no</v>
      </c>
      <c r="Q67" s="9">
        <f>IFERROR(VALUE(SUBSTITUTE(O67,"%","")), "")</f>
        <v>8.3000000000000004E-2</v>
      </c>
      <c r="R67" t="s">
        <v>221</v>
      </c>
      <c r="S67" t="s">
        <v>222</v>
      </c>
      <c r="T67" t="s">
        <v>223</v>
      </c>
      <c r="U67" t="s">
        <v>27</v>
      </c>
      <c r="V67" t="s">
        <v>27</v>
      </c>
      <c r="W67" t="s">
        <v>224</v>
      </c>
    </row>
    <row r="68" spans="1:23" ht="15" customHeight="1">
      <c r="A68">
        <v>24</v>
      </c>
      <c r="B68" t="s">
        <v>225</v>
      </c>
      <c r="C68">
        <v>2019</v>
      </c>
      <c r="D68" t="s">
        <v>61</v>
      </c>
      <c r="E68" t="s">
        <v>62</v>
      </c>
      <c r="F68">
        <v>20</v>
      </c>
      <c r="G68" t="s">
        <v>26</v>
      </c>
      <c r="H68">
        <v>2</v>
      </c>
      <c r="I68">
        <v>1</v>
      </c>
      <c r="J68" t="s">
        <v>41</v>
      </c>
      <c r="K68" t="s">
        <v>27</v>
      </c>
      <c r="L68">
        <v>31</v>
      </c>
      <c r="M68" t="s">
        <v>40</v>
      </c>
      <c r="N68" t="s">
        <v>41</v>
      </c>
      <c r="O68" s="5">
        <v>0.55000000000000004</v>
      </c>
      <c r="P68" s="5" t="str">
        <f>IF(O68 &gt; VLOOKUP(M68, 'Descriptive Statistics'!H:I, 2, FALSE), "yes", "no")</f>
        <v>no</v>
      </c>
      <c r="Q68" s="9">
        <f>IFERROR(VALUE(SUBSTITUTE(O68,"%","")), "")</f>
        <v>0.55000000000000004</v>
      </c>
      <c r="R68" t="s">
        <v>226</v>
      </c>
      <c r="S68" t="s">
        <v>227</v>
      </c>
      <c r="T68" t="s">
        <v>228</v>
      </c>
      <c r="U68" t="s">
        <v>229</v>
      </c>
      <c r="V68" t="s">
        <v>27</v>
      </c>
      <c r="W68" t="s">
        <v>230</v>
      </c>
    </row>
    <row r="69" spans="1:23" ht="15" customHeight="1">
      <c r="A69">
        <v>25</v>
      </c>
      <c r="B69" t="s">
        <v>231</v>
      </c>
      <c r="C69">
        <v>2020</v>
      </c>
      <c r="D69" t="s">
        <v>62</v>
      </c>
      <c r="E69" t="s">
        <v>62</v>
      </c>
      <c r="F69">
        <v>225</v>
      </c>
      <c r="G69" t="s">
        <v>26</v>
      </c>
      <c r="H69">
        <v>2</v>
      </c>
      <c r="I69">
        <v>1</v>
      </c>
      <c r="J69" t="s">
        <v>41</v>
      </c>
      <c r="K69" t="s">
        <v>27</v>
      </c>
      <c r="L69">
        <v>30</v>
      </c>
      <c r="M69" t="s">
        <v>159</v>
      </c>
      <c r="N69" t="s">
        <v>41</v>
      </c>
      <c r="O69" s="5">
        <v>0.56999999999999995</v>
      </c>
      <c r="P69" s="5" t="str">
        <f>IF(O69 &gt; VLOOKUP(M69, 'Descriptive Statistics'!H:I, 2, FALSE), "yes", "no")</f>
        <v>yes</v>
      </c>
      <c r="Q69" s="9">
        <f>IFERROR(VALUE(SUBSTITUTE(O69,"%","")), "")</f>
        <v>0.56999999999999995</v>
      </c>
      <c r="R69" t="s">
        <v>232</v>
      </c>
      <c r="S69" t="s">
        <v>233</v>
      </c>
      <c r="T69" t="s">
        <v>234</v>
      </c>
      <c r="U69" t="s">
        <v>235</v>
      </c>
      <c r="V69" t="s">
        <v>27</v>
      </c>
      <c r="W69" t="s">
        <v>236</v>
      </c>
    </row>
    <row r="70" spans="1:23" ht="15" customHeight="1">
      <c r="A70">
        <v>26</v>
      </c>
      <c r="B70" t="s">
        <v>237</v>
      </c>
      <c r="C70">
        <v>2021</v>
      </c>
      <c r="D70" t="s">
        <v>79</v>
      </c>
      <c r="E70" t="s">
        <v>25</v>
      </c>
      <c r="F70">
        <v>8</v>
      </c>
      <c r="G70" t="s">
        <v>26</v>
      </c>
      <c r="H70">
        <v>1</v>
      </c>
      <c r="I70">
        <v>1</v>
      </c>
      <c r="J70" t="s">
        <v>27</v>
      </c>
      <c r="K70" t="s">
        <v>27</v>
      </c>
      <c r="L70" t="s">
        <v>238</v>
      </c>
      <c r="M70" t="s">
        <v>239</v>
      </c>
      <c r="N70" t="s">
        <v>41</v>
      </c>
      <c r="O70" s="5">
        <v>0.625</v>
      </c>
      <c r="P70" s="5" t="str">
        <f>IF(O70 &gt; VLOOKUP(M70, 'Descriptive Statistics'!H:I, 2, FALSE), "yes", "no")</f>
        <v>yes</v>
      </c>
      <c r="Q70" s="9">
        <f>IFERROR(VALUE(SUBSTITUTE(O70,"%","")), "")</f>
        <v>0.625</v>
      </c>
      <c r="R70" t="s">
        <v>240</v>
      </c>
      <c r="S70" t="s">
        <v>241</v>
      </c>
      <c r="T70" t="s">
        <v>242</v>
      </c>
      <c r="U70" t="s">
        <v>27</v>
      </c>
      <c r="V70" t="s">
        <v>27</v>
      </c>
      <c r="W70" t="s">
        <v>243</v>
      </c>
    </row>
    <row r="71" spans="1:23" ht="15" customHeight="1">
      <c r="A71">
        <v>26</v>
      </c>
      <c r="B71" t="s">
        <v>237</v>
      </c>
      <c r="C71">
        <v>2021</v>
      </c>
      <c r="D71" t="s">
        <v>33</v>
      </c>
      <c r="E71" t="s">
        <v>25</v>
      </c>
      <c r="F71">
        <v>11</v>
      </c>
      <c r="G71" t="s">
        <v>26</v>
      </c>
      <c r="H71">
        <v>2</v>
      </c>
      <c r="I71">
        <v>1</v>
      </c>
      <c r="J71" t="s">
        <v>27</v>
      </c>
      <c r="K71" t="s">
        <v>27</v>
      </c>
      <c r="L71" t="s">
        <v>238</v>
      </c>
      <c r="M71" t="s">
        <v>239</v>
      </c>
      <c r="N71" t="s">
        <v>41</v>
      </c>
      <c r="O71" s="5">
        <v>0</v>
      </c>
      <c r="P71" s="5" t="str">
        <f>IF(O71 &gt; VLOOKUP(M71, 'Descriptive Statistics'!H:I, 2, FALSE), "yes", "no")</f>
        <v>no</v>
      </c>
      <c r="Q71" s="9">
        <f>IFERROR(VALUE(SUBSTITUTE(O71,"%","")), "")</f>
        <v>0</v>
      </c>
      <c r="R71" t="s">
        <v>244</v>
      </c>
      <c r="S71" t="s">
        <v>241</v>
      </c>
      <c r="T71" t="s">
        <v>245</v>
      </c>
      <c r="U71" t="s">
        <v>27</v>
      </c>
      <c r="V71" t="s">
        <v>27</v>
      </c>
      <c r="W71" t="s">
        <v>246</v>
      </c>
    </row>
    <row r="72" spans="1:23" ht="15" customHeight="1">
      <c r="A72">
        <v>26</v>
      </c>
      <c r="B72" t="s">
        <v>237</v>
      </c>
      <c r="C72">
        <v>2021</v>
      </c>
      <c r="D72" t="s">
        <v>247</v>
      </c>
      <c r="E72" t="s">
        <v>132</v>
      </c>
      <c r="F72">
        <v>19</v>
      </c>
      <c r="G72" t="s">
        <v>26</v>
      </c>
      <c r="H72">
        <v>5</v>
      </c>
      <c r="I72">
        <v>1</v>
      </c>
      <c r="J72" t="s">
        <v>27</v>
      </c>
      <c r="K72" t="s">
        <v>27</v>
      </c>
      <c r="L72" t="s">
        <v>238</v>
      </c>
      <c r="M72" t="s">
        <v>239</v>
      </c>
      <c r="N72" t="s">
        <v>41</v>
      </c>
      <c r="O72" s="5">
        <v>0.42099999999999999</v>
      </c>
      <c r="P72" s="5" t="str">
        <f>IF(O72 &gt; VLOOKUP(M72, 'Descriptive Statistics'!H:I, 2, FALSE), "yes", "no")</f>
        <v>yes</v>
      </c>
      <c r="Q72" s="9">
        <f>IFERROR(VALUE(SUBSTITUTE(O72,"%","")), "")</f>
        <v>0.42099999999999999</v>
      </c>
      <c r="R72" t="s">
        <v>240</v>
      </c>
      <c r="S72" t="s">
        <v>241</v>
      </c>
      <c r="T72" t="s">
        <v>242</v>
      </c>
      <c r="U72" t="s">
        <v>27</v>
      </c>
      <c r="V72" t="s">
        <v>27</v>
      </c>
      <c r="W72" t="s">
        <v>248</v>
      </c>
    </row>
    <row r="73" spans="1:23" ht="15" customHeight="1">
      <c r="A73">
        <v>26</v>
      </c>
      <c r="B73" t="s">
        <v>237</v>
      </c>
      <c r="C73">
        <v>2021</v>
      </c>
      <c r="D73" t="s">
        <v>132</v>
      </c>
      <c r="E73" t="s">
        <v>132</v>
      </c>
      <c r="F73">
        <v>8</v>
      </c>
      <c r="G73" t="s">
        <v>26</v>
      </c>
      <c r="H73">
        <v>4</v>
      </c>
      <c r="I73">
        <v>2</v>
      </c>
      <c r="J73" t="s">
        <v>27</v>
      </c>
      <c r="K73" t="s">
        <v>27</v>
      </c>
      <c r="L73" t="s">
        <v>238</v>
      </c>
      <c r="M73" t="s">
        <v>239</v>
      </c>
      <c r="N73" t="s">
        <v>41</v>
      </c>
      <c r="O73" s="5">
        <v>0.125</v>
      </c>
      <c r="P73" s="5" t="str">
        <f>IF(O73 &gt; VLOOKUP(M73, 'Descriptive Statistics'!H:I, 2, FALSE), "yes", "no")</f>
        <v>no</v>
      </c>
      <c r="Q73" s="9">
        <f>IFERROR(VALUE(SUBSTITUTE(O73,"%","")), "")</f>
        <v>0.125</v>
      </c>
      <c r="R73" t="s">
        <v>240</v>
      </c>
      <c r="S73" t="s">
        <v>241</v>
      </c>
      <c r="T73" t="s">
        <v>242</v>
      </c>
      <c r="U73" t="s">
        <v>27</v>
      </c>
      <c r="V73" t="s">
        <v>27</v>
      </c>
      <c r="W73" t="s">
        <v>249</v>
      </c>
    </row>
    <row r="74" spans="1:23" ht="15" customHeight="1">
      <c r="A74">
        <v>26</v>
      </c>
      <c r="B74" t="s">
        <v>237</v>
      </c>
      <c r="C74">
        <v>2021</v>
      </c>
      <c r="D74" t="s">
        <v>54</v>
      </c>
      <c r="E74" t="s">
        <v>54</v>
      </c>
      <c r="F74">
        <v>17</v>
      </c>
      <c r="G74" t="s">
        <v>37</v>
      </c>
      <c r="H74">
        <v>3</v>
      </c>
      <c r="I74">
        <v>2</v>
      </c>
      <c r="J74" t="s">
        <v>27</v>
      </c>
      <c r="K74" t="s">
        <v>27</v>
      </c>
      <c r="L74" t="s">
        <v>238</v>
      </c>
      <c r="M74" t="s">
        <v>239</v>
      </c>
      <c r="N74" t="s">
        <v>41</v>
      </c>
      <c r="O74" s="5">
        <v>0.17599999999999999</v>
      </c>
      <c r="P74" s="5" t="str">
        <f>IF(O74 &gt; VLOOKUP(M74, 'Descriptive Statistics'!H:I, 2, FALSE), "yes", "no")</f>
        <v>yes</v>
      </c>
      <c r="Q74" s="9">
        <f>IFERROR(VALUE(SUBSTITUTE(O74,"%","")), "")</f>
        <v>0.17599999999999999</v>
      </c>
      <c r="R74" t="s">
        <v>240</v>
      </c>
      <c r="S74" t="s">
        <v>241</v>
      </c>
      <c r="T74" t="s">
        <v>242</v>
      </c>
      <c r="U74" t="s">
        <v>27</v>
      </c>
      <c r="V74" t="s">
        <v>27</v>
      </c>
      <c r="W74" t="s">
        <v>250</v>
      </c>
    </row>
    <row r="75" spans="1:23" ht="15" customHeight="1">
      <c r="A75">
        <v>26</v>
      </c>
      <c r="B75" t="s">
        <v>237</v>
      </c>
      <c r="C75">
        <v>2021</v>
      </c>
      <c r="D75" t="s">
        <v>59</v>
      </c>
      <c r="E75" t="s">
        <v>36</v>
      </c>
      <c r="F75">
        <v>27</v>
      </c>
      <c r="G75" t="s">
        <v>37</v>
      </c>
      <c r="H75">
        <v>3</v>
      </c>
      <c r="I75">
        <v>3</v>
      </c>
      <c r="J75" t="s">
        <v>27</v>
      </c>
      <c r="K75" t="s">
        <v>27</v>
      </c>
      <c r="L75" t="s">
        <v>238</v>
      </c>
      <c r="M75" t="s">
        <v>239</v>
      </c>
      <c r="N75" t="s">
        <v>41</v>
      </c>
      <c r="O75" s="5">
        <v>0.29599999999999999</v>
      </c>
      <c r="P75" s="5" t="str">
        <f>IF(O75 &gt; VLOOKUP(M75, 'Descriptive Statistics'!H:I, 2, FALSE), "yes", "no")</f>
        <v>yes</v>
      </c>
      <c r="Q75" s="9">
        <f>IFERROR(VALUE(SUBSTITUTE(O75,"%","")), "")</f>
        <v>0.29599999999999999</v>
      </c>
      <c r="R75" t="s">
        <v>240</v>
      </c>
      <c r="S75" t="s">
        <v>241</v>
      </c>
      <c r="T75" t="s">
        <v>242</v>
      </c>
      <c r="U75" t="s">
        <v>27</v>
      </c>
      <c r="V75" t="s">
        <v>27</v>
      </c>
      <c r="W75" t="s">
        <v>251</v>
      </c>
    </row>
    <row r="76" spans="1:23" ht="15" customHeight="1">
      <c r="A76">
        <v>26</v>
      </c>
      <c r="B76" t="s">
        <v>237</v>
      </c>
      <c r="C76">
        <v>2021</v>
      </c>
      <c r="D76" t="s">
        <v>35</v>
      </c>
      <c r="E76" t="s">
        <v>36</v>
      </c>
      <c r="F76">
        <v>26</v>
      </c>
      <c r="G76" t="s">
        <v>37</v>
      </c>
      <c r="H76">
        <v>3</v>
      </c>
      <c r="I76">
        <v>3</v>
      </c>
      <c r="J76" t="s">
        <v>27</v>
      </c>
      <c r="K76" t="s">
        <v>27</v>
      </c>
      <c r="L76" t="s">
        <v>238</v>
      </c>
      <c r="M76" t="s">
        <v>239</v>
      </c>
      <c r="N76" t="s">
        <v>41</v>
      </c>
      <c r="O76" s="5">
        <v>0.192</v>
      </c>
      <c r="P76" s="5" t="str">
        <f>IF(O76 &gt; VLOOKUP(M76, 'Descriptive Statistics'!H:I, 2, FALSE), "yes", "no")</f>
        <v>yes</v>
      </c>
      <c r="Q76" s="9">
        <f>IFERROR(VALUE(SUBSTITUTE(O76,"%","")), "")</f>
        <v>0.192</v>
      </c>
      <c r="R76" t="s">
        <v>240</v>
      </c>
      <c r="S76" t="s">
        <v>241</v>
      </c>
      <c r="T76" t="s">
        <v>242</v>
      </c>
      <c r="U76" t="s">
        <v>27</v>
      </c>
      <c r="V76" t="s">
        <v>27</v>
      </c>
      <c r="W76" t="s">
        <v>252</v>
      </c>
    </row>
    <row r="77" spans="1:23" ht="15" customHeight="1">
      <c r="A77">
        <v>27</v>
      </c>
      <c r="B77" t="s">
        <v>253</v>
      </c>
      <c r="C77">
        <v>2013</v>
      </c>
      <c r="D77" t="s">
        <v>33</v>
      </c>
      <c r="E77" t="s">
        <v>25</v>
      </c>
      <c r="F77">
        <v>77</v>
      </c>
      <c r="G77" t="s">
        <v>26</v>
      </c>
      <c r="H77">
        <v>2</v>
      </c>
      <c r="I77">
        <v>1</v>
      </c>
      <c r="J77" t="s">
        <v>27</v>
      </c>
      <c r="K77" t="s">
        <v>27</v>
      </c>
      <c r="L77" t="s">
        <v>254</v>
      </c>
      <c r="M77" t="s">
        <v>111</v>
      </c>
      <c r="N77" t="s">
        <v>41</v>
      </c>
      <c r="O77" s="5">
        <v>0.442</v>
      </c>
      <c r="P77" s="5" t="str">
        <f>IF(O77 &gt; VLOOKUP(M77, 'Descriptive Statistics'!H:I, 2, FALSE), "yes", "no")</f>
        <v>yes</v>
      </c>
      <c r="Q77" s="9">
        <f>IFERROR(VALUE(SUBSTITUTE(O77,"%","")), "")</f>
        <v>0.442</v>
      </c>
      <c r="R77" t="s">
        <v>255</v>
      </c>
      <c r="S77" t="s">
        <v>256</v>
      </c>
      <c r="T77" t="s">
        <v>257</v>
      </c>
      <c r="U77" t="s">
        <v>27</v>
      </c>
      <c r="V77" t="s">
        <v>27</v>
      </c>
      <c r="W77" t="s">
        <v>258</v>
      </c>
    </row>
    <row r="78" spans="1:23" ht="15" customHeight="1">
      <c r="A78">
        <v>28</v>
      </c>
      <c r="B78" t="s">
        <v>259</v>
      </c>
      <c r="C78">
        <v>2024</v>
      </c>
      <c r="D78" t="s">
        <v>79</v>
      </c>
      <c r="E78" t="s">
        <v>25</v>
      </c>
      <c r="F78">
        <v>14</v>
      </c>
      <c r="G78" t="s">
        <v>26</v>
      </c>
      <c r="H78">
        <v>1</v>
      </c>
      <c r="I78">
        <v>1</v>
      </c>
      <c r="J78" t="s">
        <v>27</v>
      </c>
      <c r="K78" t="s">
        <v>27</v>
      </c>
      <c r="L78" t="s">
        <v>260</v>
      </c>
      <c r="M78" t="s">
        <v>111</v>
      </c>
      <c r="N78" t="s">
        <v>41</v>
      </c>
      <c r="O78" s="5">
        <v>0.28000000000000003</v>
      </c>
      <c r="P78" s="5" t="str">
        <f>IF(O78 &gt; VLOOKUP(M78, 'Descriptive Statistics'!H:I, 2, FALSE), "yes", "no")</f>
        <v>no</v>
      </c>
      <c r="Q78" s="9">
        <f>IFERROR(VALUE(SUBSTITUTE(O78,"%","")), "")</f>
        <v>0.28000000000000003</v>
      </c>
      <c r="R78" t="s">
        <v>261</v>
      </c>
      <c r="S78" t="s">
        <v>262</v>
      </c>
      <c r="T78" t="s">
        <v>263</v>
      </c>
      <c r="U78" t="s">
        <v>264</v>
      </c>
      <c r="V78" t="s">
        <v>27</v>
      </c>
      <c r="W78" t="s">
        <v>265</v>
      </c>
    </row>
    <row r="79" spans="1:23" ht="15" customHeight="1">
      <c r="A79">
        <v>29</v>
      </c>
      <c r="B79" t="s">
        <v>266</v>
      </c>
      <c r="C79">
        <v>2024</v>
      </c>
      <c r="D79" t="s">
        <v>62</v>
      </c>
      <c r="E79" t="s">
        <v>62</v>
      </c>
      <c r="F79">
        <v>25</v>
      </c>
      <c r="G79" t="s">
        <v>26</v>
      </c>
      <c r="H79">
        <v>2</v>
      </c>
      <c r="I79">
        <v>1</v>
      </c>
      <c r="J79" t="s">
        <v>41</v>
      </c>
      <c r="K79" t="s">
        <v>27</v>
      </c>
      <c r="L79" t="s">
        <v>267</v>
      </c>
      <c r="M79" t="s">
        <v>75</v>
      </c>
      <c r="N79" t="s">
        <v>41</v>
      </c>
      <c r="O79" s="5">
        <v>1</v>
      </c>
      <c r="P79" s="5" t="str">
        <f>IF(O79 &gt; VLOOKUP(M79, 'Descriptive Statistics'!H:I, 2, FALSE), "yes", "no")</f>
        <v>yes</v>
      </c>
      <c r="Q79" s="9">
        <f>IFERROR(VALUE(SUBSTITUTE(O79,"%","")), "")</f>
        <v>1</v>
      </c>
      <c r="R79" t="s">
        <v>268</v>
      </c>
      <c r="S79" t="s">
        <v>269</v>
      </c>
      <c r="T79" t="s">
        <v>270</v>
      </c>
      <c r="U79" t="s">
        <v>271</v>
      </c>
      <c r="V79" t="s">
        <v>272</v>
      </c>
      <c r="W79" t="s">
        <v>273</v>
      </c>
    </row>
    <row r="80" spans="1:23" ht="15" customHeight="1">
      <c r="A80">
        <v>30</v>
      </c>
      <c r="B80" t="s">
        <v>274</v>
      </c>
      <c r="C80">
        <v>2017</v>
      </c>
      <c r="D80" t="s">
        <v>62</v>
      </c>
      <c r="E80" t="s">
        <v>62</v>
      </c>
      <c r="F80">
        <v>25</v>
      </c>
      <c r="G80" t="s">
        <v>26</v>
      </c>
      <c r="H80">
        <v>2</v>
      </c>
      <c r="I80">
        <v>1</v>
      </c>
      <c r="J80" t="s">
        <v>41</v>
      </c>
      <c r="K80" t="s">
        <v>27</v>
      </c>
      <c r="L80" t="s">
        <v>275</v>
      </c>
      <c r="M80" t="s">
        <v>75</v>
      </c>
      <c r="N80" t="s">
        <v>41</v>
      </c>
      <c r="O80" s="5">
        <v>0.68</v>
      </c>
      <c r="P80" s="5" t="str">
        <f>IF(O80 &gt; VLOOKUP(M80, 'Descriptive Statistics'!H:I, 2, FALSE), "yes", "no")</f>
        <v>yes</v>
      </c>
      <c r="Q80" s="9">
        <f>IFERROR(VALUE(SUBSTITUTE(O80,"%","")), "")</f>
        <v>0.68</v>
      </c>
      <c r="R80" t="s">
        <v>276</v>
      </c>
      <c r="S80" t="s">
        <v>277</v>
      </c>
      <c r="U80" t="s">
        <v>27</v>
      </c>
      <c r="V80" t="s">
        <v>27</v>
      </c>
      <c r="W80" t="s">
        <v>278</v>
      </c>
    </row>
    <row r="81" spans="1:23" ht="15" customHeight="1">
      <c r="A81">
        <v>31</v>
      </c>
      <c r="B81" t="s">
        <v>279</v>
      </c>
      <c r="C81">
        <v>2010</v>
      </c>
      <c r="D81" t="s">
        <v>61</v>
      </c>
      <c r="E81" t="s">
        <v>62</v>
      </c>
      <c r="F81">
        <v>33</v>
      </c>
      <c r="G81" t="s">
        <v>26</v>
      </c>
      <c r="H81">
        <v>2</v>
      </c>
      <c r="I81">
        <v>1</v>
      </c>
      <c r="J81" t="s">
        <v>41</v>
      </c>
      <c r="K81" t="s">
        <v>27</v>
      </c>
      <c r="L81" t="s">
        <v>280</v>
      </c>
      <c r="M81" t="s">
        <v>75</v>
      </c>
      <c r="N81" t="s">
        <v>41</v>
      </c>
      <c r="O81" s="5">
        <v>0.5</v>
      </c>
      <c r="P81" s="5" t="str">
        <f>IF(O81 &gt; VLOOKUP(M81, 'Descriptive Statistics'!H:I, 2, FALSE), "yes", "no")</f>
        <v>no</v>
      </c>
      <c r="Q81" s="9">
        <f>IFERROR(VALUE(SUBSTITUTE(O81,"%","")), "")</f>
        <v>0.5</v>
      </c>
      <c r="R81" t="s">
        <v>281</v>
      </c>
      <c r="S81" t="s">
        <v>282</v>
      </c>
      <c r="U81" t="s">
        <v>27</v>
      </c>
      <c r="V81" t="s">
        <v>27</v>
      </c>
      <c r="W81" t="s">
        <v>283</v>
      </c>
    </row>
    <row r="82" spans="1:23" ht="15" customHeight="1">
      <c r="A82">
        <v>32</v>
      </c>
      <c r="B82" t="s">
        <v>284</v>
      </c>
      <c r="C82">
        <v>2024</v>
      </c>
      <c r="D82" s="2" t="s">
        <v>80</v>
      </c>
      <c r="E82" s="2" t="s">
        <v>80</v>
      </c>
      <c r="F82">
        <v>208</v>
      </c>
      <c r="G82" t="s">
        <v>37</v>
      </c>
      <c r="H82">
        <v>2</v>
      </c>
      <c r="I82">
        <v>2</v>
      </c>
      <c r="J82" t="s">
        <v>27</v>
      </c>
      <c r="K82" t="s">
        <v>41</v>
      </c>
      <c r="L82" t="s">
        <v>28</v>
      </c>
      <c r="M82" t="s">
        <v>111</v>
      </c>
      <c r="N82" t="s">
        <v>41</v>
      </c>
      <c r="O82" s="5">
        <v>0.42299999999999999</v>
      </c>
      <c r="P82" s="5" t="str">
        <f>IF(O82 &gt; VLOOKUP(M82, 'Descriptive Statistics'!H:I, 2, FALSE), "yes", "no")</f>
        <v>yes</v>
      </c>
      <c r="Q82" s="9">
        <f>IFERROR(VALUE(SUBSTITUTE(O82,"%","")), "")</f>
        <v>0.42299999999999999</v>
      </c>
      <c r="R82" t="s">
        <v>285</v>
      </c>
      <c r="S82" t="s">
        <v>286</v>
      </c>
      <c r="T82" t="s">
        <v>41</v>
      </c>
      <c r="U82" t="s">
        <v>27</v>
      </c>
      <c r="V82" t="s">
        <v>27</v>
      </c>
      <c r="W82" t="s">
        <v>287</v>
      </c>
    </row>
    <row r="83" spans="1:23" ht="15" customHeight="1">
      <c r="A83">
        <v>33</v>
      </c>
      <c r="B83" t="s">
        <v>288</v>
      </c>
      <c r="C83">
        <v>2023</v>
      </c>
      <c r="D83" t="s">
        <v>289</v>
      </c>
      <c r="E83" t="s">
        <v>74</v>
      </c>
      <c r="F83">
        <v>43</v>
      </c>
      <c r="G83" t="s">
        <v>26</v>
      </c>
      <c r="H83">
        <v>2</v>
      </c>
      <c r="I83">
        <v>1</v>
      </c>
      <c r="J83" t="s">
        <v>27</v>
      </c>
      <c r="K83" t="s">
        <v>27</v>
      </c>
      <c r="L83" t="s">
        <v>290</v>
      </c>
      <c r="M83" t="s">
        <v>75</v>
      </c>
      <c r="N83" t="s">
        <v>41</v>
      </c>
      <c r="O83" s="5">
        <v>0.106</v>
      </c>
      <c r="P83" s="5" t="str">
        <f>IF(O83 &gt; VLOOKUP(M83, 'Descriptive Statistics'!H:I, 2, FALSE), "yes", "no")</f>
        <v>no</v>
      </c>
      <c r="Q83" s="9">
        <f>IFERROR(VALUE(SUBSTITUTE(O83,"%","")), "")</f>
        <v>0.106</v>
      </c>
      <c r="R83" t="s">
        <v>291</v>
      </c>
      <c r="S83" t="s">
        <v>292</v>
      </c>
      <c r="T83" t="s">
        <v>27</v>
      </c>
      <c r="U83" t="s">
        <v>27</v>
      </c>
      <c r="V83" t="s">
        <v>27</v>
      </c>
      <c r="W83" t="s">
        <v>293</v>
      </c>
    </row>
    <row r="84" spans="1:23" ht="15" customHeight="1">
      <c r="A84">
        <v>33</v>
      </c>
      <c r="B84" t="s">
        <v>288</v>
      </c>
      <c r="C84">
        <v>2023</v>
      </c>
      <c r="D84" t="s">
        <v>132</v>
      </c>
      <c r="E84" t="s">
        <v>132</v>
      </c>
      <c r="F84">
        <v>94</v>
      </c>
      <c r="G84" t="s">
        <v>26</v>
      </c>
      <c r="H84" s="2">
        <v>4</v>
      </c>
      <c r="I84" s="2">
        <v>2</v>
      </c>
      <c r="J84" t="s">
        <v>27</v>
      </c>
      <c r="K84" t="s">
        <v>27</v>
      </c>
      <c r="L84" t="s">
        <v>290</v>
      </c>
      <c r="M84" t="s">
        <v>75</v>
      </c>
      <c r="N84" t="s">
        <v>41</v>
      </c>
      <c r="O84" s="5">
        <v>0.115</v>
      </c>
      <c r="P84" s="5" t="str">
        <f>IF(O84 &gt; VLOOKUP(M84, 'Descriptive Statistics'!H:I, 2, FALSE), "yes", "no")</f>
        <v>no</v>
      </c>
      <c r="Q84" s="9">
        <f>IFERROR(VALUE(SUBSTITUTE(O84,"%","")), "")</f>
        <v>0.115</v>
      </c>
      <c r="R84" t="s">
        <v>291</v>
      </c>
      <c r="S84" t="s">
        <v>292</v>
      </c>
      <c r="T84" t="s">
        <v>27</v>
      </c>
      <c r="U84" t="s">
        <v>27</v>
      </c>
      <c r="V84" t="s">
        <v>27</v>
      </c>
      <c r="W84" t="s">
        <v>293</v>
      </c>
    </row>
    <row r="85" spans="1:23" ht="15" customHeight="1">
      <c r="A85">
        <v>33</v>
      </c>
      <c r="B85" t="s">
        <v>288</v>
      </c>
      <c r="C85">
        <v>2023</v>
      </c>
      <c r="D85" t="s">
        <v>294</v>
      </c>
      <c r="E85" t="s">
        <v>36</v>
      </c>
      <c r="F85">
        <v>103</v>
      </c>
      <c r="G85" t="s">
        <v>37</v>
      </c>
      <c r="H85">
        <v>3</v>
      </c>
      <c r="I85">
        <v>3</v>
      </c>
      <c r="J85" t="s">
        <v>27</v>
      </c>
      <c r="K85" t="s">
        <v>27</v>
      </c>
      <c r="L85" t="s">
        <v>290</v>
      </c>
      <c r="M85" t="s">
        <v>75</v>
      </c>
      <c r="N85" t="s">
        <v>41</v>
      </c>
      <c r="O85" s="5">
        <v>6.7000000000000004E-2</v>
      </c>
      <c r="P85" s="5" t="str">
        <f>IF(O85 &gt; VLOOKUP(M85, 'Descriptive Statistics'!H:I, 2, FALSE), "yes", "no")</f>
        <v>no</v>
      </c>
      <c r="Q85" s="9">
        <f>IFERROR(VALUE(SUBSTITUTE(O85,"%","")), "")</f>
        <v>6.7000000000000004E-2</v>
      </c>
      <c r="R85" t="s">
        <v>291</v>
      </c>
      <c r="S85" t="s">
        <v>292</v>
      </c>
      <c r="T85" t="s">
        <v>27</v>
      </c>
      <c r="U85" t="s">
        <v>27</v>
      </c>
      <c r="V85" t="s">
        <v>27</v>
      </c>
      <c r="W85" t="s">
        <v>293</v>
      </c>
    </row>
    <row r="86" spans="1:23" ht="15" customHeight="1">
      <c r="A86">
        <v>34</v>
      </c>
      <c r="B86" t="s">
        <v>295</v>
      </c>
      <c r="C86">
        <v>2024</v>
      </c>
      <c r="D86" t="s">
        <v>85</v>
      </c>
      <c r="E86" t="s">
        <v>85</v>
      </c>
      <c r="F86">
        <v>15</v>
      </c>
      <c r="G86" t="s">
        <v>37</v>
      </c>
      <c r="H86">
        <v>4</v>
      </c>
      <c r="I86">
        <v>5</v>
      </c>
      <c r="J86" t="s">
        <v>27</v>
      </c>
      <c r="K86" t="s">
        <v>27</v>
      </c>
      <c r="L86" t="s">
        <v>290</v>
      </c>
      <c r="M86" t="s">
        <v>75</v>
      </c>
      <c r="N86" t="s">
        <v>41</v>
      </c>
      <c r="O86" s="5">
        <v>0.5333</v>
      </c>
      <c r="P86" s="5" t="str">
        <f>IF(O86 &gt; VLOOKUP(M86, 'Descriptive Statistics'!H:I, 2, FALSE), "yes", "no")</f>
        <v>no</v>
      </c>
      <c r="Q86" s="9">
        <f>IFERROR(VALUE(SUBSTITUTE(O86,"%","")), "")</f>
        <v>0.5333</v>
      </c>
      <c r="R86" t="s">
        <v>296</v>
      </c>
      <c r="S86" t="s">
        <v>297</v>
      </c>
      <c r="T86" t="s">
        <v>27</v>
      </c>
      <c r="U86" t="s">
        <v>27</v>
      </c>
      <c r="V86" t="s">
        <v>27</v>
      </c>
      <c r="W86" t="s">
        <v>298</v>
      </c>
    </row>
    <row r="87" spans="1:23" ht="15" customHeight="1">
      <c r="A87">
        <v>35</v>
      </c>
      <c r="B87" t="s">
        <v>299</v>
      </c>
      <c r="C87">
        <v>2023</v>
      </c>
      <c r="D87" t="s">
        <v>24</v>
      </c>
      <c r="E87" t="s">
        <v>25</v>
      </c>
      <c r="F87">
        <v>524</v>
      </c>
      <c r="G87" t="s">
        <v>26</v>
      </c>
      <c r="H87">
        <v>2</v>
      </c>
      <c r="I87">
        <v>1</v>
      </c>
      <c r="J87" t="s">
        <v>27</v>
      </c>
      <c r="K87" t="s">
        <v>27</v>
      </c>
      <c r="L87" t="s">
        <v>300</v>
      </c>
      <c r="M87" t="s">
        <v>40</v>
      </c>
      <c r="N87" t="s">
        <v>41</v>
      </c>
      <c r="O87" s="5">
        <v>0.47299999999999998</v>
      </c>
      <c r="P87" s="5" t="str">
        <f>IF(O87 &gt; VLOOKUP(M87, 'Descriptive Statistics'!H:I, 2, FALSE), "yes", "no")</f>
        <v>no</v>
      </c>
      <c r="Q87" s="9">
        <f>IFERROR(VALUE(SUBSTITUTE(O87,"%","")), "")</f>
        <v>0.47299999999999998</v>
      </c>
      <c r="R87" t="s">
        <v>301</v>
      </c>
      <c r="S87" t="s">
        <v>302</v>
      </c>
      <c r="T87" t="s">
        <v>27</v>
      </c>
      <c r="U87" t="s">
        <v>27</v>
      </c>
      <c r="V87" t="s">
        <v>27</v>
      </c>
      <c r="W87" t="s">
        <v>303</v>
      </c>
    </row>
    <row r="88" spans="1:23" ht="15" customHeight="1">
      <c r="A88">
        <v>36</v>
      </c>
      <c r="B88" t="s">
        <v>304</v>
      </c>
      <c r="C88">
        <v>1981</v>
      </c>
      <c r="D88" t="s">
        <v>79</v>
      </c>
      <c r="E88" t="s">
        <v>25</v>
      </c>
      <c r="F88">
        <v>17</v>
      </c>
      <c r="G88" t="s">
        <v>26</v>
      </c>
      <c r="H88">
        <v>1</v>
      </c>
      <c r="I88">
        <v>1</v>
      </c>
      <c r="J88" t="s">
        <v>27</v>
      </c>
      <c r="K88" t="s">
        <v>27</v>
      </c>
      <c r="L88" t="s">
        <v>118</v>
      </c>
      <c r="M88" t="s">
        <v>29</v>
      </c>
      <c r="N88" t="s">
        <v>41</v>
      </c>
      <c r="O88" s="5">
        <v>0.17599999999999999</v>
      </c>
      <c r="P88" s="5" t="str">
        <f>IF(O88 &gt; VLOOKUP(M88, 'Descriptive Statistics'!H:I, 2, FALSE), "yes", "no")</f>
        <v>yes</v>
      </c>
      <c r="Q88" s="9">
        <f>IFERROR(VALUE(SUBSTITUTE(O88,"%","")), "")</f>
        <v>0.17599999999999999</v>
      </c>
      <c r="R88" t="s">
        <v>305</v>
      </c>
      <c r="S88" t="s">
        <v>306</v>
      </c>
      <c r="T88" t="s">
        <v>27</v>
      </c>
      <c r="U88" t="s">
        <v>27</v>
      </c>
      <c r="V88" t="s">
        <v>27</v>
      </c>
      <c r="W88" t="s">
        <v>307</v>
      </c>
    </row>
    <row r="89" spans="1:23" ht="15" customHeight="1">
      <c r="A89">
        <v>36</v>
      </c>
      <c r="B89" t="s">
        <v>304</v>
      </c>
      <c r="C89">
        <v>1981</v>
      </c>
      <c r="D89" t="s">
        <v>33</v>
      </c>
      <c r="E89" t="s">
        <v>25</v>
      </c>
      <c r="F89">
        <v>19</v>
      </c>
      <c r="G89" t="s">
        <v>26</v>
      </c>
      <c r="H89">
        <v>2</v>
      </c>
      <c r="I89">
        <v>1</v>
      </c>
      <c r="J89" t="s">
        <v>27</v>
      </c>
      <c r="K89" t="s">
        <v>27</v>
      </c>
      <c r="L89" t="s">
        <v>118</v>
      </c>
      <c r="M89" t="s">
        <v>29</v>
      </c>
      <c r="N89" t="s">
        <v>41</v>
      </c>
      <c r="O89" s="5">
        <v>5.2999999999999999E-2</v>
      </c>
      <c r="P89" s="5" t="str">
        <f>IF(O89 &gt; VLOOKUP(M89, 'Descriptive Statistics'!H:I, 2, FALSE), "yes", "no")</f>
        <v>no</v>
      </c>
      <c r="Q89" s="9">
        <f>IFERROR(VALUE(SUBSTITUTE(O89,"%","")), "")</f>
        <v>5.2999999999999999E-2</v>
      </c>
      <c r="R89" t="s">
        <v>308</v>
      </c>
      <c r="S89" t="s">
        <v>309</v>
      </c>
      <c r="T89" t="s">
        <v>27</v>
      </c>
      <c r="U89" t="s">
        <v>27</v>
      </c>
      <c r="V89" t="s">
        <v>27</v>
      </c>
      <c r="W89" t="s">
        <v>310</v>
      </c>
    </row>
    <row r="90" spans="1:23" ht="15" customHeight="1">
      <c r="A90">
        <v>37</v>
      </c>
      <c r="B90" t="s">
        <v>311</v>
      </c>
      <c r="C90">
        <v>2021</v>
      </c>
      <c r="D90" t="s">
        <v>312</v>
      </c>
      <c r="E90" t="s">
        <v>312</v>
      </c>
      <c r="F90">
        <v>142</v>
      </c>
      <c r="G90" t="s">
        <v>26</v>
      </c>
      <c r="H90">
        <v>2</v>
      </c>
      <c r="I90">
        <v>1</v>
      </c>
      <c r="J90" t="s">
        <v>27</v>
      </c>
      <c r="K90" t="s">
        <v>27</v>
      </c>
      <c r="M90" t="s">
        <v>29</v>
      </c>
      <c r="N90" s="5" t="s">
        <v>41</v>
      </c>
      <c r="O90" s="5">
        <v>0.48</v>
      </c>
      <c r="P90" s="5" t="str">
        <f>IF(O90 &gt; VLOOKUP(M90, 'Descriptive Statistics'!H:I, 2, FALSE), "yes", "no")</f>
        <v>yes</v>
      </c>
      <c r="Q90" s="9">
        <f>IFERROR(VALUE(SUBSTITUTE(O90,"%","")), "")</f>
        <v>0.48</v>
      </c>
      <c r="R90" s="9" t="s">
        <v>313</v>
      </c>
      <c r="S90" t="s">
        <v>314</v>
      </c>
      <c r="T90" t="s">
        <v>118</v>
      </c>
      <c r="U90" t="s">
        <v>118</v>
      </c>
      <c r="V90">
        <v>0</v>
      </c>
    </row>
    <row r="91" spans="1:23" ht="15" customHeight="1">
      <c r="A91">
        <v>38</v>
      </c>
      <c r="B91" t="s">
        <v>38</v>
      </c>
      <c r="C91">
        <v>2022</v>
      </c>
      <c r="D91" t="s">
        <v>39</v>
      </c>
      <c r="E91" t="s">
        <v>25</v>
      </c>
      <c r="F91">
        <v>45</v>
      </c>
      <c r="G91" t="s">
        <v>26</v>
      </c>
      <c r="H91">
        <v>1</v>
      </c>
      <c r="I91">
        <v>1</v>
      </c>
      <c r="J91" t="s">
        <v>27</v>
      </c>
      <c r="K91" t="s">
        <v>27</v>
      </c>
      <c r="L91" t="s">
        <v>315</v>
      </c>
      <c r="M91" t="s">
        <v>40</v>
      </c>
      <c r="N91" t="s">
        <v>41</v>
      </c>
      <c r="O91" s="5">
        <v>0.73299999999999998</v>
      </c>
      <c r="P91" s="5" t="str">
        <f>IF(O91 &gt; VLOOKUP(M91, 'Descriptive Statistics'!H:I, 2, FALSE), "yes", "no")</f>
        <v>yes</v>
      </c>
      <c r="Q91" s="9">
        <f>IFERROR(VALUE(SUBSTITUTE(O91,"%","")), "")</f>
        <v>0.73299999999999998</v>
      </c>
      <c r="R91" t="s">
        <v>316</v>
      </c>
      <c r="S91" t="s">
        <v>317</v>
      </c>
      <c r="T91" t="s">
        <v>318</v>
      </c>
      <c r="U91" t="s">
        <v>319</v>
      </c>
      <c r="V91" t="s">
        <v>27</v>
      </c>
      <c r="W91" t="s">
        <v>320</v>
      </c>
    </row>
    <row r="92" spans="1:23" ht="15" customHeight="1">
      <c r="A92">
        <v>38</v>
      </c>
      <c r="B92" t="s">
        <v>38</v>
      </c>
      <c r="C92">
        <v>2022</v>
      </c>
      <c r="D92" t="s">
        <v>24</v>
      </c>
      <c r="E92" t="s">
        <v>25</v>
      </c>
      <c r="F92">
        <v>202</v>
      </c>
      <c r="G92" t="s">
        <v>26</v>
      </c>
      <c r="H92">
        <v>2</v>
      </c>
      <c r="I92">
        <v>1</v>
      </c>
      <c r="J92" t="s">
        <v>27</v>
      </c>
      <c r="K92" t="s">
        <v>27</v>
      </c>
      <c r="L92" t="s">
        <v>290</v>
      </c>
      <c r="M92" t="s">
        <v>40</v>
      </c>
      <c r="N92" t="s">
        <v>41</v>
      </c>
      <c r="O92" s="5">
        <v>0.85099999999999998</v>
      </c>
      <c r="P92" s="5" t="str">
        <f>IF(O92 &gt; VLOOKUP(M92, 'Descriptive Statistics'!H:I, 2, FALSE), "yes", "no")</f>
        <v>yes</v>
      </c>
      <c r="Q92" s="9">
        <f>IFERROR(VALUE(SUBSTITUTE(O92,"%","")), "")</f>
        <v>0.85099999999999998</v>
      </c>
      <c r="R92" t="s">
        <v>321</v>
      </c>
      <c r="S92" t="s">
        <v>322</v>
      </c>
      <c r="T92" t="s">
        <v>27</v>
      </c>
      <c r="U92" t="s">
        <v>27</v>
      </c>
      <c r="V92" t="s">
        <v>27</v>
      </c>
      <c r="W92" t="s">
        <v>323</v>
      </c>
    </row>
    <row r="93" spans="1:23" ht="15" customHeight="1">
      <c r="A93">
        <v>38</v>
      </c>
      <c r="B93" t="s">
        <v>38</v>
      </c>
      <c r="C93">
        <v>2022</v>
      </c>
      <c r="D93" t="s">
        <v>324</v>
      </c>
      <c r="E93" t="s">
        <v>25</v>
      </c>
      <c r="F93">
        <v>78</v>
      </c>
      <c r="G93" t="s">
        <v>26</v>
      </c>
      <c r="H93">
        <v>1</v>
      </c>
      <c r="I93">
        <v>2</v>
      </c>
      <c r="J93" t="s">
        <v>27</v>
      </c>
      <c r="K93" t="s">
        <v>27</v>
      </c>
      <c r="L93" t="s">
        <v>315</v>
      </c>
      <c r="M93" t="s">
        <v>40</v>
      </c>
      <c r="N93" t="s">
        <v>41</v>
      </c>
      <c r="O93" s="5">
        <v>0.73699999999999999</v>
      </c>
      <c r="P93" s="5" t="str">
        <f>IF(O93 &gt; VLOOKUP(M93, 'Descriptive Statistics'!H:I, 2, FALSE), "yes", "no")</f>
        <v>yes</v>
      </c>
      <c r="Q93" s="9">
        <f>IFERROR(VALUE(SUBSTITUTE(O93,"%","")), "")</f>
        <v>0.73699999999999999</v>
      </c>
      <c r="R93" t="s">
        <v>325</v>
      </c>
      <c r="S93" t="s">
        <v>326</v>
      </c>
      <c r="T93" t="s">
        <v>318</v>
      </c>
      <c r="U93" t="s">
        <v>319</v>
      </c>
      <c r="V93" t="s">
        <v>27</v>
      </c>
      <c r="W93" t="s">
        <v>327</v>
      </c>
    </row>
    <row r="94" spans="1:23" ht="15" customHeight="1">
      <c r="A94">
        <v>38</v>
      </c>
      <c r="B94" t="s">
        <v>38</v>
      </c>
      <c r="C94">
        <v>2022</v>
      </c>
      <c r="D94" t="s">
        <v>34</v>
      </c>
      <c r="E94" t="s">
        <v>25</v>
      </c>
      <c r="F94">
        <v>177</v>
      </c>
      <c r="G94" t="s">
        <v>26</v>
      </c>
      <c r="H94">
        <v>1</v>
      </c>
      <c r="I94">
        <v>2</v>
      </c>
      <c r="J94" t="s">
        <v>27</v>
      </c>
      <c r="K94" t="s">
        <v>27</v>
      </c>
      <c r="L94" t="s">
        <v>315</v>
      </c>
      <c r="M94" t="s">
        <v>40</v>
      </c>
      <c r="N94" t="s">
        <v>41</v>
      </c>
      <c r="O94" s="5">
        <v>0.75700000000000001</v>
      </c>
      <c r="P94" s="5" t="str">
        <f>IF(O94 &gt; VLOOKUP(M94, 'Descriptive Statistics'!H:I, 2, FALSE), "yes", "no")</f>
        <v>yes</v>
      </c>
      <c r="Q94" s="9">
        <f>IFERROR(VALUE(SUBSTITUTE(O94,"%","")), "")</f>
        <v>0.75700000000000001</v>
      </c>
      <c r="R94" t="s">
        <v>328</v>
      </c>
      <c r="S94" t="s">
        <v>329</v>
      </c>
      <c r="T94" t="s">
        <v>318</v>
      </c>
      <c r="U94" t="s">
        <v>319</v>
      </c>
      <c r="V94" t="s">
        <v>27</v>
      </c>
      <c r="W94" t="s">
        <v>330</v>
      </c>
    </row>
    <row r="95" spans="1:23" ht="15" customHeight="1">
      <c r="A95">
        <v>39</v>
      </c>
      <c r="B95" t="s">
        <v>331</v>
      </c>
      <c r="C95">
        <v>1982</v>
      </c>
      <c r="D95" t="s">
        <v>24</v>
      </c>
      <c r="E95" t="s">
        <v>25</v>
      </c>
      <c r="F95">
        <v>237</v>
      </c>
      <c r="G95" t="s">
        <v>26</v>
      </c>
      <c r="H95">
        <v>2</v>
      </c>
      <c r="I95">
        <v>1</v>
      </c>
      <c r="J95" t="s">
        <v>27</v>
      </c>
      <c r="K95" t="s">
        <v>27</v>
      </c>
      <c r="L95" t="s">
        <v>290</v>
      </c>
      <c r="M95" t="s">
        <v>29</v>
      </c>
      <c r="N95" t="s">
        <v>41</v>
      </c>
      <c r="O95" s="5">
        <v>0.34200000000000003</v>
      </c>
      <c r="P95" s="5" t="str">
        <f>IF(O95 &gt; VLOOKUP(M95, 'Descriptive Statistics'!H:I, 2, FALSE), "yes", "no")</f>
        <v>yes</v>
      </c>
      <c r="Q95" s="9">
        <f>IFERROR(VALUE(SUBSTITUTE(O95,"%","")), "")</f>
        <v>0.34200000000000003</v>
      </c>
      <c r="R95" t="s">
        <v>332</v>
      </c>
      <c r="S95" t="s">
        <v>333</v>
      </c>
      <c r="T95" t="s">
        <v>27</v>
      </c>
      <c r="U95" t="s">
        <v>27</v>
      </c>
      <c r="V95" t="s">
        <v>27</v>
      </c>
      <c r="W95" t="s">
        <v>334</v>
      </c>
    </row>
    <row r="96" spans="1:23" ht="15" customHeight="1">
      <c r="A96">
        <v>39</v>
      </c>
      <c r="B96" t="s">
        <v>331</v>
      </c>
      <c r="C96">
        <v>1982</v>
      </c>
      <c r="D96" t="s">
        <v>33</v>
      </c>
      <c r="E96" t="s">
        <v>25</v>
      </c>
      <c r="F96">
        <v>197</v>
      </c>
      <c r="G96" t="s">
        <v>26</v>
      </c>
      <c r="H96">
        <v>2</v>
      </c>
      <c r="I96">
        <v>1</v>
      </c>
      <c r="J96" t="s">
        <v>27</v>
      </c>
      <c r="K96" t="s">
        <v>27</v>
      </c>
      <c r="L96" t="s">
        <v>290</v>
      </c>
      <c r="M96" t="s">
        <v>29</v>
      </c>
      <c r="N96" t="s">
        <v>41</v>
      </c>
      <c r="O96" s="5">
        <v>0.123</v>
      </c>
      <c r="P96" s="5" t="str">
        <f>IF(O96 &gt; VLOOKUP(M96, 'Descriptive Statistics'!H:I, 2, FALSE), "yes", "no")</f>
        <v>no</v>
      </c>
      <c r="Q96" s="9">
        <f>IFERROR(VALUE(SUBSTITUTE(O96,"%","")), "")</f>
        <v>0.123</v>
      </c>
      <c r="R96" t="s">
        <v>335</v>
      </c>
      <c r="S96" t="s">
        <v>336</v>
      </c>
      <c r="T96" t="s">
        <v>27</v>
      </c>
      <c r="U96" t="s">
        <v>27</v>
      </c>
      <c r="V96" t="s">
        <v>27</v>
      </c>
      <c r="W96" t="s">
        <v>334</v>
      </c>
    </row>
    <row r="97" spans="1:23" ht="15" customHeight="1">
      <c r="A97">
        <v>39</v>
      </c>
      <c r="B97" t="s">
        <v>331</v>
      </c>
      <c r="C97">
        <v>1982</v>
      </c>
      <c r="D97" t="s">
        <v>34</v>
      </c>
      <c r="E97" t="s">
        <v>25</v>
      </c>
      <c r="F97">
        <v>33</v>
      </c>
      <c r="G97" t="s">
        <v>26</v>
      </c>
      <c r="H97">
        <v>1</v>
      </c>
      <c r="I97">
        <v>2</v>
      </c>
      <c r="J97" t="s">
        <v>27</v>
      </c>
      <c r="K97" t="s">
        <v>27</v>
      </c>
      <c r="L97" t="s">
        <v>290</v>
      </c>
      <c r="M97" t="s">
        <v>29</v>
      </c>
      <c r="N97" t="s">
        <v>41</v>
      </c>
      <c r="O97" s="5">
        <v>0.121</v>
      </c>
      <c r="P97" s="5" t="str">
        <f>IF(O97 &gt; VLOOKUP(M97, 'Descriptive Statistics'!H:I, 2, FALSE), "yes", "no")</f>
        <v>no</v>
      </c>
      <c r="Q97" s="9">
        <f>IFERROR(VALUE(SUBSTITUTE(O97,"%","")), "")</f>
        <v>0.121</v>
      </c>
      <c r="R97" t="s">
        <v>337</v>
      </c>
      <c r="S97" t="s">
        <v>338</v>
      </c>
      <c r="T97" t="s">
        <v>27</v>
      </c>
      <c r="U97" t="s">
        <v>27</v>
      </c>
      <c r="V97" t="s">
        <v>27</v>
      </c>
      <c r="W97" t="s">
        <v>334</v>
      </c>
    </row>
    <row r="98" spans="1:23" ht="15" customHeight="1">
      <c r="A98">
        <v>40</v>
      </c>
      <c r="B98" t="s">
        <v>339</v>
      </c>
      <c r="C98">
        <v>2024</v>
      </c>
      <c r="D98" t="s">
        <v>340</v>
      </c>
      <c r="E98" t="s">
        <v>340</v>
      </c>
      <c r="F98">
        <v>104</v>
      </c>
      <c r="G98" t="s">
        <v>26</v>
      </c>
      <c r="H98">
        <v>5</v>
      </c>
      <c r="I98">
        <v>1</v>
      </c>
      <c r="J98" t="s">
        <v>41</v>
      </c>
      <c r="K98" t="s">
        <v>41</v>
      </c>
      <c r="L98" t="s">
        <v>341</v>
      </c>
      <c r="M98" t="s">
        <v>40</v>
      </c>
      <c r="N98" t="s">
        <v>41</v>
      </c>
      <c r="O98" s="5">
        <v>0.43269999999999997</v>
      </c>
      <c r="P98" s="5" t="str">
        <f>IF(O98 &gt; VLOOKUP(M98, 'Descriptive Statistics'!H:I, 2, FALSE), "yes", "no")</f>
        <v>no</v>
      </c>
      <c r="Q98" s="9">
        <f>IFERROR(VALUE(SUBSTITUTE(O98,"%","")), "")</f>
        <v>0.43269999999999997</v>
      </c>
      <c r="R98" t="s">
        <v>342</v>
      </c>
      <c r="S98" t="s">
        <v>343</v>
      </c>
      <c r="T98" t="s">
        <v>270</v>
      </c>
      <c r="U98" t="s">
        <v>344</v>
      </c>
      <c r="V98" t="s">
        <v>27</v>
      </c>
      <c r="W98" t="s">
        <v>345</v>
      </c>
    </row>
    <row r="99" spans="1:23" ht="15" customHeight="1">
      <c r="A99">
        <v>41</v>
      </c>
      <c r="B99" t="s">
        <v>346</v>
      </c>
      <c r="C99">
        <v>2025</v>
      </c>
      <c r="D99" t="s">
        <v>33</v>
      </c>
      <c r="E99" t="s">
        <v>25</v>
      </c>
      <c r="F99">
        <v>15</v>
      </c>
      <c r="G99" t="s">
        <v>26</v>
      </c>
      <c r="H99">
        <v>2</v>
      </c>
      <c r="I99">
        <v>1</v>
      </c>
      <c r="J99" t="s">
        <v>27</v>
      </c>
      <c r="K99" t="s">
        <v>27</v>
      </c>
      <c r="L99">
        <v>18</v>
      </c>
      <c r="M99" t="s">
        <v>75</v>
      </c>
      <c r="N99" t="s">
        <v>41</v>
      </c>
      <c r="O99" s="5">
        <v>0.73</v>
      </c>
      <c r="P99" s="5" t="str">
        <f>IF(O99 &gt; VLOOKUP(M99, 'Descriptive Statistics'!H:I, 2, FALSE), "yes", "no")</f>
        <v>yes</v>
      </c>
      <c r="Q99" s="9">
        <f>IFERROR(VALUE(SUBSTITUTE(O99,"%","")), "")</f>
        <v>0.73</v>
      </c>
      <c r="R99" t="s">
        <v>347</v>
      </c>
      <c r="S99" t="s">
        <v>348</v>
      </c>
      <c r="T99" t="s">
        <v>349</v>
      </c>
      <c r="U99" t="s">
        <v>350</v>
      </c>
      <c r="V99" t="s">
        <v>27</v>
      </c>
      <c r="W99" t="s">
        <v>351</v>
      </c>
    </row>
    <row r="100" spans="1:23" ht="15" customHeight="1">
      <c r="A100">
        <v>42</v>
      </c>
      <c r="B100" t="s">
        <v>352</v>
      </c>
      <c r="C100">
        <v>2024</v>
      </c>
      <c r="D100" t="s">
        <v>59</v>
      </c>
      <c r="E100" t="s">
        <v>36</v>
      </c>
      <c r="F100">
        <v>45</v>
      </c>
      <c r="G100" t="s">
        <v>37</v>
      </c>
      <c r="H100">
        <v>3</v>
      </c>
      <c r="I100">
        <v>3</v>
      </c>
      <c r="J100" t="s">
        <v>27</v>
      </c>
      <c r="K100" t="s">
        <v>27</v>
      </c>
      <c r="L100" t="s">
        <v>353</v>
      </c>
      <c r="M100" t="s">
        <v>75</v>
      </c>
      <c r="N100" t="s">
        <v>41</v>
      </c>
      <c r="O100" s="5">
        <v>4.3999999999999997E-2</v>
      </c>
      <c r="P100" s="5" t="str">
        <f>IF(O100 &gt; VLOOKUP(M100, 'Descriptive Statistics'!H:I, 2, FALSE), "yes", "no")</f>
        <v>no</v>
      </c>
      <c r="Q100" s="9">
        <f>IFERROR(VALUE(SUBSTITUTE(O100,"%","")), "")</f>
        <v>4.3999999999999997E-2</v>
      </c>
      <c r="R100" t="s">
        <v>354</v>
      </c>
      <c r="S100" t="s">
        <v>355</v>
      </c>
      <c r="T100" t="s">
        <v>356</v>
      </c>
      <c r="U100" t="s">
        <v>118</v>
      </c>
      <c r="V100" t="s">
        <v>27</v>
      </c>
      <c r="W100" t="s">
        <v>357</v>
      </c>
    </row>
    <row r="101" spans="1:23" ht="15" customHeight="1">
      <c r="A101">
        <v>43</v>
      </c>
      <c r="B101" t="s">
        <v>358</v>
      </c>
      <c r="C101">
        <v>2025</v>
      </c>
      <c r="D101" t="s">
        <v>39</v>
      </c>
      <c r="E101" t="s">
        <v>25</v>
      </c>
      <c r="F101">
        <v>20</v>
      </c>
      <c r="G101" t="s">
        <v>26</v>
      </c>
      <c r="H101">
        <v>1</v>
      </c>
      <c r="I101">
        <v>1</v>
      </c>
      <c r="J101" t="s">
        <v>27</v>
      </c>
      <c r="K101" t="s">
        <v>27</v>
      </c>
      <c r="L101" t="s">
        <v>359</v>
      </c>
      <c r="M101" t="s">
        <v>40</v>
      </c>
      <c r="N101" t="s">
        <v>41</v>
      </c>
      <c r="O101" s="5">
        <v>0.5</v>
      </c>
      <c r="P101" s="5" t="str">
        <f>IF(O101 &gt; VLOOKUP(M101, 'Descriptive Statistics'!H:I, 2, FALSE), "yes", "no")</f>
        <v>no</v>
      </c>
      <c r="Q101" s="9">
        <f>IFERROR(VALUE(SUBSTITUTE(O101,"%","")), "")</f>
        <v>0.5</v>
      </c>
      <c r="R101" t="s">
        <v>360</v>
      </c>
      <c r="S101" t="s">
        <v>361</v>
      </c>
      <c r="T101" t="s">
        <v>118</v>
      </c>
      <c r="U101" t="s">
        <v>362</v>
      </c>
      <c r="V101" t="s">
        <v>27</v>
      </c>
      <c r="W101" t="s">
        <v>363</v>
      </c>
    </row>
    <row r="102" spans="1:23" ht="15" customHeight="1">
      <c r="A102">
        <v>44</v>
      </c>
      <c r="B102" t="s">
        <v>364</v>
      </c>
      <c r="C102">
        <v>2023</v>
      </c>
      <c r="D102" t="s">
        <v>365</v>
      </c>
      <c r="E102" t="s">
        <v>25</v>
      </c>
      <c r="F102">
        <v>49</v>
      </c>
      <c r="G102" t="s">
        <v>26</v>
      </c>
      <c r="H102">
        <v>2</v>
      </c>
      <c r="I102">
        <v>2</v>
      </c>
      <c r="J102" t="s">
        <v>27</v>
      </c>
      <c r="K102" t="s">
        <v>27</v>
      </c>
      <c r="L102" t="s">
        <v>366</v>
      </c>
      <c r="M102" t="s">
        <v>40</v>
      </c>
      <c r="N102" t="s">
        <v>41</v>
      </c>
      <c r="O102" s="5">
        <v>1</v>
      </c>
      <c r="P102" s="5" t="str">
        <f>IF(O102 &gt; VLOOKUP(M102, 'Descriptive Statistics'!H:I, 2, FALSE), "yes", "no")</f>
        <v>yes</v>
      </c>
      <c r="Q102" s="9">
        <f>IFERROR(VALUE(SUBSTITUTE(O102,"%","")), "")</f>
        <v>1</v>
      </c>
      <c r="R102" t="s">
        <v>367</v>
      </c>
      <c r="S102" t="s">
        <v>368</v>
      </c>
      <c r="T102" t="s">
        <v>369</v>
      </c>
      <c r="U102" t="s">
        <v>370</v>
      </c>
      <c r="V102" t="s">
        <v>27</v>
      </c>
      <c r="W102" t="s">
        <v>371</v>
      </c>
    </row>
    <row r="103" spans="1:23" ht="15" customHeight="1">
      <c r="A103">
        <v>45</v>
      </c>
      <c r="B103" t="s">
        <v>372</v>
      </c>
      <c r="C103">
        <v>2020</v>
      </c>
      <c r="D103" t="s">
        <v>373</v>
      </c>
      <c r="E103" s="2" t="s">
        <v>74</v>
      </c>
      <c r="F103">
        <v>52</v>
      </c>
      <c r="G103" t="s">
        <v>26</v>
      </c>
      <c r="H103">
        <v>2</v>
      </c>
      <c r="I103">
        <v>1</v>
      </c>
      <c r="J103" t="s">
        <v>41</v>
      </c>
      <c r="K103" t="s">
        <v>27</v>
      </c>
      <c r="L103" t="s">
        <v>374</v>
      </c>
      <c r="M103" t="s">
        <v>40</v>
      </c>
      <c r="N103" t="s">
        <v>41</v>
      </c>
      <c r="O103" s="5">
        <v>0.55800000000000005</v>
      </c>
      <c r="P103" s="5" t="str">
        <f>IF(O103 &gt; VLOOKUP(M103, 'Descriptive Statistics'!H:I, 2, FALSE), "yes", "no")</f>
        <v>no</v>
      </c>
      <c r="Q103" s="9">
        <f>IFERROR(VALUE(SUBSTITUTE(O103,"%","")), "")</f>
        <v>0.55800000000000005</v>
      </c>
      <c r="R103" t="s">
        <v>375</v>
      </c>
      <c r="S103" t="s">
        <v>376</v>
      </c>
      <c r="T103" t="s">
        <v>377</v>
      </c>
      <c r="U103" t="s">
        <v>378</v>
      </c>
      <c r="V103" t="s">
        <v>27</v>
      </c>
      <c r="W103" t="s">
        <v>379</v>
      </c>
    </row>
    <row r="104" spans="1:23" ht="15" customHeight="1">
      <c r="A104">
        <v>45</v>
      </c>
      <c r="B104" t="s">
        <v>372</v>
      </c>
      <c r="C104">
        <v>2020</v>
      </c>
      <c r="D104" t="s">
        <v>289</v>
      </c>
      <c r="E104" s="2" t="s">
        <v>74</v>
      </c>
      <c r="F104">
        <v>114</v>
      </c>
      <c r="G104" t="s">
        <v>26</v>
      </c>
      <c r="H104">
        <v>2</v>
      </c>
      <c r="I104">
        <v>1</v>
      </c>
      <c r="J104" t="s">
        <v>41</v>
      </c>
      <c r="K104" t="s">
        <v>27</v>
      </c>
      <c r="L104" t="s">
        <v>380</v>
      </c>
      <c r="M104" t="s">
        <v>40</v>
      </c>
      <c r="N104" t="s">
        <v>41</v>
      </c>
      <c r="O104" s="5">
        <v>0.35099999999999998</v>
      </c>
      <c r="P104" s="5" t="str">
        <f>IF(O104 &gt; VLOOKUP(M104, 'Descriptive Statistics'!H:I, 2, FALSE), "yes", "no")</f>
        <v>no</v>
      </c>
      <c r="Q104" s="9">
        <f>IFERROR(VALUE(SUBSTITUTE(O104,"%","")), "")</f>
        <v>0.35099999999999998</v>
      </c>
      <c r="R104" t="s">
        <v>381</v>
      </c>
      <c r="S104" t="s">
        <v>382</v>
      </c>
      <c r="T104" t="s">
        <v>383</v>
      </c>
      <c r="U104" t="s">
        <v>378</v>
      </c>
      <c r="V104" t="s">
        <v>384</v>
      </c>
      <c r="W104" t="s">
        <v>385</v>
      </c>
    </row>
    <row r="105" spans="1:23" ht="15" customHeight="1">
      <c r="A105">
        <v>46</v>
      </c>
      <c r="B105" t="s">
        <v>386</v>
      </c>
      <c r="C105">
        <v>2023</v>
      </c>
      <c r="D105" t="s">
        <v>340</v>
      </c>
      <c r="E105" t="s">
        <v>340</v>
      </c>
      <c r="F105">
        <v>50</v>
      </c>
      <c r="G105" t="s">
        <v>26</v>
      </c>
      <c r="H105">
        <v>5</v>
      </c>
      <c r="I105">
        <v>1</v>
      </c>
      <c r="J105" t="s">
        <v>41</v>
      </c>
      <c r="K105" t="s">
        <v>41</v>
      </c>
      <c r="L105" t="s">
        <v>387</v>
      </c>
      <c r="M105" t="s">
        <v>75</v>
      </c>
      <c r="N105" t="s">
        <v>41</v>
      </c>
      <c r="O105" s="5">
        <v>0.26</v>
      </c>
      <c r="P105" s="5" t="str">
        <f>IF(O105 &gt; VLOOKUP(M105, 'Descriptive Statistics'!H:I, 2, FALSE), "yes", "no")</f>
        <v>no</v>
      </c>
      <c r="Q105" s="9">
        <f>IFERROR(VALUE(SUBSTITUTE(O105,"%","")), "")</f>
        <v>0.26</v>
      </c>
      <c r="R105" t="s">
        <v>388</v>
      </c>
      <c r="S105" t="s">
        <v>389</v>
      </c>
      <c r="T105" t="s">
        <v>118</v>
      </c>
      <c r="U105" t="s">
        <v>390</v>
      </c>
      <c r="V105" t="s">
        <v>27</v>
      </c>
      <c r="W105" t="s">
        <v>391</v>
      </c>
    </row>
    <row r="106" spans="1:23" ht="15" customHeight="1">
      <c r="A106">
        <v>46</v>
      </c>
      <c r="B106" t="s">
        <v>386</v>
      </c>
      <c r="C106">
        <v>2023</v>
      </c>
      <c r="D106" t="s">
        <v>392</v>
      </c>
      <c r="E106" t="s">
        <v>393</v>
      </c>
      <c r="F106">
        <v>19</v>
      </c>
      <c r="G106" t="s">
        <v>26</v>
      </c>
      <c r="H106">
        <v>5</v>
      </c>
      <c r="I106">
        <v>3</v>
      </c>
      <c r="J106" t="s">
        <v>27</v>
      </c>
      <c r="K106" t="s">
        <v>27</v>
      </c>
      <c r="L106" t="s">
        <v>394</v>
      </c>
      <c r="M106" t="s">
        <v>75</v>
      </c>
      <c r="N106" t="s">
        <v>41</v>
      </c>
      <c r="O106" s="5">
        <v>0.26</v>
      </c>
      <c r="P106" s="5" t="str">
        <f>IF(O106 &gt; VLOOKUP(M106, 'Descriptive Statistics'!H:I, 2, FALSE), "yes", "no")</f>
        <v>no</v>
      </c>
      <c r="Q106" s="9">
        <f>IFERROR(VALUE(SUBSTITUTE(O106,"%","")), "")</f>
        <v>0.26</v>
      </c>
      <c r="R106" t="s">
        <v>395</v>
      </c>
      <c r="S106" t="s">
        <v>396</v>
      </c>
      <c r="T106" t="s">
        <v>118</v>
      </c>
      <c r="U106" t="s">
        <v>390</v>
      </c>
      <c r="V106" t="s">
        <v>397</v>
      </c>
      <c r="W106" t="s">
        <v>391</v>
      </c>
    </row>
    <row r="107" spans="1:23" ht="15" customHeight="1">
      <c r="A107">
        <v>47</v>
      </c>
      <c r="B107" t="s">
        <v>398</v>
      </c>
      <c r="C107">
        <v>2019</v>
      </c>
      <c r="D107" t="s">
        <v>340</v>
      </c>
      <c r="E107" t="s">
        <v>340</v>
      </c>
      <c r="F107">
        <v>25</v>
      </c>
      <c r="G107" t="s">
        <v>26</v>
      </c>
      <c r="H107">
        <v>5</v>
      </c>
      <c r="I107">
        <v>1</v>
      </c>
      <c r="J107" t="s">
        <v>41</v>
      </c>
      <c r="K107" t="s">
        <v>41</v>
      </c>
      <c r="L107" t="s">
        <v>399</v>
      </c>
      <c r="M107" t="s">
        <v>40</v>
      </c>
      <c r="N107" t="s">
        <v>41</v>
      </c>
      <c r="O107" s="5">
        <v>0.24</v>
      </c>
      <c r="P107" s="5" t="str">
        <f>IF(O107 &gt; VLOOKUP(M107, 'Descriptive Statistics'!H:I, 2, FALSE), "yes", "no")</f>
        <v>no</v>
      </c>
      <c r="Q107" s="9">
        <f>IFERROR(VALUE(SUBSTITUTE(O107,"%","")), "")</f>
        <v>0.24</v>
      </c>
      <c r="R107" t="s">
        <v>400</v>
      </c>
      <c r="S107" t="s">
        <v>401</v>
      </c>
      <c r="T107" t="s">
        <v>402</v>
      </c>
      <c r="U107" t="s">
        <v>403</v>
      </c>
      <c r="V107" t="s">
        <v>27</v>
      </c>
      <c r="W107" t="s">
        <v>404</v>
      </c>
    </row>
    <row r="108" spans="1:23" ht="15" customHeight="1">
      <c r="A108">
        <v>48</v>
      </c>
      <c r="B108" t="s">
        <v>405</v>
      </c>
      <c r="C108">
        <v>2023</v>
      </c>
      <c r="D108" t="s">
        <v>124</v>
      </c>
      <c r="E108" t="s">
        <v>62</v>
      </c>
      <c r="F108">
        <v>206</v>
      </c>
      <c r="G108" t="s">
        <v>26</v>
      </c>
      <c r="H108">
        <v>2</v>
      </c>
      <c r="I108">
        <v>1</v>
      </c>
      <c r="J108" t="s">
        <v>41</v>
      </c>
      <c r="K108" t="s">
        <v>27</v>
      </c>
      <c r="L108" t="s">
        <v>406</v>
      </c>
      <c r="M108" t="s">
        <v>29</v>
      </c>
      <c r="N108" t="s">
        <v>41</v>
      </c>
      <c r="O108" s="5">
        <v>0.22</v>
      </c>
      <c r="P108" s="5" t="str">
        <f>IF(O108 &gt; VLOOKUP(M108, 'Descriptive Statistics'!H:I, 2, FALSE), "yes", "no")</f>
        <v>yes</v>
      </c>
      <c r="Q108" s="9">
        <f>IFERROR(VALUE(SUBSTITUTE(O108,"%","")), "")</f>
        <v>0.22</v>
      </c>
      <c r="R108" t="s">
        <v>407</v>
      </c>
      <c r="S108" t="s">
        <v>408</v>
      </c>
      <c r="T108" t="s">
        <v>257</v>
      </c>
      <c r="U108" t="s">
        <v>409</v>
      </c>
      <c r="V108" t="s">
        <v>27</v>
      </c>
      <c r="W108" t="s">
        <v>410</v>
      </c>
    </row>
    <row r="109" spans="1:23" ht="15" customHeight="1">
      <c r="A109">
        <v>48</v>
      </c>
      <c r="B109" t="s">
        <v>405</v>
      </c>
      <c r="C109">
        <v>2023</v>
      </c>
      <c r="D109" t="s">
        <v>24</v>
      </c>
      <c r="E109" t="s">
        <v>25</v>
      </c>
      <c r="F109">
        <v>2860</v>
      </c>
      <c r="G109" t="s">
        <v>26</v>
      </c>
      <c r="H109">
        <v>2</v>
      </c>
      <c r="I109">
        <v>1</v>
      </c>
      <c r="J109" t="s">
        <v>27</v>
      </c>
      <c r="K109" t="s">
        <v>27</v>
      </c>
      <c r="L109" t="s">
        <v>406</v>
      </c>
      <c r="M109" t="s">
        <v>29</v>
      </c>
      <c r="N109" t="s">
        <v>41</v>
      </c>
      <c r="O109" s="5">
        <v>0.16</v>
      </c>
      <c r="P109" s="5" t="str">
        <f>IF(O109 &gt; VLOOKUP(M109, 'Descriptive Statistics'!H:I, 2, FALSE), "yes", "no")</f>
        <v>no</v>
      </c>
      <c r="Q109" s="9">
        <f>IFERROR(VALUE(SUBSTITUTE(O109,"%","")), "")</f>
        <v>0.16</v>
      </c>
      <c r="R109" t="s">
        <v>411</v>
      </c>
      <c r="S109" t="s">
        <v>408</v>
      </c>
      <c r="T109" t="s">
        <v>257</v>
      </c>
      <c r="U109" t="s">
        <v>412</v>
      </c>
      <c r="V109" t="s">
        <v>27</v>
      </c>
      <c r="W109" t="s">
        <v>410</v>
      </c>
    </row>
    <row r="110" spans="1:23" ht="15" customHeight="1">
      <c r="A110">
        <v>48</v>
      </c>
      <c r="B110" t="s">
        <v>405</v>
      </c>
      <c r="C110">
        <v>2023</v>
      </c>
      <c r="D110" t="s">
        <v>33</v>
      </c>
      <c r="E110" t="s">
        <v>25</v>
      </c>
      <c r="F110">
        <v>638</v>
      </c>
      <c r="G110" t="s">
        <v>26</v>
      </c>
      <c r="H110">
        <v>2</v>
      </c>
      <c r="I110">
        <v>1</v>
      </c>
      <c r="J110" t="s">
        <v>27</v>
      </c>
      <c r="K110" t="s">
        <v>27</v>
      </c>
      <c r="L110" t="s">
        <v>406</v>
      </c>
      <c r="M110" t="s">
        <v>29</v>
      </c>
      <c r="N110" t="s">
        <v>41</v>
      </c>
      <c r="O110" s="5">
        <v>0.18</v>
      </c>
      <c r="P110" s="5" t="str">
        <f>IF(O110 &gt; VLOOKUP(M110, 'Descriptive Statistics'!H:I, 2, FALSE), "yes", "no")</f>
        <v>yes</v>
      </c>
      <c r="Q110" s="9">
        <f>IFERROR(VALUE(SUBSTITUTE(O110,"%","")), "")</f>
        <v>0.18</v>
      </c>
      <c r="R110" t="s">
        <v>413</v>
      </c>
      <c r="S110" t="s">
        <v>408</v>
      </c>
      <c r="T110" t="s">
        <v>257</v>
      </c>
      <c r="U110" t="s">
        <v>409</v>
      </c>
      <c r="V110" t="s">
        <v>27</v>
      </c>
      <c r="W110" t="s">
        <v>410</v>
      </c>
    </row>
    <row r="111" spans="1:23" ht="15" customHeight="1">
      <c r="A111">
        <v>48</v>
      </c>
      <c r="B111" t="s">
        <v>405</v>
      </c>
      <c r="C111">
        <v>2023</v>
      </c>
      <c r="D111" t="s">
        <v>34</v>
      </c>
      <c r="E111" t="s">
        <v>25</v>
      </c>
      <c r="F111">
        <v>1571</v>
      </c>
      <c r="G111" t="s">
        <v>26</v>
      </c>
      <c r="H111">
        <v>1</v>
      </c>
      <c r="I111">
        <v>2</v>
      </c>
      <c r="J111" t="s">
        <v>27</v>
      </c>
      <c r="K111" t="s">
        <v>27</v>
      </c>
      <c r="L111" t="s">
        <v>406</v>
      </c>
      <c r="M111" t="s">
        <v>29</v>
      </c>
      <c r="N111" t="s">
        <v>41</v>
      </c>
      <c r="O111" s="5">
        <v>0.16</v>
      </c>
      <c r="P111" s="5" t="str">
        <f>IF(O111 &gt; VLOOKUP(M111, 'Descriptive Statistics'!H:I, 2, FALSE), "yes", "no")</f>
        <v>no</v>
      </c>
      <c r="Q111" s="9">
        <f>IFERROR(VALUE(SUBSTITUTE(O111,"%","")), "")</f>
        <v>0.16</v>
      </c>
      <c r="R111" t="s">
        <v>414</v>
      </c>
      <c r="S111" t="s">
        <v>408</v>
      </c>
      <c r="T111" t="s">
        <v>257</v>
      </c>
      <c r="U111" t="s">
        <v>409</v>
      </c>
      <c r="V111" t="s">
        <v>27</v>
      </c>
      <c r="W111" t="s">
        <v>410</v>
      </c>
    </row>
    <row r="112" spans="1:23" ht="15" customHeight="1">
      <c r="A112">
        <v>48</v>
      </c>
      <c r="B112" t="s">
        <v>405</v>
      </c>
      <c r="C112">
        <v>2023</v>
      </c>
      <c r="D112" t="s">
        <v>84</v>
      </c>
      <c r="E112" t="s">
        <v>84</v>
      </c>
      <c r="F112">
        <v>96</v>
      </c>
      <c r="G112" s="2" t="s">
        <v>26</v>
      </c>
      <c r="H112">
        <v>3</v>
      </c>
      <c r="I112" s="2">
        <v>2</v>
      </c>
      <c r="J112" s="2" t="s">
        <v>27</v>
      </c>
      <c r="K112" s="2" t="s">
        <v>27</v>
      </c>
      <c r="L112" t="s">
        <v>406</v>
      </c>
      <c r="M112" t="s">
        <v>29</v>
      </c>
      <c r="N112" t="s">
        <v>41</v>
      </c>
      <c r="O112" s="5">
        <v>0.14000000000000001</v>
      </c>
      <c r="P112" s="5" t="str">
        <f>IF(O112 &gt; VLOOKUP(M112, 'Descriptive Statistics'!H:I, 2, FALSE), "yes", "no")</f>
        <v>no</v>
      </c>
      <c r="Q112" s="9">
        <f>IFERROR(VALUE(SUBSTITUTE(O112,"%","")), "")</f>
        <v>0.14000000000000001</v>
      </c>
      <c r="R112" t="s">
        <v>415</v>
      </c>
      <c r="S112" t="s">
        <v>408</v>
      </c>
      <c r="T112" t="s">
        <v>257</v>
      </c>
      <c r="U112" t="s">
        <v>409</v>
      </c>
      <c r="V112" t="s">
        <v>27</v>
      </c>
      <c r="W112" t="s">
        <v>410</v>
      </c>
    </row>
    <row r="113" spans="1:23" ht="15" customHeight="1">
      <c r="A113">
        <v>48</v>
      </c>
      <c r="B113" t="s">
        <v>405</v>
      </c>
      <c r="C113">
        <v>2023</v>
      </c>
      <c r="D113" t="s">
        <v>416</v>
      </c>
      <c r="E113" t="s">
        <v>132</v>
      </c>
      <c r="F113">
        <v>424</v>
      </c>
      <c r="G113" t="s">
        <v>26</v>
      </c>
      <c r="H113">
        <v>5</v>
      </c>
      <c r="I113">
        <v>2</v>
      </c>
      <c r="J113" t="s">
        <v>27</v>
      </c>
      <c r="K113" t="s">
        <v>27</v>
      </c>
      <c r="L113" t="s">
        <v>406</v>
      </c>
      <c r="M113" t="s">
        <v>29</v>
      </c>
      <c r="N113" t="s">
        <v>41</v>
      </c>
      <c r="O113" s="5">
        <v>0.18</v>
      </c>
      <c r="P113" s="5" t="str">
        <f>IF(O113 &gt; VLOOKUP(M113, 'Descriptive Statistics'!H:I, 2, FALSE), "yes", "no")</f>
        <v>yes</v>
      </c>
      <c r="Q113" s="9">
        <f>IFERROR(VALUE(SUBSTITUTE(O113,"%","")), "")</f>
        <v>0.18</v>
      </c>
      <c r="R113" t="s">
        <v>417</v>
      </c>
      <c r="S113" t="s">
        <v>408</v>
      </c>
      <c r="T113" t="s">
        <v>257</v>
      </c>
      <c r="U113" t="s">
        <v>409</v>
      </c>
      <c r="V113" t="s">
        <v>27</v>
      </c>
      <c r="W113" t="s">
        <v>410</v>
      </c>
    </row>
    <row r="114" spans="1:23" ht="15" customHeight="1">
      <c r="A114">
        <v>48</v>
      </c>
      <c r="B114" t="s">
        <v>405</v>
      </c>
      <c r="C114">
        <v>2023</v>
      </c>
      <c r="D114" t="s">
        <v>418</v>
      </c>
      <c r="E114" t="s">
        <v>36</v>
      </c>
      <c r="F114">
        <v>156</v>
      </c>
      <c r="G114" t="s">
        <v>37</v>
      </c>
      <c r="H114">
        <v>3</v>
      </c>
      <c r="I114">
        <v>3</v>
      </c>
      <c r="J114" t="s">
        <v>27</v>
      </c>
      <c r="K114" t="s">
        <v>27</v>
      </c>
      <c r="L114" t="s">
        <v>406</v>
      </c>
      <c r="M114" t="s">
        <v>29</v>
      </c>
      <c r="N114" t="s">
        <v>41</v>
      </c>
      <c r="O114" s="5">
        <v>0.19</v>
      </c>
      <c r="P114" s="5" t="str">
        <f>IF(O114 &gt; VLOOKUP(M114, 'Descriptive Statistics'!H:I, 2, FALSE), "yes", "no")</f>
        <v>yes</v>
      </c>
      <c r="Q114" s="9">
        <f>IFERROR(VALUE(SUBSTITUTE(O114,"%","")), "")</f>
        <v>0.19</v>
      </c>
      <c r="R114" t="s">
        <v>419</v>
      </c>
      <c r="S114" t="s">
        <v>408</v>
      </c>
      <c r="T114" t="s">
        <v>257</v>
      </c>
      <c r="U114" t="s">
        <v>409</v>
      </c>
      <c r="V114" t="s">
        <v>27</v>
      </c>
      <c r="W114" t="s">
        <v>410</v>
      </c>
    </row>
    <row r="115" spans="1:23" ht="15" customHeight="1">
      <c r="A115">
        <v>48</v>
      </c>
      <c r="B115" t="s">
        <v>405</v>
      </c>
      <c r="C115">
        <v>2023</v>
      </c>
      <c r="D115" t="s">
        <v>107</v>
      </c>
      <c r="E115" t="s">
        <v>107</v>
      </c>
      <c r="F115">
        <v>52</v>
      </c>
      <c r="G115" t="s">
        <v>26</v>
      </c>
      <c r="H115">
        <v>4</v>
      </c>
      <c r="I115">
        <v>3</v>
      </c>
      <c r="J115" t="s">
        <v>27</v>
      </c>
      <c r="K115" t="s">
        <v>27</v>
      </c>
      <c r="L115" t="s">
        <v>406</v>
      </c>
      <c r="M115" t="s">
        <v>29</v>
      </c>
      <c r="N115" t="s">
        <v>41</v>
      </c>
      <c r="O115" s="5">
        <v>0.12</v>
      </c>
      <c r="P115" s="5" t="str">
        <f>IF(O115 &gt; VLOOKUP(M115, 'Descriptive Statistics'!H:I, 2, FALSE), "yes", "no")</f>
        <v>no</v>
      </c>
      <c r="Q115" s="9">
        <f>IFERROR(VALUE(SUBSTITUTE(O115,"%","")), "")</f>
        <v>0.12</v>
      </c>
      <c r="R115" t="s">
        <v>420</v>
      </c>
      <c r="S115" t="s">
        <v>408</v>
      </c>
      <c r="T115" t="s">
        <v>257</v>
      </c>
      <c r="U115" t="s">
        <v>409</v>
      </c>
      <c r="V115" t="s">
        <v>27</v>
      </c>
      <c r="W115" t="s">
        <v>410</v>
      </c>
    </row>
    <row r="116" spans="1:23" ht="15" customHeight="1">
      <c r="A116">
        <v>48</v>
      </c>
      <c r="B116" t="s">
        <v>405</v>
      </c>
      <c r="C116">
        <v>2023</v>
      </c>
      <c r="D116" t="s">
        <v>392</v>
      </c>
      <c r="E116" t="s">
        <v>393</v>
      </c>
      <c r="F116">
        <v>1265</v>
      </c>
      <c r="G116" t="s">
        <v>26</v>
      </c>
      <c r="H116">
        <v>5</v>
      </c>
      <c r="I116">
        <v>3</v>
      </c>
      <c r="J116" t="s">
        <v>27</v>
      </c>
      <c r="K116" t="s">
        <v>27</v>
      </c>
      <c r="L116" t="s">
        <v>406</v>
      </c>
      <c r="M116" t="s">
        <v>29</v>
      </c>
      <c r="N116" t="s">
        <v>41</v>
      </c>
      <c r="O116" s="5">
        <v>0.17</v>
      </c>
      <c r="P116" s="5" t="str">
        <f>IF(O116 &gt; VLOOKUP(M116, 'Descriptive Statistics'!H:I, 2, FALSE), "yes", "no")</f>
        <v>no</v>
      </c>
      <c r="Q116" s="9">
        <f>IFERROR(VALUE(SUBSTITUTE(O116,"%","")), "")</f>
        <v>0.17</v>
      </c>
      <c r="R116" t="s">
        <v>421</v>
      </c>
      <c r="S116" t="s">
        <v>408</v>
      </c>
      <c r="T116" t="s">
        <v>257</v>
      </c>
      <c r="U116" t="s">
        <v>409</v>
      </c>
      <c r="V116" t="s">
        <v>27</v>
      </c>
      <c r="W116" t="s">
        <v>410</v>
      </c>
    </row>
    <row r="117" spans="1:23" ht="15" customHeight="1">
      <c r="A117">
        <v>48</v>
      </c>
      <c r="B117" t="s">
        <v>405</v>
      </c>
      <c r="C117">
        <v>2023</v>
      </c>
      <c r="D117" t="s">
        <v>392</v>
      </c>
      <c r="E117" t="s">
        <v>393</v>
      </c>
      <c r="F117">
        <v>1009</v>
      </c>
      <c r="G117" t="s">
        <v>26</v>
      </c>
      <c r="H117">
        <v>5</v>
      </c>
      <c r="I117">
        <v>3</v>
      </c>
      <c r="J117" t="s">
        <v>27</v>
      </c>
      <c r="K117" t="s">
        <v>27</v>
      </c>
      <c r="L117" t="s">
        <v>406</v>
      </c>
      <c r="M117" t="s">
        <v>29</v>
      </c>
      <c r="N117" t="s">
        <v>41</v>
      </c>
      <c r="O117" s="5">
        <v>0.16</v>
      </c>
      <c r="P117" s="5" t="str">
        <f>IF(O117 &gt; VLOOKUP(M117, 'Descriptive Statistics'!H:I, 2, FALSE), "yes", "no")</f>
        <v>no</v>
      </c>
      <c r="Q117" s="9">
        <f>IFERROR(VALUE(SUBSTITUTE(O117,"%","")), "")</f>
        <v>0.16</v>
      </c>
      <c r="R117" t="s">
        <v>421</v>
      </c>
      <c r="S117" t="s">
        <v>408</v>
      </c>
      <c r="T117" t="s">
        <v>257</v>
      </c>
      <c r="U117" t="s">
        <v>409</v>
      </c>
      <c r="V117" t="s">
        <v>27</v>
      </c>
      <c r="W117" t="s">
        <v>410</v>
      </c>
    </row>
    <row r="118" spans="1:23" ht="15" customHeight="1">
      <c r="A118">
        <v>49</v>
      </c>
      <c r="B118" t="s">
        <v>422</v>
      </c>
      <c r="C118">
        <v>2011</v>
      </c>
      <c r="D118" t="s">
        <v>423</v>
      </c>
      <c r="E118" s="2" t="s">
        <v>74</v>
      </c>
      <c r="F118">
        <v>39</v>
      </c>
      <c r="G118" t="s">
        <v>26</v>
      </c>
      <c r="H118">
        <v>2</v>
      </c>
      <c r="I118">
        <v>1</v>
      </c>
      <c r="J118" t="s">
        <v>41</v>
      </c>
      <c r="K118" t="s">
        <v>27</v>
      </c>
      <c r="L118" t="s">
        <v>424</v>
      </c>
      <c r="M118" t="s">
        <v>239</v>
      </c>
      <c r="N118" t="s">
        <v>41</v>
      </c>
      <c r="O118" s="5">
        <v>0.154</v>
      </c>
      <c r="P118" s="5" t="str">
        <f>IF(O118 &gt; VLOOKUP(M118, 'Descriptive Statistics'!H:I, 2, FALSE), "yes", "no")</f>
        <v>no</v>
      </c>
      <c r="Q118" s="9">
        <f>IFERROR(VALUE(SUBSTITUTE(O118,"%","")), "")</f>
        <v>0.154</v>
      </c>
      <c r="R118" t="s">
        <v>425</v>
      </c>
      <c r="S118" t="s">
        <v>426</v>
      </c>
      <c r="T118" t="s">
        <v>257</v>
      </c>
      <c r="U118" t="s">
        <v>118</v>
      </c>
      <c r="V118" t="s">
        <v>384</v>
      </c>
      <c r="W118" t="s">
        <v>427</v>
      </c>
    </row>
    <row r="119" spans="1:23" ht="15" customHeight="1">
      <c r="A119">
        <v>49</v>
      </c>
      <c r="B119" t="s">
        <v>422</v>
      </c>
      <c r="C119">
        <v>2011</v>
      </c>
      <c r="D119" t="s">
        <v>428</v>
      </c>
      <c r="E119" t="s">
        <v>25</v>
      </c>
      <c r="F119">
        <v>79</v>
      </c>
      <c r="G119" t="s">
        <v>26</v>
      </c>
      <c r="H119">
        <v>3</v>
      </c>
      <c r="I119">
        <v>2</v>
      </c>
      <c r="J119" t="s">
        <v>27</v>
      </c>
      <c r="K119" t="s">
        <v>27</v>
      </c>
      <c r="L119" t="s">
        <v>424</v>
      </c>
      <c r="M119" t="s">
        <v>239</v>
      </c>
      <c r="N119" t="s">
        <v>41</v>
      </c>
      <c r="O119" s="5">
        <v>0.10100000000000001</v>
      </c>
      <c r="P119" s="5" t="str">
        <f>IF(O119 &gt; VLOOKUP(M119, 'Descriptive Statistics'!H:I, 2, FALSE), "yes", "no")</f>
        <v>no</v>
      </c>
      <c r="Q119" s="9">
        <f>IFERROR(VALUE(SUBSTITUTE(O119,"%","")), "")</f>
        <v>0.10100000000000001</v>
      </c>
      <c r="R119" t="s">
        <v>429</v>
      </c>
      <c r="S119" t="s">
        <v>430</v>
      </c>
      <c r="T119" t="s">
        <v>257</v>
      </c>
      <c r="U119" t="s">
        <v>118</v>
      </c>
      <c r="V119" t="s">
        <v>384</v>
      </c>
      <c r="W119" t="s">
        <v>427</v>
      </c>
    </row>
    <row r="120" spans="1:23" ht="15" customHeight="1">
      <c r="A120">
        <v>49</v>
      </c>
      <c r="B120" t="s">
        <v>422</v>
      </c>
      <c r="C120">
        <v>2011</v>
      </c>
      <c r="D120" t="s">
        <v>431</v>
      </c>
      <c r="E120" t="s">
        <v>36</v>
      </c>
      <c r="F120">
        <v>170</v>
      </c>
      <c r="G120" t="s">
        <v>37</v>
      </c>
      <c r="H120">
        <v>3</v>
      </c>
      <c r="I120">
        <v>3</v>
      </c>
      <c r="J120" t="s">
        <v>27</v>
      </c>
      <c r="K120" t="s">
        <v>27</v>
      </c>
      <c r="L120" t="s">
        <v>424</v>
      </c>
      <c r="M120" t="s">
        <v>239</v>
      </c>
      <c r="N120" t="s">
        <v>41</v>
      </c>
      <c r="O120" s="5">
        <v>7.5999999999999998E-2</v>
      </c>
      <c r="P120" s="5" t="str">
        <f>IF(O120 &gt; VLOOKUP(M120, 'Descriptive Statistics'!H:I, 2, FALSE), "yes", "no")</f>
        <v>no</v>
      </c>
      <c r="Q120" s="9">
        <f>IFERROR(VALUE(SUBSTITUTE(O120,"%","")), "")</f>
        <v>7.5999999999999998E-2</v>
      </c>
      <c r="R120" t="s">
        <v>432</v>
      </c>
      <c r="S120" t="s">
        <v>433</v>
      </c>
      <c r="T120" t="s">
        <v>257</v>
      </c>
      <c r="U120" t="s">
        <v>118</v>
      </c>
      <c r="V120" t="s">
        <v>384</v>
      </c>
      <c r="W120" t="s">
        <v>427</v>
      </c>
    </row>
    <row r="121" spans="1:23" ht="15" customHeight="1">
      <c r="A121">
        <v>50</v>
      </c>
      <c r="B121" t="s">
        <v>434</v>
      </c>
      <c r="C121">
        <v>2005</v>
      </c>
      <c r="D121" t="s">
        <v>435</v>
      </c>
      <c r="E121" s="2" t="s">
        <v>74</v>
      </c>
      <c r="F121">
        <v>20</v>
      </c>
      <c r="G121" t="s">
        <v>26</v>
      </c>
      <c r="H121">
        <v>2</v>
      </c>
      <c r="I121">
        <v>1</v>
      </c>
      <c r="J121" t="s">
        <v>41</v>
      </c>
      <c r="K121" t="s">
        <v>27</v>
      </c>
      <c r="L121" t="s">
        <v>436</v>
      </c>
      <c r="M121" t="s">
        <v>29</v>
      </c>
      <c r="N121" t="s">
        <v>41</v>
      </c>
      <c r="O121" s="5">
        <v>0.3</v>
      </c>
      <c r="P121" s="5" t="str">
        <f>IF(O121 &gt; VLOOKUP(M121, 'Descriptive Statistics'!H:I, 2, FALSE), "yes", "no")</f>
        <v>yes</v>
      </c>
      <c r="Q121" s="9">
        <f>IFERROR(VALUE(SUBSTITUTE(O121,"%","")), "")</f>
        <v>0.3</v>
      </c>
      <c r="R121" t="s">
        <v>437</v>
      </c>
      <c r="S121" t="s">
        <v>438</v>
      </c>
      <c r="T121" t="s">
        <v>118</v>
      </c>
      <c r="U121" t="s">
        <v>403</v>
      </c>
      <c r="V121" t="s">
        <v>27</v>
      </c>
      <c r="W121" t="s">
        <v>439</v>
      </c>
    </row>
    <row r="122" spans="1:23" ht="15" customHeight="1">
      <c r="A122">
        <v>50</v>
      </c>
      <c r="B122" t="s">
        <v>434</v>
      </c>
      <c r="C122">
        <v>2005</v>
      </c>
      <c r="D122" t="s">
        <v>440</v>
      </c>
      <c r="E122" t="s">
        <v>25</v>
      </c>
      <c r="F122">
        <v>59</v>
      </c>
      <c r="G122" t="s">
        <v>26</v>
      </c>
      <c r="H122">
        <v>1</v>
      </c>
      <c r="I122">
        <v>1</v>
      </c>
      <c r="J122" t="s">
        <v>27</v>
      </c>
      <c r="K122" t="s">
        <v>27</v>
      </c>
      <c r="L122" t="s">
        <v>441</v>
      </c>
      <c r="M122" t="s">
        <v>29</v>
      </c>
      <c r="N122" t="s">
        <v>41</v>
      </c>
      <c r="O122" s="5">
        <v>0.30499999999999999</v>
      </c>
      <c r="P122" s="5" t="str">
        <f>IF(O122 &gt; VLOOKUP(M122, 'Descriptive Statistics'!H:I, 2, FALSE), "yes", "no")</f>
        <v>yes</v>
      </c>
      <c r="Q122" s="9">
        <f>IFERROR(VALUE(SUBSTITUTE(O122,"%","")), "")</f>
        <v>0.30499999999999999</v>
      </c>
      <c r="R122" t="s">
        <v>442</v>
      </c>
      <c r="S122" t="s">
        <v>443</v>
      </c>
      <c r="T122" t="s">
        <v>118</v>
      </c>
      <c r="U122" t="s">
        <v>403</v>
      </c>
      <c r="V122" t="s">
        <v>27</v>
      </c>
      <c r="W122" t="s">
        <v>439</v>
      </c>
    </row>
    <row r="123" spans="1:23" ht="15" customHeight="1">
      <c r="A123">
        <v>50</v>
      </c>
      <c r="B123" t="s">
        <v>434</v>
      </c>
      <c r="C123">
        <v>2005</v>
      </c>
      <c r="D123" t="s">
        <v>132</v>
      </c>
      <c r="E123" t="s">
        <v>132</v>
      </c>
      <c r="F123">
        <v>9</v>
      </c>
      <c r="G123" t="s">
        <v>26</v>
      </c>
      <c r="H123">
        <v>4</v>
      </c>
      <c r="I123">
        <v>2</v>
      </c>
      <c r="J123" t="s">
        <v>27</v>
      </c>
      <c r="K123" t="s">
        <v>27</v>
      </c>
      <c r="L123" t="s">
        <v>444</v>
      </c>
      <c r="M123" t="s">
        <v>29</v>
      </c>
      <c r="N123" t="s">
        <v>41</v>
      </c>
      <c r="O123" s="5">
        <v>0.111</v>
      </c>
      <c r="P123" s="5" t="str">
        <f>IF(O123 &gt; VLOOKUP(M123, 'Descriptive Statistics'!H:I, 2, FALSE), "yes", "no")</f>
        <v>no</v>
      </c>
      <c r="Q123" s="9">
        <f>IFERROR(VALUE(SUBSTITUTE(O123,"%","")), "")</f>
        <v>0.111</v>
      </c>
      <c r="R123" t="s">
        <v>445</v>
      </c>
      <c r="S123" t="s">
        <v>446</v>
      </c>
      <c r="T123" t="s">
        <v>118</v>
      </c>
      <c r="U123" t="s">
        <v>403</v>
      </c>
      <c r="V123" t="s">
        <v>27</v>
      </c>
      <c r="W123" t="s">
        <v>439</v>
      </c>
    </row>
    <row r="124" spans="1:23" ht="15" customHeight="1">
      <c r="A124">
        <v>50</v>
      </c>
      <c r="B124" t="s">
        <v>434</v>
      </c>
      <c r="C124">
        <v>2005</v>
      </c>
      <c r="D124" t="s">
        <v>447</v>
      </c>
      <c r="E124" t="s">
        <v>393</v>
      </c>
      <c r="F124">
        <v>19</v>
      </c>
      <c r="G124" t="s">
        <v>26</v>
      </c>
      <c r="H124">
        <v>5</v>
      </c>
      <c r="I124">
        <v>2</v>
      </c>
      <c r="J124" t="s">
        <v>27</v>
      </c>
      <c r="K124" t="s">
        <v>41</v>
      </c>
      <c r="L124" t="s">
        <v>448</v>
      </c>
      <c r="M124" t="s">
        <v>29</v>
      </c>
      <c r="N124" t="s">
        <v>41</v>
      </c>
      <c r="O124" s="5">
        <v>0.158</v>
      </c>
      <c r="P124" s="5" t="str">
        <f>IF(O124 &gt; VLOOKUP(M124, 'Descriptive Statistics'!H:I, 2, FALSE), "yes", "no")</f>
        <v>no</v>
      </c>
      <c r="Q124" s="9">
        <f>IFERROR(VALUE(SUBSTITUTE(O124,"%","")), "")</f>
        <v>0.158</v>
      </c>
      <c r="R124" t="s">
        <v>449</v>
      </c>
      <c r="S124" t="s">
        <v>446</v>
      </c>
      <c r="T124" t="s">
        <v>118</v>
      </c>
      <c r="U124" t="s">
        <v>403</v>
      </c>
      <c r="V124" t="s">
        <v>27</v>
      </c>
      <c r="W124" t="s">
        <v>439</v>
      </c>
    </row>
    <row r="125" spans="1:23" ht="15" customHeight="1">
      <c r="A125">
        <v>50</v>
      </c>
      <c r="B125" t="s">
        <v>434</v>
      </c>
      <c r="C125">
        <v>2005</v>
      </c>
      <c r="D125" t="s">
        <v>450</v>
      </c>
      <c r="E125" t="s">
        <v>393</v>
      </c>
      <c r="F125">
        <v>17</v>
      </c>
      <c r="G125" t="s">
        <v>26</v>
      </c>
      <c r="H125">
        <v>5</v>
      </c>
      <c r="I125">
        <v>2</v>
      </c>
      <c r="J125" t="s">
        <v>27</v>
      </c>
      <c r="K125" t="s">
        <v>41</v>
      </c>
      <c r="L125" t="s">
        <v>451</v>
      </c>
      <c r="M125" t="s">
        <v>29</v>
      </c>
      <c r="N125" t="s">
        <v>41</v>
      </c>
      <c r="O125" s="5">
        <v>5.8999999999999997E-2</v>
      </c>
      <c r="P125" s="5" t="str">
        <f>IF(O125 &gt; VLOOKUP(M125, 'Descriptive Statistics'!H:I, 2, FALSE), "yes", "no")</f>
        <v>no</v>
      </c>
      <c r="Q125" s="9">
        <f>IFERROR(VALUE(SUBSTITUTE(O125,"%","")), "")</f>
        <v>5.8999999999999997E-2</v>
      </c>
      <c r="R125" t="s">
        <v>452</v>
      </c>
      <c r="S125" t="s">
        <v>453</v>
      </c>
      <c r="T125" t="s">
        <v>118</v>
      </c>
      <c r="U125" t="s">
        <v>403</v>
      </c>
      <c r="V125" t="s">
        <v>27</v>
      </c>
      <c r="W125" t="s">
        <v>454</v>
      </c>
    </row>
    <row r="126" spans="1:23" ht="15" customHeight="1">
      <c r="A126">
        <v>50</v>
      </c>
      <c r="B126" t="s">
        <v>434</v>
      </c>
      <c r="C126">
        <v>2005</v>
      </c>
      <c r="D126" t="s">
        <v>418</v>
      </c>
      <c r="E126" t="s">
        <v>36</v>
      </c>
      <c r="F126">
        <v>158</v>
      </c>
      <c r="G126" t="s">
        <v>37</v>
      </c>
      <c r="H126">
        <v>3</v>
      </c>
      <c r="I126">
        <v>3</v>
      </c>
      <c r="J126" t="s">
        <v>27</v>
      </c>
      <c r="K126" t="s">
        <v>27</v>
      </c>
      <c r="L126" t="s">
        <v>455</v>
      </c>
      <c r="M126" t="s">
        <v>29</v>
      </c>
      <c r="N126" t="s">
        <v>41</v>
      </c>
      <c r="O126" s="5">
        <v>0.127</v>
      </c>
      <c r="P126" s="5" t="str">
        <f>IF(O126 &gt; VLOOKUP(M126, 'Descriptive Statistics'!H:I, 2, FALSE), "yes", "no")</f>
        <v>no</v>
      </c>
      <c r="Q126" s="13">
        <f>IFERROR(VALUE(SUBSTITUTE(O126,"%","")), "")</f>
        <v>0.127</v>
      </c>
      <c r="R126" t="s">
        <v>456</v>
      </c>
      <c r="S126" t="s">
        <v>457</v>
      </c>
      <c r="T126" t="s">
        <v>118</v>
      </c>
      <c r="U126" t="s">
        <v>403</v>
      </c>
      <c r="V126" t="s">
        <v>27</v>
      </c>
      <c r="W126" t="s">
        <v>439</v>
      </c>
    </row>
    <row r="127" spans="1:23" ht="15" customHeight="1">
      <c r="A127">
        <v>50</v>
      </c>
      <c r="B127" t="s">
        <v>434</v>
      </c>
      <c r="C127">
        <v>2005</v>
      </c>
      <c r="D127" t="s">
        <v>143</v>
      </c>
      <c r="E127" t="s">
        <v>143</v>
      </c>
      <c r="F127">
        <v>52</v>
      </c>
      <c r="G127" t="s">
        <v>26</v>
      </c>
      <c r="H127">
        <v>4</v>
      </c>
      <c r="I127">
        <v>3</v>
      </c>
      <c r="J127" t="s">
        <v>27</v>
      </c>
      <c r="K127" t="s">
        <v>27</v>
      </c>
      <c r="L127" t="s">
        <v>458</v>
      </c>
      <c r="M127" t="s">
        <v>29</v>
      </c>
      <c r="N127" t="s">
        <v>41</v>
      </c>
      <c r="O127" s="5">
        <v>0.13500000000000001</v>
      </c>
      <c r="P127" s="5" t="str">
        <f>IF(O127 &gt; VLOOKUP(M127, 'Descriptive Statistics'!H:I, 2, FALSE), "yes", "no")</f>
        <v>no</v>
      </c>
      <c r="Q127" s="13">
        <f>IFERROR(VALUE(SUBSTITUTE(O127,"%","")), "")</f>
        <v>0.13500000000000001</v>
      </c>
      <c r="R127" t="s">
        <v>459</v>
      </c>
      <c r="S127" t="s">
        <v>446</v>
      </c>
      <c r="T127" t="s">
        <v>118</v>
      </c>
      <c r="U127" t="s">
        <v>403</v>
      </c>
      <c r="V127" t="s">
        <v>27</v>
      </c>
      <c r="W127" t="s">
        <v>439</v>
      </c>
    </row>
    <row r="128" spans="1:23" ht="15" customHeight="1">
      <c r="A128">
        <v>51</v>
      </c>
      <c r="B128" t="s">
        <v>460</v>
      </c>
      <c r="C128">
        <v>2022</v>
      </c>
      <c r="D128" t="s">
        <v>461</v>
      </c>
      <c r="E128" t="s">
        <v>143</v>
      </c>
      <c r="F128">
        <v>114</v>
      </c>
      <c r="G128" t="s">
        <v>26</v>
      </c>
      <c r="H128">
        <v>4</v>
      </c>
      <c r="I128">
        <v>3</v>
      </c>
      <c r="J128" t="s">
        <v>27</v>
      </c>
      <c r="K128" t="s">
        <v>27</v>
      </c>
      <c r="M128" t="s">
        <v>29</v>
      </c>
      <c r="N128" t="s">
        <v>27</v>
      </c>
      <c r="O128" s="5">
        <v>0.28000000000000003</v>
      </c>
      <c r="P128" s="5" t="str">
        <f>IF(O128 &gt; VLOOKUP(M128, 'Descriptive Statistics'!H:I, 2, FALSE), "yes", "no")</f>
        <v>yes</v>
      </c>
      <c r="Q128" s="13">
        <f>IFERROR(VALUE(SUBSTITUTE(O128,"%","")), "")</f>
        <v>0.28000000000000003</v>
      </c>
      <c r="R128" t="s">
        <v>452</v>
      </c>
      <c r="S128" t="s">
        <v>446</v>
      </c>
      <c r="T128" t="s">
        <v>118</v>
      </c>
      <c r="U128" t="s">
        <v>119</v>
      </c>
      <c r="V128" t="s">
        <v>27</v>
      </c>
      <c r="W128" t="s">
        <v>462</v>
      </c>
    </row>
    <row r="129" spans="1:23" ht="15" customHeight="1">
      <c r="A129">
        <v>52</v>
      </c>
      <c r="B129" t="s">
        <v>463</v>
      </c>
      <c r="C129">
        <v>2020</v>
      </c>
      <c r="D129" t="s">
        <v>62</v>
      </c>
      <c r="E129" t="s">
        <v>62</v>
      </c>
      <c r="F129">
        <v>24</v>
      </c>
      <c r="G129" t="s">
        <v>26</v>
      </c>
      <c r="H129">
        <v>2</v>
      </c>
      <c r="I129">
        <v>1</v>
      </c>
      <c r="J129" t="s">
        <v>41</v>
      </c>
      <c r="K129" t="s">
        <v>27</v>
      </c>
      <c r="M129" t="s">
        <v>40</v>
      </c>
      <c r="N129" t="s">
        <v>27</v>
      </c>
      <c r="O129" s="5">
        <v>0.27</v>
      </c>
      <c r="P129" s="5" t="str">
        <f>IF(O129 &gt; VLOOKUP(M129, 'Descriptive Statistics'!H:I, 2, FALSE), "yes", "no")</f>
        <v>no</v>
      </c>
      <c r="Q129" s="9">
        <f>IFERROR(VALUE(SUBSTITUTE(O129,"%","")), "")</f>
        <v>0.27</v>
      </c>
      <c r="R129" t="s">
        <v>464</v>
      </c>
      <c r="S129" t="s">
        <v>465</v>
      </c>
      <c r="T129" t="s">
        <v>118</v>
      </c>
      <c r="U129" t="s">
        <v>119</v>
      </c>
      <c r="V129" t="s">
        <v>27</v>
      </c>
      <c r="W129" t="s">
        <v>466</v>
      </c>
    </row>
    <row r="130" spans="1:23" ht="15" customHeight="1">
      <c r="A130">
        <v>53</v>
      </c>
      <c r="B130" t="s">
        <v>467</v>
      </c>
      <c r="C130">
        <v>2014</v>
      </c>
      <c r="D130" t="s">
        <v>24</v>
      </c>
      <c r="E130" t="s">
        <v>25</v>
      </c>
      <c r="F130">
        <v>89</v>
      </c>
      <c r="G130" t="s">
        <v>26</v>
      </c>
      <c r="H130">
        <v>1</v>
      </c>
      <c r="I130">
        <v>1</v>
      </c>
      <c r="J130" t="s">
        <v>27</v>
      </c>
      <c r="K130" t="s">
        <v>27</v>
      </c>
      <c r="M130" t="s">
        <v>40</v>
      </c>
      <c r="N130" t="s">
        <v>27</v>
      </c>
      <c r="O130" s="5">
        <v>0.112</v>
      </c>
      <c r="P130" s="5" t="str">
        <f>IF(O130 &gt; VLOOKUP(M130, 'Descriptive Statistics'!H:I, 2, FALSE), "yes", "no")</f>
        <v>no</v>
      </c>
      <c r="Q130" s="9">
        <f>IFERROR(VALUE(SUBSTITUTE(O130,"%","")), "")</f>
        <v>0.112</v>
      </c>
      <c r="R130" t="s">
        <v>468</v>
      </c>
      <c r="U130" t="s">
        <v>469</v>
      </c>
      <c r="W130" t="s">
        <v>470</v>
      </c>
    </row>
    <row r="131" spans="1:23" ht="15" customHeight="1">
      <c r="A131">
        <v>54</v>
      </c>
      <c r="B131" t="s">
        <v>471</v>
      </c>
      <c r="C131">
        <v>2012</v>
      </c>
      <c r="D131" s="2" t="s">
        <v>73</v>
      </c>
      <c r="E131" s="2" t="s">
        <v>74</v>
      </c>
      <c r="F131">
        <v>136</v>
      </c>
      <c r="G131" t="s">
        <v>37</v>
      </c>
      <c r="H131">
        <v>4</v>
      </c>
      <c r="I131">
        <v>1</v>
      </c>
      <c r="J131" t="s">
        <v>41</v>
      </c>
      <c r="K131" t="s">
        <v>27</v>
      </c>
      <c r="M131" t="s">
        <v>111</v>
      </c>
      <c r="N131" t="s">
        <v>41</v>
      </c>
      <c r="O131" s="5">
        <v>0.33100000000000002</v>
      </c>
      <c r="P131" s="5" t="str">
        <f>IF(O131 &gt; VLOOKUP(M131, 'Descriptive Statistics'!H:I, 2, FALSE), "yes", "no")</f>
        <v>yes</v>
      </c>
      <c r="Q131" s="9">
        <f>IFERROR(VALUE(SUBSTITUTE(O131,"%","")), "")</f>
        <v>0.33100000000000002</v>
      </c>
      <c r="R131" t="s">
        <v>472</v>
      </c>
      <c r="S131" t="s">
        <v>473</v>
      </c>
      <c r="T131" t="s">
        <v>118</v>
      </c>
      <c r="U131" t="s">
        <v>119</v>
      </c>
      <c r="V131" t="s">
        <v>27</v>
      </c>
      <c r="W131" t="s">
        <v>474</v>
      </c>
    </row>
    <row r="132" spans="1:23" ht="15" customHeight="1">
      <c r="A132">
        <v>55</v>
      </c>
      <c r="B132" t="s">
        <v>225</v>
      </c>
      <c r="C132">
        <v>2019</v>
      </c>
      <c r="D132" t="s">
        <v>61</v>
      </c>
      <c r="E132" t="s">
        <v>62</v>
      </c>
      <c r="F132">
        <v>20</v>
      </c>
      <c r="G132" t="s">
        <v>26</v>
      </c>
      <c r="H132">
        <v>2</v>
      </c>
      <c r="I132">
        <v>1</v>
      </c>
      <c r="J132" t="s">
        <v>41</v>
      </c>
      <c r="K132" t="s">
        <v>27</v>
      </c>
      <c r="L132" t="s">
        <v>475</v>
      </c>
      <c r="M132" t="s">
        <v>40</v>
      </c>
      <c r="N132" t="s">
        <v>41</v>
      </c>
      <c r="O132" s="5">
        <v>0.65</v>
      </c>
      <c r="P132" s="5" t="str">
        <f>IF(O132 &gt; VLOOKUP(M132, 'Descriptive Statistics'!H:I, 2, FALSE), "yes", "no")</f>
        <v>yes</v>
      </c>
      <c r="Q132" s="9">
        <f>IFERROR(VALUE(SUBSTITUTE(O132,"%","")), "")</f>
        <v>0.65</v>
      </c>
      <c r="R132" t="s">
        <v>476</v>
      </c>
      <c r="S132" t="s">
        <v>477</v>
      </c>
      <c r="T132" t="s">
        <v>118</v>
      </c>
      <c r="U132" t="s">
        <v>229</v>
      </c>
      <c r="V132" t="s">
        <v>27</v>
      </c>
      <c r="W132" t="s">
        <v>478</v>
      </c>
    </row>
    <row r="133" spans="1:23" ht="15" customHeight="1">
      <c r="A133">
        <v>56</v>
      </c>
      <c r="B133" t="s">
        <v>479</v>
      </c>
      <c r="C133">
        <v>2022</v>
      </c>
      <c r="D133" s="2" t="s">
        <v>73</v>
      </c>
      <c r="E133" s="2" t="s">
        <v>74</v>
      </c>
      <c r="F133">
        <v>19</v>
      </c>
      <c r="G133" t="s">
        <v>37</v>
      </c>
      <c r="H133">
        <v>4</v>
      </c>
      <c r="I133">
        <v>1</v>
      </c>
      <c r="J133" t="s">
        <v>41</v>
      </c>
      <c r="K133" t="s">
        <v>27</v>
      </c>
      <c r="M133" t="s">
        <v>75</v>
      </c>
      <c r="N133" t="s">
        <v>41</v>
      </c>
      <c r="O133" s="5">
        <v>1</v>
      </c>
      <c r="P133" s="5" t="str">
        <f>IF(O133 &gt; VLOOKUP(M133, 'Descriptive Statistics'!H:I, 2, FALSE), "yes", "no")</f>
        <v>yes</v>
      </c>
      <c r="Q133" s="12">
        <f>IFERROR(VALUE(SUBSTITUTE(O133,"%","")), "")</f>
        <v>1</v>
      </c>
      <c r="R133" t="s">
        <v>480</v>
      </c>
      <c r="S133" t="s">
        <v>481</v>
      </c>
      <c r="T133" t="s">
        <v>482</v>
      </c>
      <c r="U133" t="s">
        <v>119</v>
      </c>
      <c r="V133" t="s">
        <v>27</v>
      </c>
      <c r="W133" t="s">
        <v>483</v>
      </c>
    </row>
    <row r="134" spans="1:23" ht="15" customHeight="1">
      <c r="A134">
        <v>57</v>
      </c>
      <c r="B134" t="s">
        <v>484</v>
      </c>
      <c r="C134">
        <v>2012</v>
      </c>
      <c r="D134" t="s">
        <v>74</v>
      </c>
      <c r="E134" t="s">
        <v>74</v>
      </c>
      <c r="F134">
        <v>11</v>
      </c>
      <c r="G134" t="s">
        <v>37</v>
      </c>
      <c r="H134">
        <v>4</v>
      </c>
      <c r="I134">
        <v>1</v>
      </c>
      <c r="J134" t="s">
        <v>41</v>
      </c>
      <c r="K134" t="s">
        <v>41</v>
      </c>
      <c r="M134" t="s">
        <v>29</v>
      </c>
      <c r="N134" t="s">
        <v>41</v>
      </c>
      <c r="O134" s="5">
        <v>0.27300000000000002</v>
      </c>
      <c r="P134" s="5" t="str">
        <f>IF(O134 &gt; VLOOKUP(M134, 'Descriptive Statistics'!H:I, 2, FALSE), "yes", "no")</f>
        <v>yes</v>
      </c>
      <c r="Q134" s="12">
        <f>IFERROR(VALUE(SUBSTITUTE(O134,"%","")), "")</f>
        <v>0.27300000000000002</v>
      </c>
      <c r="R134" t="s">
        <v>485</v>
      </c>
      <c r="S134" t="s">
        <v>486</v>
      </c>
      <c r="T134" t="s">
        <v>118</v>
      </c>
      <c r="U134" t="s">
        <v>118</v>
      </c>
      <c r="V134" t="s">
        <v>27</v>
      </c>
    </row>
    <row r="135" spans="1:23" ht="15" customHeight="1">
      <c r="A135">
        <v>57</v>
      </c>
      <c r="B135" t="s">
        <v>484</v>
      </c>
      <c r="C135">
        <v>2012</v>
      </c>
      <c r="D135" t="s">
        <v>487</v>
      </c>
      <c r="E135" t="s">
        <v>25</v>
      </c>
      <c r="F135">
        <v>52</v>
      </c>
      <c r="G135" t="s">
        <v>26</v>
      </c>
      <c r="H135">
        <v>1</v>
      </c>
      <c r="I135">
        <v>1</v>
      </c>
      <c r="J135" t="s">
        <v>27</v>
      </c>
      <c r="K135" t="s">
        <v>27</v>
      </c>
      <c r="M135" t="s">
        <v>29</v>
      </c>
      <c r="N135" t="s">
        <v>41</v>
      </c>
      <c r="O135" s="5">
        <v>0.25</v>
      </c>
      <c r="P135" s="5" t="str">
        <f>IF(O135 &gt; VLOOKUP(M135, 'Descriptive Statistics'!H:I, 2, FALSE), "yes", "no")</f>
        <v>yes</v>
      </c>
      <c r="Q135" s="12">
        <f>IFERROR(VALUE(SUBSTITUTE(O135,"%","")), "")</f>
        <v>0.25</v>
      </c>
      <c r="R135" t="s">
        <v>488</v>
      </c>
      <c r="S135" t="s">
        <v>486</v>
      </c>
      <c r="T135" t="s">
        <v>118</v>
      </c>
      <c r="U135" t="s">
        <v>118</v>
      </c>
      <c r="V135" t="s">
        <v>27</v>
      </c>
    </row>
    <row r="136" spans="1:23" ht="15" customHeight="1">
      <c r="A136">
        <v>57</v>
      </c>
      <c r="B136" t="s">
        <v>484</v>
      </c>
      <c r="C136">
        <v>2012</v>
      </c>
      <c r="D136" t="s">
        <v>489</v>
      </c>
      <c r="E136" t="s">
        <v>490</v>
      </c>
      <c r="F136">
        <v>2</v>
      </c>
      <c r="G136" t="s">
        <v>26</v>
      </c>
      <c r="H136">
        <v>5</v>
      </c>
      <c r="I136">
        <v>1</v>
      </c>
      <c r="J136" t="s">
        <v>41</v>
      </c>
      <c r="K136" t="s">
        <v>27</v>
      </c>
      <c r="M136" t="s">
        <v>29</v>
      </c>
      <c r="N136" t="s">
        <v>41</v>
      </c>
      <c r="O136" s="5">
        <v>0.5</v>
      </c>
      <c r="P136" s="5" t="str">
        <f>IF(O136 &gt; VLOOKUP(M136, 'Descriptive Statistics'!H:I, 2, FALSE), "yes", "no")</f>
        <v>yes</v>
      </c>
      <c r="Q136" s="12">
        <f>IFERROR(VALUE(SUBSTITUTE(O136,"%","")), "")</f>
        <v>0.5</v>
      </c>
      <c r="R136" t="s">
        <v>491</v>
      </c>
      <c r="S136" t="s">
        <v>492</v>
      </c>
    </row>
    <row r="137" spans="1:23" ht="15" customHeight="1">
      <c r="A137">
        <v>57</v>
      </c>
      <c r="B137" t="s">
        <v>484</v>
      </c>
      <c r="C137">
        <v>2012</v>
      </c>
      <c r="D137" t="s">
        <v>54</v>
      </c>
      <c r="E137" t="s">
        <v>54</v>
      </c>
      <c r="F137">
        <v>18</v>
      </c>
      <c r="G137" t="s">
        <v>37</v>
      </c>
      <c r="H137">
        <v>3</v>
      </c>
      <c r="I137">
        <v>2</v>
      </c>
      <c r="J137" t="s">
        <v>27</v>
      </c>
      <c r="K137" t="s">
        <v>27</v>
      </c>
      <c r="M137" t="s">
        <v>29</v>
      </c>
      <c r="N137" t="s">
        <v>41</v>
      </c>
      <c r="O137" s="5">
        <v>0.56000000000000005</v>
      </c>
      <c r="P137" s="5" t="str">
        <f>IF(O137 &gt; VLOOKUP(M137, 'Descriptive Statistics'!H:I, 2, FALSE), "yes", "no")</f>
        <v>yes</v>
      </c>
      <c r="Q137" s="12">
        <f>IFERROR(VALUE(SUBSTITUTE(O137,"%","")), "")</f>
        <v>0.56000000000000005</v>
      </c>
      <c r="R137" t="s">
        <v>493</v>
      </c>
      <c r="S137" t="s">
        <v>486</v>
      </c>
      <c r="T137" t="s">
        <v>118</v>
      </c>
      <c r="U137" t="s">
        <v>118</v>
      </c>
      <c r="V137" t="s">
        <v>27</v>
      </c>
    </row>
    <row r="138" spans="1:23" ht="15" customHeight="1">
      <c r="A138">
        <v>57</v>
      </c>
      <c r="B138" t="s">
        <v>484</v>
      </c>
      <c r="C138">
        <v>2012</v>
      </c>
      <c r="D138" t="s">
        <v>62</v>
      </c>
      <c r="E138" t="s">
        <v>62</v>
      </c>
      <c r="F138">
        <v>11</v>
      </c>
      <c r="G138" t="s">
        <v>37</v>
      </c>
      <c r="H138">
        <v>2</v>
      </c>
      <c r="I138">
        <v>2</v>
      </c>
      <c r="J138" t="s">
        <v>41</v>
      </c>
      <c r="K138" t="s">
        <v>27</v>
      </c>
      <c r="M138" t="s">
        <v>29</v>
      </c>
      <c r="N138" t="s">
        <v>41</v>
      </c>
      <c r="O138" s="5">
        <v>0.36399999999999999</v>
      </c>
      <c r="P138" s="5" t="str">
        <f>IF(O138 &gt; VLOOKUP(M138, 'Descriptive Statistics'!H:I, 2, FALSE), "yes", "no")</f>
        <v>yes</v>
      </c>
      <c r="Q138" s="12">
        <f>IFERROR(VALUE(SUBSTITUTE(O138,"%","")), "")</f>
        <v>0.36399999999999999</v>
      </c>
      <c r="R138" t="s">
        <v>494</v>
      </c>
      <c r="S138" t="s">
        <v>486</v>
      </c>
      <c r="T138" t="s">
        <v>118</v>
      </c>
      <c r="U138" t="s">
        <v>118</v>
      </c>
      <c r="V138" t="s">
        <v>27</v>
      </c>
    </row>
    <row r="139" spans="1:23" ht="15" customHeight="1">
      <c r="A139">
        <v>57</v>
      </c>
      <c r="B139" t="s">
        <v>484</v>
      </c>
      <c r="C139">
        <v>2012</v>
      </c>
      <c r="D139" t="s">
        <v>495</v>
      </c>
      <c r="E139" t="s">
        <v>132</v>
      </c>
      <c r="F139">
        <v>6</v>
      </c>
      <c r="G139" t="s">
        <v>26</v>
      </c>
      <c r="H139">
        <v>4</v>
      </c>
      <c r="I139">
        <v>2</v>
      </c>
      <c r="J139" t="s">
        <v>27</v>
      </c>
      <c r="K139" t="s">
        <v>27</v>
      </c>
      <c r="M139" t="s">
        <v>29</v>
      </c>
      <c r="N139" t="s">
        <v>41</v>
      </c>
      <c r="O139" s="5">
        <v>0.16700000000000001</v>
      </c>
      <c r="P139" s="5" t="str">
        <f>IF(O139 &gt; VLOOKUP(M139, 'Descriptive Statistics'!H:I, 2, FALSE), "yes", "no")</f>
        <v>no</v>
      </c>
      <c r="Q139" s="12">
        <f>IFERROR(VALUE(SUBSTITUTE(O139,"%","")), "")</f>
        <v>0.16700000000000001</v>
      </c>
      <c r="R139" t="s">
        <v>496</v>
      </c>
      <c r="S139" t="s">
        <v>486</v>
      </c>
      <c r="T139" t="s">
        <v>118</v>
      </c>
      <c r="U139" t="s">
        <v>118</v>
      </c>
      <c r="V139" t="s">
        <v>27</v>
      </c>
    </row>
    <row r="140" spans="1:23" ht="15" customHeight="1">
      <c r="A140">
        <v>57</v>
      </c>
      <c r="B140" t="s">
        <v>484</v>
      </c>
      <c r="C140">
        <v>2012</v>
      </c>
      <c r="D140" t="s">
        <v>497</v>
      </c>
      <c r="E140" t="s">
        <v>36</v>
      </c>
      <c r="F140">
        <v>46</v>
      </c>
      <c r="G140" t="s">
        <v>37</v>
      </c>
      <c r="H140">
        <v>3</v>
      </c>
      <c r="I140">
        <v>3</v>
      </c>
      <c r="J140" t="s">
        <v>27</v>
      </c>
      <c r="K140" t="s">
        <v>27</v>
      </c>
      <c r="M140" t="s">
        <v>29</v>
      </c>
      <c r="N140" t="s">
        <v>41</v>
      </c>
      <c r="O140" s="5">
        <v>0.19600000000000001</v>
      </c>
      <c r="P140" s="5" t="str">
        <f>IF(O140 &gt; VLOOKUP(M140, 'Descriptive Statistics'!H:I, 2, FALSE), "yes", "no")</f>
        <v>yes</v>
      </c>
      <c r="Q140" s="12">
        <f>IFERROR(VALUE(SUBSTITUTE(O140,"%","")), "")</f>
        <v>0.19600000000000001</v>
      </c>
      <c r="R140" t="s">
        <v>498</v>
      </c>
      <c r="S140" t="s">
        <v>486</v>
      </c>
      <c r="T140" t="s">
        <v>118</v>
      </c>
      <c r="U140" t="s">
        <v>118</v>
      </c>
      <c r="V140" t="s">
        <v>27</v>
      </c>
    </row>
    <row r="141" spans="1:23" ht="15" customHeight="1">
      <c r="A141">
        <v>57</v>
      </c>
      <c r="B141" t="s">
        <v>484</v>
      </c>
      <c r="C141">
        <v>2012</v>
      </c>
      <c r="D141" t="s">
        <v>142</v>
      </c>
      <c r="E141" t="s">
        <v>490</v>
      </c>
      <c r="F141">
        <v>14</v>
      </c>
      <c r="G141" t="s">
        <v>26</v>
      </c>
      <c r="H141">
        <v>3</v>
      </c>
      <c r="I141">
        <v>3</v>
      </c>
      <c r="J141" t="s">
        <v>27</v>
      </c>
      <c r="K141" t="s">
        <v>27</v>
      </c>
      <c r="M141" t="s">
        <v>29</v>
      </c>
      <c r="N141" t="s">
        <v>41</v>
      </c>
      <c r="O141" s="5">
        <v>7.0000000000000007E-2</v>
      </c>
      <c r="P141" s="5" t="str">
        <f>IF(O141 &gt; VLOOKUP(M141, 'Descriptive Statistics'!H:I, 2, FALSE), "yes", "no")</f>
        <v>no</v>
      </c>
      <c r="Q141" s="12">
        <f>IFERROR(VALUE(SUBSTITUTE(O141,"%","")), "")</f>
        <v>7.0000000000000007E-2</v>
      </c>
      <c r="R141" t="s">
        <v>499</v>
      </c>
      <c r="S141" t="s">
        <v>486</v>
      </c>
      <c r="T141" t="s">
        <v>118</v>
      </c>
      <c r="U141" t="s">
        <v>118</v>
      </c>
      <c r="V141" t="s">
        <v>27</v>
      </c>
    </row>
    <row r="142" spans="1:23" ht="15" customHeight="1">
      <c r="A142">
        <v>58</v>
      </c>
      <c r="B142" t="s">
        <v>500</v>
      </c>
      <c r="C142">
        <v>2022</v>
      </c>
      <c r="D142" t="s">
        <v>501</v>
      </c>
      <c r="E142" t="s">
        <v>36</v>
      </c>
      <c r="F142">
        <v>60</v>
      </c>
      <c r="G142" t="s">
        <v>37</v>
      </c>
      <c r="H142">
        <v>4</v>
      </c>
      <c r="I142">
        <v>3</v>
      </c>
      <c r="J142" t="s">
        <v>27</v>
      </c>
      <c r="K142" t="s">
        <v>27</v>
      </c>
      <c r="M142" t="s">
        <v>29</v>
      </c>
      <c r="N142" t="s">
        <v>41</v>
      </c>
      <c r="O142" s="5">
        <v>0.25</v>
      </c>
      <c r="P142" s="5" t="str">
        <f>IF(O142 &gt; VLOOKUP(M142, 'Descriptive Statistics'!H:I, 2, FALSE), "yes", "no")</f>
        <v>yes</v>
      </c>
      <c r="Q142" s="12">
        <f>IFERROR(VALUE(SUBSTITUTE(O142,"%","")), "")</f>
        <v>0.25</v>
      </c>
      <c r="R142" t="s">
        <v>502</v>
      </c>
      <c r="S142" t="s">
        <v>503</v>
      </c>
      <c r="T142" t="s">
        <v>119</v>
      </c>
      <c r="U142" t="s">
        <v>41</v>
      </c>
      <c r="V142" t="s">
        <v>119</v>
      </c>
      <c r="W142" t="s">
        <v>504</v>
      </c>
    </row>
    <row r="143" spans="1:23" ht="15" customHeight="1">
      <c r="A143">
        <v>59</v>
      </c>
      <c r="B143" t="s">
        <v>505</v>
      </c>
      <c r="C143">
        <v>2007</v>
      </c>
      <c r="D143" t="s">
        <v>506</v>
      </c>
      <c r="E143" t="s">
        <v>25</v>
      </c>
      <c r="F143">
        <v>25</v>
      </c>
      <c r="G143" t="s">
        <v>26</v>
      </c>
      <c r="H143">
        <v>1</v>
      </c>
      <c r="I143">
        <v>1</v>
      </c>
      <c r="J143" t="s">
        <v>27</v>
      </c>
      <c r="K143" t="s">
        <v>27</v>
      </c>
      <c r="M143" t="s">
        <v>507</v>
      </c>
      <c r="N143" t="s">
        <v>41</v>
      </c>
      <c r="O143" s="5">
        <v>0.44</v>
      </c>
      <c r="P143" s="5" t="str">
        <f>IF(O143 &gt; VLOOKUP(M143, 'Descriptive Statistics'!H:I, 2, FALSE), "yes", "no")</f>
        <v>yes</v>
      </c>
      <c r="Q143" s="12">
        <f>IFERROR(VALUE(SUBSTITUTE(O143,"%","")), "")</f>
        <v>0.44</v>
      </c>
      <c r="R143" t="s">
        <v>508</v>
      </c>
      <c r="S143" t="s">
        <v>509</v>
      </c>
      <c r="T143" t="s">
        <v>257</v>
      </c>
      <c r="U143" t="s">
        <v>257</v>
      </c>
      <c r="V143" t="s">
        <v>257</v>
      </c>
    </row>
    <row r="144" spans="1:23" ht="15" customHeight="1">
      <c r="A144">
        <v>59</v>
      </c>
      <c r="B144" t="s">
        <v>505</v>
      </c>
      <c r="C144">
        <v>2007</v>
      </c>
      <c r="D144" t="s">
        <v>121</v>
      </c>
      <c r="E144" t="s">
        <v>121</v>
      </c>
      <c r="F144">
        <v>8</v>
      </c>
      <c r="G144" t="s">
        <v>26</v>
      </c>
      <c r="H144">
        <v>4</v>
      </c>
      <c r="I144">
        <v>1</v>
      </c>
      <c r="J144" t="s">
        <v>41</v>
      </c>
      <c r="K144" t="s">
        <v>27</v>
      </c>
      <c r="M144" t="s">
        <v>507</v>
      </c>
      <c r="N144" t="s">
        <v>41</v>
      </c>
      <c r="O144" s="5">
        <v>0.375</v>
      </c>
      <c r="P144" s="5" t="str">
        <f>IF(O144 &gt; VLOOKUP(M144, 'Descriptive Statistics'!H:I, 2, FALSE), "yes", "no")</f>
        <v>yes</v>
      </c>
      <c r="Q144" s="12">
        <f>IFERROR(VALUE(SUBSTITUTE(O144,"%","")), "")</f>
        <v>0.375</v>
      </c>
      <c r="R144" t="s">
        <v>510</v>
      </c>
      <c r="S144" t="s">
        <v>509</v>
      </c>
      <c r="T144" t="s">
        <v>257</v>
      </c>
      <c r="U144" t="s">
        <v>257</v>
      </c>
      <c r="V144" t="s">
        <v>257</v>
      </c>
    </row>
    <row r="145" spans="1:22" ht="15" customHeight="1">
      <c r="A145">
        <v>59</v>
      </c>
      <c r="B145" t="s">
        <v>505</v>
      </c>
      <c r="C145">
        <v>2007</v>
      </c>
      <c r="D145" t="s">
        <v>80</v>
      </c>
      <c r="E145" t="s">
        <v>80</v>
      </c>
      <c r="F145">
        <v>15</v>
      </c>
      <c r="G145" t="s">
        <v>37</v>
      </c>
      <c r="H145">
        <v>2</v>
      </c>
      <c r="I145">
        <v>2</v>
      </c>
      <c r="J145" t="s">
        <v>27</v>
      </c>
      <c r="K145" t="s">
        <v>41</v>
      </c>
      <c r="M145" t="s">
        <v>507</v>
      </c>
      <c r="N145" t="s">
        <v>41</v>
      </c>
      <c r="O145" s="5">
        <v>0.13300000000000001</v>
      </c>
      <c r="P145" s="5" t="str">
        <f>IF(O145 &gt; VLOOKUP(M145, 'Descriptive Statistics'!H:I, 2, FALSE), "yes", "no")</f>
        <v>no</v>
      </c>
      <c r="Q145" s="12">
        <f>IFERROR(VALUE(SUBSTITUTE(O145,"%","")), "")</f>
        <v>0.13300000000000001</v>
      </c>
      <c r="R145" t="s">
        <v>511</v>
      </c>
      <c r="S145" t="s">
        <v>509</v>
      </c>
      <c r="T145" t="s">
        <v>257</v>
      </c>
      <c r="U145" t="s">
        <v>257</v>
      </c>
      <c r="V145" t="s">
        <v>257</v>
      </c>
    </row>
    <row r="146" spans="1:22" ht="15" customHeight="1">
      <c r="A146">
        <v>59</v>
      </c>
      <c r="B146" t="s">
        <v>505</v>
      </c>
      <c r="C146">
        <v>2007</v>
      </c>
      <c r="D146" t="s">
        <v>81</v>
      </c>
      <c r="E146" t="s">
        <v>294</v>
      </c>
      <c r="F146">
        <v>10</v>
      </c>
      <c r="G146" t="s">
        <v>37</v>
      </c>
      <c r="H146">
        <v>3</v>
      </c>
      <c r="I146">
        <v>3</v>
      </c>
      <c r="J146" t="s">
        <v>27</v>
      </c>
      <c r="K146" t="s">
        <v>27</v>
      </c>
      <c r="M146" t="s">
        <v>507</v>
      </c>
      <c r="N146" t="s">
        <v>41</v>
      </c>
      <c r="O146" s="5">
        <v>0.106</v>
      </c>
      <c r="P146" s="5" t="str">
        <f>IF(O146 &gt; VLOOKUP(M146, 'Descriptive Statistics'!H:I, 2, FALSE), "yes", "no")</f>
        <v>no</v>
      </c>
      <c r="Q146" s="13">
        <f>IFERROR(VALUE(SUBSTITUTE(O146,"%","")), "")</f>
        <v>0.106</v>
      </c>
      <c r="R146" t="s">
        <v>512</v>
      </c>
      <c r="S146" t="s">
        <v>509</v>
      </c>
      <c r="T146" t="s">
        <v>257</v>
      </c>
      <c r="U146" t="s">
        <v>257</v>
      </c>
      <c r="V146" t="s">
        <v>257</v>
      </c>
    </row>
  </sheetData>
  <sortState xmlns:xlrd2="http://schemas.microsoft.com/office/spreadsheetml/2017/richdata2" ref="A2:W95">
    <sortCondition ref="A2:A95"/>
  </sortState>
  <pageMargins left="0.7" right="0.7" top="0.75" bottom="0.75" header="0.3" footer="0.3"/>
  <headerFooter>
    <oddFooter>&amp;C_x000D_&amp;1#&amp;"Calibri"&amp;10&amp;K000000 Classified as Business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AEC46-C9AD-45DE-9C93-5D3900BC858C}">
  <dimension ref="A1:M11"/>
  <sheetViews>
    <sheetView topLeftCell="A3" workbookViewId="0">
      <selection activeCell="J15" sqref="J15"/>
    </sheetView>
  </sheetViews>
  <sheetFormatPr defaultRowHeight="15"/>
  <cols>
    <col min="1" max="1" width="20.85546875" bestFit="1" customWidth="1"/>
    <col min="2" max="2" width="6.5703125" bestFit="1" customWidth="1"/>
    <col min="3" max="3" width="8" bestFit="1" customWidth="1"/>
    <col min="4" max="4" width="7.7109375" bestFit="1" customWidth="1"/>
    <col min="5" max="5" width="8.7109375" bestFit="1" customWidth="1"/>
    <col min="8" max="8" width="20.5703125" bestFit="1" customWidth="1"/>
    <col min="9" max="9" width="13.28515625" bestFit="1" customWidth="1"/>
    <col min="10" max="10" width="13.28515625" customWidth="1"/>
    <col min="12" max="12" width="19.85546875" bestFit="1" customWidth="1"/>
  </cols>
  <sheetData>
    <row r="1" spans="1:13">
      <c r="A1" s="1" t="s">
        <v>513</v>
      </c>
      <c r="B1" s="1" t="s">
        <v>514</v>
      </c>
      <c r="C1" s="1" t="s">
        <v>515</v>
      </c>
      <c r="D1" s="1" t="s">
        <v>516</v>
      </c>
      <c r="E1" s="1" t="s">
        <v>517</v>
      </c>
      <c r="H1" s="1"/>
      <c r="I1" s="1" t="s">
        <v>518</v>
      </c>
      <c r="J1" s="1"/>
      <c r="M1" t="s">
        <v>518</v>
      </c>
    </row>
    <row r="2" spans="1:13">
      <c r="A2" t="s">
        <v>519</v>
      </c>
      <c r="B2">
        <f>SUMIF(REDs_Sport_Level_Coding_Templat!J:J,"yes",REDs_Sport_Level_Coding_Templat!F:F)</f>
        <v>1466</v>
      </c>
      <c r="C2" s="5">
        <f>AVERAGEIF(REDs_Sport_Level_Coding_Templat!J:J,"yes",REDs_Sport_Level_Coding_Templat!O:O)</f>
        <v>0.4715060606060606</v>
      </c>
      <c r="D2" s="5" cm="1">
        <f t="array" ref="D2">IFERROR(
  _xlfn.STDEV.S(_xlfn._xlws.FILTER(REDs_Sport_Level_Coding_Templat!O:O,LOWER(REDs_Sport_Level_Coding_Templat!J:J)="yes")),
"")</f>
        <v>0.23412439527336998</v>
      </c>
      <c r="E2" s="5" cm="1">
        <f t="array" ref="E2">IFERROR(
  MAX(_xlfn._xlws.FILTER(REDs_Sport_Level_Coding_Templat!O:O,LOWER(REDs_Sport_Level_Coding_Templat!J:J)="yes"))
 -MIN(_xlfn._xlws.FILTER(REDs_Sport_Level_Coding_Templat!O:O,LOWER(REDs_Sport_Level_Coding_Templat!J:J)="yes")),
"")</f>
        <v>0.84599999999999997</v>
      </c>
      <c r="H2" s="1" t="s">
        <v>520</v>
      </c>
      <c r="I2" s="5">
        <f>MEDIAN(Table1[%_REDs__Risk_Reported])</f>
        <v>0.35099999999999998</v>
      </c>
      <c r="J2" s="5"/>
      <c r="L2" t="s">
        <v>40</v>
      </c>
      <c r="M2" s="5">
        <v>0.63800000000000001</v>
      </c>
    </row>
    <row r="3" spans="1:13">
      <c r="A3" t="s">
        <v>521</v>
      </c>
      <c r="B3">
        <f>SUMIF(REDs_Sport_Level_Coding_Templat!J:J,"no",REDs_Sport_Level_Coding_Templat!F:F)</f>
        <v>13052</v>
      </c>
      <c r="C3" s="5">
        <f>AVERAGEIF(REDs_Sport_Level_Coding_Templat!J:J,"no",REDs_Sport_Level_Coding_Templat!O:O)</f>
        <v>0.38210982142857119</v>
      </c>
      <c r="D3" s="5" cm="1">
        <f t="array" ref="D3">IFERROR(
  _xlfn.STDEV.S(_xlfn._xlws.FILTER(REDs_Sport_Level_Coding_Templat!O:O,LOWER(REDs_Sport_Level_Coding_Templat!J:J)="no")),
"")</f>
        <v>0.26161403623797558</v>
      </c>
      <c r="E3" s="5" cm="1">
        <f t="array" ref="E3">IFERROR(
  MAX(_xlfn._xlws.FILTER(REDs_Sport_Level_Coding_Templat!O:O,LOWER(REDs_Sport_Level_Coding_Templat!J:J)="no"))
 -MIN(_xlfn._xlws.FILTER(REDs_Sport_Level_Coding_Templat!O:O,LOWER(REDs_Sport_Level_Coding_Templat!J:J)="no")),
"")</f>
        <v>1</v>
      </c>
      <c r="H3" s="1" t="str" cm="1">
        <f t="array" ref="H3:H10">_xlfn.UNIQUE(Table1[Primary_Screening_Tool_Used])</f>
        <v>MD</v>
      </c>
      <c r="I3" s="5" cm="1">
        <f t="array" ref="I3">IFERROR(
  MEDIAN(
    _xlfn._xlws.FILTER(REDs_Sport_Level_Coding_Templat!O:O, REDs_Sport_Level_Coding_Templat!M:M=H3)
  ),
"")</f>
        <v>0.17299999999999999</v>
      </c>
      <c r="J3" s="5"/>
      <c r="L3" t="s">
        <v>75</v>
      </c>
      <c r="M3" s="5">
        <v>0.63</v>
      </c>
    </row>
    <row r="4" spans="1:13">
      <c r="A4" t="s">
        <v>522</v>
      </c>
      <c r="B4">
        <f>SUMIF(REDs_Sport_Level_Coding_Templat!G:G,"team",REDs_Sport_Level_Coding_Templat!F:F)</f>
        <v>2037</v>
      </c>
      <c r="C4" s="5">
        <f>AVERAGEIF(REDs_Sport_Level_Coding_Templat!G:G,"team",REDs_Sport_Level_Coding_Templat!O:O)</f>
        <v>0.40885192307692314</v>
      </c>
      <c r="D4" s="5" cm="1">
        <f t="array" ref="D4">IFERROR(_xlfn.STDEV.S(_xlfn._xlws.FILTER(REDs_Sport_Level_Coding_Templat!O:O,REDs_Sport_Level_Coding_Templat!G:G="team")),"")</f>
        <v>0.2699135427955856</v>
      </c>
      <c r="E4" s="5" cm="1">
        <f t="array" ref="E4">IFERROR(
  MAX(_xlfn._xlws.FILTER(REDs_Sport_Level_Coding_Templat!O:O,REDs_Sport_Level_Coding_Templat!G:G="team"))
 -MIN(_xlfn._xlws.FILTER(REDs_Sport_Level_Coding_Templat!O:O,REDs_Sport_Level_Coding_Templat!G:G="team")),
"")</f>
        <v>1</v>
      </c>
      <c r="H4" s="1" t="str">
        <v>LEAF-Q</v>
      </c>
      <c r="I4" s="5" cm="1">
        <f t="array" ref="I4">IFERROR(
  MEDIAN(
    _xlfn._xlws.FILTER(REDs_Sport_Level_Coding_Templat!O:O, REDs_Sport_Level_Coding_Templat!M:M=H4)
  ),
"")</f>
        <v>0.63800000000000001</v>
      </c>
      <c r="J4" s="5"/>
      <c r="L4" t="s">
        <v>159</v>
      </c>
      <c r="M4" s="5">
        <v>0.43499999999999994</v>
      </c>
    </row>
    <row r="5" spans="1:13">
      <c r="A5" t="s">
        <v>523</v>
      </c>
      <c r="B5">
        <f>SUMIF(REDs_Sport_Level_Coding_Templat!G:G,"individual",REDs_Sport_Level_Coding_Templat!F:F)</f>
        <v>12481</v>
      </c>
      <c r="C5" s="5">
        <f>AVERAGEIF(REDs_Sport_Level_Coding_Templat!G:G,"individual",REDs_Sport_Level_Coding_Templat!O:O)</f>
        <v>0.39887849462365582</v>
      </c>
      <c r="D5" s="5" cm="1">
        <f t="array" ref="D5">IFERROR(_xlfn.STDEV.S(_xlfn._xlws.FILTER(REDs_Sport_Level_Coding_Templat!O:O,REDs_Sport_Level_Coding_Templat!G:G="individual")),"")</f>
        <v>0.25186209384323921</v>
      </c>
      <c r="E5" s="5" cm="1">
        <f t="array" ref="E5">IFERROR(
  MAX(_xlfn._xlws.FILTER(REDs_Sport_Level_Coding_Templat!O:O,REDs_Sport_Level_Coding_Templat!G:G="individual"))
 -MIN(_xlfn._xlws.FILTER(REDs_Sport_Level_Coding_Templat!O:O,REDs_Sport_Level_Coding_Templat!G:G="individual")),
"")</f>
        <v>1</v>
      </c>
      <c r="H5" s="1" t="str">
        <v>EA calculation</v>
      </c>
      <c r="I5" s="5" cm="1">
        <f t="array" ref="I5">IFERROR(
  MEDIAN(
    _xlfn._xlws.FILTER(REDs_Sport_Level_Coding_Templat!O:O, REDs_Sport_Level_Coding_Templat!M:M=H5)
  ),
"")</f>
        <v>0.63</v>
      </c>
      <c r="J5" s="5"/>
      <c r="L5" t="s">
        <v>96</v>
      </c>
      <c r="M5" s="5">
        <v>0.4</v>
      </c>
    </row>
    <row r="6" spans="1:13">
      <c r="A6" t="s">
        <v>524</v>
      </c>
      <c r="B6">
        <f>SUM(SUMIFS(REDs_Sport_Level_Coding_Templat!F:F,REDs_Sport_Level_Coding_Templat!H:H,1),
     SUMIFS(REDs_Sport_Level_Coding_Templat!F:F,REDs_Sport_Level_Coding_Templat!H:H,2))</f>
        <v>9217</v>
      </c>
      <c r="C6" s="5" cm="1">
        <f t="array" ref="C6">IFERROR(
  AVERAGE(_xlfn._xlws.FILTER(REDs_Sport_Level_Coding_Templat!O:O,(REDs_Sport_Level_Coding_Templat!H:H=1)+(REDs_Sport_Level_Coding_Templat!H:H=2))),
"")</f>
        <v>0.44673239436619716</v>
      </c>
      <c r="D6" s="5" cm="1">
        <f t="array" ref="D6">IFERROR(
  _xlfn.STDEV.S(_xlfn._xlws.FILTER(REDs_Sport_Level_Coding_Templat!O:O,(REDs_Sport_Level_Coding_Templat!H:H=1)+(REDs_Sport_Level_Coding_Templat!H:H=2))),
"")</f>
        <v>0.24873462380310246</v>
      </c>
      <c r="E6" s="5" cm="1">
        <f t="array" ref="E6">IFERROR(
  MAX(_xlfn._xlws.FILTER(REDs_Sport_Level_Coding_Templat!O:O,(REDs_Sport_Level_Coding_Templat!H:H=1)+(REDs_Sport_Level_Coding_Templat!H:H=2)))
 -MIN(_xlfn._xlws.FILTER(REDs_Sport_Level_Coding_Templat!O:O,(REDs_Sport_Level_Coding_Templat!H:H=1)+(REDs_Sport_Level_Coding_Templat!H:H=2))),
"")</f>
        <v>1</v>
      </c>
      <c r="H6" s="1" t="str">
        <v>Lab Measures</v>
      </c>
      <c r="I6" s="5" cm="1">
        <f t="array" ref="I6">IFERROR(
  MEDIAN(
    _xlfn._xlws.FILTER(REDs_Sport_Level_Coding_Templat!O:O, REDs_Sport_Level_Coding_Templat!M:M=H6)
  ),
"")</f>
        <v>0.4</v>
      </c>
      <c r="J6" s="5"/>
      <c r="L6" t="s">
        <v>520</v>
      </c>
      <c r="M6" s="5">
        <v>0.35099999999999998</v>
      </c>
    </row>
    <row r="7" spans="1:13">
      <c r="A7" t="s">
        <v>525</v>
      </c>
      <c r="B7">
        <f>SUMIFS(REDs_Sport_Level_Coding_Templat!F:F,REDs_Sport_Level_Coding_Templat!H:H,3)</f>
        <v>1704</v>
      </c>
      <c r="C7" s="5">
        <f>IFERROR(
  AVERAGEIF(REDs_Sport_Level_Coding_Templat!H:H,3,REDs_Sport_Level_Coding_Templat!O:O),
"")</f>
        <v>0.38456818181818198</v>
      </c>
      <c r="D7" s="5" cm="1">
        <f t="array" ref="D7">IFERROR(
  _xlfn.STDEV.S(_xlfn._xlws.FILTER(REDs_Sport_Level_Coding_Templat!O:O,REDs_Sport_Level_Coding_Templat!H:H=3)),
"")</f>
        <v>0.28442061856761475</v>
      </c>
      <c r="E7" s="5" cm="1">
        <f t="array" ref="E7">IFERROR(
  MAX(_xlfn._xlws.FILTER(REDs_Sport_Level_Coding_Templat!O:O,REDs_Sport_Level_Coding_Templat!H:H=3))
 -MIN(_xlfn._xlws.FILTER(REDs_Sport_Level_Coding_Templat!O:O,REDs_Sport_Level_Coding_Templat!H:H=3)),
"")</f>
        <v>1</v>
      </c>
      <c r="H7" s="1" t="str">
        <v>DE Screen</v>
      </c>
      <c r="I7" s="5" cm="1">
        <f t="array" ref="I7">IFERROR(
  MEDIAN(
    _xlfn._xlws.FILTER(REDs_Sport_Level_Coding_Templat!O:O, REDs_Sport_Level_Coding_Templat!M:M=H7)
  ),
"")</f>
        <v>0.315</v>
      </c>
      <c r="J7" s="5"/>
      <c r="L7" t="s">
        <v>111</v>
      </c>
      <c r="M7" s="5">
        <v>0.315</v>
      </c>
    </row>
    <row r="8" spans="1:13">
      <c r="A8" t="s">
        <v>526</v>
      </c>
      <c r="B8">
        <f>SUM(SUMIFS(REDs_Sport_Level_Coding_Templat!F:F,REDs_Sport_Level_Coding_Templat!H:H,4),
     SUMIFS(REDs_Sport_Level_Coding_Templat!F:F,REDs_Sport_Level_Coding_Templat!H:H,5))</f>
        <v>3597</v>
      </c>
      <c r="C8" s="5" cm="1">
        <f t="array" ref="C8">IFERROR(
  AVERAGE(_xlfn._xlws.FILTER(REDs_Sport_Level_Coding_Templat!O:O,(REDs_Sport_Level_Coding_Templat!H:H=4)+(REDs_Sport_Level_Coding_Templat!H:H=5))),
"")</f>
        <v>0.32390000000000002</v>
      </c>
      <c r="D8" s="5" cm="1">
        <f t="array" ref="D8">IFERROR(
  _xlfn.STDEV.S(_xlfn._xlws.FILTER(REDs_Sport_Level_Coding_Templat!O:O,(REDs_Sport_Level_Coding_Templat!H:H=4)+(REDs_Sport_Level_Coding_Templat!H:H=5))),
"")</f>
        <v>0.22027419276892149</v>
      </c>
      <c r="E8" s="5" cm="1">
        <f t="array" ref="E8">IFERROR(
  MAX(_xlfn._xlws.FILTER(REDs_Sport_Level_Coding_Templat!O:O,(REDs_Sport_Level_Coding_Templat!H:H=4)+(REDs_Sport_Level_Coding_Templat!H:H=5)))
 -MIN(_xlfn._xlws.FILTER(REDs_Sport_Level_Coding_Templat!O:O,(REDs_Sport_Level_Coding_Templat!H:H=4)+(REDs_Sport_Level_Coding_Templat!H:H=5))),
"")</f>
        <v>0.94100000000000006</v>
      </c>
      <c r="H8" s="1" t="str">
        <v>DEAQ</v>
      </c>
      <c r="I8" s="5" cm="1">
        <f t="array" ref="I8">IFERROR(
  MEDIAN(
    _xlfn._xlws.FILTER(REDs_Sport_Level_Coding_Templat!O:O, REDs_Sport_Level_Coding_Templat!M:M=H8)
  ),
"")</f>
        <v>0.43499999999999994</v>
      </c>
      <c r="J8" s="5"/>
      <c r="L8" t="s">
        <v>507</v>
      </c>
      <c r="M8" s="5">
        <v>0.254</v>
      </c>
    </row>
    <row r="9" spans="1:13">
      <c r="A9" t="s">
        <v>527</v>
      </c>
      <c r="B9">
        <f>SUM(SUMIFS(REDs_Sport_Level_Coding_Templat!F:F,REDs_Sport_Level_Coding_Templat!I:I,1),
     SUMIFS(REDs_Sport_Level_Coding_Templat!F:F,REDs_Sport_Level_Coding_Templat!I:I,2))</f>
        <v>10503</v>
      </c>
      <c r="C9" s="5" cm="1">
        <f t="array" ref="C9">IFERROR(AVERAGE(_xlfn._xlws.FILTER(REDs_Sport_Level_Coding_Templat!O:O,(REDs_Sport_Level_Coding_Templat!I:I=1)+(REDs_Sport_Level_Coding_Templat!I:I=2))),"")</f>
        <v>0.42047699999999993</v>
      </c>
      <c r="D9" s="5" cm="1">
        <f t="array" ref="D9">IFERROR(
  _xlfn.STDEV.S(_xlfn._xlws.FILTER(REDs_Sport_Level_Coding_Templat!O:O,(REDs_Sport_Level_Coding_Templat!I:I=1)+(REDs_Sport_Level_Coding_Templat!I:I=2))),
"")</f>
        <v>0.25464230283860856</v>
      </c>
      <c r="E9" s="5" cm="1">
        <f t="array" ref="E9">IFERROR(
  MAX(_xlfn._xlws.FILTER(REDs_Sport_Level_Coding_Templat!O:O,(REDs_Sport_Level_Coding_Templat!I:I=1)+(REDs_Sport_Level_Coding_Templat!I:I=2)))
 -MIN(_xlfn._xlws.FILTER(REDs_Sport_Level_Coding_Templat!O:O,(REDs_Sport_Level_Coding_Templat!I:I=1)+(REDs_Sport_Level_Coding_Templat!I:I=2))),
"")</f>
        <v>1</v>
      </c>
      <c r="H9" s="1" t="str">
        <v xml:space="preserve">Composite Triad Risk </v>
      </c>
      <c r="I9" s="5" cm="1">
        <f t="array" ref="I9">IFERROR(
  MEDIAN(
    _xlfn._xlws.FILTER(REDs_Sport_Level_Coding_Templat!O:O, REDs_Sport_Level_Coding_Templat!M:M=H9)
  ),
"")</f>
        <v>0.16499999999999998</v>
      </c>
      <c r="J9" s="5"/>
      <c r="L9" t="s">
        <v>29</v>
      </c>
      <c r="M9" s="5">
        <v>0.17299999999999999</v>
      </c>
    </row>
    <row r="10" spans="1:13">
      <c r="A10" t="s">
        <v>528</v>
      </c>
      <c r="B10">
        <f>SUMIFS(REDs_Sport_Level_Coding_Templat!F:F,REDs_Sport_Level_Coding_Templat!I:I,3)</f>
        <v>3837</v>
      </c>
      <c r="C10" s="5">
        <f>IFERROR(AVERAGEIF(REDs_Sport_Level_Coding_Templat!I:I,3,REDs_Sport_Level_Coding_Templat!O:O),"")</f>
        <v>0.32023684210526315</v>
      </c>
      <c r="D10" s="5" cm="1">
        <f t="array" ref="D10">IFERROR(
  _xlfn.STDEV.S(_xlfn._xlws.FILTER(REDs_Sport_Level_Coding_Templat!O:O,REDs_Sport_Level_Coding_Templat!I:I=3)),
"")</f>
        <v>0.23248381916499472</v>
      </c>
      <c r="E10" s="5" cm="1">
        <f t="array" ref="E10">IFERROR(
  MAX(_xlfn._xlws.FILTER(REDs_Sport_Level_Coding_Templat!O:O,REDs_Sport_Level_Coding_Templat!I:I=3))
 -MIN(_xlfn._xlws.FILTER(REDs_Sport_Level_Coding_Templat!O:O,REDs_Sport_Level_Coding_Templat!I:I=3)),
"")</f>
        <v>0.77800000000000002</v>
      </c>
      <c r="H10" s="1" t="str">
        <v>Low BMD</v>
      </c>
      <c r="I10" s="5" cm="1">
        <f t="array" ref="I10">IFERROR(
  MEDIAN(
    _xlfn._xlws.FILTER(REDs_Sport_Level_Coding_Templat!O:O, REDs_Sport_Level_Coding_Templat!M:M=H10)
  ),
"")</f>
        <v>0.254</v>
      </c>
      <c r="J10" s="5"/>
      <c r="L10" t="s">
        <v>239</v>
      </c>
      <c r="M10" s="5">
        <v>0.16499999999999998</v>
      </c>
    </row>
    <row r="11" spans="1:13">
      <c r="A11" t="s">
        <v>529</v>
      </c>
      <c r="B11">
        <f>SUM(SUMIFS(REDs_Sport_Level_Coding_Templat!F:F,REDs_Sport_Level_Coding_Templat!I:I,4),
     SUMIFS(REDs_Sport_Level_Coding_Templat!F:F,REDs_Sport_Level_Coding_Templat!I:I,5))</f>
        <v>178</v>
      </c>
      <c r="C11" s="5" cm="1">
        <f t="array" ref="C11">IFERROR(AVERAGE(_xlfn._xlws.FILTER(REDs_Sport_Level_Coding_Templat!O:O,(REDs_Sport_Level_Coding_Templat!I:I=4)+(REDs_Sport_Level_Coding_Templat!I:I=5))),"")</f>
        <v>0.59132857142857131</v>
      </c>
      <c r="D11" s="5" cm="1">
        <f t="array" ref="D11">IFERROR(
  _xlfn.STDEV.S(_xlfn._xlws.FILTER(REDs_Sport_Level_Coding_Templat!O:O,(REDs_Sport_Level_Coding_Templat!I:I=4)+(REDs_Sport_Level_Coding_Templat!I:I=5))),
"")</f>
        <v>0.3153084559299868</v>
      </c>
      <c r="E11" s="5" cm="1">
        <f t="array" ref="E11">IFERROR(
  MAX(_xlfn._xlws.FILTER(REDs_Sport_Level_Coding_Templat!O:O,(REDs_Sport_Level_Coding_Templat!I:I=4)+(REDs_Sport_Level_Coding_Templat!I:I=5)))
 -MIN(_xlfn._xlws.FILTER(REDs_Sport_Level_Coding_Templat!O:O,(REDs_Sport_Level_Coding_Templat!I:I=4)+(REDs_Sport_Level_Coding_Templat!I:I=5))),
"")</f>
        <v>1</v>
      </c>
    </row>
  </sheetData>
  <autoFilter ref="L1:M10" xr:uid="{B53AEC46-C9AD-45DE-9C93-5D3900BC858C}">
    <sortState xmlns:xlrd2="http://schemas.microsoft.com/office/spreadsheetml/2017/richdata2" ref="L2:M10">
      <sortCondition descending="1" ref="M1:M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30E59-D98F-41F6-B6CF-C34465C348B4}">
  <dimension ref="A1:C39"/>
  <sheetViews>
    <sheetView workbookViewId="0">
      <selection activeCell="B46" sqref="B46"/>
    </sheetView>
  </sheetViews>
  <sheetFormatPr defaultRowHeight="14.45"/>
  <cols>
    <col min="1" max="1" width="21.85546875" bestFit="1" customWidth="1"/>
    <col min="2" max="2" width="99" bestFit="1" customWidth="1"/>
    <col min="3" max="3" width="110.7109375" bestFit="1" customWidth="1"/>
  </cols>
  <sheetData>
    <row r="1" spans="1:3" s="1" customFormat="1">
      <c r="A1" s="1" t="s">
        <v>530</v>
      </c>
      <c r="B1" s="1" t="s">
        <v>531</v>
      </c>
      <c r="C1" s="1" t="s">
        <v>532</v>
      </c>
    </row>
    <row r="2" spans="1:3">
      <c r="A2" t="s">
        <v>6</v>
      </c>
      <c r="B2" t="s">
        <v>533</v>
      </c>
      <c r="C2" t="s">
        <v>534</v>
      </c>
    </row>
    <row r="3" spans="1:3">
      <c r="A3" t="s">
        <v>535</v>
      </c>
      <c r="B3" t="s">
        <v>536</v>
      </c>
      <c r="C3" t="s">
        <v>537</v>
      </c>
    </row>
    <row r="4" spans="1:3">
      <c r="A4" t="s">
        <v>538</v>
      </c>
      <c r="B4" t="s">
        <v>539</v>
      </c>
      <c r="C4" t="s">
        <v>540</v>
      </c>
    </row>
    <row r="5" spans="1:3">
      <c r="A5" t="s">
        <v>9</v>
      </c>
      <c r="B5" t="s">
        <v>541</v>
      </c>
      <c r="C5" t="s">
        <v>542</v>
      </c>
    </row>
    <row r="6" spans="1:3">
      <c r="A6" t="s">
        <v>543</v>
      </c>
      <c r="B6" t="s">
        <v>544</v>
      </c>
      <c r="C6" t="s">
        <v>545</v>
      </c>
    </row>
    <row r="7" spans="1:3">
      <c r="A7" t="s">
        <v>546</v>
      </c>
      <c r="B7" t="s">
        <v>547</v>
      </c>
      <c r="C7" t="s">
        <v>548</v>
      </c>
    </row>
    <row r="8" spans="1:3">
      <c r="A8" t="s">
        <v>13</v>
      </c>
      <c r="B8" t="s">
        <v>544</v>
      </c>
      <c r="C8" t="s">
        <v>549</v>
      </c>
    </row>
    <row r="9" spans="1:3">
      <c r="A9" t="s">
        <v>550</v>
      </c>
      <c r="B9" t="s">
        <v>544</v>
      </c>
      <c r="C9" t="s">
        <v>551</v>
      </c>
    </row>
    <row r="10" spans="1:3">
      <c r="A10" t="s">
        <v>19</v>
      </c>
      <c r="B10" t="s">
        <v>552</v>
      </c>
      <c r="C10" t="s">
        <v>553</v>
      </c>
    </row>
    <row r="11" spans="1:3">
      <c r="A11" t="s">
        <v>554</v>
      </c>
      <c r="B11" t="s">
        <v>555</v>
      </c>
      <c r="C11" t="s">
        <v>556</v>
      </c>
    </row>
    <row r="15" spans="1:3" ht="15">
      <c r="A15" s="1" t="s">
        <v>557</v>
      </c>
      <c r="B15" s="1" t="s">
        <v>558</v>
      </c>
      <c r="C15" s="1" t="s">
        <v>559</v>
      </c>
    </row>
    <row r="16" spans="1:3" ht="15">
      <c r="A16" s="1">
        <v>1</v>
      </c>
      <c r="B16" t="s">
        <v>560</v>
      </c>
      <c r="C16" t="s">
        <v>561</v>
      </c>
    </row>
    <row r="17" spans="1:3" ht="15">
      <c r="A17" s="1">
        <v>2</v>
      </c>
      <c r="B17" t="s">
        <v>562</v>
      </c>
      <c r="C17" t="s">
        <v>563</v>
      </c>
    </row>
    <row r="18" spans="1:3" ht="15">
      <c r="A18" s="1">
        <v>3</v>
      </c>
      <c r="B18" t="s">
        <v>564</v>
      </c>
      <c r="C18" t="s">
        <v>565</v>
      </c>
    </row>
    <row r="19" spans="1:3" ht="15">
      <c r="A19" s="1">
        <v>4</v>
      </c>
      <c r="B19" t="s">
        <v>566</v>
      </c>
      <c r="C19" t="s">
        <v>567</v>
      </c>
    </row>
    <row r="20" spans="1:3" ht="15">
      <c r="A20" s="1">
        <v>5</v>
      </c>
      <c r="B20" t="s">
        <v>568</v>
      </c>
      <c r="C20" t="s">
        <v>569</v>
      </c>
    </row>
    <row r="22" spans="1:3" ht="15">
      <c r="A22" s="1" t="s">
        <v>557</v>
      </c>
      <c r="B22" s="1" t="s">
        <v>532</v>
      </c>
    </row>
    <row r="23" spans="1:3" ht="15">
      <c r="A23" s="1">
        <v>1</v>
      </c>
      <c r="B23" t="s">
        <v>570</v>
      </c>
    </row>
    <row r="24" spans="1:3" ht="15">
      <c r="A24" s="1">
        <v>2</v>
      </c>
      <c r="B24" t="s">
        <v>571</v>
      </c>
    </row>
    <row r="25" spans="1:3" ht="15">
      <c r="A25" s="1">
        <v>3</v>
      </c>
      <c r="B25" t="s">
        <v>572</v>
      </c>
    </row>
    <row r="26" spans="1:3" ht="15">
      <c r="A26" s="1">
        <v>4</v>
      </c>
      <c r="B26" t="s">
        <v>573</v>
      </c>
    </row>
    <row r="27" spans="1:3" ht="15">
      <c r="A27" s="1">
        <v>5</v>
      </c>
      <c r="B27" t="s">
        <v>574</v>
      </c>
    </row>
    <row r="31" spans="1:3" ht="15">
      <c r="A31" s="1" t="s">
        <v>575</v>
      </c>
    </row>
    <row r="32" spans="1:3" ht="15">
      <c r="A32">
        <v>1</v>
      </c>
      <c r="B32" s="1" t="s">
        <v>576</v>
      </c>
    </row>
    <row r="33" spans="1:2" ht="15">
      <c r="A33">
        <v>2</v>
      </c>
      <c r="B33" s="11" t="s">
        <v>577</v>
      </c>
    </row>
    <row r="34" spans="1:2" ht="15">
      <c r="A34">
        <v>3</v>
      </c>
      <c r="B34" s="1" t="s">
        <v>578</v>
      </c>
    </row>
    <row r="35" spans="1:2" ht="15">
      <c r="A35">
        <v>4</v>
      </c>
      <c r="B35" s="11" t="s">
        <v>579</v>
      </c>
    </row>
    <row r="36" spans="1:2" ht="15">
      <c r="A36">
        <v>5</v>
      </c>
      <c r="B36" s="1" t="s">
        <v>580</v>
      </c>
    </row>
    <row r="37" spans="1:2" ht="15">
      <c r="A37">
        <v>6</v>
      </c>
      <c r="B37" s="11" t="s">
        <v>581</v>
      </c>
    </row>
    <row r="38" spans="1:2" ht="15">
      <c r="A38">
        <v>7</v>
      </c>
      <c r="B38" s="1" t="s">
        <v>582</v>
      </c>
    </row>
    <row r="39" spans="1:2" ht="15">
      <c r="A39">
        <v>8</v>
      </c>
      <c r="B39" s="1" t="s">
        <v>583</v>
      </c>
    </row>
  </sheetData>
  <pageMargins left="0.7" right="0.7" top="0.75" bottom="0.75" header="0.3" footer="0.3"/>
  <headerFooter>
    <oddFooter>&amp;C_x000D_&amp;1#&amp;"Calibri"&amp;10&amp;K000000 Classified as Business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4F93D-3B06-43BE-9EAB-BFDBB03D3253}">
  <dimension ref="A1:W26"/>
  <sheetViews>
    <sheetView tabSelected="1" workbookViewId="0">
      <selection activeCell="A28" sqref="A28"/>
    </sheetView>
  </sheetViews>
  <sheetFormatPr defaultRowHeight="15" customHeight="1"/>
  <cols>
    <col min="1" max="1" width="146.85546875" bestFit="1" customWidth="1"/>
    <col min="2" max="2" width="5.42578125" bestFit="1" customWidth="1"/>
    <col min="3" max="3" width="22.42578125" bestFit="1" customWidth="1"/>
    <col min="4" max="4" width="22.42578125" customWidth="1"/>
    <col min="5" max="5" width="10.42578125" bestFit="1" customWidth="1"/>
    <col min="6" max="6" width="14.28515625" bestFit="1" customWidth="1"/>
    <col min="7" max="7" width="21.85546875" bestFit="1" customWidth="1"/>
    <col min="8" max="8" width="16.5703125" bestFit="1" customWidth="1"/>
    <col min="9" max="9" width="17.85546875" bestFit="1" customWidth="1"/>
    <col min="10" max="10" width="21.85546875" bestFit="1" customWidth="1"/>
    <col min="11" max="11" width="19.42578125" bestFit="1" customWidth="1"/>
    <col min="12" max="12" width="14.5703125" bestFit="1" customWidth="1"/>
    <col min="13" max="13" width="14.5703125" style="5" customWidth="1"/>
    <col min="14" max="14" width="15" bestFit="1" customWidth="1"/>
    <col min="15" max="15" width="27.28515625" bestFit="1" customWidth="1"/>
    <col min="16" max="16" width="17.42578125" bestFit="1" customWidth="1"/>
    <col min="17" max="17" width="14.140625" bestFit="1" customWidth="1"/>
    <col min="18" max="18" width="13.140625" bestFit="1" customWidth="1"/>
    <col min="19" max="19" width="22.42578125" customWidth="1"/>
    <col min="20" max="20" width="19.7109375" bestFit="1" customWidth="1"/>
    <col min="21" max="21" width="49.85546875" bestFit="1" customWidth="1"/>
    <col min="22" max="22" width="74.42578125" bestFit="1" customWidth="1"/>
  </cols>
  <sheetData>
    <row r="1" spans="1:22" s="1" customFormat="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535</v>
      </c>
      <c r="G1" s="1" t="s">
        <v>8</v>
      </c>
      <c r="H1" s="1" t="s">
        <v>9</v>
      </c>
      <c r="I1" s="1" t="s">
        <v>584</v>
      </c>
      <c r="J1" s="1" t="s">
        <v>11</v>
      </c>
      <c r="K1" s="1" t="s">
        <v>546</v>
      </c>
      <c r="L1" s="1" t="s">
        <v>13</v>
      </c>
      <c r="M1" s="4" t="s">
        <v>585</v>
      </c>
      <c r="N1" s="1" t="s">
        <v>550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554</v>
      </c>
      <c r="T1" s="1" t="s">
        <v>586</v>
      </c>
      <c r="U1" s="1" t="s">
        <v>587</v>
      </c>
      <c r="V1" s="1" t="s">
        <v>22</v>
      </c>
    </row>
    <row r="2" spans="1:22" s="7" customFormat="1">
      <c r="A2" s="6" t="s">
        <v>588</v>
      </c>
      <c r="B2" s="6">
        <v>2015</v>
      </c>
      <c r="C2" s="6" t="s">
        <v>34</v>
      </c>
      <c r="D2" s="6">
        <v>4</v>
      </c>
      <c r="E2" s="6" t="s">
        <v>26</v>
      </c>
      <c r="F2" s="7" t="s">
        <v>25</v>
      </c>
      <c r="G2" s="6">
        <v>2</v>
      </c>
      <c r="H2" s="6" t="s">
        <v>589</v>
      </c>
      <c r="I2" s="6" t="s">
        <v>27</v>
      </c>
      <c r="J2" s="7" t="s">
        <v>28</v>
      </c>
      <c r="K2" s="6" t="s">
        <v>590</v>
      </c>
      <c r="L2" s="6" t="s">
        <v>41</v>
      </c>
      <c r="M2" s="8" t="s">
        <v>28</v>
      </c>
      <c r="N2" s="6" t="s">
        <v>591</v>
      </c>
      <c r="O2" s="6"/>
      <c r="P2" s="6"/>
      <c r="Q2" s="6"/>
      <c r="R2" s="6"/>
      <c r="S2" s="6"/>
      <c r="T2" s="6"/>
      <c r="U2" s="6"/>
      <c r="V2" s="6" t="s">
        <v>592</v>
      </c>
    </row>
    <row r="3" spans="1:22">
      <c r="A3" t="s">
        <v>593</v>
      </c>
      <c r="B3">
        <v>2001</v>
      </c>
      <c r="C3" t="s">
        <v>24</v>
      </c>
      <c r="D3" t="s">
        <v>594</v>
      </c>
      <c r="E3" t="s">
        <v>26</v>
      </c>
      <c r="F3" t="s">
        <v>25</v>
      </c>
      <c r="G3">
        <v>1</v>
      </c>
      <c r="H3" t="s">
        <v>27</v>
      </c>
      <c r="I3" t="s">
        <v>27</v>
      </c>
      <c r="J3" t="s">
        <v>28</v>
      </c>
      <c r="L3" t="s">
        <v>41</v>
      </c>
      <c r="M3" s="5" t="s">
        <v>28</v>
      </c>
      <c r="N3" t="s">
        <v>595</v>
      </c>
      <c r="O3" t="s">
        <v>596</v>
      </c>
      <c r="Q3" t="s">
        <v>27</v>
      </c>
      <c r="R3" t="s">
        <v>27</v>
      </c>
      <c r="V3" t="s">
        <v>597</v>
      </c>
    </row>
    <row r="4" spans="1:22">
      <c r="A4" t="s">
        <v>598</v>
      </c>
      <c r="B4">
        <v>2023</v>
      </c>
      <c r="C4" t="s">
        <v>68</v>
      </c>
      <c r="D4" s="2"/>
      <c r="E4" t="s">
        <v>26</v>
      </c>
      <c r="F4" t="s">
        <v>25</v>
      </c>
      <c r="G4">
        <v>1</v>
      </c>
      <c r="H4" t="s">
        <v>27</v>
      </c>
      <c r="I4" t="s">
        <v>27</v>
      </c>
      <c r="J4" t="s">
        <v>28</v>
      </c>
      <c r="L4" t="s">
        <v>41</v>
      </c>
      <c r="M4" s="5" t="s">
        <v>28</v>
      </c>
      <c r="N4" t="s">
        <v>599</v>
      </c>
      <c r="O4" t="s">
        <v>600</v>
      </c>
      <c r="Q4" t="s">
        <v>27</v>
      </c>
      <c r="R4" t="s">
        <v>27</v>
      </c>
      <c r="V4" t="s">
        <v>601</v>
      </c>
    </row>
    <row r="5" spans="1:22" ht="15" customHeight="1">
      <c r="A5" t="s">
        <v>602</v>
      </c>
      <c r="B5">
        <v>2021</v>
      </c>
      <c r="C5" t="s">
        <v>121</v>
      </c>
      <c r="D5">
        <v>14</v>
      </c>
      <c r="E5" t="s">
        <v>26</v>
      </c>
      <c r="F5" t="s">
        <v>603</v>
      </c>
      <c r="G5">
        <v>1</v>
      </c>
      <c r="H5" t="s">
        <v>41</v>
      </c>
      <c r="I5" t="s">
        <v>27</v>
      </c>
      <c r="J5" t="s">
        <v>28</v>
      </c>
      <c r="K5" t="s">
        <v>604</v>
      </c>
      <c r="L5" t="s">
        <v>41</v>
      </c>
      <c r="M5" s="5" t="s">
        <v>28</v>
      </c>
      <c r="N5" t="s">
        <v>605</v>
      </c>
      <c r="O5" t="s">
        <v>606</v>
      </c>
      <c r="Q5" t="s">
        <v>27</v>
      </c>
      <c r="R5" t="s">
        <v>27</v>
      </c>
      <c r="V5" t="s">
        <v>607</v>
      </c>
    </row>
    <row r="6" spans="1:22" ht="15" customHeight="1">
      <c r="A6" t="s">
        <v>602</v>
      </c>
      <c r="B6">
        <v>2021</v>
      </c>
      <c r="C6" t="s">
        <v>33</v>
      </c>
      <c r="D6">
        <v>17</v>
      </c>
      <c r="E6" t="s">
        <v>26</v>
      </c>
      <c r="F6" t="s">
        <v>25</v>
      </c>
      <c r="G6">
        <v>2</v>
      </c>
      <c r="H6" t="s">
        <v>27</v>
      </c>
      <c r="I6" t="s">
        <v>27</v>
      </c>
      <c r="J6" t="s">
        <v>28</v>
      </c>
      <c r="K6" t="s">
        <v>604</v>
      </c>
      <c r="L6" t="s">
        <v>41</v>
      </c>
      <c r="M6" s="5" t="s">
        <v>28</v>
      </c>
      <c r="N6" t="s">
        <v>605</v>
      </c>
      <c r="O6" t="s">
        <v>606</v>
      </c>
      <c r="Q6" t="s">
        <v>27</v>
      </c>
      <c r="R6" t="s">
        <v>27</v>
      </c>
      <c r="V6" t="s">
        <v>608</v>
      </c>
    </row>
    <row r="7" spans="1:22" ht="15" customHeight="1">
      <c r="A7" t="s">
        <v>609</v>
      </c>
      <c r="B7">
        <v>2011</v>
      </c>
      <c r="C7" t="s">
        <v>61</v>
      </c>
      <c r="D7">
        <v>221</v>
      </c>
      <c r="E7" t="s">
        <v>26</v>
      </c>
      <c r="F7" t="s">
        <v>603</v>
      </c>
      <c r="G7">
        <v>1</v>
      </c>
      <c r="H7" t="s">
        <v>41</v>
      </c>
      <c r="I7" t="s">
        <v>27</v>
      </c>
      <c r="J7" t="s">
        <v>610</v>
      </c>
      <c r="K7" t="s">
        <v>611</v>
      </c>
      <c r="L7" t="s">
        <v>612</v>
      </c>
      <c r="M7" s="5" t="s">
        <v>28</v>
      </c>
      <c r="N7" t="s">
        <v>613</v>
      </c>
      <c r="O7" t="s">
        <v>614</v>
      </c>
      <c r="Q7" t="s">
        <v>27</v>
      </c>
      <c r="R7" t="s">
        <v>27</v>
      </c>
      <c r="V7" t="s">
        <v>615</v>
      </c>
    </row>
    <row r="8" spans="1:22" ht="15" customHeight="1">
      <c r="A8" t="s">
        <v>616</v>
      </c>
      <c r="B8">
        <v>2008</v>
      </c>
      <c r="C8" t="s">
        <v>130</v>
      </c>
      <c r="D8">
        <v>93</v>
      </c>
      <c r="E8" t="s">
        <v>26</v>
      </c>
      <c r="F8" t="s">
        <v>25</v>
      </c>
      <c r="G8">
        <v>2</v>
      </c>
      <c r="H8" t="s">
        <v>27</v>
      </c>
      <c r="I8" t="s">
        <v>27</v>
      </c>
      <c r="J8" t="s">
        <v>28</v>
      </c>
      <c r="K8" t="s">
        <v>617</v>
      </c>
      <c r="L8" t="s">
        <v>41</v>
      </c>
      <c r="M8" s="5" t="s">
        <v>28</v>
      </c>
      <c r="N8" t="s">
        <v>618</v>
      </c>
      <c r="O8" t="s">
        <v>619</v>
      </c>
      <c r="Q8" t="s">
        <v>27</v>
      </c>
      <c r="R8" t="s">
        <v>27</v>
      </c>
      <c r="V8" t="s">
        <v>620</v>
      </c>
    </row>
    <row r="9" spans="1:22" ht="15" customHeight="1">
      <c r="A9" t="s">
        <v>621</v>
      </c>
    </row>
    <row r="10" spans="1:22" ht="15" customHeight="1">
      <c r="A10" t="s">
        <v>622</v>
      </c>
    </row>
    <row r="11" spans="1:22" ht="15" customHeight="1">
      <c r="A11" t="s">
        <v>623</v>
      </c>
      <c r="B11">
        <v>2022</v>
      </c>
    </row>
    <row r="12" spans="1:22" ht="15" customHeight="1">
      <c r="A12" s="2" t="s">
        <v>624</v>
      </c>
      <c r="B12" s="2">
        <v>2024</v>
      </c>
      <c r="C12" s="2" t="s">
        <v>625</v>
      </c>
      <c r="D12">
        <v>45</v>
      </c>
      <c r="E12" s="2" t="s">
        <v>26</v>
      </c>
      <c r="F12" t="s">
        <v>626</v>
      </c>
      <c r="G12" s="2">
        <v>1</v>
      </c>
      <c r="H12" s="2" t="s">
        <v>41</v>
      </c>
      <c r="I12" s="2" t="s">
        <v>27</v>
      </c>
      <c r="J12" t="s">
        <v>627</v>
      </c>
      <c r="K12" s="2" t="s">
        <v>628</v>
      </c>
      <c r="L12" s="2" t="s">
        <v>41</v>
      </c>
      <c r="M12" s="3"/>
      <c r="N12" s="2" t="s">
        <v>629</v>
      </c>
      <c r="O12" s="2" t="s">
        <v>630</v>
      </c>
      <c r="P12" s="2" t="s">
        <v>27</v>
      </c>
      <c r="Q12" s="2" t="s">
        <v>27</v>
      </c>
      <c r="R12" s="2" t="s">
        <v>27</v>
      </c>
      <c r="S12" s="2"/>
      <c r="T12" s="2"/>
      <c r="U12" t="s">
        <v>631</v>
      </c>
      <c r="V12" s="2" t="s">
        <v>632</v>
      </c>
    </row>
    <row r="13" spans="1:22" ht="15" customHeight="1">
      <c r="A13" s="2" t="s">
        <v>624</v>
      </c>
      <c r="B13" s="2">
        <v>2024</v>
      </c>
      <c r="C13" s="2" t="s">
        <v>33</v>
      </c>
      <c r="D13">
        <v>78</v>
      </c>
      <c r="E13" s="2" t="s">
        <v>26</v>
      </c>
      <c r="F13" t="s">
        <v>633</v>
      </c>
      <c r="G13" s="2">
        <v>2</v>
      </c>
      <c r="H13" s="2" t="s">
        <v>27</v>
      </c>
      <c r="I13" s="2" t="s">
        <v>27</v>
      </c>
      <c r="J13" t="s">
        <v>153</v>
      </c>
      <c r="K13" s="2" t="s">
        <v>628</v>
      </c>
      <c r="L13" s="2" t="s">
        <v>41</v>
      </c>
      <c r="M13" s="3" t="s">
        <v>634</v>
      </c>
      <c r="N13" s="2" t="s">
        <v>635</v>
      </c>
      <c r="O13" s="2" t="s">
        <v>636</v>
      </c>
      <c r="P13" s="2" t="s">
        <v>27</v>
      </c>
      <c r="Q13" s="2" t="s">
        <v>27</v>
      </c>
      <c r="R13" s="2" t="s">
        <v>27</v>
      </c>
      <c r="S13" s="2"/>
      <c r="T13" s="2"/>
      <c r="U13" t="s">
        <v>637</v>
      </c>
      <c r="V13" s="2" t="s">
        <v>638</v>
      </c>
    </row>
    <row r="14" spans="1:22" ht="15" customHeight="1">
      <c r="A14" t="s">
        <v>639</v>
      </c>
    </row>
    <row r="15" spans="1:22" ht="15" customHeight="1">
      <c r="A15" t="s">
        <v>640</v>
      </c>
      <c r="B15">
        <v>2023</v>
      </c>
      <c r="C15" t="s">
        <v>121</v>
      </c>
      <c r="D15">
        <v>6</v>
      </c>
      <c r="E15" t="s">
        <v>26</v>
      </c>
      <c r="F15" t="s">
        <v>603</v>
      </c>
      <c r="G15">
        <v>1</v>
      </c>
      <c r="H15" t="s">
        <v>41</v>
      </c>
      <c r="I15" t="s">
        <v>27</v>
      </c>
      <c r="J15" t="s">
        <v>28</v>
      </c>
      <c r="K15" t="s">
        <v>589</v>
      </c>
      <c r="L15" t="s">
        <v>27</v>
      </c>
      <c r="M15" s="5">
        <v>0</v>
      </c>
      <c r="N15" t="s">
        <v>27</v>
      </c>
      <c r="O15" t="s">
        <v>589</v>
      </c>
      <c r="Q15" t="s">
        <v>27</v>
      </c>
      <c r="R15" t="s">
        <v>27</v>
      </c>
      <c r="V15" t="s">
        <v>641</v>
      </c>
    </row>
    <row r="16" spans="1:22" ht="15" customHeight="1">
      <c r="A16" t="s">
        <v>640</v>
      </c>
      <c r="B16">
        <v>2023</v>
      </c>
      <c r="C16" t="s">
        <v>642</v>
      </c>
      <c r="D16">
        <v>6</v>
      </c>
      <c r="E16" t="s">
        <v>26</v>
      </c>
      <c r="F16" t="s">
        <v>633</v>
      </c>
      <c r="G16">
        <v>1</v>
      </c>
      <c r="H16" t="s">
        <v>41</v>
      </c>
      <c r="I16" t="s">
        <v>27</v>
      </c>
      <c r="J16" t="s">
        <v>28</v>
      </c>
      <c r="K16" t="s">
        <v>589</v>
      </c>
      <c r="L16" t="s">
        <v>27</v>
      </c>
      <c r="M16" s="5">
        <v>0</v>
      </c>
      <c r="N16" t="s">
        <v>27</v>
      </c>
      <c r="O16" t="s">
        <v>589</v>
      </c>
      <c r="Q16" t="s">
        <v>27</v>
      </c>
      <c r="R16" t="s">
        <v>27</v>
      </c>
      <c r="V16" t="s">
        <v>643</v>
      </c>
    </row>
    <row r="17" spans="1:23" ht="15" customHeight="1">
      <c r="A17" t="s">
        <v>644</v>
      </c>
      <c r="B17">
        <v>1999</v>
      </c>
      <c r="C17" t="s">
        <v>121</v>
      </c>
      <c r="D17">
        <v>8</v>
      </c>
      <c r="E17" t="s">
        <v>26</v>
      </c>
      <c r="F17" t="s">
        <v>603</v>
      </c>
      <c r="G17">
        <v>1</v>
      </c>
      <c r="H17" t="s">
        <v>41</v>
      </c>
      <c r="I17" t="s">
        <v>27</v>
      </c>
      <c r="J17" t="s">
        <v>87</v>
      </c>
      <c r="K17" t="s">
        <v>645</v>
      </c>
      <c r="L17" t="s">
        <v>41</v>
      </c>
      <c r="M17" s="3">
        <v>0.75</v>
      </c>
      <c r="N17" t="s">
        <v>27</v>
      </c>
      <c r="O17" t="s">
        <v>646</v>
      </c>
      <c r="P17" t="s">
        <v>119</v>
      </c>
      <c r="Q17" t="s">
        <v>119</v>
      </c>
      <c r="R17" t="s">
        <v>119</v>
      </c>
      <c r="T17">
        <v>0</v>
      </c>
      <c r="U17">
        <v>0</v>
      </c>
      <c r="V17" t="s">
        <v>647</v>
      </c>
    </row>
    <row r="18" spans="1:23" ht="15" customHeight="1">
      <c r="A18" t="s">
        <v>644</v>
      </c>
      <c r="B18">
        <v>1999</v>
      </c>
      <c r="C18" t="s">
        <v>33</v>
      </c>
      <c r="D18">
        <v>10</v>
      </c>
      <c r="E18" t="s">
        <v>26</v>
      </c>
      <c r="F18" t="s">
        <v>25</v>
      </c>
      <c r="G18">
        <v>1</v>
      </c>
      <c r="H18" t="s">
        <v>27</v>
      </c>
      <c r="I18" t="s">
        <v>27</v>
      </c>
      <c r="J18" t="s">
        <v>87</v>
      </c>
      <c r="K18" t="s">
        <v>645</v>
      </c>
      <c r="L18" t="s">
        <v>41</v>
      </c>
      <c r="M18" s="3">
        <v>0.5</v>
      </c>
      <c r="N18" t="s">
        <v>27</v>
      </c>
      <c r="O18" t="s">
        <v>646</v>
      </c>
      <c r="P18" t="s">
        <v>119</v>
      </c>
      <c r="Q18" t="s">
        <v>119</v>
      </c>
      <c r="R18" t="s">
        <v>119</v>
      </c>
      <c r="T18">
        <v>0</v>
      </c>
      <c r="U18">
        <v>0</v>
      </c>
    </row>
    <row r="19" spans="1:23" ht="15" customHeight="1">
      <c r="A19" t="s">
        <v>644</v>
      </c>
      <c r="B19">
        <v>1999</v>
      </c>
      <c r="C19" t="s">
        <v>648</v>
      </c>
      <c r="D19">
        <v>13</v>
      </c>
      <c r="E19" t="s">
        <v>26</v>
      </c>
      <c r="F19" t="s">
        <v>649</v>
      </c>
      <c r="G19">
        <v>1</v>
      </c>
      <c r="H19" t="s">
        <v>27</v>
      </c>
      <c r="I19" t="s">
        <v>27</v>
      </c>
      <c r="J19" t="s">
        <v>87</v>
      </c>
      <c r="K19" t="s">
        <v>645</v>
      </c>
      <c r="L19" t="s">
        <v>41</v>
      </c>
      <c r="M19" s="3">
        <v>0.38</v>
      </c>
      <c r="N19" t="s">
        <v>27</v>
      </c>
      <c r="O19" t="s">
        <v>646</v>
      </c>
      <c r="P19" t="s">
        <v>119</v>
      </c>
      <c r="Q19" t="s">
        <v>119</v>
      </c>
      <c r="R19" t="s">
        <v>119</v>
      </c>
      <c r="T19">
        <v>0</v>
      </c>
      <c r="U19">
        <v>0</v>
      </c>
    </row>
    <row r="20" spans="1:23" ht="15" customHeight="1">
      <c r="A20" t="s">
        <v>644</v>
      </c>
      <c r="B20">
        <v>1999</v>
      </c>
      <c r="C20" t="s">
        <v>35</v>
      </c>
      <c r="D20">
        <v>10</v>
      </c>
      <c r="E20" t="s">
        <v>37</v>
      </c>
      <c r="F20" t="s">
        <v>650</v>
      </c>
      <c r="G20">
        <v>3</v>
      </c>
      <c r="H20" t="s">
        <v>27</v>
      </c>
      <c r="I20" t="s">
        <v>27</v>
      </c>
      <c r="J20" t="s">
        <v>87</v>
      </c>
      <c r="K20" t="s">
        <v>645</v>
      </c>
      <c r="L20" t="s">
        <v>41</v>
      </c>
      <c r="M20" s="3">
        <v>0.1</v>
      </c>
      <c r="N20" t="s">
        <v>27</v>
      </c>
      <c r="O20" t="s">
        <v>646</v>
      </c>
      <c r="P20" t="s">
        <v>119</v>
      </c>
      <c r="Q20" t="s">
        <v>119</v>
      </c>
      <c r="R20" t="s">
        <v>119</v>
      </c>
      <c r="T20">
        <v>0</v>
      </c>
      <c r="U20">
        <v>0</v>
      </c>
    </row>
    <row r="21" spans="1:23" ht="15" customHeight="1">
      <c r="A21" t="s">
        <v>644</v>
      </c>
      <c r="B21">
        <v>1999</v>
      </c>
      <c r="C21" t="s">
        <v>54</v>
      </c>
      <c r="D21">
        <v>9</v>
      </c>
      <c r="E21" t="s">
        <v>37</v>
      </c>
      <c r="F21" t="s">
        <v>650</v>
      </c>
      <c r="G21">
        <v>2</v>
      </c>
      <c r="H21" t="s">
        <v>27</v>
      </c>
      <c r="I21" t="s">
        <v>27</v>
      </c>
      <c r="J21" t="s">
        <v>87</v>
      </c>
      <c r="K21" t="s">
        <v>645</v>
      </c>
      <c r="L21" t="s">
        <v>41</v>
      </c>
      <c r="M21" s="3">
        <v>0.11</v>
      </c>
      <c r="N21" t="s">
        <v>27</v>
      </c>
      <c r="O21" t="s">
        <v>646</v>
      </c>
      <c r="P21" t="s">
        <v>119</v>
      </c>
      <c r="Q21" t="s">
        <v>119</v>
      </c>
      <c r="R21" t="s">
        <v>119</v>
      </c>
      <c r="T21">
        <v>0</v>
      </c>
      <c r="U21">
        <v>0</v>
      </c>
    </row>
    <row r="22" spans="1:23" ht="15" customHeight="1">
      <c r="A22" t="s">
        <v>651</v>
      </c>
      <c r="B22">
        <v>2019</v>
      </c>
      <c r="C22" t="s">
        <v>652</v>
      </c>
      <c r="D22">
        <v>319</v>
      </c>
      <c r="E22" t="s">
        <v>653</v>
      </c>
      <c r="F22" t="s">
        <v>653</v>
      </c>
      <c r="G22" t="s">
        <v>654</v>
      </c>
      <c r="H22" t="s">
        <v>654</v>
      </c>
      <c r="I22" t="s">
        <v>27</v>
      </c>
      <c r="J22" t="s">
        <v>87</v>
      </c>
      <c r="K22" t="s">
        <v>655</v>
      </c>
      <c r="L22" s="5" t="s">
        <v>41</v>
      </c>
      <c r="M22" t="s">
        <v>119</v>
      </c>
      <c r="N22" t="s">
        <v>41</v>
      </c>
      <c r="O22" t="s">
        <v>656</v>
      </c>
      <c r="P22" t="s">
        <v>41</v>
      </c>
      <c r="Q22" t="s">
        <v>27</v>
      </c>
      <c r="R22" t="s">
        <v>119</v>
      </c>
      <c r="T22">
        <v>0</v>
      </c>
      <c r="U22">
        <v>0</v>
      </c>
      <c r="V22" t="s">
        <v>657</v>
      </c>
    </row>
    <row r="23" spans="1:23" ht="15" customHeight="1">
      <c r="A23" t="s">
        <v>658</v>
      </c>
      <c r="B23">
        <v>2020</v>
      </c>
      <c r="C23" t="s">
        <v>659</v>
      </c>
      <c r="D23" t="s">
        <v>119</v>
      </c>
      <c r="E23" t="s">
        <v>653</v>
      </c>
      <c r="F23" t="s">
        <v>653</v>
      </c>
      <c r="G23" t="s">
        <v>654</v>
      </c>
      <c r="H23" t="s">
        <v>660</v>
      </c>
      <c r="I23" t="s">
        <v>660</v>
      </c>
      <c r="J23" t="s">
        <v>654</v>
      </c>
      <c r="K23" t="s">
        <v>661</v>
      </c>
      <c r="L23" s="5" t="s">
        <v>41</v>
      </c>
      <c r="M23" t="s">
        <v>662</v>
      </c>
      <c r="N23" t="s">
        <v>27</v>
      </c>
      <c r="O23" t="s">
        <v>663</v>
      </c>
      <c r="P23" t="s">
        <v>119</v>
      </c>
      <c r="Q23" t="s">
        <v>41</v>
      </c>
      <c r="R23" t="s">
        <v>27</v>
      </c>
      <c r="V23" t="s">
        <v>664</v>
      </c>
    </row>
    <row r="24" spans="1:23" ht="15" customHeight="1">
      <c r="A24" t="s">
        <v>665</v>
      </c>
      <c r="B24">
        <v>2021</v>
      </c>
      <c r="C24" t="s">
        <v>121</v>
      </c>
      <c r="D24">
        <v>465</v>
      </c>
      <c r="E24" t="s">
        <v>26</v>
      </c>
      <c r="F24" t="s">
        <v>626</v>
      </c>
      <c r="G24">
        <v>3</v>
      </c>
      <c r="H24" t="s">
        <v>41</v>
      </c>
      <c r="I24" t="s">
        <v>27</v>
      </c>
      <c r="J24" t="s">
        <v>87</v>
      </c>
      <c r="K24" t="s">
        <v>666</v>
      </c>
      <c r="L24" t="s">
        <v>41</v>
      </c>
      <c r="M24" s="5" t="s">
        <v>119</v>
      </c>
      <c r="N24" t="s">
        <v>27</v>
      </c>
      <c r="O24" t="s">
        <v>667</v>
      </c>
      <c r="P24" t="s">
        <v>27</v>
      </c>
      <c r="Q24" t="s">
        <v>27</v>
      </c>
      <c r="R24" t="s">
        <v>27</v>
      </c>
      <c r="U24">
        <v>0</v>
      </c>
      <c r="V24">
        <v>0</v>
      </c>
      <c r="W24" t="s">
        <v>668</v>
      </c>
    </row>
    <row r="25" spans="1:23" ht="15" customHeight="1">
      <c r="A25" t="s">
        <v>669</v>
      </c>
      <c r="B25">
        <v>2023</v>
      </c>
      <c r="C25" t="s">
        <v>670</v>
      </c>
      <c r="D25" t="s">
        <v>671</v>
      </c>
      <c r="E25" t="s">
        <v>37</v>
      </c>
      <c r="F25" t="s">
        <v>37</v>
      </c>
      <c r="G25">
        <v>2</v>
      </c>
      <c r="H25" t="s">
        <v>27</v>
      </c>
      <c r="I25" t="s">
        <v>27</v>
      </c>
      <c r="J25" t="s">
        <v>672</v>
      </c>
      <c r="K25" t="s">
        <v>673</v>
      </c>
      <c r="L25" s="5" t="s">
        <v>674</v>
      </c>
      <c r="M25" t="s">
        <v>675</v>
      </c>
      <c r="N25" t="s">
        <v>676</v>
      </c>
      <c r="O25" t="s">
        <v>677</v>
      </c>
      <c r="P25" t="s">
        <v>678</v>
      </c>
      <c r="Q25" t="s">
        <v>27</v>
      </c>
      <c r="R25" t="s">
        <v>27</v>
      </c>
      <c r="S25" t="s">
        <v>679</v>
      </c>
      <c r="T25">
        <v>0</v>
      </c>
      <c r="U25">
        <v>0</v>
      </c>
      <c r="V25" t="s">
        <v>680</v>
      </c>
    </row>
    <row r="26" spans="1:23" ht="15" customHeight="1">
      <c r="A26" t="s">
        <v>681</v>
      </c>
      <c r="B26">
        <v>2022</v>
      </c>
      <c r="C26" t="s">
        <v>682</v>
      </c>
      <c r="D26">
        <v>12</v>
      </c>
      <c r="E26" t="s">
        <v>26</v>
      </c>
      <c r="F26" t="s">
        <v>633</v>
      </c>
      <c r="G26">
        <v>2</v>
      </c>
      <c r="H26" t="s">
        <v>27</v>
      </c>
      <c r="I26" t="s">
        <v>41</v>
      </c>
      <c r="J26" t="s">
        <v>683</v>
      </c>
      <c r="K26" t="s">
        <v>684</v>
      </c>
      <c r="L26" t="s">
        <v>41</v>
      </c>
      <c r="M26" s="5" t="s">
        <v>685</v>
      </c>
      <c r="N26" t="s">
        <v>686</v>
      </c>
      <c r="O26" t="s">
        <v>687</v>
      </c>
      <c r="P26" t="s">
        <v>688</v>
      </c>
      <c r="Q26" t="s">
        <v>27</v>
      </c>
      <c r="R26" t="s">
        <v>27</v>
      </c>
      <c r="S26" t="s">
        <v>689</v>
      </c>
      <c r="T26">
        <v>0</v>
      </c>
      <c r="U26">
        <v>0</v>
      </c>
      <c r="V26" t="s">
        <v>690</v>
      </c>
    </row>
  </sheetData>
  <pageMargins left="0.7" right="0.7" top="0.75" bottom="0.75" header="0.3" footer="0.3"/>
  <headerFooter>
    <oddFooter>&amp;C_x000D_&amp;1#&amp;"Calibri"&amp;10&amp;K000000 Classified as Business</oddFooter>
  </headerFooter>
</worksheet>
</file>

<file path=docMetadata/LabelInfo.xml><?xml version="1.0" encoding="utf-8"?>
<clbl:labelList xmlns:clbl="http://schemas.microsoft.com/office/2020/mipLabelMetadata">
  <clbl:label id="{8d6a82de-332f-43b8-a8a7-1928fd67507f}" enabled="1" method="Standard" siteId="{097464b8-069c-453e-9254-c17ec707310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Carolyn Ross</dc:creator>
  <cp:keywords/>
  <dc:description/>
  <cp:lastModifiedBy/>
  <cp:revision/>
  <dcterms:created xsi:type="dcterms:W3CDTF">2025-07-03T18:55:11Z</dcterms:created>
  <dcterms:modified xsi:type="dcterms:W3CDTF">2025-10-01T00:31:44Z</dcterms:modified>
  <cp:category/>
  <cp:contentStatus/>
</cp:coreProperties>
</file>