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schmitchris\Workspace\home-assessment-workbook\"/>
    </mc:Choice>
  </mc:AlternateContent>
  <xr:revisionPtr revIDLastSave="0" documentId="13_ncr:1_{A0620786-49E9-425B-8F19-34C1620E720F}" xr6:coauthVersionLast="41" xr6:coauthVersionMax="41" xr10:uidLastSave="{00000000-0000-0000-0000-000000000000}"/>
  <bookViews>
    <workbookView xWindow="-98" yWindow="-98" windowWidth="19396" windowHeight="10546" tabRatio="769" xr2:uid="{00000000-000D-0000-FFFF-FFFF00000000}"/>
  </bookViews>
  <sheets>
    <sheet name="2019 Summary" sheetId="18" r:id="rId1"/>
    <sheet name="2018 Summary" sheetId="17" r:id="rId2"/>
    <sheet name="2017 Summary" sheetId="16" r:id="rId3"/>
    <sheet name="2016 Summary" sheetId="9" r:id="rId4"/>
    <sheet name="Data" sheetId="5" r:id="rId5"/>
    <sheet name="Calculations" sheetId="4" r:id="rId6"/>
    <sheet name="Deltas" sheetId="6" r:id="rId7"/>
  </sheets>
  <definedNames>
    <definedName name="_xlnm._FilterDatabase" localSheetId="4" hidden="1">Data!$A$3:$V$3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3" i="18" l="1"/>
  <c r="A26" i="18"/>
  <c r="A25" i="18"/>
  <c r="A23" i="18"/>
  <c r="A17" i="18"/>
  <c r="A1" i="18"/>
  <c r="A42" i="18" s="1"/>
  <c r="H33" i="17"/>
  <c r="A26" i="17"/>
  <c r="A25" i="17"/>
  <c r="A23" i="17"/>
  <c r="A17" i="17"/>
  <c r="A1" i="17"/>
  <c r="A42" i="17" s="1"/>
  <c r="H33" i="16"/>
  <c r="A26" i="16"/>
  <c r="A25" i="16"/>
  <c r="A23" i="16"/>
  <c r="A17" i="16"/>
  <c r="A1" i="16"/>
  <c r="A42" i="16" s="1"/>
  <c r="H33" i="9"/>
  <c r="J44" i="18"/>
  <c r="J30" i="18"/>
  <c r="J10" i="18"/>
  <c r="J11" i="18"/>
  <c r="J12" i="18"/>
  <c r="J34" i="17"/>
  <c r="J20" i="17"/>
  <c r="J10" i="17"/>
  <c r="J11" i="17"/>
  <c r="J44" i="16"/>
  <c r="J30" i="16"/>
  <c r="J41" i="16"/>
  <c r="J12" i="16"/>
  <c r="J40" i="16"/>
  <c r="J43" i="18"/>
  <c r="J29" i="18"/>
  <c r="J41" i="18"/>
  <c r="J42" i="18"/>
  <c r="J45" i="17"/>
  <c r="J31" i="17"/>
  <c r="J13" i="17"/>
  <c r="J19" i="17"/>
  <c r="J42" i="17"/>
  <c r="J43" i="16"/>
  <c r="J29" i="16"/>
  <c r="J35" i="16"/>
  <c r="J18" i="16"/>
  <c r="J34" i="18"/>
  <c r="J20" i="18"/>
  <c r="J35" i="18"/>
  <c r="J40" i="18"/>
  <c r="J44" i="17"/>
  <c r="J30" i="17"/>
  <c r="J41" i="17"/>
  <c r="J12" i="17"/>
  <c r="J40" i="17"/>
  <c r="J34" i="16"/>
  <c r="J20" i="16"/>
  <c r="J10" i="16"/>
  <c r="J11" i="16"/>
  <c r="J45" i="18"/>
  <c r="J31" i="18"/>
  <c r="J13" i="18"/>
  <c r="J18" i="18"/>
  <c r="J19" i="18"/>
  <c r="J43" i="17"/>
  <c r="J29" i="17"/>
  <c r="J35" i="17"/>
  <c r="J18" i="17"/>
  <c r="J45" i="16"/>
  <c r="J31" i="16"/>
  <c r="J13" i="16"/>
  <c r="J19" i="16"/>
  <c r="J42" i="16"/>
  <c r="A24" i="18" l="1"/>
  <c r="K24" i="18"/>
  <c r="A24" i="17"/>
  <c r="K24" i="17"/>
  <c r="A24" i="16"/>
  <c r="K24" i="16"/>
  <c r="J1" i="18"/>
  <c r="H12" i="18"/>
  <c r="H19" i="18"/>
  <c r="H40" i="18"/>
  <c r="H42" i="18"/>
  <c r="H11" i="18"/>
  <c r="H18" i="18"/>
  <c r="H35" i="18"/>
  <c r="H41" i="18"/>
  <c r="H10" i="18"/>
  <c r="H13" i="18"/>
  <c r="H20" i="18"/>
  <c r="H29" i="18"/>
  <c r="H30" i="18"/>
  <c r="H31" i="18"/>
  <c r="H34" i="18"/>
  <c r="H43" i="18"/>
  <c r="H44" i="18"/>
  <c r="H45" i="18"/>
  <c r="A3" i="18"/>
  <c r="A14" i="18"/>
  <c r="A44" i="18"/>
  <c r="A45" i="18"/>
  <c r="A2" i="18"/>
  <c r="A7" i="18"/>
  <c r="A13" i="18"/>
  <c r="A15" i="18"/>
  <c r="A20" i="18"/>
  <c r="A41" i="18"/>
  <c r="A19" i="18"/>
  <c r="A27" i="18"/>
  <c r="A6" i="18"/>
  <c r="A12" i="18"/>
  <c r="A4" i="18"/>
  <c r="A18" i="18"/>
  <c r="A28" i="18"/>
  <c r="A36" i="18"/>
  <c r="A37" i="18"/>
  <c r="A38" i="18"/>
  <c r="A39" i="18"/>
  <c r="A40" i="18"/>
  <c r="H40" i="17"/>
  <c r="H42" i="17"/>
  <c r="H11" i="17"/>
  <c r="H18" i="17"/>
  <c r="H12" i="17"/>
  <c r="H19" i="17"/>
  <c r="H10" i="17"/>
  <c r="H35" i="17"/>
  <c r="H41" i="17"/>
  <c r="H13" i="17"/>
  <c r="H20" i="17"/>
  <c r="H29" i="17"/>
  <c r="H30" i="17"/>
  <c r="H31" i="17"/>
  <c r="H34" i="17"/>
  <c r="H43" i="17"/>
  <c r="H44" i="17"/>
  <c r="H45" i="17"/>
  <c r="A44" i="17"/>
  <c r="A45" i="17"/>
  <c r="A2" i="17"/>
  <c r="A7" i="17"/>
  <c r="A13" i="17"/>
  <c r="A15" i="17"/>
  <c r="A20" i="17"/>
  <c r="A41" i="17"/>
  <c r="J1" i="17"/>
  <c r="A3" i="17"/>
  <c r="A14" i="17"/>
  <c r="A6" i="17"/>
  <c r="A19" i="17"/>
  <c r="A27" i="17"/>
  <c r="A12" i="17"/>
  <c r="A4" i="17"/>
  <c r="A18" i="17"/>
  <c r="A28" i="17"/>
  <c r="A36" i="17"/>
  <c r="A37" i="17"/>
  <c r="A38" i="17"/>
  <c r="A39" i="17"/>
  <c r="A40" i="17"/>
  <c r="J1" i="16"/>
  <c r="H40" i="16"/>
  <c r="H42" i="16"/>
  <c r="H11" i="16"/>
  <c r="H18" i="16"/>
  <c r="H12" i="16"/>
  <c r="H19" i="16"/>
  <c r="H10" i="16"/>
  <c r="H35" i="16"/>
  <c r="H41" i="16"/>
  <c r="H13" i="16"/>
  <c r="H20" i="16"/>
  <c r="H29" i="16"/>
  <c r="H30" i="16"/>
  <c r="H31" i="16"/>
  <c r="H34" i="16"/>
  <c r="H43" i="16"/>
  <c r="H44" i="16"/>
  <c r="H45" i="16"/>
  <c r="A3" i="16"/>
  <c r="A44" i="16"/>
  <c r="A45" i="16"/>
  <c r="A2" i="16"/>
  <c r="A7" i="16"/>
  <c r="A13" i="16"/>
  <c r="A15" i="16"/>
  <c r="A20" i="16"/>
  <c r="A41" i="16"/>
  <c r="A14" i="16"/>
  <c r="A6" i="16"/>
  <c r="A12" i="16"/>
  <c r="A19" i="16"/>
  <c r="A27" i="16"/>
  <c r="A4" i="16"/>
  <c r="A18" i="16"/>
  <c r="A28" i="16"/>
  <c r="A36" i="16"/>
  <c r="A37" i="16"/>
  <c r="A38" i="16"/>
  <c r="A39" i="16"/>
  <c r="A40" i="16"/>
  <c r="B11" i="18"/>
  <c r="B45" i="18"/>
  <c r="J23" i="18"/>
  <c r="J36" i="18"/>
  <c r="J7" i="18"/>
  <c r="J3" i="17"/>
  <c r="B44" i="16"/>
  <c r="B35" i="16"/>
  <c r="J39" i="18"/>
  <c r="B44" i="17"/>
  <c r="B45" i="17"/>
  <c r="J4" i="16"/>
  <c r="J24" i="18"/>
  <c r="B10" i="18"/>
  <c r="J26" i="18"/>
  <c r="B35" i="18"/>
  <c r="J3" i="18"/>
  <c r="J38" i="18"/>
  <c r="J7" i="17"/>
  <c r="J28" i="17"/>
  <c r="B11" i="17"/>
  <c r="J2" i="17"/>
  <c r="J26" i="16"/>
  <c r="J6" i="16"/>
  <c r="J28" i="16"/>
  <c r="B11" i="16"/>
  <c r="J7" i="16"/>
  <c r="J24" i="17"/>
  <c r="B34" i="18"/>
  <c r="J38" i="17"/>
  <c r="J6" i="17"/>
  <c r="J36" i="16"/>
  <c r="J24" i="16"/>
  <c r="J4" i="18"/>
  <c r="J2" i="18"/>
  <c r="J28" i="18"/>
  <c r="J37" i="18"/>
  <c r="J36" i="17"/>
  <c r="J23" i="17"/>
  <c r="J4" i="17"/>
  <c r="B34" i="17"/>
  <c r="J39" i="17"/>
  <c r="J39" i="16"/>
  <c r="J38" i="16"/>
  <c r="J2" i="16"/>
  <c r="J37" i="16"/>
  <c r="J37" i="17"/>
  <c r="J26" i="17"/>
  <c r="B10" i="16"/>
  <c r="J23" i="16"/>
  <c r="B44" i="18"/>
  <c r="J6" i="18"/>
  <c r="B10" i="17"/>
  <c r="J3" i="16"/>
  <c r="B34" i="16"/>
  <c r="B45" i="16"/>
  <c r="B35" i="17"/>
  <c r="H24" i="18" l="1"/>
  <c r="H24" i="17"/>
  <c r="H24" i="16"/>
  <c r="H38" i="18"/>
  <c r="H7" i="18"/>
  <c r="H37" i="18"/>
  <c r="H6" i="18"/>
  <c r="H3" i="18"/>
  <c r="H36" i="18"/>
  <c r="H28" i="18"/>
  <c r="H23" i="18"/>
  <c r="H2" i="18"/>
  <c r="H39" i="18"/>
  <c r="H26" i="18"/>
  <c r="H4" i="18"/>
  <c r="B1" i="18"/>
  <c r="H39" i="17"/>
  <c r="H6" i="17"/>
  <c r="H2" i="17"/>
  <c r="H26" i="17"/>
  <c r="B1" i="17"/>
  <c r="H37" i="17"/>
  <c r="H4" i="17"/>
  <c r="H28" i="17"/>
  <c r="H23" i="17"/>
  <c r="H38" i="17"/>
  <c r="H7" i="17"/>
  <c r="H3" i="17"/>
  <c r="H36" i="17"/>
  <c r="H7" i="16"/>
  <c r="H37" i="16"/>
  <c r="H23" i="16"/>
  <c r="H2" i="16"/>
  <c r="H36" i="16"/>
  <c r="H28" i="16"/>
  <c r="H38" i="16"/>
  <c r="H4" i="16"/>
  <c r="H6" i="16"/>
  <c r="B1" i="16"/>
  <c r="H39" i="16"/>
  <c r="H3" i="16"/>
  <c r="H26" i="16"/>
  <c r="L3" i="5"/>
  <c r="K3" i="5"/>
  <c r="J3" i="5"/>
  <c r="E23" i="18"/>
  <c r="B37" i="17"/>
  <c r="B36" i="16"/>
  <c r="B37" i="18"/>
  <c r="G40" i="16" a="1"/>
  <c r="B36" i="18"/>
  <c r="B36" i="17"/>
  <c r="B37" i="16"/>
  <c r="E23" i="17"/>
  <c r="G40" i="17" a="1"/>
  <c r="G40" i="18" a="1"/>
  <c r="E23" i="16"/>
  <c r="E25" i="18" l="1"/>
  <c r="G40" i="18"/>
  <c r="G40" i="17"/>
  <c r="E25" i="17"/>
  <c r="G40" i="16"/>
  <c r="E25" i="16"/>
  <c r="M2" i="5"/>
  <c r="F3" i="4"/>
  <c r="E3" i="4"/>
  <c r="G2" i="4"/>
  <c r="G3" i="4" s="1"/>
  <c r="J2" i="6"/>
  <c r="L3" i="6" s="1"/>
  <c r="I3" i="6"/>
  <c r="H3" i="6"/>
  <c r="G3" i="6"/>
  <c r="B3" i="18"/>
  <c r="C4" i="18"/>
  <c r="B40" i="17"/>
  <c r="D2" i="18"/>
  <c r="C2" i="18"/>
  <c r="D2" i="17"/>
  <c r="B3" i="17"/>
  <c r="C4" i="17"/>
  <c r="B4" i="16"/>
  <c r="B3" i="16"/>
  <c r="J35" i="9"/>
  <c r="J45" i="9"/>
  <c r="J40" i="9"/>
  <c r="C3" i="17"/>
  <c r="D3" i="16"/>
  <c r="B40" i="16"/>
  <c r="B4" i="18"/>
  <c r="D4" i="18"/>
  <c r="C3" i="18"/>
  <c r="D3" i="17"/>
  <c r="D4" i="17"/>
  <c r="D2" i="16"/>
  <c r="D4" i="16"/>
  <c r="C2" i="16"/>
  <c r="J31" i="9"/>
  <c r="J11" i="9"/>
  <c r="J13" i="9"/>
  <c r="B2" i="17"/>
  <c r="B2" i="16"/>
  <c r="J34" i="9"/>
  <c r="J30" i="9"/>
  <c r="C2" i="17"/>
  <c r="B4" i="17"/>
  <c r="C3" i="16"/>
  <c r="C4" i="16"/>
  <c r="J10" i="9"/>
  <c r="J12" i="9"/>
  <c r="J44" i="9"/>
  <c r="B2" i="18"/>
  <c r="D3" i="18"/>
  <c r="B40" i="18"/>
  <c r="C27" i="18" l="1"/>
  <c r="D27" i="18"/>
  <c r="E3" i="18"/>
  <c r="E2" i="18"/>
  <c r="E27" i="18" s="1"/>
  <c r="B27" i="18"/>
  <c r="E4" i="18"/>
  <c r="E4" i="17"/>
  <c r="E2" i="17"/>
  <c r="E27" i="17" s="1"/>
  <c r="B27" i="17"/>
  <c r="E3" i="17"/>
  <c r="C27" i="17"/>
  <c r="D27" i="17"/>
  <c r="C27" i="16"/>
  <c r="E3" i="16"/>
  <c r="E2" i="16"/>
  <c r="E27" i="16" s="1"/>
  <c r="B27" i="16"/>
  <c r="E4" i="16"/>
  <c r="D27" i="16"/>
  <c r="H45" i="9"/>
  <c r="H44" i="9"/>
  <c r="H40" i="9"/>
  <c r="P2" i="5"/>
  <c r="M3" i="5"/>
  <c r="O3" i="5"/>
  <c r="N3" i="5"/>
  <c r="H3" i="4"/>
  <c r="M2" i="6"/>
  <c r="M3" i="6" s="1"/>
  <c r="I2" i="4"/>
  <c r="K3" i="6"/>
  <c r="J3" i="6"/>
  <c r="A25" i="9"/>
  <c r="G4" i="6"/>
  <c r="S2" i="5" l="1"/>
  <c r="C1" i="6" s="1"/>
  <c r="Q3" i="5"/>
  <c r="P3" i="5"/>
  <c r="R3" i="5"/>
  <c r="K2" i="4"/>
  <c r="J3" i="4"/>
  <c r="I3" i="4"/>
  <c r="O3" i="6"/>
  <c r="N3" i="6"/>
  <c r="H30" i="9"/>
  <c r="C184" i="5"/>
  <c r="C185"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A26" i="9"/>
  <c r="A23" i="9"/>
  <c r="A17" i="9"/>
  <c r="J4" i="6"/>
  <c r="U3" i="5" l="1"/>
  <c r="T3" i="5"/>
  <c r="S3" i="5"/>
  <c r="K3" i="4"/>
  <c r="L3" i="4"/>
  <c r="H12" i="9"/>
  <c r="H11" i="9"/>
  <c r="H10" i="9"/>
  <c r="H13" i="9"/>
  <c r="H31" i="9"/>
  <c r="H34" i="9"/>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5" i="5"/>
  <c r="T184" i="5"/>
  <c r="T8" i="5"/>
  <c r="T9" i="5"/>
  <c r="T10" i="5"/>
  <c r="T11" i="5"/>
  <c r="T6" i="5"/>
  <c r="T7" i="5"/>
  <c r="T5" i="5"/>
  <c r="M4" i="6"/>
  <c r="B11" i="9"/>
  <c r="B34" i="9"/>
  <c r="B10" i="9"/>
  <c r="C4" i="6"/>
  <c r="B1" i="9" l="1"/>
  <c r="A1" i="9"/>
  <c r="G40" i="9" a="1"/>
  <c r="J37" i="9"/>
  <c r="K24" i="9" l="1"/>
  <c r="A24" i="9"/>
  <c r="H37" i="9"/>
  <c r="A36" i="9"/>
  <c r="A27" i="9"/>
  <c r="A28" i="9"/>
  <c r="A40" i="9"/>
  <c r="A41" i="9"/>
  <c r="A42" i="9"/>
  <c r="A44" i="9"/>
  <c r="G40" i="9"/>
  <c r="A38" i="9"/>
  <c r="A39" i="9"/>
  <c r="A37" i="9"/>
  <c r="A45" i="9"/>
  <c r="A2" i="9"/>
  <c r="A7" i="9"/>
  <c r="A14" i="9"/>
  <c r="J1" i="9"/>
  <c r="A3" i="9"/>
  <c r="A12" i="9"/>
  <c r="A18" i="9"/>
  <c r="A20" i="9"/>
  <c r="A6" i="9"/>
  <c r="A13" i="9"/>
  <c r="A15" i="9"/>
  <c r="A19" i="9"/>
  <c r="A4" i="9"/>
  <c r="J4" i="9"/>
  <c r="B40" i="9"/>
  <c r="J36" i="9"/>
  <c r="J2" i="9"/>
  <c r="J23" i="9"/>
  <c r="J3" i="9"/>
  <c r="B44" i="9"/>
  <c r="J24" i="9"/>
  <c r="B45" i="9"/>
  <c r="H36" i="9" l="1"/>
  <c r="H24" i="9"/>
  <c r="H2" i="9"/>
  <c r="H35" i="9"/>
  <c r="H23" i="9"/>
  <c r="H3" i="9"/>
  <c r="H4" i="9"/>
  <c r="A3" i="6"/>
  <c r="A3" i="4"/>
  <c r="D3" i="6"/>
  <c r="C3" i="6"/>
  <c r="B37" i="9"/>
  <c r="J28" i="9"/>
  <c r="I4" i="6"/>
  <c r="L4" i="6"/>
  <c r="B2" i="9"/>
  <c r="J42" i="9"/>
  <c r="J18" i="9"/>
  <c r="B36" i="9"/>
  <c r="C4" i="9"/>
  <c r="J26" i="9"/>
  <c r="J43" i="9"/>
  <c r="C3" i="9"/>
  <c r="J38" i="9"/>
  <c r="J41" i="9"/>
  <c r="J7" i="9"/>
  <c r="J20" i="9"/>
  <c r="O4" i="6"/>
  <c r="J6" i="9"/>
  <c r="J39" i="9"/>
  <c r="D3" i="9"/>
  <c r="J29" i="9"/>
  <c r="C2" i="9"/>
  <c r="B4" i="9"/>
  <c r="H43" i="9" l="1"/>
  <c r="H42" i="9"/>
  <c r="H41" i="9"/>
  <c r="H39" i="9"/>
  <c r="H38" i="9"/>
  <c r="H18" i="9"/>
  <c r="H20" i="9"/>
  <c r="H29" i="9"/>
  <c r="H6" i="9"/>
  <c r="H28" i="9"/>
  <c r="H26" i="9"/>
  <c r="H7" i="9"/>
  <c r="A185" i="6"/>
  <c r="A184" i="6"/>
  <c r="A168" i="6"/>
  <c r="A152" i="6"/>
  <c r="A104" i="6"/>
  <c r="A60" i="6"/>
  <c r="A56" i="6"/>
  <c r="A52" i="6"/>
  <c r="A48" i="6"/>
  <c r="A44" i="6"/>
  <c r="A40" i="6"/>
  <c r="A36" i="6"/>
  <c r="A32" i="6"/>
  <c r="A8" i="6"/>
  <c r="A185" i="4"/>
  <c r="A184" i="4"/>
  <c r="A183" i="4"/>
  <c r="A181" i="4"/>
  <c r="A180" i="4"/>
  <c r="A179" i="4"/>
  <c r="A177" i="4"/>
  <c r="A176" i="4"/>
  <c r="A175" i="4"/>
  <c r="A173" i="4"/>
  <c r="A172" i="4"/>
  <c r="A171" i="4"/>
  <c r="A169" i="4"/>
  <c r="A168" i="4"/>
  <c r="A167" i="4"/>
  <c r="A165" i="4"/>
  <c r="A164" i="4"/>
  <c r="A163" i="4"/>
  <c r="A161" i="4"/>
  <c r="A160" i="4"/>
  <c r="A159" i="4"/>
  <c r="A157" i="4"/>
  <c r="A156" i="4"/>
  <c r="A155" i="4"/>
  <c r="A153" i="4"/>
  <c r="A151" i="4"/>
  <c r="A149" i="4"/>
  <c r="A148" i="4"/>
  <c r="A145" i="4"/>
  <c r="A144" i="4"/>
  <c r="A143" i="4"/>
  <c r="A141" i="4"/>
  <c r="A140" i="4"/>
  <c r="A139" i="4"/>
  <c r="A137" i="4"/>
  <c r="A136" i="4"/>
  <c r="A135" i="4"/>
  <c r="A133" i="4"/>
  <c r="A131" i="4"/>
  <c r="A129" i="4"/>
  <c r="A127" i="4"/>
  <c r="A125" i="6"/>
  <c r="A123" i="4"/>
  <c r="A121" i="4"/>
  <c r="A120" i="4"/>
  <c r="A119" i="4"/>
  <c r="A117" i="4"/>
  <c r="A115" i="4"/>
  <c r="A113" i="4"/>
  <c r="A111" i="4"/>
  <c r="A109" i="4"/>
  <c r="A107" i="4"/>
  <c r="A105" i="4"/>
  <c r="A104" i="4"/>
  <c r="A103" i="4"/>
  <c r="A101" i="4"/>
  <c r="A99" i="4"/>
  <c r="A97" i="4"/>
  <c r="A95" i="4"/>
  <c r="A93" i="4"/>
  <c r="A91" i="4"/>
  <c r="A89" i="4"/>
  <c r="A88" i="4"/>
  <c r="A87" i="4"/>
  <c r="A85" i="4"/>
  <c r="A83" i="4"/>
  <c r="A81" i="4"/>
  <c r="A79" i="4"/>
  <c r="A77" i="4"/>
  <c r="A75" i="4"/>
  <c r="A73" i="4"/>
  <c r="A72" i="4"/>
  <c r="A71" i="4"/>
  <c r="A69" i="4"/>
  <c r="A67" i="4"/>
  <c r="A65" i="4"/>
  <c r="A63" i="4"/>
  <c r="G61" i="5"/>
  <c r="A60" i="4"/>
  <c r="A58" i="4"/>
  <c r="A56" i="4"/>
  <c r="A54" i="4"/>
  <c r="A52" i="4"/>
  <c r="A50" i="4"/>
  <c r="A48" i="4"/>
  <c r="A46" i="4"/>
  <c r="A44" i="4"/>
  <c r="A42" i="4"/>
  <c r="A40" i="4"/>
  <c r="A38" i="4"/>
  <c r="A36" i="4"/>
  <c r="A34" i="4"/>
  <c r="A32" i="4"/>
  <c r="A30" i="4"/>
  <c r="A26" i="4"/>
  <c r="A24" i="4"/>
  <c r="A22" i="4"/>
  <c r="A18" i="4"/>
  <c r="A14" i="4"/>
  <c r="A10" i="4"/>
  <c r="J19" i="9"/>
  <c r="B35" i="9"/>
  <c r="D2" i="9"/>
  <c r="D4" i="9"/>
  <c r="B3" i="9"/>
  <c r="E4" i="9" l="1"/>
  <c r="E2" i="9"/>
  <c r="H19" i="9"/>
  <c r="E3" i="9"/>
  <c r="A29" i="4"/>
  <c r="A29" i="6"/>
  <c r="B29" i="6" s="1"/>
  <c r="A33" i="4"/>
  <c r="A33" i="6"/>
  <c r="B33" i="6" s="1"/>
  <c r="A37" i="4"/>
  <c r="A37" i="6"/>
  <c r="B37" i="6" s="1"/>
  <c r="A49" i="4"/>
  <c r="A49" i="6"/>
  <c r="B49" i="6" s="1"/>
  <c r="A5" i="4"/>
  <c r="A5" i="6"/>
  <c r="B5" i="6" s="1"/>
  <c r="A17" i="4"/>
  <c r="A17" i="6"/>
  <c r="B17" i="6" s="1"/>
  <c r="A41" i="4"/>
  <c r="A41" i="6"/>
  <c r="B41" i="6" s="1"/>
  <c r="A9" i="4"/>
  <c r="A9" i="6"/>
  <c r="B9" i="6" s="1"/>
  <c r="A13" i="4"/>
  <c r="A13" i="6"/>
  <c r="B13" i="6" s="1"/>
  <c r="A21" i="4"/>
  <c r="A21" i="6"/>
  <c r="B21" i="6" s="1"/>
  <c r="A25" i="4"/>
  <c r="A25" i="6"/>
  <c r="B25" i="6" s="1"/>
  <c r="A45" i="4"/>
  <c r="A45" i="6"/>
  <c r="B45" i="6" s="1"/>
  <c r="B40" i="6"/>
  <c r="B56" i="6"/>
  <c r="B168" i="6"/>
  <c r="A7" i="4"/>
  <c r="A7" i="6"/>
  <c r="B7" i="6" s="1"/>
  <c r="A11" i="4"/>
  <c r="A11" i="6"/>
  <c r="B11" i="6" s="1"/>
  <c r="B8" i="6"/>
  <c r="B104" i="6"/>
  <c r="A8" i="4"/>
  <c r="A12" i="4"/>
  <c r="A12" i="6"/>
  <c r="B12" i="6" s="1"/>
  <c r="A16" i="4"/>
  <c r="A16" i="6"/>
  <c r="B16" i="6" s="1"/>
  <c r="A20" i="4"/>
  <c r="A20" i="6"/>
  <c r="B20" i="6" s="1"/>
  <c r="B24" i="4"/>
  <c r="A28" i="4"/>
  <c r="A28" i="6"/>
  <c r="B28" i="6" s="1"/>
  <c r="A24" i="6"/>
  <c r="B24" i="6" s="1"/>
  <c r="A120" i="6"/>
  <c r="B120" i="6" s="1"/>
  <c r="B184" i="6"/>
  <c r="A53" i="4"/>
  <c r="A53" i="6"/>
  <c r="B53" i="6" s="1"/>
  <c r="A57" i="4"/>
  <c r="A57" i="6"/>
  <c r="B57" i="6" s="1"/>
  <c r="A61" i="4"/>
  <c r="A61" i="6"/>
  <c r="B61" i="6" s="1"/>
  <c r="A64" i="4"/>
  <c r="A64" i="6"/>
  <c r="B64" i="6" s="1"/>
  <c r="A68" i="4"/>
  <c r="A68" i="6"/>
  <c r="B68" i="6" s="1"/>
  <c r="B72" i="4"/>
  <c r="A76" i="4"/>
  <c r="A76" i="6"/>
  <c r="B76" i="6" s="1"/>
  <c r="A80" i="4"/>
  <c r="A80" i="6"/>
  <c r="B80" i="6" s="1"/>
  <c r="A84" i="4"/>
  <c r="A84" i="6"/>
  <c r="B84" i="6" s="1"/>
  <c r="B88" i="4"/>
  <c r="A92" i="4"/>
  <c r="A92" i="6"/>
  <c r="B92" i="6" s="1"/>
  <c r="A96" i="4"/>
  <c r="A96" i="6"/>
  <c r="B96" i="6" s="1"/>
  <c r="A100" i="4"/>
  <c r="A100" i="6"/>
  <c r="B100" i="6" s="1"/>
  <c r="B104" i="4"/>
  <c r="A108" i="4"/>
  <c r="A108" i="6"/>
  <c r="B108" i="6" s="1"/>
  <c r="A112" i="4"/>
  <c r="A112" i="6"/>
  <c r="B112" i="6" s="1"/>
  <c r="A116" i="4"/>
  <c r="A116" i="6"/>
  <c r="B116" i="6" s="1"/>
  <c r="B120" i="4"/>
  <c r="A124" i="4"/>
  <c r="A124" i="6"/>
  <c r="B124" i="6" s="1"/>
  <c r="A128" i="4"/>
  <c r="A128" i="6"/>
  <c r="B128" i="6" s="1"/>
  <c r="A132" i="4"/>
  <c r="A132" i="6"/>
  <c r="B132" i="6" s="1"/>
  <c r="B136" i="4"/>
  <c r="B140" i="4"/>
  <c r="A72" i="6"/>
  <c r="B72" i="6" s="1"/>
  <c r="A136" i="6"/>
  <c r="B136" i="6" s="1"/>
  <c r="A88" i="6"/>
  <c r="B88" i="6" s="1"/>
  <c r="B152" i="6"/>
  <c r="B144" i="4"/>
  <c r="B148" i="4"/>
  <c r="A152" i="4"/>
  <c r="B156" i="4"/>
  <c r="B160" i="4"/>
  <c r="B164" i="4"/>
  <c r="B168" i="4"/>
  <c r="B172" i="4"/>
  <c r="B176" i="4"/>
  <c r="B180" i="4"/>
  <c r="B184" i="4"/>
  <c r="B44" i="6"/>
  <c r="B60" i="6"/>
  <c r="A140" i="6"/>
  <c r="B140" i="6" s="1"/>
  <c r="A156" i="6"/>
  <c r="B156" i="6" s="1"/>
  <c r="A172" i="6"/>
  <c r="B172" i="6" s="1"/>
  <c r="A6" i="4"/>
  <c r="A6" i="6"/>
  <c r="B6" i="6" s="1"/>
  <c r="B125" i="6"/>
  <c r="B32" i="6"/>
  <c r="B48" i="6"/>
  <c r="A144" i="6"/>
  <c r="B144" i="6" s="1"/>
  <c r="A160" i="6"/>
  <c r="B160" i="6" s="1"/>
  <c r="A176" i="6"/>
  <c r="B176" i="6" s="1"/>
  <c r="A15" i="4"/>
  <c r="A15" i="6"/>
  <c r="B15" i="6" s="1"/>
  <c r="A19" i="4"/>
  <c r="A19" i="6"/>
  <c r="B19" i="6" s="1"/>
  <c r="A23" i="4"/>
  <c r="A23" i="6"/>
  <c r="B23" i="6" s="1"/>
  <c r="A27" i="4"/>
  <c r="A27" i="6"/>
  <c r="B27" i="6" s="1"/>
  <c r="A31" i="4"/>
  <c r="A31" i="6"/>
  <c r="B31" i="6" s="1"/>
  <c r="A35" i="4"/>
  <c r="A35" i="6"/>
  <c r="B35" i="6" s="1"/>
  <c r="A39" i="4"/>
  <c r="A39" i="6"/>
  <c r="B39" i="6" s="1"/>
  <c r="A43" i="4"/>
  <c r="A43" i="6"/>
  <c r="B43" i="6" s="1"/>
  <c r="A47" i="4"/>
  <c r="A47" i="6"/>
  <c r="B47" i="6" s="1"/>
  <c r="A51" i="4"/>
  <c r="A51" i="6"/>
  <c r="B51" i="6" s="1"/>
  <c r="A55" i="4"/>
  <c r="A55" i="6"/>
  <c r="B55" i="6" s="1"/>
  <c r="A59" i="4"/>
  <c r="A59" i="6"/>
  <c r="B59" i="6" s="1"/>
  <c r="A62" i="4"/>
  <c r="A62" i="6"/>
  <c r="B62" i="6" s="1"/>
  <c r="A66" i="4"/>
  <c r="A66" i="6"/>
  <c r="B66" i="6" s="1"/>
  <c r="A70" i="4"/>
  <c r="A70" i="6"/>
  <c r="B70" i="6" s="1"/>
  <c r="A74" i="4"/>
  <c r="A74" i="6"/>
  <c r="B74" i="6" s="1"/>
  <c r="A78" i="4"/>
  <c r="A78" i="6"/>
  <c r="B78" i="6" s="1"/>
  <c r="A82" i="4"/>
  <c r="A82" i="6"/>
  <c r="B82" i="6" s="1"/>
  <c r="A86" i="4"/>
  <c r="A86" i="6"/>
  <c r="B86" i="6" s="1"/>
  <c r="A90" i="4"/>
  <c r="A90" i="6"/>
  <c r="B90" i="6" s="1"/>
  <c r="A94" i="4"/>
  <c r="A94" i="6"/>
  <c r="B94" i="6" s="1"/>
  <c r="A98" i="4"/>
  <c r="A98" i="6"/>
  <c r="B98" i="6" s="1"/>
  <c r="A102" i="4"/>
  <c r="A102" i="6"/>
  <c r="B102" i="6" s="1"/>
  <c r="A106" i="4"/>
  <c r="A106" i="6"/>
  <c r="B106" i="6" s="1"/>
  <c r="A110" i="4"/>
  <c r="A110" i="6"/>
  <c r="B110" i="6" s="1"/>
  <c r="A114" i="4"/>
  <c r="A114" i="6"/>
  <c r="B114" i="6" s="1"/>
  <c r="A118" i="4"/>
  <c r="A118" i="6"/>
  <c r="B118" i="6" s="1"/>
  <c r="A122" i="4"/>
  <c r="A122" i="6"/>
  <c r="B122" i="6" s="1"/>
  <c r="A126" i="4"/>
  <c r="A126" i="6"/>
  <c r="B126" i="6" s="1"/>
  <c r="A130" i="4"/>
  <c r="A130" i="6"/>
  <c r="B130" i="6" s="1"/>
  <c r="A134" i="4"/>
  <c r="A134" i="6"/>
  <c r="B134" i="6" s="1"/>
  <c r="A138" i="4"/>
  <c r="A138" i="6"/>
  <c r="B138" i="6" s="1"/>
  <c r="A142" i="4"/>
  <c r="A142" i="6"/>
  <c r="B142" i="6" s="1"/>
  <c r="A146" i="4"/>
  <c r="A146" i="6"/>
  <c r="B146" i="6" s="1"/>
  <c r="A150" i="4"/>
  <c r="A150" i="6"/>
  <c r="B150" i="6" s="1"/>
  <c r="A154" i="4"/>
  <c r="A154" i="6"/>
  <c r="B154" i="6" s="1"/>
  <c r="A158" i="4"/>
  <c r="A158" i="6"/>
  <c r="B158" i="6" s="1"/>
  <c r="A162" i="4"/>
  <c r="A162" i="6"/>
  <c r="B162" i="6" s="1"/>
  <c r="A166" i="4"/>
  <c r="A166" i="6"/>
  <c r="B166" i="6" s="1"/>
  <c r="A170" i="4"/>
  <c r="A170" i="6"/>
  <c r="B170" i="6" s="1"/>
  <c r="A174" i="4"/>
  <c r="A174" i="6"/>
  <c r="B174" i="6" s="1"/>
  <c r="A178" i="4"/>
  <c r="A178" i="6"/>
  <c r="B178" i="6" s="1"/>
  <c r="A182" i="4"/>
  <c r="A182" i="6"/>
  <c r="B182" i="6" s="1"/>
  <c r="B36" i="6"/>
  <c r="B52" i="6"/>
  <c r="A148" i="6"/>
  <c r="B148" i="6" s="1"/>
  <c r="A164" i="6"/>
  <c r="B164" i="6" s="1"/>
  <c r="A180" i="6"/>
  <c r="B180" i="6" s="1"/>
  <c r="B32" i="4"/>
  <c r="B36" i="4"/>
  <c r="B40" i="4"/>
  <c r="B44" i="4"/>
  <c r="B48" i="4"/>
  <c r="B52" i="4"/>
  <c r="B56" i="4"/>
  <c r="B60" i="4"/>
  <c r="B63" i="4"/>
  <c r="B67" i="4"/>
  <c r="B71" i="4"/>
  <c r="B75" i="4"/>
  <c r="B79" i="4"/>
  <c r="B83" i="4"/>
  <c r="B87" i="4"/>
  <c r="B91" i="4"/>
  <c r="B95" i="4"/>
  <c r="B99" i="4"/>
  <c r="B103" i="4"/>
  <c r="B107" i="4"/>
  <c r="B111" i="4"/>
  <c r="B115" i="4"/>
  <c r="B119" i="4"/>
  <c r="B123" i="4"/>
  <c r="B127" i="4"/>
  <c r="B131" i="4"/>
  <c r="B135" i="4"/>
  <c r="B139" i="4"/>
  <c r="B143" i="4"/>
  <c r="A147" i="4"/>
  <c r="B151" i="4"/>
  <c r="B155" i="4"/>
  <c r="B159" i="4"/>
  <c r="B163" i="4"/>
  <c r="B167" i="4"/>
  <c r="B171" i="4"/>
  <c r="B175" i="4"/>
  <c r="B179" i="4"/>
  <c r="B183" i="4"/>
  <c r="A65" i="6"/>
  <c r="B65" i="6" s="1"/>
  <c r="A69" i="6"/>
  <c r="B69" i="6" s="1"/>
  <c r="A73" i="6"/>
  <c r="B73" i="6" s="1"/>
  <c r="A77" i="6"/>
  <c r="B77" i="6" s="1"/>
  <c r="A81" i="6"/>
  <c r="B81" i="6" s="1"/>
  <c r="A85" i="6"/>
  <c r="B85" i="6" s="1"/>
  <c r="A89" i="6"/>
  <c r="B89" i="6" s="1"/>
  <c r="A93" i="6"/>
  <c r="B93" i="6" s="1"/>
  <c r="A97" i="6"/>
  <c r="B97" i="6" s="1"/>
  <c r="A101" i="6"/>
  <c r="B101" i="6" s="1"/>
  <c r="A105" i="6"/>
  <c r="B105" i="6" s="1"/>
  <c r="A109" i="6"/>
  <c r="B109" i="6" s="1"/>
  <c r="A113" i="6"/>
  <c r="B113" i="6" s="1"/>
  <c r="A117" i="6"/>
  <c r="B117" i="6" s="1"/>
  <c r="A121" i="6"/>
  <c r="B121" i="6" s="1"/>
  <c r="A129" i="6"/>
  <c r="B129" i="6" s="1"/>
  <c r="A133" i="6"/>
  <c r="B133" i="6" s="1"/>
  <c r="A137" i="6"/>
  <c r="B137" i="6" s="1"/>
  <c r="A141" i="6"/>
  <c r="B141" i="6" s="1"/>
  <c r="A145" i="6"/>
  <c r="B145" i="6" s="1"/>
  <c r="A149" i="6"/>
  <c r="B149" i="6" s="1"/>
  <c r="A153" i="6"/>
  <c r="B153" i="6" s="1"/>
  <c r="A157" i="6"/>
  <c r="B157" i="6" s="1"/>
  <c r="A161" i="6"/>
  <c r="B161" i="6" s="1"/>
  <c r="A165" i="6"/>
  <c r="B165" i="6" s="1"/>
  <c r="A169" i="6"/>
  <c r="B169" i="6" s="1"/>
  <c r="A173" i="6"/>
  <c r="B173" i="6" s="1"/>
  <c r="A177" i="6"/>
  <c r="B177" i="6" s="1"/>
  <c r="A181" i="6"/>
  <c r="B181" i="6" s="1"/>
  <c r="B185" i="6"/>
  <c r="A10" i="6"/>
  <c r="B10" i="6" s="1"/>
  <c r="A14" i="6"/>
  <c r="B14" i="6" s="1"/>
  <c r="A18" i="6"/>
  <c r="B18" i="6" s="1"/>
  <c r="A22" i="6"/>
  <c r="B22" i="6" s="1"/>
  <c r="A26" i="6"/>
  <c r="B26" i="6" s="1"/>
  <c r="A30" i="6"/>
  <c r="B30" i="6" s="1"/>
  <c r="A34" i="6"/>
  <c r="B34" i="6" s="1"/>
  <c r="A38" i="6"/>
  <c r="B38" i="6" s="1"/>
  <c r="A42" i="6"/>
  <c r="B42" i="6" s="1"/>
  <c r="A46" i="6"/>
  <c r="B46" i="6" s="1"/>
  <c r="A50" i="6"/>
  <c r="B50" i="6" s="1"/>
  <c r="A54" i="6"/>
  <c r="B54" i="6" s="1"/>
  <c r="A58" i="6"/>
  <c r="B58" i="6" s="1"/>
  <c r="B10" i="4"/>
  <c r="B14" i="4"/>
  <c r="B18" i="4"/>
  <c r="B22" i="4"/>
  <c r="B26" i="4"/>
  <c r="B30" i="4"/>
  <c r="B34" i="4"/>
  <c r="B38" i="4"/>
  <c r="B42" i="4"/>
  <c r="B46" i="4"/>
  <c r="B50" i="4"/>
  <c r="B54" i="4"/>
  <c r="B58" i="4"/>
  <c r="B65" i="4"/>
  <c r="B69" i="4"/>
  <c r="B73" i="4"/>
  <c r="B77" i="4"/>
  <c r="B81" i="4"/>
  <c r="B85" i="4"/>
  <c r="B89" i="4"/>
  <c r="B93" i="4"/>
  <c r="B97" i="4"/>
  <c r="B101" i="4"/>
  <c r="B105" i="4"/>
  <c r="B109" i="4"/>
  <c r="B113" i="4"/>
  <c r="B117" i="4"/>
  <c r="B121" i="4"/>
  <c r="A125" i="4"/>
  <c r="B129" i="4"/>
  <c r="B133" i="4"/>
  <c r="B137" i="4"/>
  <c r="B141" i="4"/>
  <c r="B145" i="4"/>
  <c r="B149" i="4"/>
  <c r="B153" i="4"/>
  <c r="B157" i="4"/>
  <c r="B161" i="4"/>
  <c r="B165" i="4"/>
  <c r="B169" i="4"/>
  <c r="B173" i="4"/>
  <c r="B177" i="4"/>
  <c r="B181" i="4"/>
  <c r="B185" i="4"/>
  <c r="A63" i="6"/>
  <c r="B63" i="6" s="1"/>
  <c r="A67" i="6"/>
  <c r="B67" i="6" s="1"/>
  <c r="A71" i="6"/>
  <c r="B71" i="6" s="1"/>
  <c r="A75" i="6"/>
  <c r="B75" i="6" s="1"/>
  <c r="A79" i="6"/>
  <c r="B79" i="6" s="1"/>
  <c r="A83" i="6"/>
  <c r="B83" i="6" s="1"/>
  <c r="A87" i="6"/>
  <c r="B87" i="6" s="1"/>
  <c r="A91" i="6"/>
  <c r="B91" i="6" s="1"/>
  <c r="A95" i="6"/>
  <c r="B95" i="6" s="1"/>
  <c r="A99" i="6"/>
  <c r="B99" i="6" s="1"/>
  <c r="A103" i="6"/>
  <c r="B103" i="6" s="1"/>
  <c r="A107" i="6"/>
  <c r="B107" i="6" s="1"/>
  <c r="A111" i="6"/>
  <c r="B111" i="6" s="1"/>
  <c r="A115" i="6"/>
  <c r="B115" i="6" s="1"/>
  <c r="A119" i="6"/>
  <c r="B119" i="6" s="1"/>
  <c r="A123" i="6"/>
  <c r="B123" i="6" s="1"/>
  <c r="A127" i="6"/>
  <c r="B127" i="6" s="1"/>
  <c r="A131" i="6"/>
  <c r="B131" i="6" s="1"/>
  <c r="A135" i="6"/>
  <c r="B135" i="6" s="1"/>
  <c r="A139" i="6"/>
  <c r="B139" i="6" s="1"/>
  <c r="A143" i="6"/>
  <c r="B143" i="6" s="1"/>
  <c r="A147" i="6"/>
  <c r="B147" i="6" s="1"/>
  <c r="A151" i="6"/>
  <c r="B151" i="6" s="1"/>
  <c r="A155" i="6"/>
  <c r="B155" i="6" s="1"/>
  <c r="A159" i="6"/>
  <c r="B159" i="6" s="1"/>
  <c r="A163" i="6"/>
  <c r="B163" i="6" s="1"/>
  <c r="A167" i="6"/>
  <c r="B167" i="6" s="1"/>
  <c r="A171" i="6"/>
  <c r="B171" i="6" s="1"/>
  <c r="A175" i="6"/>
  <c r="B175" i="6" s="1"/>
  <c r="A179" i="6"/>
  <c r="B179" i="6" s="1"/>
  <c r="A183" i="6"/>
  <c r="B183" i="6" s="1"/>
  <c r="B116" i="4" l="1"/>
  <c r="B108" i="4"/>
  <c r="B80" i="4"/>
  <c r="B7" i="4"/>
  <c r="B125" i="4"/>
  <c r="B147" i="4"/>
  <c r="B182" i="4"/>
  <c r="B174" i="4"/>
  <c r="B166" i="4"/>
  <c r="B158" i="4"/>
  <c r="B150" i="4"/>
  <c r="B142" i="4"/>
  <c r="B134" i="4"/>
  <c r="B126" i="4"/>
  <c r="B118" i="4"/>
  <c r="B110" i="4"/>
  <c r="B102" i="4"/>
  <c r="B94" i="4"/>
  <c r="B86" i="4"/>
  <c r="B78" i="4"/>
  <c r="B70" i="4"/>
  <c r="B62" i="4"/>
  <c r="B55" i="4"/>
  <c r="B47" i="4"/>
  <c r="B39" i="4"/>
  <c r="B31" i="4"/>
  <c r="B23" i="4"/>
  <c r="B15" i="4"/>
  <c r="B6" i="4"/>
  <c r="B132" i="4"/>
  <c r="B124" i="4"/>
  <c r="B96" i="4"/>
  <c r="B68" i="4"/>
  <c r="B61" i="4"/>
  <c r="B53" i="4"/>
  <c r="B20" i="4"/>
  <c r="B12" i="4"/>
  <c r="B45" i="4"/>
  <c r="B21" i="4"/>
  <c r="B9" i="4"/>
  <c r="B17" i="4"/>
  <c r="B49" i="4"/>
  <c r="B33" i="4"/>
  <c r="B112" i="4"/>
  <c r="B84" i="4"/>
  <c r="B76" i="4"/>
  <c r="B28" i="4"/>
  <c r="B8" i="4"/>
  <c r="B11" i="4"/>
  <c r="B178" i="4"/>
  <c r="B170" i="4"/>
  <c r="B162" i="4"/>
  <c r="B154" i="4"/>
  <c r="B146" i="4"/>
  <c r="B138" i="4"/>
  <c r="B130" i="4"/>
  <c r="B122" i="4"/>
  <c r="B114" i="4"/>
  <c r="B106" i="4"/>
  <c r="B98" i="4"/>
  <c r="B90" i="4"/>
  <c r="B82" i="4"/>
  <c r="B74" i="4"/>
  <c r="B66" i="4"/>
  <c r="B59" i="4"/>
  <c r="B51" i="4"/>
  <c r="B43" i="4"/>
  <c r="B35" i="4"/>
  <c r="B27" i="4"/>
  <c r="B19" i="4"/>
  <c r="B152" i="4"/>
  <c r="B128" i="4"/>
  <c r="B100" i="4"/>
  <c r="B92" i="4"/>
  <c r="B64" i="4"/>
  <c r="B57" i="4"/>
  <c r="B16" i="4"/>
  <c r="B25" i="4"/>
  <c r="B13" i="4"/>
  <c r="B41" i="4"/>
  <c r="B37" i="4"/>
  <c r="B29" i="4"/>
  <c r="B5" i="4"/>
  <c r="J24" i="4"/>
  <c r="F24" i="4"/>
  <c r="L72" i="4"/>
  <c r="H72" i="4"/>
  <c r="K88" i="4"/>
  <c r="G88" i="4"/>
  <c r="C88" i="4"/>
  <c r="I104" i="4"/>
  <c r="E104" i="4"/>
  <c r="J120" i="4"/>
  <c r="F120" i="4"/>
  <c r="L136" i="4"/>
  <c r="H136" i="4"/>
  <c r="K140" i="4"/>
  <c r="G140" i="4"/>
  <c r="C140" i="4"/>
  <c r="I144" i="4"/>
  <c r="E144" i="4"/>
  <c r="J148" i="4"/>
  <c r="F148" i="4"/>
  <c r="L156" i="4"/>
  <c r="H156" i="4"/>
  <c r="K160" i="4"/>
  <c r="G160" i="4"/>
  <c r="C160" i="4"/>
  <c r="I164" i="4"/>
  <c r="E164" i="4"/>
  <c r="J168" i="4"/>
  <c r="F168" i="4"/>
  <c r="L172" i="4"/>
  <c r="H172" i="4"/>
  <c r="K176" i="4"/>
  <c r="G176" i="4"/>
  <c r="C176" i="4"/>
  <c r="I180" i="4"/>
  <c r="E180" i="4"/>
  <c r="J184" i="4"/>
  <c r="F184" i="4"/>
  <c r="L32" i="4"/>
  <c r="H32" i="4"/>
  <c r="K36" i="4"/>
  <c r="G36" i="4"/>
  <c r="C36" i="4"/>
  <c r="I40" i="4"/>
  <c r="E40" i="4"/>
  <c r="J44" i="4"/>
  <c r="F44" i="4"/>
  <c r="L48" i="4"/>
  <c r="H48" i="4"/>
  <c r="K52" i="4"/>
  <c r="G52" i="4"/>
  <c r="C52" i="4"/>
  <c r="I56" i="4"/>
  <c r="E56" i="4"/>
  <c r="J60" i="4"/>
  <c r="F60" i="4"/>
  <c r="L63" i="4"/>
  <c r="H63" i="4"/>
  <c r="K67" i="4"/>
  <c r="G67" i="4"/>
  <c r="C67" i="4"/>
  <c r="I71" i="4"/>
  <c r="E71" i="4"/>
  <c r="J75" i="4"/>
  <c r="F75" i="4"/>
  <c r="L79" i="4"/>
  <c r="H79" i="4"/>
  <c r="K83" i="4"/>
  <c r="G83" i="4"/>
  <c r="C83" i="4"/>
  <c r="I87" i="4"/>
  <c r="E87" i="4"/>
  <c r="J91" i="4"/>
  <c r="F91" i="4"/>
  <c r="L95" i="4"/>
  <c r="H95" i="4"/>
  <c r="K99" i="4"/>
  <c r="G99" i="4"/>
  <c r="C99" i="4"/>
  <c r="I103" i="4"/>
  <c r="E103" i="4"/>
  <c r="J107" i="4"/>
  <c r="F107" i="4"/>
  <c r="L111" i="4"/>
  <c r="H111" i="4"/>
  <c r="K115" i="4"/>
  <c r="G115" i="4"/>
  <c r="C115" i="4"/>
  <c r="I119" i="4"/>
  <c r="E119" i="4"/>
  <c r="J123" i="4"/>
  <c r="F123" i="4"/>
  <c r="L127" i="4"/>
  <c r="H127" i="4"/>
  <c r="K131" i="4"/>
  <c r="G131" i="4"/>
  <c r="C131" i="4"/>
  <c r="I135" i="4"/>
  <c r="E135" i="4"/>
  <c r="J139" i="4"/>
  <c r="F139" i="4"/>
  <c r="L143" i="4"/>
  <c r="H143" i="4"/>
  <c r="K151" i="4"/>
  <c r="G151" i="4"/>
  <c r="C151" i="4"/>
  <c r="I155" i="4"/>
  <c r="E155" i="4"/>
  <c r="J159" i="4"/>
  <c r="F159" i="4"/>
  <c r="L163" i="4"/>
  <c r="H163" i="4"/>
  <c r="K167" i="4"/>
  <c r="G167" i="4"/>
  <c r="C167" i="4"/>
  <c r="I171" i="4"/>
  <c r="E171" i="4"/>
  <c r="J175" i="4"/>
  <c r="F175" i="4"/>
  <c r="L179" i="4"/>
  <c r="H179" i="4"/>
  <c r="K183" i="4"/>
  <c r="G183" i="4"/>
  <c r="C183" i="4"/>
  <c r="I10" i="4"/>
  <c r="E10" i="4"/>
  <c r="J14" i="4"/>
  <c r="I24" i="4"/>
  <c r="E24" i="4"/>
  <c r="J72" i="4"/>
  <c r="F72" i="4"/>
  <c r="L88" i="4"/>
  <c r="H88" i="4"/>
  <c r="K104" i="4"/>
  <c r="G104" i="4"/>
  <c r="C104" i="4"/>
  <c r="I120" i="4"/>
  <c r="E120" i="4"/>
  <c r="J136" i="4"/>
  <c r="F136" i="4"/>
  <c r="L140" i="4"/>
  <c r="H140" i="4"/>
  <c r="K144" i="4"/>
  <c r="G144" i="4"/>
  <c r="C144" i="4"/>
  <c r="I148" i="4"/>
  <c r="E148" i="4"/>
  <c r="J156" i="4"/>
  <c r="F156" i="4"/>
  <c r="L160" i="4"/>
  <c r="H160" i="4"/>
  <c r="K164" i="4"/>
  <c r="G164" i="4"/>
  <c r="C164" i="4"/>
  <c r="I168" i="4"/>
  <c r="E168" i="4"/>
  <c r="J172" i="4"/>
  <c r="F172" i="4"/>
  <c r="L176" i="4"/>
  <c r="H176" i="4"/>
  <c r="K180" i="4"/>
  <c r="G180" i="4"/>
  <c r="C180" i="4"/>
  <c r="I184" i="4"/>
  <c r="E184" i="4"/>
  <c r="J32" i="4"/>
  <c r="F32" i="4"/>
  <c r="L36" i="4"/>
  <c r="H36" i="4"/>
  <c r="K40" i="4"/>
  <c r="G40" i="4"/>
  <c r="C40" i="4"/>
  <c r="I44" i="4"/>
  <c r="E44" i="4"/>
  <c r="J48" i="4"/>
  <c r="F48" i="4"/>
  <c r="L52" i="4"/>
  <c r="H52" i="4"/>
  <c r="K56" i="4"/>
  <c r="G56" i="4"/>
  <c r="C56" i="4"/>
  <c r="I60" i="4"/>
  <c r="E60" i="4"/>
  <c r="J63" i="4"/>
  <c r="F63" i="4"/>
  <c r="L67" i="4"/>
  <c r="H67" i="4"/>
  <c r="K71" i="4"/>
  <c r="G71" i="4"/>
  <c r="C71" i="4"/>
  <c r="I75" i="4"/>
  <c r="E75" i="4"/>
  <c r="J79" i="4"/>
  <c r="F79" i="4"/>
  <c r="L83" i="4"/>
  <c r="H83" i="4"/>
  <c r="K87" i="4"/>
  <c r="G87" i="4"/>
  <c r="C87" i="4"/>
  <c r="I91" i="4"/>
  <c r="E91" i="4"/>
  <c r="J95" i="4"/>
  <c r="F95" i="4"/>
  <c r="L99" i="4"/>
  <c r="H99" i="4"/>
  <c r="K103" i="4"/>
  <c r="G103" i="4"/>
  <c r="C103" i="4"/>
  <c r="I107" i="4"/>
  <c r="E107" i="4"/>
  <c r="J111" i="4"/>
  <c r="F111" i="4"/>
  <c r="L115" i="4"/>
  <c r="H115" i="4"/>
  <c r="K119" i="4"/>
  <c r="G119" i="4"/>
  <c r="C119" i="4"/>
  <c r="I123" i="4"/>
  <c r="E123" i="4"/>
  <c r="J127" i="4"/>
  <c r="F127" i="4"/>
  <c r="L131" i="4"/>
  <c r="H131" i="4"/>
  <c r="K135" i="4"/>
  <c r="G135" i="4"/>
  <c r="C135" i="4"/>
  <c r="I139" i="4"/>
  <c r="E139" i="4"/>
  <c r="J143" i="4"/>
  <c r="F143" i="4"/>
  <c r="L151" i="4"/>
  <c r="H151" i="4"/>
  <c r="K155" i="4"/>
  <c r="G155" i="4"/>
  <c r="C155" i="4"/>
  <c r="I159" i="4"/>
  <c r="E159" i="4"/>
  <c r="J163" i="4"/>
  <c r="F163" i="4"/>
  <c r="L167" i="4"/>
  <c r="H167" i="4"/>
  <c r="K171" i="4"/>
  <c r="K24" i="4"/>
  <c r="G24" i="4"/>
  <c r="C24" i="4"/>
  <c r="I72" i="4"/>
  <c r="E72" i="4"/>
  <c r="J88" i="4"/>
  <c r="F88" i="4"/>
  <c r="L104" i="4"/>
  <c r="H104" i="4"/>
  <c r="K120" i="4"/>
  <c r="G120" i="4"/>
  <c r="C120" i="4"/>
  <c r="I136" i="4"/>
  <c r="E136" i="4"/>
  <c r="J140" i="4"/>
  <c r="F140" i="4"/>
  <c r="L144" i="4"/>
  <c r="H144" i="4"/>
  <c r="K148" i="4"/>
  <c r="G148" i="4"/>
  <c r="C148" i="4"/>
  <c r="I156" i="4"/>
  <c r="E156" i="4"/>
  <c r="J160" i="4"/>
  <c r="F160" i="4"/>
  <c r="L164" i="4"/>
  <c r="H164" i="4"/>
  <c r="K168" i="4"/>
  <c r="G168" i="4"/>
  <c r="C168" i="4"/>
  <c r="I172" i="4"/>
  <c r="E172" i="4"/>
  <c r="J176" i="4"/>
  <c r="F176" i="4"/>
  <c r="L180" i="4"/>
  <c r="H180" i="4"/>
  <c r="K184" i="4"/>
  <c r="G184" i="4"/>
  <c r="C184" i="4"/>
  <c r="I32" i="4"/>
  <c r="E32" i="4"/>
  <c r="J36" i="4"/>
  <c r="F36" i="4"/>
  <c r="L40" i="4"/>
  <c r="H40" i="4"/>
  <c r="K44" i="4"/>
  <c r="G44" i="4"/>
  <c r="C44" i="4"/>
  <c r="I48" i="4"/>
  <c r="E48" i="4"/>
  <c r="J52" i="4"/>
  <c r="F52" i="4"/>
  <c r="L56" i="4"/>
  <c r="H56" i="4"/>
  <c r="K60" i="4"/>
  <c r="G60" i="4"/>
  <c r="C60" i="4"/>
  <c r="I63" i="4"/>
  <c r="E63" i="4"/>
  <c r="J67" i="4"/>
  <c r="F67" i="4"/>
  <c r="L71" i="4"/>
  <c r="H71" i="4"/>
  <c r="K75" i="4"/>
  <c r="G75" i="4"/>
  <c r="C75" i="4"/>
  <c r="I79" i="4"/>
  <c r="E79" i="4"/>
  <c r="J83" i="4"/>
  <c r="F83" i="4"/>
  <c r="L87" i="4"/>
  <c r="H87" i="4"/>
  <c r="K91" i="4"/>
  <c r="G91" i="4"/>
  <c r="C91" i="4"/>
  <c r="I95" i="4"/>
  <c r="E95" i="4"/>
  <c r="J99" i="4"/>
  <c r="F99" i="4"/>
  <c r="L103" i="4"/>
  <c r="H103" i="4"/>
  <c r="K107" i="4"/>
  <c r="G107" i="4"/>
  <c r="C107" i="4"/>
  <c r="I111" i="4"/>
  <c r="E111" i="4"/>
  <c r="J115" i="4"/>
  <c r="F115" i="4"/>
  <c r="L119" i="4"/>
  <c r="H119" i="4"/>
  <c r="K123" i="4"/>
  <c r="G123" i="4"/>
  <c r="C123" i="4"/>
  <c r="I127" i="4"/>
  <c r="E127" i="4"/>
  <c r="J131" i="4"/>
  <c r="F131" i="4"/>
  <c r="L135" i="4"/>
  <c r="H135" i="4"/>
  <c r="K139" i="4"/>
  <c r="G139" i="4"/>
  <c r="C139" i="4"/>
  <c r="I143" i="4"/>
  <c r="E143" i="4"/>
  <c r="J151" i="4"/>
  <c r="F151" i="4"/>
  <c r="L155" i="4"/>
  <c r="H155" i="4"/>
  <c r="K159" i="4"/>
  <c r="G159" i="4"/>
  <c r="C159" i="4"/>
  <c r="I163" i="4"/>
  <c r="E163" i="4"/>
  <c r="J167" i="4"/>
  <c r="F167" i="4"/>
  <c r="L171" i="4"/>
  <c r="H171" i="4"/>
  <c r="L24" i="4"/>
  <c r="H24" i="4"/>
  <c r="K72" i="4"/>
  <c r="G72" i="4"/>
  <c r="C72" i="4"/>
  <c r="I88" i="4"/>
  <c r="E88" i="4"/>
  <c r="J104" i="4"/>
  <c r="F104" i="4"/>
  <c r="L120" i="4"/>
  <c r="H120" i="4"/>
  <c r="K136" i="4"/>
  <c r="G136" i="4"/>
  <c r="C136" i="4"/>
  <c r="I140" i="4"/>
  <c r="E140" i="4"/>
  <c r="J144" i="4"/>
  <c r="F144" i="4"/>
  <c r="L148" i="4"/>
  <c r="H148" i="4"/>
  <c r="K156" i="4"/>
  <c r="G156" i="4"/>
  <c r="C156" i="4"/>
  <c r="I160" i="4"/>
  <c r="E160" i="4"/>
  <c r="J164" i="4"/>
  <c r="F164" i="4"/>
  <c r="L168" i="4"/>
  <c r="H168" i="4"/>
  <c r="K172" i="4"/>
  <c r="G172" i="4"/>
  <c r="C172" i="4"/>
  <c r="I176" i="4"/>
  <c r="E176" i="4"/>
  <c r="J180" i="4"/>
  <c r="F180" i="4"/>
  <c r="L184" i="4"/>
  <c r="H184" i="4"/>
  <c r="K32" i="4"/>
  <c r="G32" i="4"/>
  <c r="C32" i="4"/>
  <c r="I36" i="4"/>
  <c r="E36" i="4"/>
  <c r="J40" i="4"/>
  <c r="F40" i="4"/>
  <c r="L44" i="4"/>
  <c r="H44" i="4"/>
  <c r="K48" i="4"/>
  <c r="G48" i="4"/>
  <c r="C48" i="4"/>
  <c r="I52" i="4"/>
  <c r="E52" i="4"/>
  <c r="J56" i="4"/>
  <c r="F56" i="4"/>
  <c r="L60" i="4"/>
  <c r="H60" i="4"/>
  <c r="K63" i="4"/>
  <c r="G63" i="4"/>
  <c r="C63" i="4"/>
  <c r="I67" i="4"/>
  <c r="E67" i="4"/>
  <c r="J71" i="4"/>
  <c r="F71" i="4"/>
  <c r="L75" i="4"/>
  <c r="H75" i="4"/>
  <c r="K79" i="4"/>
  <c r="G79" i="4"/>
  <c r="C79" i="4"/>
  <c r="I83" i="4"/>
  <c r="E83" i="4"/>
  <c r="J87" i="4"/>
  <c r="F87" i="4"/>
  <c r="L91" i="4"/>
  <c r="H91" i="4"/>
  <c r="K95" i="4"/>
  <c r="G95" i="4"/>
  <c r="C95" i="4"/>
  <c r="I99" i="4"/>
  <c r="E99" i="4"/>
  <c r="J103" i="4"/>
  <c r="F103" i="4"/>
  <c r="L107" i="4"/>
  <c r="H107" i="4"/>
  <c r="K111" i="4"/>
  <c r="G111" i="4"/>
  <c r="C111" i="4"/>
  <c r="I115" i="4"/>
  <c r="E115" i="4"/>
  <c r="J119" i="4"/>
  <c r="F119" i="4"/>
  <c r="L123" i="4"/>
  <c r="H123" i="4"/>
  <c r="K127" i="4"/>
  <c r="G127" i="4"/>
  <c r="C127" i="4"/>
  <c r="I131" i="4"/>
  <c r="E131" i="4"/>
  <c r="J135" i="4"/>
  <c r="F135" i="4"/>
  <c r="L139" i="4"/>
  <c r="H139" i="4"/>
  <c r="K143" i="4"/>
  <c r="G143" i="4"/>
  <c r="C143" i="4"/>
  <c r="I151" i="4"/>
  <c r="E151" i="4"/>
  <c r="J155" i="4"/>
  <c r="F155" i="4"/>
  <c r="L159" i="4"/>
  <c r="H159" i="4"/>
  <c r="K163" i="4"/>
  <c r="G163" i="4"/>
  <c r="C163" i="4"/>
  <c r="I167" i="4"/>
  <c r="E167" i="4"/>
  <c r="J171" i="4"/>
  <c r="F171" i="4"/>
  <c r="L175" i="4"/>
  <c r="H175" i="4"/>
  <c r="K179" i="4"/>
  <c r="G179" i="4"/>
  <c r="C179" i="4"/>
  <c r="I183" i="4"/>
  <c r="E183" i="4"/>
  <c r="J10" i="4"/>
  <c r="F10" i="4"/>
  <c r="L14" i="4"/>
  <c r="G171" i="4"/>
  <c r="G175" i="4"/>
  <c r="I179" i="4"/>
  <c r="J183" i="4"/>
  <c r="L10" i="4"/>
  <c r="K14" i="4"/>
  <c r="F14" i="4"/>
  <c r="L18" i="4"/>
  <c r="H18" i="4"/>
  <c r="K22" i="4"/>
  <c r="G22" i="4"/>
  <c r="C22" i="4"/>
  <c r="I26" i="4"/>
  <c r="E26" i="4"/>
  <c r="J30" i="4"/>
  <c r="F30" i="4"/>
  <c r="L34" i="4"/>
  <c r="H34" i="4"/>
  <c r="K38" i="4"/>
  <c r="G38" i="4"/>
  <c r="C38" i="4"/>
  <c r="I42" i="4"/>
  <c r="E42" i="4"/>
  <c r="J46" i="4"/>
  <c r="F46" i="4"/>
  <c r="L50" i="4"/>
  <c r="H50" i="4"/>
  <c r="K54" i="4"/>
  <c r="G54" i="4"/>
  <c r="C54" i="4"/>
  <c r="I58" i="4"/>
  <c r="E58" i="4"/>
  <c r="J65" i="4"/>
  <c r="F65" i="4"/>
  <c r="L69" i="4"/>
  <c r="H69" i="4"/>
  <c r="K73" i="4"/>
  <c r="G73" i="4"/>
  <c r="C73" i="4"/>
  <c r="I77" i="4"/>
  <c r="E77" i="4"/>
  <c r="J81" i="4"/>
  <c r="F81" i="4"/>
  <c r="L85" i="4"/>
  <c r="H85" i="4"/>
  <c r="K89" i="4"/>
  <c r="G89" i="4"/>
  <c r="C89" i="4"/>
  <c r="I93" i="4"/>
  <c r="E93" i="4"/>
  <c r="J97" i="4"/>
  <c r="F97" i="4"/>
  <c r="L101" i="4"/>
  <c r="H101" i="4"/>
  <c r="K105" i="4"/>
  <c r="G105" i="4"/>
  <c r="C105" i="4"/>
  <c r="I109" i="4"/>
  <c r="E109" i="4"/>
  <c r="J113" i="4"/>
  <c r="F113" i="4"/>
  <c r="L117" i="4"/>
  <c r="H117" i="4"/>
  <c r="K121" i="4"/>
  <c r="G121" i="4"/>
  <c r="C121" i="4"/>
  <c r="I129" i="4"/>
  <c r="E129" i="4"/>
  <c r="J133" i="4"/>
  <c r="F133" i="4"/>
  <c r="L137" i="4"/>
  <c r="H137" i="4"/>
  <c r="K141" i="4"/>
  <c r="G141" i="4"/>
  <c r="C141" i="4"/>
  <c r="I145" i="4"/>
  <c r="E145" i="4"/>
  <c r="J149" i="4"/>
  <c r="F149" i="4"/>
  <c r="L153" i="4"/>
  <c r="H153" i="4"/>
  <c r="K157" i="4"/>
  <c r="G157" i="4"/>
  <c r="C157" i="4"/>
  <c r="I161" i="4"/>
  <c r="E161" i="4"/>
  <c r="J165" i="4"/>
  <c r="F165" i="4"/>
  <c r="L169" i="4"/>
  <c r="H169" i="4"/>
  <c r="K173" i="4"/>
  <c r="G173" i="4"/>
  <c r="C173" i="4"/>
  <c r="I177" i="4"/>
  <c r="E177" i="4"/>
  <c r="J181" i="4"/>
  <c r="F181" i="4"/>
  <c r="L185" i="4"/>
  <c r="H185" i="4"/>
  <c r="C177" i="4"/>
  <c r="E181" i="4"/>
  <c r="F185" i="4"/>
  <c r="E185" i="4"/>
  <c r="C171" i="4"/>
  <c r="E175" i="4"/>
  <c r="F179" i="4"/>
  <c r="H183" i="4"/>
  <c r="G10" i="4"/>
  <c r="I14" i="4"/>
  <c r="E14" i="4"/>
  <c r="J18" i="4"/>
  <c r="F18" i="4"/>
  <c r="L22" i="4"/>
  <c r="H22" i="4"/>
  <c r="K26" i="4"/>
  <c r="G26" i="4"/>
  <c r="C26" i="4"/>
  <c r="I30" i="4"/>
  <c r="E30" i="4"/>
  <c r="J34" i="4"/>
  <c r="F34" i="4"/>
  <c r="L38" i="4"/>
  <c r="H38" i="4"/>
  <c r="K42" i="4"/>
  <c r="G42" i="4"/>
  <c r="C42" i="4"/>
  <c r="I46" i="4"/>
  <c r="E46" i="4"/>
  <c r="J50" i="4"/>
  <c r="F50" i="4"/>
  <c r="L54" i="4"/>
  <c r="H54" i="4"/>
  <c r="K58" i="4"/>
  <c r="G58" i="4"/>
  <c r="C58" i="4"/>
  <c r="I65" i="4"/>
  <c r="E65" i="4"/>
  <c r="J69" i="4"/>
  <c r="F69" i="4"/>
  <c r="L73" i="4"/>
  <c r="H73" i="4"/>
  <c r="K77" i="4"/>
  <c r="G77" i="4"/>
  <c r="C77" i="4"/>
  <c r="I81" i="4"/>
  <c r="E81" i="4"/>
  <c r="J85" i="4"/>
  <c r="F85" i="4"/>
  <c r="L89" i="4"/>
  <c r="H89" i="4"/>
  <c r="K93" i="4"/>
  <c r="G93" i="4"/>
  <c r="C93" i="4"/>
  <c r="I97" i="4"/>
  <c r="E97" i="4"/>
  <c r="J101" i="4"/>
  <c r="F101" i="4"/>
  <c r="L105" i="4"/>
  <c r="H105" i="4"/>
  <c r="K109" i="4"/>
  <c r="G109" i="4"/>
  <c r="C109" i="4"/>
  <c r="I113" i="4"/>
  <c r="E113" i="4"/>
  <c r="J117" i="4"/>
  <c r="F117" i="4"/>
  <c r="L121" i="4"/>
  <c r="H121" i="4"/>
  <c r="K129" i="4"/>
  <c r="G129" i="4"/>
  <c r="C129" i="4"/>
  <c r="I133" i="4"/>
  <c r="E133" i="4"/>
  <c r="J137" i="4"/>
  <c r="F137" i="4"/>
  <c r="L141" i="4"/>
  <c r="H141" i="4"/>
  <c r="K145" i="4"/>
  <c r="G145" i="4"/>
  <c r="C145" i="4"/>
  <c r="I149" i="4"/>
  <c r="E149" i="4"/>
  <c r="J153" i="4"/>
  <c r="F153" i="4"/>
  <c r="L157" i="4"/>
  <c r="H157" i="4"/>
  <c r="K161" i="4"/>
  <c r="G161" i="4"/>
  <c r="C161" i="4"/>
  <c r="I165" i="4"/>
  <c r="E165" i="4"/>
  <c r="J169" i="4"/>
  <c r="F169" i="4"/>
  <c r="L173" i="4"/>
  <c r="H173" i="4"/>
  <c r="K177" i="4"/>
  <c r="G177" i="4"/>
  <c r="I181" i="4"/>
  <c r="J185" i="4"/>
  <c r="I185" i="4"/>
  <c r="K175" i="4"/>
  <c r="C175" i="4"/>
  <c r="E179" i="4"/>
  <c r="F183" i="4"/>
  <c r="H10" i="4"/>
  <c r="G14" i="4"/>
  <c r="C14" i="4"/>
  <c r="I18" i="4"/>
  <c r="E18" i="4"/>
  <c r="J22" i="4"/>
  <c r="F22" i="4"/>
  <c r="L26" i="4"/>
  <c r="H26" i="4"/>
  <c r="K30" i="4"/>
  <c r="G30" i="4"/>
  <c r="C30" i="4"/>
  <c r="I34" i="4"/>
  <c r="E34" i="4"/>
  <c r="J38" i="4"/>
  <c r="F38" i="4"/>
  <c r="L42" i="4"/>
  <c r="H42" i="4"/>
  <c r="K46" i="4"/>
  <c r="G46" i="4"/>
  <c r="C46" i="4"/>
  <c r="I50" i="4"/>
  <c r="E50" i="4"/>
  <c r="J54" i="4"/>
  <c r="F54" i="4"/>
  <c r="L58" i="4"/>
  <c r="H58" i="4"/>
  <c r="K65" i="4"/>
  <c r="G65" i="4"/>
  <c r="C65" i="4"/>
  <c r="I69" i="4"/>
  <c r="E69" i="4"/>
  <c r="J73" i="4"/>
  <c r="F73" i="4"/>
  <c r="L77" i="4"/>
  <c r="H77" i="4"/>
  <c r="K81" i="4"/>
  <c r="G81" i="4"/>
  <c r="C81" i="4"/>
  <c r="I85" i="4"/>
  <c r="E85" i="4"/>
  <c r="J89" i="4"/>
  <c r="F89" i="4"/>
  <c r="L93" i="4"/>
  <c r="H93" i="4"/>
  <c r="K97" i="4"/>
  <c r="G97" i="4"/>
  <c r="C97" i="4"/>
  <c r="I101" i="4"/>
  <c r="E101" i="4"/>
  <c r="J105" i="4"/>
  <c r="F105" i="4"/>
  <c r="L109" i="4"/>
  <c r="H109" i="4"/>
  <c r="K113" i="4"/>
  <c r="G113" i="4"/>
  <c r="C113" i="4"/>
  <c r="I117" i="4"/>
  <c r="E117" i="4"/>
  <c r="J121" i="4"/>
  <c r="F121" i="4"/>
  <c r="L129" i="4"/>
  <c r="H129" i="4"/>
  <c r="K133" i="4"/>
  <c r="G133" i="4"/>
  <c r="C133" i="4"/>
  <c r="I137" i="4"/>
  <c r="E137" i="4"/>
  <c r="J141" i="4"/>
  <c r="F141" i="4"/>
  <c r="L145" i="4"/>
  <c r="H145" i="4"/>
  <c r="K149" i="4"/>
  <c r="G149" i="4"/>
  <c r="C149" i="4"/>
  <c r="I153" i="4"/>
  <c r="E153" i="4"/>
  <c r="J157" i="4"/>
  <c r="F157" i="4"/>
  <c r="L161" i="4"/>
  <c r="H161" i="4"/>
  <c r="K165" i="4"/>
  <c r="G165" i="4"/>
  <c r="C165" i="4"/>
  <c r="I169" i="4"/>
  <c r="E169" i="4"/>
  <c r="J173" i="4"/>
  <c r="F173" i="4"/>
  <c r="L177" i="4"/>
  <c r="H177" i="4"/>
  <c r="K181" i="4"/>
  <c r="G181" i="4"/>
  <c r="C181" i="4"/>
  <c r="G185" i="4"/>
  <c r="I175" i="4"/>
  <c r="J179" i="4"/>
  <c r="L183" i="4"/>
  <c r="K10" i="4"/>
  <c r="C10" i="4"/>
  <c r="H14" i="4"/>
  <c r="K18" i="4"/>
  <c r="G18" i="4"/>
  <c r="C18" i="4"/>
  <c r="I22" i="4"/>
  <c r="E22" i="4"/>
  <c r="J26" i="4"/>
  <c r="F26" i="4"/>
  <c r="L30" i="4"/>
  <c r="H30" i="4"/>
  <c r="K34" i="4"/>
  <c r="G34" i="4"/>
  <c r="C34" i="4"/>
  <c r="I38" i="4"/>
  <c r="E38" i="4"/>
  <c r="J42" i="4"/>
  <c r="F42" i="4"/>
  <c r="L46" i="4"/>
  <c r="H46" i="4"/>
  <c r="K50" i="4"/>
  <c r="G50" i="4"/>
  <c r="C50" i="4"/>
  <c r="I54" i="4"/>
  <c r="E54" i="4"/>
  <c r="J58" i="4"/>
  <c r="F58" i="4"/>
  <c r="L65" i="4"/>
  <c r="H65" i="4"/>
  <c r="K69" i="4"/>
  <c r="G69" i="4"/>
  <c r="C69" i="4"/>
  <c r="I73" i="4"/>
  <c r="E73" i="4"/>
  <c r="J77" i="4"/>
  <c r="F77" i="4"/>
  <c r="L81" i="4"/>
  <c r="H81" i="4"/>
  <c r="K85" i="4"/>
  <c r="G85" i="4"/>
  <c r="C85" i="4"/>
  <c r="I89" i="4"/>
  <c r="E89" i="4"/>
  <c r="J93" i="4"/>
  <c r="F93" i="4"/>
  <c r="L97" i="4"/>
  <c r="H97" i="4"/>
  <c r="K101" i="4"/>
  <c r="G101" i="4"/>
  <c r="C101" i="4"/>
  <c r="I105" i="4"/>
  <c r="E105" i="4"/>
  <c r="J109" i="4"/>
  <c r="F109" i="4"/>
  <c r="L113" i="4"/>
  <c r="H113" i="4"/>
  <c r="K117" i="4"/>
  <c r="G117" i="4"/>
  <c r="C117" i="4"/>
  <c r="I121" i="4"/>
  <c r="E121" i="4"/>
  <c r="J129" i="4"/>
  <c r="F129" i="4"/>
  <c r="L133" i="4"/>
  <c r="H133" i="4"/>
  <c r="K137" i="4"/>
  <c r="G137" i="4"/>
  <c r="C137" i="4"/>
  <c r="I141" i="4"/>
  <c r="E141" i="4"/>
  <c r="J145" i="4"/>
  <c r="F145" i="4"/>
  <c r="L149" i="4"/>
  <c r="H149" i="4"/>
  <c r="K153" i="4"/>
  <c r="G153" i="4"/>
  <c r="C153" i="4"/>
  <c r="I157" i="4"/>
  <c r="E157" i="4"/>
  <c r="J161" i="4"/>
  <c r="F161" i="4"/>
  <c r="L165" i="4"/>
  <c r="H165" i="4"/>
  <c r="K169" i="4"/>
  <c r="G169" i="4"/>
  <c r="C169" i="4"/>
  <c r="I173" i="4"/>
  <c r="E173" i="4"/>
  <c r="J177" i="4"/>
  <c r="F177" i="4"/>
  <c r="L181" i="4"/>
  <c r="H181" i="4"/>
  <c r="K185" i="4"/>
  <c r="C185" i="4"/>
  <c r="L116" i="4"/>
  <c r="H116" i="4"/>
  <c r="K108" i="4"/>
  <c r="G108" i="4"/>
  <c r="C108" i="4"/>
  <c r="I80" i="4"/>
  <c r="E80" i="4"/>
  <c r="J7" i="4"/>
  <c r="F7" i="4"/>
  <c r="L125" i="4"/>
  <c r="H125" i="4"/>
  <c r="K147" i="4"/>
  <c r="G147" i="4"/>
  <c r="C147" i="4"/>
  <c r="I182" i="4"/>
  <c r="E182" i="4"/>
  <c r="J174" i="4"/>
  <c r="F174" i="4"/>
  <c r="L166" i="4"/>
  <c r="H166" i="4"/>
  <c r="K158" i="4"/>
  <c r="G158" i="4"/>
  <c r="C158" i="4"/>
  <c r="I150" i="4"/>
  <c r="E150" i="4"/>
  <c r="J142" i="4"/>
  <c r="F142" i="4"/>
  <c r="L134" i="4"/>
  <c r="H134" i="4"/>
  <c r="K126" i="4"/>
  <c r="G126" i="4"/>
  <c r="C126" i="4"/>
  <c r="I118" i="4"/>
  <c r="E118" i="4"/>
  <c r="J110" i="4"/>
  <c r="F110" i="4"/>
  <c r="L102" i="4"/>
  <c r="H102" i="4"/>
  <c r="K94" i="4"/>
  <c r="G94" i="4"/>
  <c r="C94" i="4"/>
  <c r="I86" i="4"/>
  <c r="E86" i="4"/>
  <c r="J78" i="4"/>
  <c r="F78" i="4"/>
  <c r="L70" i="4"/>
  <c r="H70" i="4"/>
  <c r="K62" i="4"/>
  <c r="G62" i="4"/>
  <c r="C62" i="4"/>
  <c r="I55" i="4"/>
  <c r="E55" i="4"/>
  <c r="J47" i="4"/>
  <c r="F47" i="4"/>
  <c r="L39" i="4"/>
  <c r="H39" i="4"/>
  <c r="K31" i="4"/>
  <c r="G31" i="4"/>
  <c r="C31" i="4"/>
  <c r="I23" i="4"/>
  <c r="E23" i="4"/>
  <c r="J15" i="4"/>
  <c r="F15" i="4"/>
  <c r="L6" i="4"/>
  <c r="H6" i="4"/>
  <c r="K132" i="4"/>
  <c r="G132" i="4"/>
  <c r="C132" i="4"/>
  <c r="I124" i="4"/>
  <c r="E124" i="4"/>
  <c r="J96" i="4"/>
  <c r="F96" i="4"/>
  <c r="L68" i="4"/>
  <c r="H68" i="4"/>
  <c r="K61" i="4"/>
  <c r="G61" i="4"/>
  <c r="C61" i="4"/>
  <c r="I53" i="4"/>
  <c r="E53" i="4"/>
  <c r="J20" i="4"/>
  <c r="F20" i="4"/>
  <c r="L12" i="4"/>
  <c r="H12" i="4"/>
  <c r="K45" i="4"/>
  <c r="G45" i="4"/>
  <c r="C45" i="4"/>
  <c r="I21" i="4"/>
  <c r="E21" i="4"/>
  <c r="J9" i="4"/>
  <c r="F9" i="4"/>
  <c r="L17" i="4"/>
  <c r="H17" i="4"/>
  <c r="K49" i="4"/>
  <c r="G49" i="4"/>
  <c r="C49" i="4"/>
  <c r="I33" i="4"/>
  <c r="E33" i="4"/>
  <c r="J112" i="4"/>
  <c r="F112" i="4"/>
  <c r="L84" i="4"/>
  <c r="H84" i="4"/>
  <c r="K76" i="4"/>
  <c r="G76" i="4"/>
  <c r="C76" i="4"/>
  <c r="I28" i="4"/>
  <c r="E28" i="4"/>
  <c r="J8" i="4"/>
  <c r="F8" i="4"/>
  <c r="L11" i="4"/>
  <c r="H11" i="4"/>
  <c r="K178" i="4"/>
  <c r="G178" i="4"/>
  <c r="C178" i="4"/>
  <c r="I170" i="4"/>
  <c r="E170" i="4"/>
  <c r="J162" i="4"/>
  <c r="F162" i="4"/>
  <c r="L154" i="4"/>
  <c r="H154" i="4"/>
  <c r="K146" i="4"/>
  <c r="G146" i="4"/>
  <c r="C146" i="4"/>
  <c r="I138" i="4"/>
  <c r="E138" i="4"/>
  <c r="J130" i="4"/>
  <c r="F130" i="4"/>
  <c r="J116" i="4"/>
  <c r="F116" i="4"/>
  <c r="L108" i="4"/>
  <c r="H108" i="4"/>
  <c r="K80" i="4"/>
  <c r="G80" i="4"/>
  <c r="C80" i="4"/>
  <c r="I7" i="4"/>
  <c r="E7" i="4"/>
  <c r="J125" i="4"/>
  <c r="F125" i="4"/>
  <c r="L147" i="4"/>
  <c r="H147" i="4"/>
  <c r="K182" i="4"/>
  <c r="G182" i="4"/>
  <c r="C182" i="4"/>
  <c r="I174" i="4"/>
  <c r="E174" i="4"/>
  <c r="J166" i="4"/>
  <c r="F166" i="4"/>
  <c r="L158" i="4"/>
  <c r="H158" i="4"/>
  <c r="K150" i="4"/>
  <c r="G150" i="4"/>
  <c r="C150" i="4"/>
  <c r="I142" i="4"/>
  <c r="E142" i="4"/>
  <c r="J134" i="4"/>
  <c r="F134" i="4"/>
  <c r="L126" i="4"/>
  <c r="H126" i="4"/>
  <c r="K118" i="4"/>
  <c r="G118" i="4"/>
  <c r="C118" i="4"/>
  <c r="I110" i="4"/>
  <c r="E110" i="4"/>
  <c r="J102" i="4"/>
  <c r="F102" i="4"/>
  <c r="L94" i="4"/>
  <c r="H94" i="4"/>
  <c r="K86" i="4"/>
  <c r="G86" i="4"/>
  <c r="C86" i="4"/>
  <c r="I78" i="4"/>
  <c r="E78" i="4"/>
  <c r="J70" i="4"/>
  <c r="F70" i="4"/>
  <c r="L62" i="4"/>
  <c r="H62" i="4"/>
  <c r="K55" i="4"/>
  <c r="G55" i="4"/>
  <c r="C55" i="4"/>
  <c r="I47" i="4"/>
  <c r="E47" i="4"/>
  <c r="J39" i="4"/>
  <c r="F39" i="4"/>
  <c r="L31" i="4"/>
  <c r="H31" i="4"/>
  <c r="K23" i="4"/>
  <c r="G23" i="4"/>
  <c r="C23" i="4"/>
  <c r="I15" i="4"/>
  <c r="E15" i="4"/>
  <c r="J6" i="4"/>
  <c r="F6" i="4"/>
  <c r="L132" i="4"/>
  <c r="H132" i="4"/>
  <c r="K124" i="4"/>
  <c r="G124" i="4"/>
  <c r="C124" i="4"/>
  <c r="I96" i="4"/>
  <c r="E96" i="4"/>
  <c r="J68" i="4"/>
  <c r="F68" i="4"/>
  <c r="L61" i="4"/>
  <c r="H61" i="4"/>
  <c r="K53" i="4"/>
  <c r="G53" i="4"/>
  <c r="C53" i="4"/>
  <c r="I20" i="4"/>
  <c r="E20" i="4"/>
  <c r="J12" i="4"/>
  <c r="F12" i="4"/>
  <c r="L45" i="4"/>
  <c r="H45" i="4"/>
  <c r="K21" i="4"/>
  <c r="G21" i="4"/>
  <c r="C21" i="4"/>
  <c r="I9" i="4"/>
  <c r="E9" i="4"/>
  <c r="J17" i="4"/>
  <c r="F17" i="4"/>
  <c r="L49" i="4"/>
  <c r="H49" i="4"/>
  <c r="K33" i="4"/>
  <c r="G33" i="4"/>
  <c r="C33" i="4"/>
  <c r="I112" i="4"/>
  <c r="E112" i="4"/>
  <c r="J84" i="4"/>
  <c r="F84" i="4"/>
  <c r="L76" i="4"/>
  <c r="H76" i="4"/>
  <c r="K28" i="4"/>
  <c r="G28" i="4"/>
  <c r="C28" i="4"/>
  <c r="I8" i="4"/>
  <c r="E8" i="4"/>
  <c r="J11" i="4"/>
  <c r="F11" i="4"/>
  <c r="L178" i="4"/>
  <c r="H178" i="4"/>
  <c r="K170" i="4"/>
  <c r="G170" i="4"/>
  <c r="C170" i="4"/>
  <c r="I162" i="4"/>
  <c r="E162" i="4"/>
  <c r="J154" i="4"/>
  <c r="F154" i="4"/>
  <c r="L146" i="4"/>
  <c r="H146" i="4"/>
  <c r="K138" i="4"/>
  <c r="I116" i="4"/>
  <c r="E116" i="4"/>
  <c r="J108" i="4"/>
  <c r="F108" i="4"/>
  <c r="L80" i="4"/>
  <c r="H80" i="4"/>
  <c r="K7" i="4"/>
  <c r="G7" i="4"/>
  <c r="C7" i="4"/>
  <c r="I125" i="4"/>
  <c r="E125" i="4"/>
  <c r="J147" i="4"/>
  <c r="F147" i="4"/>
  <c r="L182" i="4"/>
  <c r="H182" i="4"/>
  <c r="K174" i="4"/>
  <c r="G174" i="4"/>
  <c r="C174" i="4"/>
  <c r="I166" i="4"/>
  <c r="E166" i="4"/>
  <c r="J158" i="4"/>
  <c r="F158" i="4"/>
  <c r="L150" i="4"/>
  <c r="H150" i="4"/>
  <c r="K142" i="4"/>
  <c r="G142" i="4"/>
  <c r="C142" i="4"/>
  <c r="I134" i="4"/>
  <c r="E134" i="4"/>
  <c r="J126" i="4"/>
  <c r="F126" i="4"/>
  <c r="L118" i="4"/>
  <c r="H118" i="4"/>
  <c r="K110" i="4"/>
  <c r="G110" i="4"/>
  <c r="C110" i="4"/>
  <c r="I102" i="4"/>
  <c r="E102" i="4"/>
  <c r="J94" i="4"/>
  <c r="F94" i="4"/>
  <c r="L86" i="4"/>
  <c r="H86" i="4"/>
  <c r="K78" i="4"/>
  <c r="G78" i="4"/>
  <c r="C78" i="4"/>
  <c r="I70" i="4"/>
  <c r="E70" i="4"/>
  <c r="J62" i="4"/>
  <c r="F62" i="4"/>
  <c r="L55" i="4"/>
  <c r="H55" i="4"/>
  <c r="K47" i="4"/>
  <c r="G47" i="4"/>
  <c r="C47" i="4"/>
  <c r="I39" i="4"/>
  <c r="E39" i="4"/>
  <c r="J31" i="4"/>
  <c r="F31" i="4"/>
  <c r="L23" i="4"/>
  <c r="H23" i="4"/>
  <c r="K15" i="4"/>
  <c r="G15" i="4"/>
  <c r="C15" i="4"/>
  <c r="I6" i="4"/>
  <c r="E6" i="4"/>
  <c r="J132" i="4"/>
  <c r="F132" i="4"/>
  <c r="L124" i="4"/>
  <c r="H124" i="4"/>
  <c r="K96" i="4"/>
  <c r="G96" i="4"/>
  <c r="C96" i="4"/>
  <c r="I68" i="4"/>
  <c r="E68" i="4"/>
  <c r="J61" i="4"/>
  <c r="F61" i="4"/>
  <c r="L53" i="4"/>
  <c r="H53" i="4"/>
  <c r="K20" i="4"/>
  <c r="G20" i="4"/>
  <c r="C20" i="4"/>
  <c r="I12" i="4"/>
  <c r="E12" i="4"/>
  <c r="J45" i="4"/>
  <c r="F45" i="4"/>
  <c r="L21" i="4"/>
  <c r="H21" i="4"/>
  <c r="K9" i="4"/>
  <c r="G9" i="4"/>
  <c r="C9" i="4"/>
  <c r="I17" i="4"/>
  <c r="E17" i="4"/>
  <c r="J49" i="4"/>
  <c r="F49" i="4"/>
  <c r="L33" i="4"/>
  <c r="H33" i="4"/>
  <c r="K112" i="4"/>
  <c r="G112" i="4"/>
  <c r="C112" i="4"/>
  <c r="I84" i="4"/>
  <c r="E84" i="4"/>
  <c r="J76" i="4"/>
  <c r="F76" i="4"/>
  <c r="L28" i="4"/>
  <c r="H28" i="4"/>
  <c r="K8" i="4"/>
  <c r="G8" i="4"/>
  <c r="C8" i="4"/>
  <c r="I11" i="4"/>
  <c r="E11" i="4"/>
  <c r="J178" i="4"/>
  <c r="F178" i="4"/>
  <c r="L170" i="4"/>
  <c r="H170" i="4"/>
  <c r="K162" i="4"/>
  <c r="G162" i="4"/>
  <c r="C162" i="4"/>
  <c r="I154" i="4"/>
  <c r="E154" i="4"/>
  <c r="J146" i="4"/>
  <c r="F146" i="4"/>
  <c r="L138" i="4"/>
  <c r="H138" i="4"/>
  <c r="K130" i="4"/>
  <c r="G130" i="4"/>
  <c r="C130" i="4"/>
  <c r="I122" i="4"/>
  <c r="K116" i="4"/>
  <c r="G116" i="4"/>
  <c r="C116" i="4"/>
  <c r="I108" i="4"/>
  <c r="E108" i="4"/>
  <c r="J80" i="4"/>
  <c r="F80" i="4"/>
  <c r="L7" i="4"/>
  <c r="H7" i="4"/>
  <c r="K125" i="4"/>
  <c r="G125" i="4"/>
  <c r="C125" i="4"/>
  <c r="I147" i="4"/>
  <c r="E147" i="4"/>
  <c r="J182" i="4"/>
  <c r="F182" i="4"/>
  <c r="L174" i="4"/>
  <c r="H174" i="4"/>
  <c r="K166" i="4"/>
  <c r="G166" i="4"/>
  <c r="C166" i="4"/>
  <c r="I158" i="4"/>
  <c r="E158" i="4"/>
  <c r="J150" i="4"/>
  <c r="F150" i="4"/>
  <c r="L142" i="4"/>
  <c r="H142" i="4"/>
  <c r="K134" i="4"/>
  <c r="G134" i="4"/>
  <c r="C134" i="4"/>
  <c r="I126" i="4"/>
  <c r="E126" i="4"/>
  <c r="J118" i="4"/>
  <c r="F118" i="4"/>
  <c r="L110" i="4"/>
  <c r="H110" i="4"/>
  <c r="K102" i="4"/>
  <c r="G102" i="4"/>
  <c r="C102" i="4"/>
  <c r="I94" i="4"/>
  <c r="E94" i="4"/>
  <c r="J86" i="4"/>
  <c r="F86" i="4"/>
  <c r="L78" i="4"/>
  <c r="H78" i="4"/>
  <c r="K70" i="4"/>
  <c r="G70" i="4"/>
  <c r="C70" i="4"/>
  <c r="I62" i="4"/>
  <c r="E62" i="4"/>
  <c r="J55" i="4"/>
  <c r="F55" i="4"/>
  <c r="L47" i="4"/>
  <c r="H47" i="4"/>
  <c r="K39" i="4"/>
  <c r="G39" i="4"/>
  <c r="C39" i="4"/>
  <c r="I31" i="4"/>
  <c r="E31" i="4"/>
  <c r="J23" i="4"/>
  <c r="F23" i="4"/>
  <c r="L15" i="4"/>
  <c r="H15" i="4"/>
  <c r="K6" i="4"/>
  <c r="G6" i="4"/>
  <c r="C6" i="4"/>
  <c r="I132" i="4"/>
  <c r="E132" i="4"/>
  <c r="J124" i="4"/>
  <c r="F124" i="4"/>
  <c r="L96" i="4"/>
  <c r="H96" i="4"/>
  <c r="K68" i="4"/>
  <c r="G68" i="4"/>
  <c r="C68" i="4"/>
  <c r="I61" i="4"/>
  <c r="E61" i="4"/>
  <c r="J53" i="4"/>
  <c r="F53" i="4"/>
  <c r="L20" i="4"/>
  <c r="H20" i="4"/>
  <c r="K12" i="4"/>
  <c r="G12" i="4"/>
  <c r="C12" i="4"/>
  <c r="I45" i="4"/>
  <c r="E45" i="4"/>
  <c r="J21" i="4"/>
  <c r="F21" i="4"/>
  <c r="L9" i="4"/>
  <c r="H9" i="4"/>
  <c r="K17" i="4"/>
  <c r="G17" i="4"/>
  <c r="C17" i="4"/>
  <c r="I49" i="4"/>
  <c r="E49" i="4"/>
  <c r="J33" i="4"/>
  <c r="F33" i="4"/>
  <c r="L112" i="4"/>
  <c r="H112" i="4"/>
  <c r="K84" i="4"/>
  <c r="G84" i="4"/>
  <c r="C84" i="4"/>
  <c r="I76" i="4"/>
  <c r="E76" i="4"/>
  <c r="J28" i="4"/>
  <c r="F28" i="4"/>
  <c r="L8" i="4"/>
  <c r="H8" i="4"/>
  <c r="K11" i="4"/>
  <c r="G11" i="4"/>
  <c r="C11" i="4"/>
  <c r="I178" i="4"/>
  <c r="E178" i="4"/>
  <c r="J170" i="4"/>
  <c r="F170" i="4"/>
  <c r="L162" i="4"/>
  <c r="H162" i="4"/>
  <c r="K154" i="4"/>
  <c r="G154" i="4"/>
  <c r="C154" i="4"/>
  <c r="I146" i="4"/>
  <c r="E146" i="4"/>
  <c r="J138" i="4"/>
  <c r="F138" i="4"/>
  <c r="L130" i="4"/>
  <c r="G138" i="4"/>
  <c r="E130" i="4"/>
  <c r="G122" i="4"/>
  <c r="C122" i="4"/>
  <c r="I114" i="4"/>
  <c r="E114" i="4"/>
  <c r="J106" i="4"/>
  <c r="F106" i="4"/>
  <c r="L98" i="4"/>
  <c r="H98" i="4"/>
  <c r="K90" i="4"/>
  <c r="G90" i="4"/>
  <c r="C90" i="4"/>
  <c r="I82" i="4"/>
  <c r="E82" i="4"/>
  <c r="J74" i="4"/>
  <c r="F74" i="4"/>
  <c r="L66" i="4"/>
  <c r="H66" i="4"/>
  <c r="K59" i="4"/>
  <c r="G59" i="4"/>
  <c r="C59" i="4"/>
  <c r="I51" i="4"/>
  <c r="E51" i="4"/>
  <c r="J43" i="4"/>
  <c r="F43" i="4"/>
  <c r="L35" i="4"/>
  <c r="H35" i="4"/>
  <c r="K27" i="4"/>
  <c r="G27" i="4"/>
  <c r="C27" i="4"/>
  <c r="I19" i="4"/>
  <c r="E19" i="4"/>
  <c r="J152" i="4"/>
  <c r="F152" i="4"/>
  <c r="L128" i="4"/>
  <c r="H128" i="4"/>
  <c r="K100" i="4"/>
  <c r="G100" i="4"/>
  <c r="C100" i="4"/>
  <c r="I92" i="4"/>
  <c r="E92" i="4"/>
  <c r="J64" i="4"/>
  <c r="F64" i="4"/>
  <c r="L57" i="4"/>
  <c r="H57" i="4"/>
  <c r="K16" i="4"/>
  <c r="G16" i="4"/>
  <c r="C16" i="4"/>
  <c r="I25" i="4"/>
  <c r="E25" i="4"/>
  <c r="J13" i="4"/>
  <c r="F13" i="4"/>
  <c r="L41" i="4"/>
  <c r="H41" i="4"/>
  <c r="K37" i="4"/>
  <c r="G37" i="4"/>
  <c r="C37" i="4"/>
  <c r="I29" i="4"/>
  <c r="E29" i="4"/>
  <c r="J5" i="4"/>
  <c r="F5" i="4"/>
  <c r="G129" i="6"/>
  <c r="J132" i="6"/>
  <c r="C129" i="6"/>
  <c r="M177" i="6"/>
  <c r="G41" i="6"/>
  <c r="C162" i="6"/>
  <c r="G110" i="6"/>
  <c r="G99" i="6"/>
  <c r="G15" i="6"/>
  <c r="G180" i="6"/>
  <c r="C18" i="6"/>
  <c r="C175" i="6"/>
  <c r="C184" i="6"/>
  <c r="C119" i="6"/>
  <c r="G96" i="6"/>
  <c r="C47" i="6"/>
  <c r="J5" i="6"/>
  <c r="J165" i="6"/>
  <c r="C86" i="6"/>
  <c r="C140" i="6"/>
  <c r="M36" i="6"/>
  <c r="G98" i="6"/>
  <c r="G78" i="6"/>
  <c r="J18" i="6"/>
  <c r="C143" i="6"/>
  <c r="M156" i="6"/>
  <c r="M143" i="6"/>
  <c r="C74" i="6"/>
  <c r="C30" i="6"/>
  <c r="C165" i="6"/>
  <c r="C23" i="6"/>
  <c r="C95" i="6"/>
  <c r="M21" i="6"/>
  <c r="C20" i="6"/>
  <c r="M132" i="6"/>
  <c r="C17" i="6"/>
  <c r="M170" i="6"/>
  <c r="J118" i="6"/>
  <c r="M118" i="6"/>
  <c r="J164" i="6"/>
  <c r="C172" i="6"/>
  <c r="C63" i="6"/>
  <c r="C159" i="6"/>
  <c r="J167" i="6"/>
  <c r="M87" i="6"/>
  <c r="G104" i="6"/>
  <c r="J14" i="6"/>
  <c r="C102" i="6"/>
  <c r="M46" i="6"/>
  <c r="G44" i="6"/>
  <c r="G163" i="6"/>
  <c r="C83" i="6"/>
  <c r="G136" i="6"/>
  <c r="C40" i="6"/>
  <c r="C99" i="6"/>
  <c r="J160" i="6"/>
  <c r="C78" i="6"/>
  <c r="J19" i="6"/>
  <c r="J150" i="6"/>
  <c r="C97" i="6"/>
  <c r="C50" i="6"/>
  <c r="C167" i="6"/>
  <c r="M104" i="6"/>
  <c r="J30" i="6"/>
  <c r="J12" i="6"/>
  <c r="C161" i="6"/>
  <c r="C138" i="4"/>
  <c r="K122" i="4"/>
  <c r="H122" i="4"/>
  <c r="K114" i="4"/>
  <c r="G114" i="4"/>
  <c r="C114" i="4"/>
  <c r="I106" i="4"/>
  <c r="E106" i="4"/>
  <c r="J98" i="4"/>
  <c r="F98" i="4"/>
  <c r="L90" i="4"/>
  <c r="H90" i="4"/>
  <c r="K82" i="4"/>
  <c r="G82" i="4"/>
  <c r="C82" i="4"/>
  <c r="I74" i="4"/>
  <c r="E74" i="4"/>
  <c r="J66" i="4"/>
  <c r="F66" i="4"/>
  <c r="L59" i="4"/>
  <c r="H59" i="4"/>
  <c r="K51" i="4"/>
  <c r="G51" i="4"/>
  <c r="C51" i="4"/>
  <c r="I43" i="4"/>
  <c r="E43" i="4"/>
  <c r="J35" i="4"/>
  <c r="F35" i="4"/>
  <c r="L27" i="4"/>
  <c r="H27" i="4"/>
  <c r="K19" i="4"/>
  <c r="G19" i="4"/>
  <c r="C19" i="4"/>
  <c r="I152" i="4"/>
  <c r="E152" i="4"/>
  <c r="J128" i="4"/>
  <c r="F128" i="4"/>
  <c r="L100" i="4"/>
  <c r="H100" i="4"/>
  <c r="K92" i="4"/>
  <c r="G92" i="4"/>
  <c r="C92" i="4"/>
  <c r="I64" i="4"/>
  <c r="E64" i="4"/>
  <c r="J57" i="4"/>
  <c r="F57" i="4"/>
  <c r="L16" i="4"/>
  <c r="H16" i="4"/>
  <c r="K25" i="4"/>
  <c r="G25" i="4"/>
  <c r="C25" i="4"/>
  <c r="I13" i="4"/>
  <c r="E13" i="4"/>
  <c r="J41" i="4"/>
  <c r="F41" i="4"/>
  <c r="L37" i="4"/>
  <c r="H37" i="4"/>
  <c r="K29" i="4"/>
  <c r="G29" i="4"/>
  <c r="C29" i="4"/>
  <c r="I5" i="4"/>
  <c r="E5" i="4"/>
  <c r="G133" i="6"/>
  <c r="C33" i="6"/>
  <c r="J140" i="6"/>
  <c r="J96" i="6"/>
  <c r="J68" i="6"/>
  <c r="M61" i="6"/>
  <c r="C124" i="6"/>
  <c r="C164" i="6"/>
  <c r="G67" i="6"/>
  <c r="C6" i="6"/>
  <c r="M78" i="6"/>
  <c r="M133" i="6"/>
  <c r="G166" i="6"/>
  <c r="J175" i="6"/>
  <c r="C145" i="6"/>
  <c r="J110" i="6"/>
  <c r="M45" i="6"/>
  <c r="M150" i="6"/>
  <c r="C127" i="6"/>
  <c r="M110" i="6"/>
  <c r="G111" i="6"/>
  <c r="M71" i="6"/>
  <c r="C8" i="6"/>
  <c r="C126" i="6"/>
  <c r="M160" i="6"/>
  <c r="M174" i="6"/>
  <c r="J100" i="6"/>
  <c r="G128" i="6"/>
  <c r="G70" i="6"/>
  <c r="J147" i="6"/>
  <c r="G68" i="6"/>
  <c r="G156" i="6"/>
  <c r="M164" i="6"/>
  <c r="J109" i="6"/>
  <c r="G22" i="6"/>
  <c r="M17" i="6"/>
  <c r="C156" i="6"/>
  <c r="M31" i="6"/>
  <c r="G152" i="6"/>
  <c r="M146" i="6"/>
  <c r="M84" i="6"/>
  <c r="C110" i="6"/>
  <c r="M6" i="6"/>
  <c r="C134" i="6"/>
  <c r="J48" i="6"/>
  <c r="G33" i="6"/>
  <c r="C68" i="6"/>
  <c r="M158" i="6"/>
  <c r="M18" i="6"/>
  <c r="J85" i="6"/>
  <c r="G53" i="6"/>
  <c r="J145" i="6"/>
  <c r="J126" i="6"/>
  <c r="J102" i="6"/>
  <c r="G63" i="6"/>
  <c r="C147" i="6"/>
  <c r="M115" i="6"/>
  <c r="C80" i="6"/>
  <c r="G31" i="6"/>
  <c r="J52" i="6"/>
  <c r="C103" i="6"/>
  <c r="M175" i="6"/>
  <c r="G79" i="6"/>
  <c r="C81" i="6"/>
  <c r="I130" i="4"/>
  <c r="L122" i="4"/>
  <c r="F122" i="4"/>
  <c r="L114" i="4"/>
  <c r="H114" i="4"/>
  <c r="K106" i="4"/>
  <c r="G106" i="4"/>
  <c r="C106" i="4"/>
  <c r="I98" i="4"/>
  <c r="E98" i="4"/>
  <c r="J90" i="4"/>
  <c r="F90" i="4"/>
  <c r="L82" i="4"/>
  <c r="H82" i="4"/>
  <c r="K74" i="4"/>
  <c r="G74" i="4"/>
  <c r="C74" i="4"/>
  <c r="I66" i="4"/>
  <c r="E66" i="4"/>
  <c r="J59" i="4"/>
  <c r="F59" i="4"/>
  <c r="L51" i="4"/>
  <c r="H51" i="4"/>
  <c r="K43" i="4"/>
  <c r="G43" i="4"/>
  <c r="C43" i="4"/>
  <c r="I35" i="4"/>
  <c r="E35" i="4"/>
  <c r="J27" i="4"/>
  <c r="F27" i="4"/>
  <c r="L19" i="4"/>
  <c r="H19" i="4"/>
  <c r="K152" i="4"/>
  <c r="G152" i="4"/>
  <c r="C152" i="4"/>
  <c r="I128" i="4"/>
  <c r="E128" i="4"/>
  <c r="J100" i="4"/>
  <c r="F100" i="4"/>
  <c r="L92" i="4"/>
  <c r="H92" i="4"/>
  <c r="K64" i="4"/>
  <c r="G64" i="4"/>
  <c r="C64" i="4"/>
  <c r="I57" i="4"/>
  <c r="E57" i="4"/>
  <c r="J16" i="4"/>
  <c r="F16" i="4"/>
  <c r="L25" i="4"/>
  <c r="H25" i="4"/>
  <c r="K13" i="4"/>
  <c r="G13" i="4"/>
  <c r="C13" i="4"/>
  <c r="I41" i="4"/>
  <c r="E41" i="4"/>
  <c r="J37" i="4"/>
  <c r="F37" i="4"/>
  <c r="L29" i="4"/>
  <c r="H29" i="4"/>
  <c r="K5" i="4"/>
  <c r="G5" i="4"/>
  <c r="C5" i="4"/>
  <c r="G95" i="6"/>
  <c r="J134" i="6"/>
  <c r="J158" i="6"/>
  <c r="M97" i="6"/>
  <c r="G126" i="6"/>
  <c r="M93" i="6"/>
  <c r="J8" i="6"/>
  <c r="J40" i="6"/>
  <c r="G143" i="6"/>
  <c r="G30" i="6"/>
  <c r="G102" i="6"/>
  <c r="J133" i="6"/>
  <c r="G12" i="6"/>
  <c r="M138" i="6"/>
  <c r="C61" i="6"/>
  <c r="M68" i="6"/>
  <c r="J43" i="6"/>
  <c r="J180" i="6"/>
  <c r="G179" i="6"/>
  <c r="M34" i="6"/>
  <c r="M166" i="6"/>
  <c r="M119" i="6"/>
  <c r="J49" i="6"/>
  <c r="J127" i="6"/>
  <c r="G144" i="6"/>
  <c r="J144" i="6"/>
  <c r="J111" i="6"/>
  <c r="G88" i="6"/>
  <c r="J15" i="6"/>
  <c r="G109" i="6"/>
  <c r="J179" i="6"/>
  <c r="C45" i="6"/>
  <c r="M120" i="6"/>
  <c r="C111" i="6"/>
  <c r="J36" i="6"/>
  <c r="G6" i="6"/>
  <c r="J9" i="6"/>
  <c r="M12" i="6"/>
  <c r="J108" i="6"/>
  <c r="J51" i="6"/>
  <c r="J159" i="6"/>
  <c r="M182" i="6"/>
  <c r="J17" i="6"/>
  <c r="C122" i="6"/>
  <c r="J169" i="6"/>
  <c r="C150" i="6"/>
  <c r="C180" i="6"/>
  <c r="J93" i="6"/>
  <c r="G46" i="6"/>
  <c r="G137" i="6"/>
  <c r="G34" i="6"/>
  <c r="G161" i="6"/>
  <c r="G160" i="6"/>
  <c r="G62" i="6"/>
  <c r="C88" i="6"/>
  <c r="M63" i="6"/>
  <c r="G19" i="6"/>
  <c r="C49" i="6"/>
  <c r="G14" i="6"/>
  <c r="J170" i="6"/>
  <c r="M81" i="6"/>
  <c r="M116" i="6"/>
  <c r="J86" i="6"/>
  <c r="G83" i="6"/>
  <c r="H130" i="4"/>
  <c r="J122" i="4"/>
  <c r="E122" i="4"/>
  <c r="J114" i="4"/>
  <c r="F114" i="4"/>
  <c r="L106" i="4"/>
  <c r="H106" i="4"/>
  <c r="K98" i="4"/>
  <c r="G98" i="4"/>
  <c r="C98" i="4"/>
  <c r="I90" i="4"/>
  <c r="E90" i="4"/>
  <c r="J82" i="4"/>
  <c r="F82" i="4"/>
  <c r="L74" i="4"/>
  <c r="H74" i="4"/>
  <c r="K66" i="4"/>
  <c r="G66" i="4"/>
  <c r="C66" i="4"/>
  <c r="I59" i="4"/>
  <c r="E59" i="4"/>
  <c r="J51" i="4"/>
  <c r="F51" i="4"/>
  <c r="L43" i="4"/>
  <c r="H43" i="4"/>
  <c r="K35" i="4"/>
  <c r="G35" i="4"/>
  <c r="C35" i="4"/>
  <c r="I27" i="4"/>
  <c r="E27" i="4"/>
  <c r="J19" i="4"/>
  <c r="F19" i="4"/>
  <c r="L152" i="4"/>
  <c r="H152" i="4"/>
  <c r="K128" i="4"/>
  <c r="G128" i="4"/>
  <c r="C128" i="4"/>
  <c r="I100" i="4"/>
  <c r="E100" i="4"/>
  <c r="J92" i="4"/>
  <c r="F92" i="4"/>
  <c r="L64" i="4"/>
  <c r="H64" i="4"/>
  <c r="K57" i="4"/>
  <c r="G57" i="4"/>
  <c r="C57" i="4"/>
  <c r="I16" i="4"/>
  <c r="E16" i="4"/>
  <c r="J25" i="4"/>
  <c r="F25" i="4"/>
  <c r="L13" i="4"/>
  <c r="H13" i="4"/>
  <c r="K41" i="4"/>
  <c r="G41" i="4"/>
  <c r="C41" i="4"/>
  <c r="I37" i="4"/>
  <c r="E37" i="4"/>
  <c r="J29" i="4"/>
  <c r="F29" i="4"/>
  <c r="L5" i="4"/>
  <c r="H5" i="4"/>
  <c r="G23" i="6"/>
  <c r="J46" i="6"/>
  <c r="J24" i="6"/>
  <c r="C65" i="6"/>
  <c r="M144" i="6"/>
  <c r="C87" i="6"/>
  <c r="G182" i="6"/>
  <c r="J83" i="6"/>
  <c r="G86" i="6"/>
  <c r="J156" i="6"/>
  <c r="J116" i="6"/>
  <c r="J61" i="6"/>
  <c r="M94" i="6"/>
  <c r="C29" i="6"/>
  <c r="M126" i="6"/>
  <c r="M179" i="6"/>
  <c r="G87" i="6"/>
  <c r="M167" i="6"/>
  <c r="J37" i="6"/>
  <c r="G61" i="6"/>
  <c r="C55" i="6"/>
  <c r="C38" i="6"/>
  <c r="G150" i="6"/>
  <c r="G181" i="6"/>
  <c r="G50" i="6"/>
  <c r="J65" i="6"/>
  <c r="C53" i="6"/>
  <c r="J125" i="6"/>
  <c r="G21" i="6"/>
  <c r="C39" i="6"/>
  <c r="G142" i="6"/>
  <c r="J163" i="6"/>
  <c r="M131" i="6"/>
  <c r="J182" i="6"/>
  <c r="M9" i="6"/>
  <c r="J99" i="6"/>
  <c r="M163" i="6"/>
  <c r="M96" i="6"/>
  <c r="C70" i="6"/>
  <c r="C153" i="6"/>
  <c r="G146" i="6"/>
  <c r="G65" i="6"/>
  <c r="J53" i="6"/>
  <c r="M5" i="6"/>
  <c r="J62" i="6"/>
  <c r="M40" i="6"/>
  <c r="J23" i="6"/>
  <c r="J34" i="6"/>
  <c r="C77" i="6"/>
  <c r="C179" i="6"/>
  <c r="C94" i="6"/>
  <c r="G80" i="6"/>
  <c r="C36" i="6"/>
  <c r="G24" i="6"/>
  <c r="C118" i="6"/>
  <c r="M77" i="6"/>
  <c r="G36" i="6"/>
  <c r="J57" i="6"/>
  <c r="G9" i="6"/>
  <c r="M102" i="6"/>
  <c r="C25" i="6"/>
  <c r="M90" i="6"/>
  <c r="C120" i="6"/>
  <c r="M53" i="6"/>
  <c r="C132" i="6"/>
  <c r="M39" i="6"/>
  <c r="C144" i="6"/>
  <c r="G7" i="6"/>
  <c r="C104" i="6"/>
  <c r="G147" i="6"/>
  <c r="C7" i="6"/>
  <c r="G167" i="6"/>
  <c r="M38" i="6"/>
  <c r="G127" i="6"/>
  <c r="J77" i="6"/>
  <c r="G177" i="6"/>
  <c r="G39" i="6"/>
  <c r="G45" i="6"/>
  <c r="M67" i="6"/>
  <c r="M88" i="6"/>
  <c r="C136" i="6"/>
  <c r="G81" i="6"/>
  <c r="G134" i="6"/>
  <c r="M169" i="6"/>
  <c r="M70" i="6"/>
  <c r="J45" i="6"/>
  <c r="M161" i="6"/>
  <c r="J47" i="6"/>
  <c r="M64" i="6"/>
  <c r="C121" i="6"/>
  <c r="G52" i="6"/>
  <c r="J143" i="6"/>
  <c r="M180" i="6"/>
  <c r="J184" i="6"/>
  <c r="G97" i="6"/>
  <c r="M14" i="6"/>
  <c r="G145" i="6"/>
  <c r="G130" i="6"/>
  <c r="J75" i="6"/>
  <c r="C66" i="6"/>
  <c r="M106" i="6"/>
  <c r="J28" i="6"/>
  <c r="G170" i="6"/>
  <c r="C105" i="6"/>
  <c r="C157" i="6"/>
  <c r="C71" i="6"/>
  <c r="M44" i="6"/>
  <c r="M134" i="6"/>
  <c r="G118" i="6"/>
  <c r="J33" i="6"/>
  <c r="M159" i="6"/>
  <c r="C116" i="6"/>
  <c r="C16" i="6"/>
  <c r="C152" i="6"/>
  <c r="J67" i="6"/>
  <c r="G43" i="6"/>
  <c r="M121" i="6"/>
  <c r="G106" i="6"/>
  <c r="M26" i="6"/>
  <c r="J151" i="6"/>
  <c r="J82" i="6"/>
  <c r="M105" i="6"/>
  <c r="G168" i="6"/>
  <c r="C52" i="6"/>
  <c r="J76" i="6"/>
  <c r="M51" i="6"/>
  <c r="J136" i="6"/>
  <c r="C79" i="6"/>
  <c r="J104" i="6"/>
  <c r="M142" i="6"/>
  <c r="M109" i="6"/>
  <c r="J10" i="6"/>
  <c r="C148" i="6"/>
  <c r="G89" i="6"/>
  <c r="M73" i="6"/>
  <c r="J27" i="6"/>
  <c r="G153" i="6"/>
  <c r="J157" i="6"/>
  <c r="G57" i="6"/>
  <c r="M85" i="6"/>
  <c r="C171" i="6"/>
  <c r="M108" i="6"/>
  <c r="G49" i="6"/>
  <c r="G131" i="6"/>
  <c r="C67" i="6"/>
  <c r="C149" i="6"/>
  <c r="M47" i="6"/>
  <c r="J176" i="6"/>
  <c r="J98" i="6"/>
  <c r="M100" i="6"/>
  <c r="G173" i="6"/>
  <c r="C151" i="6"/>
  <c r="G76" i="6"/>
  <c r="C42" i="6"/>
  <c r="M27" i="6"/>
  <c r="M157" i="6"/>
  <c r="M60" i="6"/>
  <c r="J135" i="6"/>
  <c r="C56" i="6"/>
  <c r="J138" i="6"/>
  <c r="M16" i="6"/>
  <c r="M117" i="6"/>
  <c r="J84" i="6"/>
  <c r="C92" i="6"/>
  <c r="J173" i="6"/>
  <c r="J121" i="6"/>
  <c r="C22" i="6"/>
  <c r="J154" i="6"/>
  <c r="C28" i="6"/>
  <c r="M130" i="6"/>
  <c r="C85" i="6"/>
  <c r="M72" i="6"/>
  <c r="G25" i="6"/>
  <c r="C169" i="6"/>
  <c r="G26" i="6"/>
  <c r="J11" i="6"/>
  <c r="C106" i="6"/>
  <c r="J89" i="6"/>
  <c r="G54" i="6"/>
  <c r="G82" i="6"/>
  <c r="M139" i="6"/>
  <c r="G178" i="6"/>
  <c r="J71" i="6"/>
  <c r="D16" i="4"/>
  <c r="D157" i="4"/>
  <c r="D97" i="4"/>
  <c r="D107" i="4"/>
  <c r="D88" i="4"/>
  <c r="D158" i="4"/>
  <c r="D84" i="4"/>
  <c r="D113" i="4"/>
  <c r="D40" i="4"/>
  <c r="D74" i="4"/>
  <c r="D42" i="4"/>
  <c r="D17" i="4"/>
  <c r="D21" i="4"/>
  <c r="D127" i="4"/>
  <c r="D135" i="4"/>
  <c r="D136" i="4"/>
  <c r="D8" i="4"/>
  <c r="D91" i="4"/>
  <c r="M103" i="6"/>
  <c r="C113" i="6"/>
  <c r="J20" i="6"/>
  <c r="C12" i="6"/>
  <c r="M95" i="6"/>
  <c r="C101" i="6"/>
  <c r="G55" i="6"/>
  <c r="G108" i="6"/>
  <c r="G124" i="6"/>
  <c r="J79" i="6"/>
  <c r="J161" i="6"/>
  <c r="J6" i="6"/>
  <c r="M24" i="6"/>
  <c r="G29" i="6"/>
  <c r="C44" i="6"/>
  <c r="J94" i="6"/>
  <c r="M99" i="6"/>
  <c r="M52" i="6"/>
  <c r="J113" i="6"/>
  <c r="G140" i="6"/>
  <c r="G94" i="6"/>
  <c r="C82" i="6"/>
  <c r="C178" i="6"/>
  <c r="M82" i="6"/>
  <c r="G113" i="6"/>
  <c r="G40" i="6"/>
  <c r="G172" i="6"/>
  <c r="M127" i="6"/>
  <c r="C174" i="6"/>
  <c r="G20" i="6"/>
  <c r="M65" i="6"/>
  <c r="M128" i="6"/>
  <c r="C185" i="6"/>
  <c r="G107" i="6"/>
  <c r="C76" i="6"/>
  <c r="G74" i="6"/>
  <c r="M29" i="6"/>
  <c r="M153" i="6"/>
  <c r="C170" i="6"/>
  <c r="M172" i="6"/>
  <c r="J73" i="6"/>
  <c r="J101" i="6"/>
  <c r="J81" i="6"/>
  <c r="M30" i="6"/>
  <c r="C182" i="6"/>
  <c r="J149" i="6"/>
  <c r="M50" i="6"/>
  <c r="C166" i="6"/>
  <c r="C91" i="6"/>
  <c r="J32" i="6"/>
  <c r="J178" i="6"/>
  <c r="M25" i="6"/>
  <c r="G103" i="6"/>
  <c r="J172" i="6"/>
  <c r="C100" i="6"/>
  <c r="J183" i="6"/>
  <c r="C176" i="6"/>
  <c r="J148" i="6"/>
  <c r="C130" i="6"/>
  <c r="J63" i="6"/>
  <c r="J120" i="6"/>
  <c r="M23" i="6"/>
  <c r="G184" i="6"/>
  <c r="M111" i="6"/>
  <c r="M125" i="6"/>
  <c r="M15" i="6"/>
  <c r="J123" i="6"/>
  <c r="C84" i="6"/>
  <c r="J42" i="6"/>
  <c r="J38" i="6"/>
  <c r="J13" i="6"/>
  <c r="J168" i="6"/>
  <c r="G73" i="6"/>
  <c r="C137" i="6"/>
  <c r="J155" i="6"/>
  <c r="C108" i="6"/>
  <c r="M41" i="6"/>
  <c r="C62" i="6"/>
  <c r="G116" i="6"/>
  <c r="J124" i="6"/>
  <c r="C21" i="6"/>
  <c r="C19" i="6"/>
  <c r="J181" i="6"/>
  <c r="G105" i="6"/>
  <c r="M101" i="6"/>
  <c r="G27" i="6"/>
  <c r="G75" i="6"/>
  <c r="G58" i="6"/>
  <c r="G11" i="6"/>
  <c r="M168" i="6"/>
  <c r="J35" i="6"/>
  <c r="G183" i="6"/>
  <c r="M22" i="6"/>
  <c r="C72" i="6"/>
  <c r="C75" i="6"/>
  <c r="C168" i="6"/>
  <c r="J114" i="6"/>
  <c r="M74" i="6"/>
  <c r="C35" i="6"/>
  <c r="G92" i="6"/>
  <c r="G91" i="6"/>
  <c r="G123" i="6"/>
  <c r="C41" i="6"/>
  <c r="C117" i="6"/>
  <c r="G154" i="6"/>
  <c r="G69" i="6"/>
  <c r="M184" i="6"/>
  <c r="M148" i="6"/>
  <c r="G66" i="6"/>
  <c r="J91" i="6"/>
  <c r="C64" i="6"/>
  <c r="G100" i="6"/>
  <c r="C155" i="6"/>
  <c r="C43" i="6"/>
  <c r="J54" i="6"/>
  <c r="M54" i="6"/>
  <c r="D172" i="4"/>
  <c r="D156" i="4"/>
  <c r="D6" i="4"/>
  <c r="D124" i="4"/>
  <c r="D20" i="4"/>
  <c r="D173" i="4"/>
  <c r="D19" i="4"/>
  <c r="D170" i="4"/>
  <c r="D171" i="4"/>
  <c r="D154" i="4"/>
  <c r="D94" i="4"/>
  <c r="G8" i="6"/>
  <c r="G77" i="6"/>
  <c r="J78" i="6"/>
  <c r="M79" i="6"/>
  <c r="G114" i="6"/>
  <c r="M80" i="6"/>
  <c r="G164" i="6"/>
  <c r="J80" i="6"/>
  <c r="G115" i="6"/>
  <c r="J21" i="6"/>
  <c r="C31" i="6"/>
  <c r="C158" i="6"/>
  <c r="J174" i="6"/>
  <c r="G119" i="6"/>
  <c r="M176" i="6"/>
  <c r="J131" i="6"/>
  <c r="J137" i="6"/>
  <c r="M89" i="6"/>
  <c r="G93" i="6"/>
  <c r="G175" i="6"/>
  <c r="C177" i="6"/>
  <c r="M66" i="6"/>
  <c r="M7" i="6"/>
  <c r="M147" i="6"/>
  <c r="M124" i="6"/>
  <c r="M20" i="6"/>
  <c r="J129" i="6"/>
  <c r="C5" i="6"/>
  <c r="C133" i="6"/>
  <c r="G132" i="6"/>
  <c r="G158" i="6"/>
  <c r="G155" i="6"/>
  <c r="G16" i="6"/>
  <c r="G121" i="6"/>
  <c r="G139" i="6"/>
  <c r="C135" i="6"/>
  <c r="M11" i="6"/>
  <c r="M173" i="6"/>
  <c r="M56" i="6"/>
  <c r="M13" i="6"/>
  <c r="M35" i="6"/>
  <c r="G174" i="6"/>
  <c r="J7" i="6"/>
  <c r="J95" i="6"/>
  <c r="M49" i="6"/>
  <c r="M62" i="6"/>
  <c r="J166" i="6"/>
  <c r="M136" i="6"/>
  <c r="G48" i="6"/>
  <c r="C10" i="6"/>
  <c r="C141" i="6"/>
  <c r="J107" i="6"/>
  <c r="G32" i="6"/>
  <c r="C89" i="6"/>
  <c r="G148" i="6"/>
  <c r="J69" i="6"/>
  <c r="J44" i="6"/>
  <c r="C154" i="6"/>
  <c r="C114" i="6"/>
  <c r="J29" i="6"/>
  <c r="G47" i="6"/>
  <c r="C160" i="6"/>
  <c r="J70" i="6"/>
  <c r="G51" i="6"/>
  <c r="G171" i="6"/>
  <c r="C57" i="6"/>
  <c r="J128" i="6"/>
  <c r="C90" i="6"/>
  <c r="C60" i="6"/>
  <c r="M141" i="6"/>
  <c r="G42" i="6"/>
  <c r="G135" i="6"/>
  <c r="G71" i="6"/>
  <c r="J153" i="6"/>
  <c r="G138" i="6"/>
  <c r="M10" i="6"/>
  <c r="C9" i="6"/>
  <c r="C125" i="6"/>
  <c r="J25" i="6"/>
  <c r="M57" i="6"/>
  <c r="G59" i="6"/>
  <c r="M37" i="6"/>
  <c r="J146" i="6"/>
  <c r="J115" i="6"/>
  <c r="J112" i="6"/>
  <c r="J59" i="6"/>
  <c r="G185" i="6"/>
  <c r="G162" i="6"/>
  <c r="G169" i="6"/>
  <c r="J26" i="6"/>
  <c r="M185" i="6"/>
  <c r="J58" i="6"/>
  <c r="G117" i="6"/>
  <c r="C123" i="6"/>
  <c r="J64" i="6"/>
  <c r="G141" i="6"/>
  <c r="J56" i="6"/>
  <c r="J66" i="6"/>
  <c r="M92" i="6"/>
  <c r="C183" i="6"/>
  <c r="C37" i="6"/>
  <c r="J92" i="6"/>
  <c r="J105" i="6"/>
  <c r="M154" i="6"/>
  <c r="J119" i="6"/>
  <c r="J185" i="6"/>
  <c r="G72" i="6"/>
  <c r="C32" i="6"/>
  <c r="J22" i="6"/>
  <c r="G13" i="6"/>
  <c r="M155" i="6"/>
  <c r="C58" i="6"/>
  <c r="M135" i="6"/>
  <c r="G37" i="6"/>
  <c r="M69" i="6"/>
  <c r="M123" i="6"/>
  <c r="D121" i="4"/>
  <c r="D86" i="4"/>
  <c r="D122" i="4"/>
  <c r="D150" i="4"/>
  <c r="D66" i="4"/>
  <c r="D155" i="4"/>
  <c r="D166" i="4"/>
  <c r="D70" i="4"/>
  <c r="D55" i="4"/>
  <c r="O56" i="6"/>
  <c r="D34" i="4"/>
  <c r="D64" i="4"/>
  <c r="D10" i="4"/>
  <c r="D145" i="4"/>
  <c r="D141" i="4"/>
  <c r="D11" i="4"/>
  <c r="D174" i="4"/>
  <c r="D100" i="4"/>
  <c r="O53" i="6"/>
  <c r="G149" i="6"/>
  <c r="J142" i="6"/>
  <c r="C93" i="6"/>
  <c r="J31" i="6"/>
  <c r="J90" i="6"/>
  <c r="C15" i="6"/>
  <c r="G18" i="6"/>
  <c r="C24" i="6"/>
  <c r="G125" i="6"/>
  <c r="C34" i="6"/>
  <c r="M113" i="6"/>
  <c r="E23" i="9"/>
  <c r="C131" i="6"/>
  <c r="J87" i="6"/>
  <c r="C98" i="6"/>
  <c r="J50" i="6"/>
  <c r="G165" i="6"/>
  <c r="J88" i="6"/>
  <c r="C181" i="6"/>
  <c r="G17" i="6"/>
  <c r="M83" i="6"/>
  <c r="M114" i="6"/>
  <c r="M145" i="6"/>
  <c r="M165" i="6"/>
  <c r="G159" i="6"/>
  <c r="C96" i="6"/>
  <c r="C14" i="6"/>
  <c r="M140" i="6"/>
  <c r="C142" i="6"/>
  <c r="J177" i="6"/>
  <c r="G10" i="6"/>
  <c r="M76" i="6"/>
  <c r="J141" i="6"/>
  <c r="C69" i="6"/>
  <c r="C73" i="6"/>
  <c r="M162" i="6"/>
  <c r="M91" i="6"/>
  <c r="J16" i="6"/>
  <c r="C13" i="6"/>
  <c r="M19" i="6"/>
  <c r="J41" i="6"/>
  <c r="C163" i="6"/>
  <c r="M33" i="6"/>
  <c r="C54" i="6"/>
  <c r="J106" i="6"/>
  <c r="C115" i="6"/>
  <c r="M8" i="6"/>
  <c r="M129" i="6"/>
  <c r="C26" i="6"/>
  <c r="M107" i="6"/>
  <c r="J72" i="6"/>
  <c r="G157" i="6"/>
  <c r="G85" i="6"/>
  <c r="G28" i="6"/>
  <c r="J60" i="6"/>
  <c r="M137" i="6"/>
  <c r="M28" i="6"/>
  <c r="M112" i="6"/>
  <c r="C173" i="6"/>
  <c r="C46" i="6"/>
  <c r="J97" i="6"/>
  <c r="M55" i="6"/>
  <c r="M181" i="6"/>
  <c r="M98" i="6"/>
  <c r="M86" i="6"/>
  <c r="C48" i="6"/>
  <c r="M48" i="6"/>
  <c r="C146" i="6"/>
  <c r="M183" i="6"/>
  <c r="C11" i="6"/>
  <c r="M178" i="6"/>
  <c r="G176" i="6"/>
  <c r="C112" i="6"/>
  <c r="M151" i="6"/>
  <c r="C138" i="6"/>
  <c r="M152" i="6"/>
  <c r="C109" i="6"/>
  <c r="J39" i="6"/>
  <c r="J55" i="6"/>
  <c r="G120" i="6"/>
  <c r="M75" i="6"/>
  <c r="M149" i="6"/>
  <c r="J117" i="6"/>
  <c r="G112" i="6"/>
  <c r="M42" i="6"/>
  <c r="G101" i="6"/>
  <c r="G64" i="6"/>
  <c r="G60" i="6"/>
  <c r="G56" i="6"/>
  <c r="M32" i="6"/>
  <c r="J152" i="6"/>
  <c r="J74" i="6"/>
  <c r="J171" i="6"/>
  <c r="J139" i="6"/>
  <c r="C59" i="6"/>
  <c r="G122" i="6"/>
  <c r="J103" i="6"/>
  <c r="J130" i="6"/>
  <c r="C27" i="6"/>
  <c r="G84" i="6"/>
  <c r="M43" i="6"/>
  <c r="G90" i="6"/>
  <c r="J162" i="6"/>
  <c r="G5" i="6"/>
  <c r="G151" i="6"/>
  <c r="M171" i="6"/>
  <c r="C51" i="6"/>
  <c r="G38" i="6"/>
  <c r="M59" i="6"/>
  <c r="G35" i="6"/>
  <c r="C128" i="6"/>
  <c r="M58" i="6"/>
  <c r="C107" i="6"/>
  <c r="C139" i="6"/>
  <c r="M122" i="6"/>
  <c r="J122" i="6"/>
  <c r="D14" i="4"/>
  <c r="D140" i="4"/>
  <c r="D41" i="4"/>
  <c r="D80" i="4"/>
  <c r="D183" i="4"/>
  <c r="D83" i="4"/>
  <c r="D39" i="4"/>
  <c r="D49" i="4"/>
  <c r="D159" i="4"/>
  <c r="D104" i="4"/>
  <c r="D134" i="4"/>
  <c r="D106" i="4"/>
  <c r="D62" i="4"/>
  <c r="D65" i="4"/>
  <c r="D12" i="4"/>
  <c r="L74" i="6"/>
  <c r="D128" i="4"/>
  <c r="D32" i="4"/>
  <c r="D29" i="4"/>
  <c r="D151" i="4"/>
  <c r="D36" i="4"/>
  <c r="L119" i="6"/>
  <c r="D177" i="4"/>
  <c r="D165" i="4"/>
  <c r="L47" i="6"/>
  <c r="D52" i="4"/>
  <c r="D115" i="4"/>
  <c r="D143" i="4"/>
  <c r="D123" i="4"/>
  <c r="D59" i="4"/>
  <c r="D129" i="4"/>
  <c r="D167" i="4"/>
  <c r="D15" i="4"/>
  <c r="D38" i="4"/>
  <c r="I74" i="6"/>
  <c r="I63" i="6"/>
  <c r="O49" i="6"/>
  <c r="I178" i="6"/>
  <c r="D139" i="4"/>
  <c r="D180" i="4"/>
  <c r="D96" i="4"/>
  <c r="D81" i="4"/>
  <c r="O46" i="6"/>
  <c r="D90" i="4"/>
  <c r="D101" i="4"/>
  <c r="O160" i="6"/>
  <c r="O165" i="6"/>
  <c r="D168" i="4"/>
  <c r="D69" i="4"/>
  <c r="D73" i="4"/>
  <c r="D117" i="4"/>
  <c r="O89" i="6"/>
  <c r="L5" i="6"/>
  <c r="O176" i="6"/>
  <c r="D63" i="4"/>
  <c r="D28" i="4"/>
  <c r="D72" i="4"/>
  <c r="D27" i="4"/>
  <c r="D103" i="4"/>
  <c r="D93" i="4"/>
  <c r="O28" i="6"/>
  <c r="O14" i="6"/>
  <c r="D46" i="4"/>
  <c r="D119" i="4"/>
  <c r="O105" i="6"/>
  <c r="L68" i="6"/>
  <c r="L7" i="6"/>
  <c r="L182" i="6"/>
  <c r="D178" i="4"/>
  <c r="I126" i="6"/>
  <c r="L176" i="6"/>
  <c r="D76" i="4"/>
  <c r="O151" i="6"/>
  <c r="I102" i="6"/>
  <c r="I157" i="6"/>
  <c r="I147" i="6"/>
  <c r="L151" i="6"/>
  <c r="L134" i="6"/>
  <c r="O114" i="6"/>
  <c r="I115" i="6"/>
  <c r="L40" i="6"/>
  <c r="L44" i="6"/>
  <c r="O102" i="6"/>
  <c r="D118" i="4"/>
  <c r="O22" i="6"/>
  <c r="O55" i="6"/>
  <c r="L12" i="6"/>
  <c r="I41" i="6"/>
  <c r="L170" i="6"/>
  <c r="O96" i="6"/>
  <c r="L104" i="6"/>
  <c r="L121" i="6"/>
  <c r="I49" i="6"/>
  <c r="I36" i="6"/>
  <c r="L94" i="6"/>
  <c r="O155" i="6"/>
  <c r="D33" i="4"/>
  <c r="L27" i="6"/>
  <c r="O174" i="6"/>
  <c r="I92" i="6"/>
  <c r="O118" i="6"/>
  <c r="L122" i="6"/>
  <c r="L70" i="6"/>
  <c r="O67" i="6"/>
  <c r="I52" i="6"/>
  <c r="I9" i="6"/>
  <c r="L148" i="6"/>
  <c r="O64" i="6"/>
  <c r="D56" i="4"/>
  <c r="O138" i="6"/>
  <c r="I111" i="6"/>
  <c r="L166" i="6"/>
  <c r="L17" i="6"/>
  <c r="L26" i="6"/>
  <c r="O75" i="6"/>
  <c r="O61" i="6"/>
  <c r="D181" i="4"/>
  <c r="I37" i="6"/>
  <c r="O31" i="6"/>
  <c r="L171" i="6"/>
  <c r="O136" i="6"/>
  <c r="L31" i="6"/>
  <c r="O39" i="6"/>
  <c r="L19" i="6"/>
  <c r="D85" i="4"/>
  <c r="I101" i="6"/>
  <c r="I137" i="6"/>
  <c r="L69" i="6"/>
  <c r="L179" i="6"/>
  <c r="I166" i="6"/>
  <c r="D126" i="4"/>
  <c r="L30" i="6"/>
  <c r="I99" i="6"/>
  <c r="O51" i="6"/>
  <c r="L149" i="6"/>
  <c r="L83" i="6"/>
  <c r="L9" i="6"/>
  <c r="L147" i="6"/>
  <c r="I159" i="6"/>
  <c r="I45" i="6"/>
  <c r="I130" i="6"/>
  <c r="I136" i="6"/>
  <c r="O62" i="6"/>
  <c r="O79" i="6"/>
  <c r="B7" i="9"/>
  <c r="I164" i="6"/>
  <c r="L123" i="6"/>
  <c r="D45" i="4"/>
  <c r="O7" i="6"/>
  <c r="I171" i="6"/>
  <c r="O173" i="6"/>
  <c r="I124" i="6"/>
  <c r="I113" i="6"/>
  <c r="O19" i="6"/>
  <c r="I135" i="6"/>
  <c r="O6" i="6"/>
  <c r="I97" i="6"/>
  <c r="O63" i="6"/>
  <c r="I177" i="6"/>
  <c r="I131" i="6"/>
  <c r="L46" i="6"/>
  <c r="L103" i="6"/>
  <c r="I6" i="6"/>
  <c r="I118" i="6"/>
  <c r="O145" i="6"/>
  <c r="I75" i="6"/>
  <c r="O77" i="6"/>
  <c r="O184" i="6"/>
  <c r="L146" i="6"/>
  <c r="I91" i="6"/>
  <c r="L78" i="6"/>
  <c r="L18" i="6"/>
  <c r="L23" i="6"/>
  <c r="O29" i="6"/>
  <c r="C6" i="16"/>
  <c r="B38" i="16"/>
  <c r="B6" i="17"/>
  <c r="B39" i="17"/>
  <c r="C7" i="18"/>
  <c r="D6" i="18"/>
  <c r="C7" i="17"/>
  <c r="B7" i="18"/>
  <c r="C6" i="18"/>
  <c r="B38" i="18"/>
  <c r="D163" i="4"/>
  <c r="D58" i="4"/>
  <c r="D176" i="4"/>
  <c r="D108" i="4"/>
  <c r="D184" i="4"/>
  <c r="O127" i="6"/>
  <c r="E26" i="9"/>
  <c r="D175" i="4"/>
  <c r="O68" i="6"/>
  <c r="D137" i="4"/>
  <c r="D153" i="4"/>
  <c r="D5" i="4"/>
  <c r="O90" i="6"/>
  <c r="D152" i="4"/>
  <c r="I35" i="6"/>
  <c r="D22" i="4"/>
  <c r="D131" i="4"/>
  <c r="L141" i="6"/>
  <c r="D87" i="4"/>
  <c r="O169" i="6"/>
  <c r="D13" i="4"/>
  <c r="L15" i="6"/>
  <c r="D120" i="4"/>
  <c r="D112" i="4"/>
  <c r="L66" i="6"/>
  <c r="I62" i="6"/>
  <c r="O153" i="6"/>
  <c r="L113" i="6"/>
  <c r="O13" i="6"/>
  <c r="I142" i="6"/>
  <c r="D110" i="4"/>
  <c r="D130" i="4"/>
  <c r="O142" i="6"/>
  <c r="O38" i="6"/>
  <c r="L63" i="6"/>
  <c r="D144" i="4"/>
  <c r="D35" i="4"/>
  <c r="D95" i="4"/>
  <c r="D53" i="4"/>
  <c r="O116" i="6"/>
  <c r="O26" i="6"/>
  <c r="D23" i="4"/>
  <c r="L143" i="6"/>
  <c r="L177" i="6"/>
  <c r="O78" i="6"/>
  <c r="L127" i="6"/>
  <c r="I134" i="6"/>
  <c r="L102" i="6"/>
  <c r="O120" i="6"/>
  <c r="L73" i="6"/>
  <c r="I51" i="6"/>
  <c r="L43" i="6"/>
  <c r="O159" i="6"/>
  <c r="I38" i="6"/>
  <c r="O84" i="6"/>
  <c r="O66" i="6"/>
  <c r="O181" i="6"/>
  <c r="L25" i="6"/>
  <c r="I107" i="6"/>
  <c r="O178" i="6"/>
  <c r="I106" i="6"/>
  <c r="I22" i="6"/>
  <c r="D133" i="4"/>
  <c r="L178" i="6"/>
  <c r="L55" i="6"/>
  <c r="I183" i="6"/>
  <c r="L175" i="6"/>
  <c r="O72" i="6"/>
  <c r="L85" i="6"/>
  <c r="I25" i="6"/>
  <c r="L153" i="6"/>
  <c r="O30" i="6"/>
  <c r="O171" i="6"/>
  <c r="L39" i="6"/>
  <c r="I156" i="6"/>
  <c r="L34" i="6"/>
  <c r="I65" i="6"/>
  <c r="L8" i="6"/>
  <c r="O33" i="6"/>
  <c r="O117" i="6"/>
  <c r="D149" i="4"/>
  <c r="I28" i="6"/>
  <c r="I66" i="6"/>
  <c r="I153" i="6"/>
  <c r="O92" i="6"/>
  <c r="L21" i="6"/>
  <c r="I96" i="6"/>
  <c r="L48" i="6"/>
  <c r="I17" i="6"/>
  <c r="L54" i="6"/>
  <c r="L87" i="6"/>
  <c r="I73" i="6"/>
  <c r="I165" i="6"/>
  <c r="L90" i="6"/>
  <c r="O18" i="6"/>
  <c r="I152" i="6"/>
  <c r="L53" i="6"/>
  <c r="I7" i="6"/>
  <c r="L158" i="6"/>
  <c r="O85" i="6"/>
  <c r="L20" i="6"/>
  <c r="L135" i="6"/>
  <c r="D162" i="4"/>
  <c r="L109" i="6"/>
  <c r="O97" i="6"/>
  <c r="I89" i="6"/>
  <c r="O168" i="6"/>
  <c r="L139" i="6"/>
  <c r="O35" i="6"/>
  <c r="O132" i="6"/>
  <c r="O161" i="6"/>
  <c r="L131" i="6"/>
  <c r="O158" i="6"/>
  <c r="I39" i="6"/>
  <c r="O25" i="6"/>
  <c r="I119" i="6"/>
  <c r="I19" i="6"/>
  <c r="L117" i="6"/>
  <c r="I95" i="6"/>
  <c r="L130" i="6"/>
  <c r="O112" i="6"/>
  <c r="L58" i="6"/>
  <c r="L76" i="6"/>
  <c r="L72" i="6"/>
  <c r="L64" i="6"/>
  <c r="I123" i="6"/>
  <c r="I163" i="6"/>
  <c r="I70" i="6"/>
  <c r="O124" i="6"/>
  <c r="I71" i="6"/>
  <c r="O172" i="6"/>
  <c r="I125" i="6"/>
  <c r="O180" i="6"/>
  <c r="I29" i="6"/>
  <c r="L120" i="6"/>
  <c r="I132" i="6"/>
  <c r="O88" i="6"/>
  <c r="I169" i="6"/>
  <c r="I105" i="6"/>
  <c r="I155" i="6"/>
  <c r="L125" i="6"/>
  <c r="L136" i="6"/>
  <c r="O16" i="6"/>
  <c r="L163" i="6"/>
  <c r="I23" i="6"/>
  <c r="D6" i="9"/>
  <c r="B6" i="9"/>
  <c r="B6" i="16"/>
  <c r="B39" i="18"/>
  <c r="D48" i="4"/>
  <c r="O162" i="6"/>
  <c r="D169" i="4"/>
  <c r="D67" i="4"/>
  <c r="D51" i="4"/>
  <c r="D146" i="4"/>
  <c r="L67" i="6"/>
  <c r="O36" i="6"/>
  <c r="O47" i="6"/>
  <c r="O175" i="6"/>
  <c r="D92" i="4"/>
  <c r="D25" i="4"/>
  <c r="D26" i="4"/>
  <c r="D31" i="4"/>
  <c r="D98" i="4"/>
  <c r="O106" i="6"/>
  <c r="D18" i="4"/>
  <c r="L160" i="6"/>
  <c r="I182" i="6"/>
  <c r="D185" i="4"/>
  <c r="O163" i="6"/>
  <c r="I120" i="6"/>
  <c r="D82" i="4"/>
  <c r="D116" i="4"/>
  <c r="D9" i="4"/>
  <c r="O143" i="6"/>
  <c r="I90" i="6"/>
  <c r="I100" i="6"/>
  <c r="D37" i="4"/>
  <c r="L42" i="6"/>
  <c r="D60" i="4"/>
  <c r="I64" i="6"/>
  <c r="D132" i="4"/>
  <c r="D148" i="4"/>
  <c r="D44" i="4"/>
  <c r="D142" i="4"/>
  <c r="I139" i="6"/>
  <c r="O166" i="6"/>
  <c r="D7" i="4"/>
  <c r="O111" i="6"/>
  <c r="D179" i="4"/>
  <c r="L157" i="6"/>
  <c r="I162" i="6"/>
  <c r="I21" i="6"/>
  <c r="L11" i="6"/>
  <c r="O43" i="6"/>
  <c r="L49" i="6"/>
  <c r="O104" i="6"/>
  <c r="I12" i="6"/>
  <c r="L114" i="6"/>
  <c r="I87" i="6"/>
  <c r="L144" i="6"/>
  <c r="L99" i="6"/>
  <c r="I129" i="6"/>
  <c r="L110" i="6"/>
  <c r="L60" i="6"/>
  <c r="O103" i="6"/>
  <c r="D105" i="4"/>
  <c r="I176" i="6"/>
  <c r="I8" i="6"/>
  <c r="I81" i="6"/>
  <c r="L150" i="6"/>
  <c r="I128" i="6"/>
  <c r="L167" i="6"/>
  <c r="L82" i="6"/>
  <c r="L172" i="6"/>
  <c r="L159" i="6"/>
  <c r="I76" i="6"/>
  <c r="L51" i="6"/>
  <c r="O107" i="6"/>
  <c r="O139" i="6"/>
  <c r="L106" i="6"/>
  <c r="I122" i="6"/>
  <c r="L71" i="6"/>
  <c r="I181" i="6"/>
  <c r="I110" i="6"/>
  <c r="O11" i="6"/>
  <c r="O82" i="6"/>
  <c r="L79" i="6"/>
  <c r="L59" i="6"/>
  <c r="I143" i="6"/>
  <c r="O157" i="6"/>
  <c r="L185" i="6"/>
  <c r="L108" i="6"/>
  <c r="I31" i="6"/>
  <c r="L33" i="6"/>
  <c r="L28" i="6"/>
  <c r="L93" i="6"/>
  <c r="L112" i="6"/>
  <c r="I173" i="6"/>
  <c r="I48" i="6"/>
  <c r="O81" i="6"/>
  <c r="O147" i="6"/>
  <c r="L98" i="6"/>
  <c r="I121" i="6"/>
  <c r="O122" i="6"/>
  <c r="O58" i="6"/>
  <c r="I60" i="6"/>
  <c r="O65" i="6"/>
  <c r="O20" i="6"/>
  <c r="I61" i="6"/>
  <c r="L129" i="6"/>
  <c r="I50" i="6"/>
  <c r="L37" i="6"/>
  <c r="I116" i="6"/>
  <c r="L168" i="6"/>
  <c r="I83" i="6"/>
  <c r="I30" i="6"/>
  <c r="O60" i="6"/>
  <c r="I57" i="6"/>
  <c r="O140" i="6"/>
  <c r="O94" i="6"/>
  <c r="O179" i="6"/>
  <c r="O21" i="6"/>
  <c r="L115" i="6"/>
  <c r="C6" i="9"/>
  <c r="I54" i="6"/>
  <c r="I112" i="6"/>
  <c r="O100" i="6"/>
  <c r="L183" i="6"/>
  <c r="I103" i="6"/>
  <c r="O115" i="6"/>
  <c r="O126" i="6"/>
  <c r="L10" i="6"/>
  <c r="I68" i="6"/>
  <c r="O71" i="6"/>
  <c r="I24" i="6"/>
  <c r="O9" i="6"/>
  <c r="L65" i="6"/>
  <c r="I27" i="6"/>
  <c r="L107" i="6"/>
  <c r="I154" i="6"/>
  <c r="O86" i="6"/>
  <c r="I150" i="6"/>
  <c r="O37" i="6"/>
  <c r="O24" i="6"/>
  <c r="I174" i="6"/>
  <c r="I158" i="6"/>
  <c r="I161" i="6"/>
  <c r="O98" i="6"/>
  <c r="L32" i="6"/>
  <c r="O101" i="6"/>
  <c r="L56" i="6"/>
  <c r="L154" i="6"/>
  <c r="I84" i="6"/>
  <c r="I67" i="6"/>
  <c r="C7" i="16"/>
  <c r="D6" i="16"/>
  <c r="B7" i="17"/>
  <c r="D138" i="4"/>
  <c r="D79" i="4"/>
  <c r="D57" i="4"/>
  <c r="D68" i="4"/>
  <c r="D77" i="4"/>
  <c r="D164" i="4"/>
  <c r="D47" i="4"/>
  <c r="D114" i="4"/>
  <c r="D43" i="4"/>
  <c r="O129" i="6"/>
  <c r="D111" i="4"/>
  <c r="L116" i="6"/>
  <c r="D109" i="4"/>
  <c r="D50" i="4"/>
  <c r="O54" i="6"/>
  <c r="O83" i="6"/>
  <c r="O73" i="6"/>
  <c r="O59" i="6"/>
  <c r="O44" i="6"/>
  <c r="D89" i="4"/>
  <c r="D182" i="4"/>
  <c r="D147" i="4"/>
  <c r="D54" i="4"/>
  <c r="D71" i="4"/>
  <c r="D30" i="4"/>
  <c r="D24" i="4"/>
  <c r="L145" i="6"/>
  <c r="O119" i="6"/>
  <c r="D161" i="4"/>
  <c r="A30" i="18" s="1"/>
  <c r="L169" i="6"/>
  <c r="D61" i="4"/>
  <c r="O156" i="6"/>
  <c r="I185" i="6"/>
  <c r="O149" i="6"/>
  <c r="I58" i="6"/>
  <c r="L142" i="6"/>
  <c r="O69" i="6"/>
  <c r="I146" i="6"/>
  <c r="L138" i="6"/>
  <c r="O185" i="6"/>
  <c r="D102" i="4"/>
  <c r="D160" i="4"/>
  <c r="D75" i="4"/>
  <c r="O74" i="6"/>
  <c r="O70" i="6"/>
  <c r="I55" i="6"/>
  <c r="O109" i="6"/>
  <c r="D99" i="4"/>
  <c r="O91" i="6"/>
  <c r="L155" i="6"/>
  <c r="I151" i="6"/>
  <c r="L91" i="6"/>
  <c r="I88" i="6"/>
  <c r="L180" i="6"/>
  <c r="L95" i="6"/>
  <c r="O17" i="6"/>
  <c r="L41" i="6"/>
  <c r="L52" i="6"/>
  <c r="O121" i="6"/>
  <c r="L173" i="6"/>
  <c r="O113" i="6"/>
  <c r="L184" i="6"/>
  <c r="O5" i="6"/>
  <c r="L126" i="6"/>
  <c r="I133" i="6"/>
  <c r="O99" i="6"/>
  <c r="O131" i="6"/>
  <c r="I114" i="6"/>
  <c r="O110" i="6"/>
  <c r="I127" i="6"/>
  <c r="I5" i="6"/>
  <c r="I82" i="6"/>
  <c r="O108" i="6"/>
  <c r="L152" i="6"/>
  <c r="I72" i="6"/>
  <c r="L124" i="6"/>
  <c r="O57" i="6"/>
  <c r="L92" i="6"/>
  <c r="L97" i="6"/>
  <c r="D78" i="4"/>
  <c r="O10" i="6"/>
  <c r="D125" i="4"/>
  <c r="E30" i="17" s="1"/>
  <c r="L140" i="6"/>
  <c r="L22" i="6"/>
  <c r="I168" i="6"/>
  <c r="O45" i="6"/>
  <c r="O144" i="6"/>
  <c r="L35" i="6"/>
  <c r="O133" i="6"/>
  <c r="O170" i="6"/>
  <c r="O41" i="6"/>
  <c r="I93" i="6"/>
  <c r="I26" i="6"/>
  <c r="O167" i="6"/>
  <c r="L118" i="6"/>
  <c r="L181" i="6"/>
  <c r="I53" i="6"/>
  <c r="O125" i="6"/>
  <c r="L61" i="6"/>
  <c r="L80" i="6"/>
  <c r="I141" i="6"/>
  <c r="L88" i="6"/>
  <c r="O164" i="6"/>
  <c r="O87" i="6"/>
  <c r="I80" i="6"/>
  <c r="I40" i="6"/>
  <c r="O27" i="6"/>
  <c r="L96" i="6"/>
  <c r="I16" i="6"/>
  <c r="I148" i="6"/>
  <c r="L89" i="6"/>
  <c r="I56" i="6"/>
  <c r="O135" i="6"/>
  <c r="I108" i="6"/>
  <c r="L105" i="6"/>
  <c r="L86" i="6"/>
  <c r="O148" i="6"/>
  <c r="I59" i="6"/>
  <c r="L101" i="6"/>
  <c r="L133" i="6"/>
  <c r="I10" i="6"/>
  <c r="L50" i="6"/>
  <c r="L62" i="6"/>
  <c r="I33" i="6"/>
  <c r="L164" i="6"/>
  <c r="I32" i="6"/>
  <c r="I179" i="6"/>
  <c r="L165" i="6"/>
  <c r="I85" i="6"/>
  <c r="O137" i="6"/>
  <c r="I86" i="6"/>
  <c r="O95" i="6"/>
  <c r="L13" i="6"/>
  <c r="I109" i="6"/>
  <c r="I172" i="6"/>
  <c r="I34" i="6"/>
  <c r="L38" i="6"/>
  <c r="O150" i="6"/>
  <c r="O152" i="6"/>
  <c r="O76" i="6"/>
  <c r="I14" i="6"/>
  <c r="I144" i="6"/>
  <c r="L161" i="6"/>
  <c r="I18" i="6"/>
  <c r="A30" i="9"/>
  <c r="O154" i="6"/>
  <c r="L84" i="6"/>
  <c r="C7" i="9"/>
  <c r="B7" i="16"/>
  <c r="B39" i="16"/>
  <c r="A31" i="16"/>
  <c r="C6" i="17"/>
  <c r="D6" i="17"/>
  <c r="A31" i="17"/>
  <c r="A30" i="17"/>
  <c r="B6" i="18"/>
  <c r="E31" i="18"/>
  <c r="B43" i="18"/>
  <c r="B38" i="17"/>
  <c r="E30" i="18"/>
  <c r="B39" i="9"/>
  <c r="L100" i="6"/>
  <c r="O146" i="6"/>
  <c r="O40" i="6"/>
  <c r="O50" i="6"/>
  <c r="O134" i="6"/>
  <c r="I167" i="6"/>
  <c r="L174" i="6"/>
  <c r="B43" i="9"/>
  <c r="B38" i="9"/>
  <c r="I15" i="6"/>
  <c r="I20" i="6"/>
  <c r="O42" i="6"/>
  <c r="L57" i="6"/>
  <c r="O23" i="6"/>
  <c r="L111" i="6"/>
  <c r="L36" i="6"/>
  <c r="I43" i="6"/>
  <c r="O123" i="6"/>
  <c r="O8" i="6"/>
  <c r="I175" i="6"/>
  <c r="I180" i="6"/>
  <c r="I42" i="6"/>
  <c r="L14" i="6"/>
  <c r="O93" i="6"/>
  <c r="I11" i="6"/>
  <c r="O12" i="6"/>
  <c r="L156" i="6"/>
  <c r="O141" i="6"/>
  <c r="I149" i="6"/>
  <c r="I79" i="6"/>
  <c r="I184" i="6"/>
  <c r="O130" i="6"/>
  <c r="I170" i="6"/>
  <c r="I104" i="6"/>
  <c r="O177" i="6"/>
  <c r="L45" i="6"/>
  <c r="O183" i="6"/>
  <c r="L16" i="6"/>
  <c r="L162" i="6"/>
  <c r="I138" i="6"/>
  <c r="I78" i="6"/>
  <c r="L81" i="6"/>
  <c r="I160" i="6"/>
  <c r="L128" i="6"/>
  <c r="L24" i="6"/>
  <c r="L77" i="6"/>
  <c r="L75" i="6"/>
  <c r="O52" i="6"/>
  <c r="I46" i="6"/>
  <c r="O15" i="6"/>
  <c r="O48" i="6"/>
  <c r="L29" i="6"/>
  <c r="I117" i="6"/>
  <c r="O34" i="6"/>
  <c r="L137" i="6"/>
  <c r="L6" i="6"/>
  <c r="D7" i="9"/>
  <c r="I13" i="6"/>
  <c r="O182" i="6"/>
  <c r="I98" i="6"/>
  <c r="I69" i="6"/>
  <c r="I44" i="6"/>
  <c r="I77" i="6"/>
  <c r="O80" i="6"/>
  <c r="I140" i="6"/>
  <c r="O32" i="6"/>
  <c r="I94" i="6"/>
  <c r="I47" i="6"/>
  <c r="I145" i="6"/>
  <c r="L132" i="6"/>
  <c r="O128" i="6"/>
  <c r="G42" i="16" a="1"/>
  <c r="G41" i="16" a="1"/>
  <c r="G42" i="17" a="1"/>
  <c r="G41" i="18" a="1"/>
  <c r="G42" i="18" a="1"/>
  <c r="G41" i="17" a="1"/>
  <c r="G29" i="17" a="1"/>
  <c r="G29" i="18" a="1"/>
  <c r="B43" i="17"/>
  <c r="G41" i="9" a="1"/>
  <c r="G29" i="9" a="1"/>
  <c r="A30" i="16"/>
  <c r="A31" i="18"/>
  <c r="A31" i="9"/>
  <c r="E31" i="16"/>
  <c r="B43" i="16"/>
  <c r="G42" i="9" a="1"/>
  <c r="E31" i="17"/>
  <c r="E30" i="16"/>
  <c r="G29" i="16" a="1"/>
  <c r="E31" i="9"/>
  <c r="E30" i="9"/>
  <c r="G29" i="16" l="1"/>
  <c r="G42" i="9"/>
  <c r="G29" i="9"/>
  <c r="G41" i="9"/>
  <c r="G29" i="18"/>
  <c r="G29" i="17"/>
  <c r="G41" i="17"/>
  <c r="G42" i="18"/>
  <c r="G41" i="18"/>
  <c r="G42" i="17"/>
  <c r="G41" i="16"/>
  <c r="G42" i="16"/>
  <c r="E6" i="18"/>
  <c r="E6" i="16"/>
  <c r="E6" i="9"/>
  <c r="E6" i="17"/>
  <c r="E7" i="9"/>
  <c r="E139" i="6"/>
  <c r="E107" i="6"/>
  <c r="E128" i="6"/>
  <c r="E51" i="6"/>
  <c r="E27" i="6"/>
  <c r="E59" i="6"/>
  <c r="E109" i="6"/>
  <c r="E138" i="6"/>
  <c r="E112" i="6"/>
  <c r="E11" i="6"/>
  <c r="E146" i="6"/>
  <c r="E48" i="6"/>
  <c r="E46" i="6"/>
  <c r="E173" i="6"/>
  <c r="E26" i="6"/>
  <c r="E115" i="6"/>
  <c r="E54" i="6"/>
  <c r="E163" i="6"/>
  <c r="E13" i="6"/>
  <c r="E73" i="6"/>
  <c r="E69" i="6"/>
  <c r="E142" i="6"/>
  <c r="E14" i="6"/>
  <c r="E96" i="6"/>
  <c r="E181" i="6"/>
  <c r="E98" i="6"/>
  <c r="E131" i="6"/>
  <c r="E25" i="9"/>
  <c r="B27" i="9"/>
  <c r="E27" i="9"/>
  <c r="D27" i="9"/>
  <c r="C27" i="9"/>
  <c r="E34" i="6"/>
  <c r="E24" i="6"/>
  <c r="E15" i="6"/>
  <c r="E93" i="6"/>
  <c r="E58" i="6"/>
  <c r="E32" i="6"/>
  <c r="E37" i="6"/>
  <c r="E183" i="6"/>
  <c r="E123" i="6"/>
  <c r="E125" i="6"/>
  <c r="E9" i="6"/>
  <c r="E60" i="6"/>
  <c r="E90" i="6"/>
  <c r="E57" i="6"/>
  <c r="E160" i="6"/>
  <c r="E114" i="6"/>
  <c r="E154" i="6"/>
  <c r="E89" i="6"/>
  <c r="E141" i="6"/>
  <c r="E10" i="6"/>
  <c r="E135" i="6"/>
  <c r="E133" i="6"/>
  <c r="E5" i="6"/>
  <c r="E177" i="6"/>
  <c r="E158" i="6"/>
  <c r="E31" i="6"/>
  <c r="E43" i="6"/>
  <c r="E155" i="6"/>
  <c r="E64" i="6"/>
  <c r="E117" i="6"/>
  <c r="E41" i="6"/>
  <c r="E35" i="6"/>
  <c r="E168" i="6"/>
  <c r="E75" i="6"/>
  <c r="E72" i="6"/>
  <c r="E19" i="6"/>
  <c r="E21" i="6"/>
  <c r="E62" i="6"/>
  <c r="E108" i="6"/>
  <c r="E137" i="6"/>
  <c r="E84" i="6"/>
  <c r="E130" i="6"/>
  <c r="E176" i="6"/>
  <c r="E100" i="6"/>
  <c r="E91" i="6"/>
  <c r="E166" i="6"/>
  <c r="E182" i="6"/>
  <c r="E170" i="6"/>
  <c r="E76" i="6"/>
  <c r="E185" i="6"/>
  <c r="E174" i="6"/>
  <c r="E178" i="6"/>
  <c r="E82" i="6"/>
  <c r="E44" i="6"/>
  <c r="E101" i="6"/>
  <c r="E12" i="6"/>
  <c r="E113" i="6"/>
  <c r="E106" i="6"/>
  <c r="E169" i="6"/>
  <c r="E85" i="6"/>
  <c r="E28" i="6"/>
  <c r="E22" i="6"/>
  <c r="E92" i="6"/>
  <c r="E56" i="6"/>
  <c r="E42" i="6"/>
  <c r="E151" i="6"/>
  <c r="E149" i="6"/>
  <c r="E67" i="6"/>
  <c r="E171" i="6"/>
  <c r="E148" i="6"/>
  <c r="E79" i="6"/>
  <c r="E52" i="6"/>
  <c r="E152" i="6"/>
  <c r="E16" i="6"/>
  <c r="E116" i="6"/>
  <c r="E71" i="6"/>
  <c r="E157" i="6"/>
  <c r="E105" i="6"/>
  <c r="E66" i="6"/>
  <c r="E121" i="6"/>
  <c r="E136" i="6"/>
  <c r="E7" i="6"/>
  <c r="E104" i="6"/>
  <c r="E144" i="6"/>
  <c r="E132" i="6"/>
  <c r="E120" i="6"/>
  <c r="E25" i="6"/>
  <c r="E118" i="6"/>
  <c r="E36" i="6"/>
  <c r="E94" i="6"/>
  <c r="E179" i="6"/>
  <c r="E77" i="6"/>
  <c r="E153" i="6"/>
  <c r="E70" i="6"/>
  <c r="E39" i="6"/>
  <c r="E53" i="6"/>
  <c r="E38" i="6"/>
  <c r="E55" i="6"/>
  <c r="E29" i="6"/>
  <c r="E87" i="6"/>
  <c r="E65" i="6"/>
  <c r="E49" i="6"/>
  <c r="E88" i="6"/>
  <c r="E180" i="6"/>
  <c r="E150" i="6"/>
  <c r="E122" i="6"/>
  <c r="E111" i="6"/>
  <c r="E45" i="6"/>
  <c r="E61" i="6"/>
  <c r="E81" i="6"/>
  <c r="E103" i="6"/>
  <c r="E80" i="6"/>
  <c r="E147" i="6"/>
  <c r="E68" i="6"/>
  <c r="E134" i="6"/>
  <c r="E110" i="6"/>
  <c r="E156" i="6"/>
  <c r="E126" i="6"/>
  <c r="E8" i="6"/>
  <c r="E127" i="6"/>
  <c r="E145" i="6"/>
  <c r="E6" i="6"/>
  <c r="E164" i="6"/>
  <c r="E124" i="6"/>
  <c r="E33" i="6"/>
  <c r="E161" i="6"/>
  <c r="E167" i="6"/>
  <c r="E50" i="6"/>
  <c r="E97" i="6"/>
  <c r="E78" i="6"/>
  <c r="E99" i="6"/>
  <c r="E40" i="6"/>
  <c r="E83" i="6"/>
  <c r="E102" i="6"/>
  <c r="E159" i="6"/>
  <c r="E63" i="6"/>
  <c r="E172" i="6"/>
  <c r="E17" i="6"/>
  <c r="E20" i="6"/>
  <c r="E95" i="6"/>
  <c r="E23" i="6"/>
  <c r="E165" i="6"/>
  <c r="E30" i="6"/>
  <c r="E74" i="6"/>
  <c r="E143" i="6"/>
  <c r="E140" i="6"/>
  <c r="E86" i="6"/>
  <c r="E47" i="6"/>
  <c r="E119" i="6"/>
  <c r="E184" i="6"/>
  <c r="E175" i="6"/>
  <c r="E18" i="6"/>
  <c r="E162" i="6"/>
  <c r="E129" i="6"/>
  <c r="B41" i="18"/>
  <c r="D12" i="9"/>
  <c r="D28" i="17"/>
  <c r="B12" i="17"/>
  <c r="C28" i="9"/>
  <c r="D28" i="9"/>
  <c r="D28" i="18"/>
  <c r="B28" i="17"/>
  <c r="E12" i="9"/>
  <c r="F139" i="6"/>
  <c r="F128" i="6"/>
  <c r="H38" i="6"/>
  <c r="H151" i="6"/>
  <c r="N43" i="6"/>
  <c r="K130" i="6"/>
  <c r="D59" i="6"/>
  <c r="K152" i="6"/>
  <c r="H64" i="6"/>
  <c r="K117" i="6"/>
  <c r="K55" i="6"/>
  <c r="N152" i="6"/>
  <c r="F112" i="6"/>
  <c r="D11" i="6"/>
  <c r="D146" i="6"/>
  <c r="N86" i="6"/>
  <c r="K97" i="6"/>
  <c r="D173" i="6"/>
  <c r="K60" i="6"/>
  <c r="K72" i="6"/>
  <c r="N129" i="6"/>
  <c r="K106" i="6"/>
  <c r="F163" i="6"/>
  <c r="D13" i="6"/>
  <c r="N162" i="6"/>
  <c r="D69" i="6"/>
  <c r="K177" i="6"/>
  <c r="F14" i="6"/>
  <c r="H159" i="6"/>
  <c r="N83" i="6"/>
  <c r="K88" i="6"/>
  <c r="D98" i="6"/>
  <c r="H125" i="6"/>
  <c r="F15" i="6"/>
  <c r="F93" i="6"/>
  <c r="N123" i="6"/>
  <c r="F58" i="6"/>
  <c r="K22" i="6"/>
  <c r="K185" i="6"/>
  <c r="K92" i="6"/>
  <c r="D183" i="6"/>
  <c r="H141" i="6"/>
  <c r="H117" i="6"/>
  <c r="H169" i="6"/>
  <c r="K112" i="6"/>
  <c r="H59" i="6"/>
  <c r="D125" i="6"/>
  <c r="H138" i="6"/>
  <c r="H42" i="6"/>
  <c r="F90" i="6"/>
  <c r="D57" i="6"/>
  <c r="D160" i="6"/>
  <c r="D114" i="6"/>
  <c r="K44" i="6"/>
  <c r="D89" i="6"/>
  <c r="D141" i="6"/>
  <c r="N136" i="6"/>
  <c r="K95" i="6"/>
  <c r="N13" i="6"/>
  <c r="D135" i="6"/>
  <c r="H16" i="6"/>
  <c r="F133" i="6"/>
  <c r="K129" i="6"/>
  <c r="N7" i="6"/>
  <c r="H175" i="6"/>
  <c r="K131" i="6"/>
  <c r="F158" i="6"/>
  <c r="K21" i="6"/>
  <c r="N80" i="6"/>
  <c r="H77" i="6"/>
  <c r="D43" i="6"/>
  <c r="H100" i="6"/>
  <c r="H66" i="6"/>
  <c r="H154" i="6"/>
  <c r="D41" i="6"/>
  <c r="F35" i="6"/>
  <c r="F168" i="6"/>
  <c r="F72" i="6"/>
  <c r="K35" i="6"/>
  <c r="H75" i="6"/>
  <c r="K181" i="6"/>
  <c r="F21" i="6"/>
  <c r="F62" i="6"/>
  <c r="K155" i="6"/>
  <c r="K168" i="6"/>
  <c r="D84" i="6"/>
  <c r="N125" i="6"/>
  <c r="K120" i="6"/>
  <c r="K148" i="6"/>
  <c r="F100" i="6"/>
  <c r="N25" i="6"/>
  <c r="D91" i="6"/>
  <c r="K149" i="6"/>
  <c r="K81" i="6"/>
  <c r="F170" i="6"/>
  <c r="H74" i="6"/>
  <c r="F185" i="6"/>
  <c r="H20" i="6"/>
  <c r="H172" i="6"/>
  <c r="F178" i="6"/>
  <c r="H94" i="6"/>
  <c r="N99" i="6"/>
  <c r="H29" i="6"/>
  <c r="K79" i="6"/>
  <c r="F101" i="6"/>
  <c r="D12" i="6"/>
  <c r="N103" i="6"/>
  <c r="H82" i="6"/>
  <c r="D106" i="6"/>
  <c r="F169" i="6"/>
  <c r="D85" i="6"/>
  <c r="K154" i="6"/>
  <c r="K173" i="6"/>
  <c r="N117" i="6"/>
  <c r="D56" i="6"/>
  <c r="N27" i="6"/>
  <c r="F151" i="6"/>
  <c r="K98" i="6"/>
  <c r="D149" i="6"/>
  <c r="H49" i="6"/>
  <c r="N85" i="6"/>
  <c r="K27" i="6"/>
  <c r="D148" i="6"/>
  <c r="K104" i="6"/>
  <c r="N51" i="6"/>
  <c r="H168" i="6"/>
  <c r="N26" i="6"/>
  <c r="K67" i="6"/>
  <c r="D16" i="6"/>
  <c r="K33" i="6"/>
  <c r="D71" i="6"/>
  <c r="D105" i="6"/>
  <c r="N106" i="6"/>
  <c r="H130" i="6"/>
  <c r="K184" i="6"/>
  <c r="F121" i="6"/>
  <c r="N161" i="6"/>
  <c r="H134" i="6"/>
  <c r="N88" i="6"/>
  <c r="H177" i="6"/>
  <c r="H167" i="6"/>
  <c r="F104" i="6"/>
  <c r="D144" i="6"/>
  <c r="N53" i="6"/>
  <c r="F25" i="6"/>
  <c r="K57" i="6"/>
  <c r="D118" i="6"/>
  <c r="H80" i="6"/>
  <c r="D179" i="6"/>
  <c r="K23" i="6"/>
  <c r="K53" i="6"/>
  <c r="D153" i="6"/>
  <c r="N163" i="6"/>
  <c r="N131" i="6"/>
  <c r="D39" i="6"/>
  <c r="D53" i="6"/>
  <c r="H150" i="6"/>
  <c r="D55" i="6"/>
  <c r="H87" i="6"/>
  <c r="D29" i="6"/>
  <c r="K156" i="6"/>
  <c r="D87" i="6"/>
  <c r="D65" i="6"/>
  <c r="D7" i="17"/>
  <c r="N81" i="6"/>
  <c r="D49" i="6"/>
  <c r="D88" i="6"/>
  <c r="H34" i="6"/>
  <c r="F180" i="6"/>
  <c r="K169" i="6"/>
  <c r="N182" i="6"/>
  <c r="N12" i="6"/>
  <c r="F111" i="6"/>
  <c r="D45" i="6"/>
  <c r="H88" i="6"/>
  <c r="K127" i="6"/>
  <c r="N34" i="6"/>
  <c r="N68" i="6"/>
  <c r="H12" i="6"/>
  <c r="H143" i="6"/>
  <c r="H126" i="6"/>
  <c r="H95" i="6"/>
  <c r="N175" i="6"/>
  <c r="H31" i="6"/>
  <c r="F147" i="6"/>
  <c r="K126" i="6"/>
  <c r="N18" i="6"/>
  <c r="H33" i="6"/>
  <c r="N6" i="6"/>
  <c r="N146" i="6"/>
  <c r="F156" i="6"/>
  <c r="N164" i="6"/>
  <c r="H70" i="6"/>
  <c r="N160" i="6"/>
  <c r="D8" i="6"/>
  <c r="F127" i="6"/>
  <c r="K110" i="6"/>
  <c r="H166" i="6"/>
  <c r="D6" i="6"/>
  <c r="F124" i="6"/>
  <c r="K96" i="6"/>
  <c r="H133" i="6"/>
  <c r="K30" i="6"/>
  <c r="F50" i="6"/>
  <c r="K150" i="6"/>
  <c r="K160" i="6"/>
  <c r="D40" i="6"/>
  <c r="H163" i="6"/>
  <c r="F102" i="6"/>
  <c r="K167" i="6"/>
  <c r="F63" i="6"/>
  <c r="N118" i="6"/>
  <c r="D17" i="6"/>
  <c r="N21" i="6"/>
  <c r="D23" i="6"/>
  <c r="D30" i="6"/>
  <c r="N156" i="6"/>
  <c r="H78" i="6"/>
  <c r="D140" i="6"/>
  <c r="K5" i="6"/>
  <c r="F119" i="6"/>
  <c r="F175" i="6"/>
  <c r="H180" i="6"/>
  <c r="F162" i="6"/>
  <c r="F129" i="6"/>
  <c r="D7" i="16"/>
  <c r="E26" i="17"/>
  <c r="H65" i="6"/>
  <c r="H21" i="6"/>
  <c r="K65" i="6"/>
  <c r="H61" i="6"/>
  <c r="N179" i="6"/>
  <c r="N94" i="6"/>
  <c r="H86" i="6"/>
  <c r="K24" i="6"/>
  <c r="H83" i="6"/>
  <c r="K170" i="6"/>
  <c r="H62" i="6"/>
  <c r="H137" i="6"/>
  <c r="F122" i="6"/>
  <c r="K159" i="6"/>
  <c r="D111" i="6"/>
  <c r="K179" i="6"/>
  <c r="K49" i="6"/>
  <c r="H179" i="6"/>
  <c r="K133" i="6"/>
  <c r="K40" i="6"/>
  <c r="N97" i="6"/>
  <c r="F103" i="6"/>
  <c r="F80" i="6"/>
  <c r="K145" i="6"/>
  <c r="N158" i="6"/>
  <c r="F110" i="6"/>
  <c r="N17" i="6"/>
  <c r="H156" i="6"/>
  <c r="F126" i="6"/>
  <c r="D127" i="6"/>
  <c r="F145" i="6"/>
  <c r="H67" i="6"/>
  <c r="D124" i="6"/>
  <c r="F161" i="6"/>
  <c r="D50" i="6"/>
  <c r="K19" i="6"/>
  <c r="H136" i="6"/>
  <c r="H44" i="6"/>
  <c r="F159" i="6"/>
  <c r="B42" i="9"/>
  <c r="B42" i="17"/>
  <c r="D13" i="17"/>
  <c r="B12" i="16"/>
  <c r="D13" i="16"/>
  <c r="C13" i="9"/>
  <c r="D13" i="9"/>
  <c r="B12" i="18"/>
  <c r="C12" i="18"/>
  <c r="C13" i="16"/>
  <c r="K122" i="6"/>
  <c r="F107" i="6"/>
  <c r="D128" i="6"/>
  <c r="F51" i="6"/>
  <c r="H5" i="6"/>
  <c r="H84" i="6"/>
  <c r="K103" i="6"/>
  <c r="K139" i="6"/>
  <c r="N32" i="6"/>
  <c r="H101" i="6"/>
  <c r="N149" i="6"/>
  <c r="K39" i="6"/>
  <c r="F138" i="6"/>
  <c r="D112" i="6"/>
  <c r="F11" i="6"/>
  <c r="N48" i="6"/>
  <c r="N98" i="6"/>
  <c r="F46" i="6"/>
  <c r="N112" i="6"/>
  <c r="H28" i="6"/>
  <c r="N107" i="6"/>
  <c r="N8" i="6"/>
  <c r="F54" i="6"/>
  <c r="D163" i="6"/>
  <c r="F13" i="6"/>
  <c r="F73" i="6"/>
  <c r="K141" i="6"/>
  <c r="F142" i="6"/>
  <c r="D14" i="6"/>
  <c r="N165" i="6"/>
  <c r="H17" i="6"/>
  <c r="H165" i="6"/>
  <c r="K87" i="6"/>
  <c r="N113" i="6"/>
  <c r="F24" i="6"/>
  <c r="D15" i="6"/>
  <c r="D93" i="6"/>
  <c r="N69" i="6"/>
  <c r="D58" i="6"/>
  <c r="F32" i="6"/>
  <c r="K119" i="6"/>
  <c r="F37" i="6"/>
  <c r="N92" i="6"/>
  <c r="K64" i="6"/>
  <c r="K58" i="6"/>
  <c r="H162" i="6"/>
  <c r="K115" i="6"/>
  <c r="N57" i="6"/>
  <c r="F9" i="6"/>
  <c r="K153" i="6"/>
  <c r="N141" i="6"/>
  <c r="D90" i="6"/>
  <c r="H171" i="6"/>
  <c r="F160" i="6"/>
  <c r="F114" i="6"/>
  <c r="K69" i="6"/>
  <c r="H32" i="6"/>
  <c r="D10" i="6"/>
  <c r="K166" i="6"/>
  <c r="K7" i="6"/>
  <c r="N56" i="6"/>
  <c r="F135" i="6"/>
  <c r="H155" i="6"/>
  <c r="D133" i="6"/>
  <c r="N20" i="6"/>
  <c r="N66" i="6"/>
  <c r="H93" i="6"/>
  <c r="N176" i="6"/>
  <c r="D158" i="6"/>
  <c r="H115" i="6"/>
  <c r="H114" i="6"/>
  <c r="H8" i="6"/>
  <c r="F43" i="6"/>
  <c r="D64" i="6"/>
  <c r="N148" i="6"/>
  <c r="F117" i="6"/>
  <c r="H123" i="6"/>
  <c r="D35" i="6"/>
  <c r="D168" i="6"/>
  <c r="D72" i="6"/>
  <c r="N168" i="6"/>
  <c r="H27" i="6"/>
  <c r="F19" i="6"/>
  <c r="K124" i="6"/>
  <c r="N41" i="6"/>
  <c r="F137" i="6"/>
  <c r="K13" i="6"/>
  <c r="F84" i="6"/>
  <c r="N111" i="6"/>
  <c r="K63" i="6"/>
  <c r="D176" i="6"/>
  <c r="D100" i="6"/>
  <c r="K178" i="6"/>
  <c r="F166" i="6"/>
  <c r="F182" i="6"/>
  <c r="K101" i="6"/>
  <c r="D170" i="6"/>
  <c r="F76" i="6"/>
  <c r="D185" i="6"/>
  <c r="F174" i="6"/>
  <c r="H40" i="6"/>
  <c r="D178" i="6"/>
  <c r="H140" i="6"/>
  <c r="K94" i="6"/>
  <c r="N24" i="6"/>
  <c r="H124" i="6"/>
  <c r="D101" i="6"/>
  <c r="K20" i="6"/>
  <c r="K71" i="6"/>
  <c r="H54" i="6"/>
  <c r="K11" i="6"/>
  <c r="H25" i="6"/>
  <c r="N130" i="6"/>
  <c r="F22" i="6"/>
  <c r="F92" i="6"/>
  <c r="N16" i="6"/>
  <c r="K135" i="6"/>
  <c r="F42" i="6"/>
  <c r="D151" i="6"/>
  <c r="K176" i="6"/>
  <c r="F67" i="6"/>
  <c r="N108" i="6"/>
  <c r="H57" i="6"/>
  <c r="N73" i="6"/>
  <c r="K10" i="6"/>
  <c r="F79" i="6"/>
  <c r="K76" i="6"/>
  <c r="N105" i="6"/>
  <c r="H106" i="6"/>
  <c r="F152" i="6"/>
  <c r="F116" i="6"/>
  <c r="H118" i="6"/>
  <c r="F71" i="6"/>
  <c r="F105" i="6"/>
  <c r="F66" i="6"/>
  <c r="H145" i="6"/>
  <c r="N180" i="6"/>
  <c r="D121" i="6"/>
  <c r="K45" i="6"/>
  <c r="H81" i="6"/>
  <c r="N67" i="6"/>
  <c r="K77" i="6"/>
  <c r="F7" i="6"/>
  <c r="D104" i="6"/>
  <c r="N39" i="6"/>
  <c r="F120" i="6"/>
  <c r="D25" i="6"/>
  <c r="H36" i="6"/>
  <c r="H24" i="6"/>
  <c r="F94" i="6"/>
  <c r="F77" i="6"/>
  <c r="N40" i="6"/>
  <c r="D70" i="6"/>
  <c r="K99" i="6"/>
  <c r="K163" i="6"/>
  <c r="F38" i="6"/>
  <c r="F87" i="6"/>
  <c r="H19" i="6"/>
  <c r="D180" i="6"/>
  <c r="K9" i="6"/>
  <c r="K111" i="6"/>
  <c r="F61" i="6"/>
  <c r="F81" i="6"/>
  <c r="D147" i="6"/>
  <c r="K48" i="6"/>
  <c r="H152" i="6"/>
  <c r="H128" i="6"/>
  <c r="N71" i="6"/>
  <c r="N133" i="6"/>
  <c r="K140" i="6"/>
  <c r="N104" i="6"/>
  <c r="F99" i="6"/>
  <c r="K14" i="6"/>
  <c r="B41" i="17"/>
  <c r="B41" i="16"/>
  <c r="B28" i="18"/>
  <c r="C13" i="17"/>
  <c r="C12" i="9"/>
  <c r="D28" i="16"/>
  <c r="B28" i="16"/>
  <c r="B13" i="9"/>
  <c r="C13" i="18"/>
  <c r="C12" i="17"/>
  <c r="C28" i="16"/>
  <c r="N122" i="6"/>
  <c r="D107" i="6"/>
  <c r="H35" i="6"/>
  <c r="D51" i="6"/>
  <c r="K162" i="6"/>
  <c r="F27" i="6"/>
  <c r="H122" i="6"/>
  <c r="K171" i="6"/>
  <c r="H56" i="6"/>
  <c r="N42" i="6"/>
  <c r="N75" i="6"/>
  <c r="F109" i="6"/>
  <c r="D138" i="6"/>
  <c r="H176" i="6"/>
  <c r="N183" i="6"/>
  <c r="D48" i="6"/>
  <c r="N181" i="6"/>
  <c r="D46" i="6"/>
  <c r="N28" i="6"/>
  <c r="H85" i="6"/>
  <c r="F26" i="6"/>
  <c r="F115" i="6"/>
  <c r="D54" i="6"/>
  <c r="K41" i="6"/>
  <c r="K16" i="6"/>
  <c r="D73" i="6"/>
  <c r="N76" i="6"/>
  <c r="D142" i="6"/>
  <c r="F96" i="6"/>
  <c r="N145" i="6"/>
  <c r="F181" i="6"/>
  <c r="K50" i="6"/>
  <c r="D131" i="6"/>
  <c r="F34" i="6"/>
  <c r="D24" i="6"/>
  <c r="K90" i="6"/>
  <c r="K142" i="6"/>
  <c r="H37" i="6"/>
  <c r="N155" i="6"/>
  <c r="D32" i="6"/>
  <c r="N154" i="6"/>
  <c r="D37" i="6"/>
  <c r="K66" i="6"/>
  <c r="F123" i="6"/>
  <c r="N185" i="6"/>
  <c r="H185" i="6"/>
  <c r="K146" i="6"/>
  <c r="K25" i="6"/>
  <c r="D9" i="6"/>
  <c r="H71" i="6"/>
  <c r="F60" i="6"/>
  <c r="K128" i="6"/>
  <c r="H51" i="6"/>
  <c r="H47" i="6"/>
  <c r="F154" i="6"/>
  <c r="H148" i="6"/>
  <c r="K107" i="6"/>
  <c r="F10" i="6"/>
  <c r="N62" i="6"/>
  <c r="H174" i="6"/>
  <c r="N173" i="6"/>
  <c r="H139" i="6"/>
  <c r="H158" i="6"/>
  <c r="F5" i="6"/>
  <c r="N124" i="6"/>
  <c r="F177" i="6"/>
  <c r="N89" i="6"/>
  <c r="H119" i="6"/>
  <c r="F31" i="6"/>
  <c r="K80" i="6"/>
  <c r="N79" i="6"/>
  <c r="N54" i="6"/>
  <c r="F155" i="6"/>
  <c r="F64" i="6"/>
  <c r="N184" i="6"/>
  <c r="D117" i="6"/>
  <c r="H91" i="6"/>
  <c r="N74" i="6"/>
  <c r="F75" i="6"/>
  <c r="N22" i="6"/>
  <c r="H11" i="6"/>
  <c r="N101" i="6"/>
  <c r="D19" i="6"/>
  <c r="H116" i="6"/>
  <c r="F108" i="6"/>
  <c r="D137" i="6"/>
  <c r="K38" i="6"/>
  <c r="K123" i="6"/>
  <c r="H184" i="6"/>
  <c r="F130" i="6"/>
  <c r="F176" i="6"/>
  <c r="K172" i="6"/>
  <c r="K32" i="6"/>
  <c r="D166" i="6"/>
  <c r="D182" i="6"/>
  <c r="K73" i="6"/>
  <c r="N153" i="6"/>
  <c r="D76" i="6"/>
  <c r="N128" i="6"/>
  <c r="D174" i="6"/>
  <c r="H113" i="6"/>
  <c r="F82" i="6"/>
  <c r="K113" i="6"/>
  <c r="F44" i="6"/>
  <c r="K6" i="6"/>
  <c r="H108" i="6"/>
  <c r="N95" i="6"/>
  <c r="F113" i="6"/>
  <c r="H178" i="6"/>
  <c r="K89" i="6"/>
  <c r="H26" i="6"/>
  <c r="N72" i="6"/>
  <c r="F28" i="6"/>
  <c r="D22" i="6"/>
  <c r="D92" i="6"/>
  <c r="K138" i="6"/>
  <c r="N60" i="6"/>
  <c r="D42" i="6"/>
  <c r="H173" i="6"/>
  <c r="N47" i="6"/>
  <c r="D67" i="6"/>
  <c r="F171" i="6"/>
  <c r="K157" i="6"/>
  <c r="H89" i="6"/>
  <c r="N109" i="6"/>
  <c r="D79" i="6"/>
  <c r="F52" i="6"/>
  <c r="K82" i="6"/>
  <c r="N121" i="6"/>
  <c r="D152" i="6"/>
  <c r="D116" i="6"/>
  <c r="N134" i="6"/>
  <c r="F157" i="6"/>
  <c r="H170" i="6"/>
  <c r="D66" i="6"/>
  <c r="N14" i="6"/>
  <c r="K143" i="6"/>
  <c r="N64" i="6"/>
  <c r="N70" i="6"/>
  <c r="F136" i="6"/>
  <c r="H45" i="6"/>
  <c r="H127" i="6"/>
  <c r="D7" i="6"/>
  <c r="H7" i="6"/>
  <c r="F132" i="6"/>
  <c r="D120" i="6"/>
  <c r="N102" i="6"/>
  <c r="N77" i="6"/>
  <c r="F36" i="6"/>
  <c r="D94" i="6"/>
  <c r="D77" i="6"/>
  <c r="K62" i="6"/>
  <c r="H146" i="6"/>
  <c r="F70" i="6"/>
  <c r="N9" i="6"/>
  <c r="H142" i="6"/>
  <c r="K125" i="6"/>
  <c r="H50" i="6"/>
  <c r="D38" i="6"/>
  <c r="K37" i="6"/>
  <c r="N126" i="6"/>
  <c r="K61" i="6"/>
  <c r="K83" i="6"/>
  <c r="N144" i="6"/>
  <c r="K46" i="6"/>
  <c r="K86" i="6"/>
  <c r="H14" i="6"/>
  <c r="N63" i="6"/>
  <c r="H160" i="6"/>
  <c r="H46" i="6"/>
  <c r="F150" i="6"/>
  <c r="D122" i="6"/>
  <c r="K51" i="6"/>
  <c r="H6" i="6"/>
  <c r="N120" i="6"/>
  <c r="H109" i="6"/>
  <c r="K144" i="6"/>
  <c r="N119" i="6"/>
  <c r="K180" i="6"/>
  <c r="D61" i="6"/>
  <c r="H102" i="6"/>
  <c r="K8" i="6"/>
  <c r="K158" i="6"/>
  <c r="D81" i="6"/>
  <c r="D103" i="6"/>
  <c r="D80" i="6"/>
  <c r="H63" i="6"/>
  <c r="H53" i="6"/>
  <c r="F68" i="6"/>
  <c r="F134" i="6"/>
  <c r="D110" i="6"/>
  <c r="N31" i="6"/>
  <c r="H22" i="6"/>
  <c r="H68" i="6"/>
  <c r="K100" i="6"/>
  <c r="D126" i="6"/>
  <c r="H111" i="6"/>
  <c r="N150" i="6"/>
  <c r="D145" i="6"/>
  <c r="N78" i="6"/>
  <c r="F164" i="6"/>
  <c r="N61" i="6"/>
  <c r="F33" i="6"/>
  <c r="D161" i="6"/>
  <c r="F167" i="6"/>
  <c r="F97" i="6"/>
  <c r="F78" i="6"/>
  <c r="D99" i="6"/>
  <c r="F83" i="6"/>
  <c r="N46" i="6"/>
  <c r="H104" i="6"/>
  <c r="D159" i="6"/>
  <c r="D172" i="6"/>
  <c r="N170" i="6"/>
  <c r="F20" i="6"/>
  <c r="D95" i="6"/>
  <c r="D165" i="6"/>
  <c r="D74" i="6"/>
  <c r="D143" i="6"/>
  <c r="N36" i="6"/>
  <c r="F86" i="6"/>
  <c r="D47" i="6"/>
  <c r="F184" i="6"/>
  <c r="F18" i="6"/>
  <c r="H99" i="6"/>
  <c r="H41" i="6"/>
  <c r="K132" i="6"/>
  <c r="E26" i="16"/>
  <c r="B41" i="9"/>
  <c r="B42" i="18"/>
  <c r="B42" i="16"/>
  <c r="B13" i="18"/>
  <c r="C28" i="17"/>
  <c r="C12" i="16"/>
  <c r="B13" i="16"/>
  <c r="B28" i="9"/>
  <c r="C28" i="18"/>
  <c r="D13" i="18"/>
  <c r="B13" i="17"/>
  <c r="B12" i="9"/>
  <c r="D139" i="6"/>
  <c r="N58" i="6"/>
  <c r="N59" i="6"/>
  <c r="H60" i="6"/>
  <c r="D109" i="6"/>
  <c r="N178" i="6"/>
  <c r="N55" i="6"/>
  <c r="H157" i="6"/>
  <c r="D115" i="6"/>
  <c r="N19" i="6"/>
  <c r="F69" i="6"/>
  <c r="H18" i="6"/>
  <c r="H149" i="6"/>
  <c r="F183" i="6"/>
  <c r="K26" i="6"/>
  <c r="D60" i="6"/>
  <c r="D154" i="6"/>
  <c r="H48" i="6"/>
  <c r="D177" i="6"/>
  <c r="K54" i="6"/>
  <c r="F41" i="6"/>
  <c r="H183" i="6"/>
  <c r="D21" i="6"/>
  <c r="K42" i="6"/>
  <c r="N50" i="6"/>
  <c r="N82" i="6"/>
  <c r="N52" i="6"/>
  <c r="H55" i="6"/>
  <c r="D113" i="6"/>
  <c r="F56" i="6"/>
  <c r="H131" i="6"/>
  <c r="F148" i="6"/>
  <c r="N44" i="6"/>
  <c r="H97" i="6"/>
  <c r="N169" i="6"/>
  <c r="N38" i="6"/>
  <c r="F144" i="6"/>
  <c r="N90" i="6"/>
  <c r="F53" i="6"/>
  <c r="N167" i="6"/>
  <c r="F49" i="6"/>
  <c r="K17" i="6"/>
  <c r="F45" i="6"/>
  <c r="K43" i="6"/>
  <c r="N93" i="6"/>
  <c r="D68" i="6"/>
  <c r="N84" i="6"/>
  <c r="K147" i="6"/>
  <c r="N110" i="6"/>
  <c r="K175" i="6"/>
  <c r="D78" i="6"/>
  <c r="D83" i="6"/>
  <c r="K164" i="6"/>
  <c r="F165" i="6"/>
  <c r="F143" i="6"/>
  <c r="D86" i="6"/>
  <c r="H96" i="6"/>
  <c r="D184" i="6"/>
  <c r="D18" i="6"/>
  <c r="D162" i="6"/>
  <c r="H129" i="6"/>
  <c r="F88" i="6"/>
  <c r="K134" i="6"/>
  <c r="K52" i="6"/>
  <c r="D156" i="6"/>
  <c r="N174" i="6"/>
  <c r="K68" i="6"/>
  <c r="K12" i="6"/>
  <c r="D63" i="6"/>
  <c r="D20" i="6"/>
  <c r="K18" i="6"/>
  <c r="H15" i="6"/>
  <c r="D7" i="18"/>
  <c r="F131" i="6"/>
  <c r="F125" i="6"/>
  <c r="D155" i="6"/>
  <c r="H73" i="6"/>
  <c r="H107" i="6"/>
  <c r="K161" i="6"/>
  <c r="D28" i="6"/>
  <c r="H153" i="6"/>
  <c r="H43" i="6"/>
  <c r="K75" i="6"/>
  <c r="H39" i="6"/>
  <c r="F153" i="6"/>
  <c r="F55" i="6"/>
  <c r="N116" i="6"/>
  <c r="N166" i="6"/>
  <c r="N115" i="6"/>
  <c r="D164" i="6"/>
  <c r="D33" i="6"/>
  <c r="F172" i="6"/>
  <c r="F23" i="6"/>
  <c r="F47" i="6"/>
  <c r="D27" i="6"/>
  <c r="H112" i="6"/>
  <c r="H10" i="6"/>
  <c r="D181" i="6"/>
  <c r="N135" i="6"/>
  <c r="H72" i="6"/>
  <c r="K56" i="6"/>
  <c r="K59" i="6"/>
  <c r="N10" i="6"/>
  <c r="K29" i="6"/>
  <c r="F89" i="6"/>
  <c r="N49" i="6"/>
  <c r="H121" i="6"/>
  <c r="D5" i="6"/>
  <c r="K137" i="6"/>
  <c r="D31" i="6"/>
  <c r="K91" i="6"/>
  <c r="H92" i="6"/>
  <c r="H58" i="6"/>
  <c r="D108" i="6"/>
  <c r="D130" i="6"/>
  <c r="H103" i="6"/>
  <c r="N29" i="6"/>
  <c r="N65" i="6"/>
  <c r="N139" i="6"/>
  <c r="F85" i="6"/>
  <c r="K121" i="6"/>
  <c r="N157" i="6"/>
  <c r="N100" i="6"/>
  <c r="N142" i="6"/>
  <c r="D52" i="6"/>
  <c r="F16" i="6"/>
  <c r="K28" i="6"/>
  <c r="H52" i="6"/>
  <c r="D36" i="6"/>
  <c r="K34" i="6"/>
  <c r="N96" i="6"/>
  <c r="H181" i="6"/>
  <c r="F29" i="6"/>
  <c r="F65" i="6"/>
  <c r="K108" i="6"/>
  <c r="K15" i="6"/>
  <c r="K102" i="6"/>
  <c r="F6" i="6"/>
  <c r="D102" i="6"/>
  <c r="K118" i="6"/>
  <c r="F30" i="6"/>
  <c r="N177" i="6"/>
  <c r="N114" i="6"/>
  <c r="K78" i="6"/>
  <c r="K183" i="6"/>
  <c r="N127" i="6"/>
  <c r="K84" i="6"/>
  <c r="N159" i="6"/>
  <c r="F179" i="6"/>
  <c r="K93" i="6"/>
  <c r="K109" i="6"/>
  <c r="D167" i="6"/>
  <c r="N143" i="6"/>
  <c r="N171" i="6"/>
  <c r="F59" i="6"/>
  <c r="H120" i="6"/>
  <c r="N151" i="6"/>
  <c r="F146" i="6"/>
  <c r="F173" i="6"/>
  <c r="D26" i="6"/>
  <c r="N33" i="6"/>
  <c r="N91" i="6"/>
  <c r="D96" i="6"/>
  <c r="F98" i="6"/>
  <c r="D34" i="6"/>
  <c r="K31" i="6"/>
  <c r="K105" i="6"/>
  <c r="N37" i="6"/>
  <c r="H135" i="6"/>
  <c r="F57" i="6"/>
  <c r="F141" i="6"/>
  <c r="N35" i="6"/>
  <c r="H132" i="6"/>
  <c r="N147" i="6"/>
  <c r="K174" i="6"/>
  <c r="H164" i="6"/>
  <c r="H69" i="6"/>
  <c r="D75" i="6"/>
  <c r="H105" i="6"/>
  <c r="D62" i="6"/>
  <c r="N15" i="6"/>
  <c r="F91" i="6"/>
  <c r="N30" i="6"/>
  <c r="D44" i="6"/>
  <c r="F12" i="6"/>
  <c r="F106" i="6"/>
  <c r="F149" i="6"/>
  <c r="D171" i="6"/>
  <c r="K151" i="6"/>
  <c r="D136" i="6"/>
  <c r="H147" i="6"/>
  <c r="D132" i="6"/>
  <c r="H9" i="6"/>
  <c r="N5" i="6"/>
  <c r="K182" i="6"/>
  <c r="K116" i="6"/>
  <c r="H23" i="6"/>
  <c r="H161" i="6"/>
  <c r="D150" i="6"/>
  <c r="K36" i="6"/>
  <c r="H144" i="6"/>
  <c r="N138" i="6"/>
  <c r="K85" i="6"/>
  <c r="D134" i="6"/>
  <c r="N45" i="6"/>
  <c r="D97" i="6"/>
  <c r="F40" i="6"/>
  <c r="F17" i="6"/>
  <c r="F95" i="6"/>
  <c r="F74" i="6"/>
  <c r="H98" i="6"/>
  <c r="K165" i="6"/>
  <c r="D119" i="6"/>
  <c r="D175" i="6"/>
  <c r="H110" i="6"/>
  <c r="E26" i="18"/>
  <c r="H90" i="6"/>
  <c r="K74" i="6"/>
  <c r="F48" i="6"/>
  <c r="N137" i="6"/>
  <c r="N140" i="6"/>
  <c r="H13" i="6"/>
  <c r="D123" i="6"/>
  <c r="K70" i="6"/>
  <c r="N11" i="6"/>
  <c r="K114" i="6"/>
  <c r="N23" i="6"/>
  <c r="N172" i="6"/>
  <c r="D82" i="6"/>
  <c r="D169" i="6"/>
  <c r="H76" i="6"/>
  <c r="K136" i="6"/>
  <c r="D157" i="6"/>
  <c r="K47" i="6"/>
  <c r="F118" i="6"/>
  <c r="F39" i="6"/>
  <c r="H182" i="6"/>
  <c r="H30" i="6"/>
  <c r="H79" i="6"/>
  <c r="F8" i="6"/>
  <c r="N87" i="6"/>
  <c r="N132" i="6"/>
  <c r="F140" i="6"/>
  <c r="D129" i="6"/>
  <c r="E7" i="18" l="1"/>
  <c r="B14" i="17"/>
  <c r="D14" i="18"/>
  <c r="B14" i="16"/>
  <c r="B14" i="18"/>
  <c r="C14" i="18"/>
  <c r="B14" i="9"/>
  <c r="C14" i="17"/>
  <c r="C14" i="16"/>
  <c r="D14" i="9"/>
  <c r="C14" i="9"/>
  <c r="D14" i="16"/>
  <c r="D14" i="17"/>
  <c r="E7" i="16"/>
  <c r="E7" i="17"/>
  <c r="A29" i="9"/>
  <c r="A29" i="17"/>
  <c r="A29" i="18"/>
  <c r="A29" i="16"/>
  <c r="D12" i="18"/>
  <c r="E24" i="16"/>
  <c r="E12" i="17"/>
  <c r="E29" i="9"/>
  <c r="E28" i="18"/>
  <c r="E13" i="16"/>
  <c r="E12" i="18"/>
  <c r="D12" i="16"/>
  <c r="E13" i="17"/>
  <c r="E13" i="9"/>
  <c r="E29" i="17"/>
  <c r="E29" i="18"/>
  <c r="E24" i="18"/>
  <c r="E12" i="16"/>
  <c r="E28" i="17"/>
  <c r="E28" i="9"/>
  <c r="E24" i="17"/>
  <c r="D12" i="17"/>
  <c r="E13" i="18"/>
  <c r="E28" i="16"/>
  <c r="E29" i="16"/>
  <c r="E14" i="18" l="1"/>
  <c r="E14" i="9"/>
  <c r="E14" i="17"/>
  <c r="E14" i="16"/>
  <c r="D15" i="16"/>
  <c r="C15" i="17"/>
  <c r="B15" i="17"/>
  <c r="D15" i="17"/>
  <c r="C15" i="16"/>
  <c r="D15" i="18"/>
  <c r="C15" i="9"/>
  <c r="B15" i="9"/>
  <c r="B15" i="18"/>
  <c r="D15" i="9"/>
  <c r="C15" i="18"/>
  <c r="B15" i="16"/>
  <c r="D18" i="16"/>
  <c r="B18" i="17"/>
  <c r="C18" i="9"/>
  <c r="B18" i="18"/>
  <c r="C18" i="18"/>
  <c r="D18" i="17"/>
  <c r="C18" i="17"/>
  <c r="C18" i="16"/>
  <c r="D18" i="18"/>
  <c r="D18" i="9"/>
  <c r="B18" i="9"/>
  <c r="B18" i="16"/>
  <c r="E15" i="16" l="1"/>
  <c r="E15" i="17"/>
  <c r="E15" i="9"/>
  <c r="E15" i="18"/>
  <c r="B19" i="16"/>
  <c r="C19" i="16"/>
  <c r="B19" i="18"/>
  <c r="E18" i="16"/>
  <c r="B19" i="9"/>
  <c r="C19" i="17"/>
  <c r="C19" i="9"/>
  <c r="E18" i="9"/>
  <c r="D19" i="9"/>
  <c r="D19" i="17"/>
  <c r="B19" i="17"/>
  <c r="D19" i="18"/>
  <c r="C19" i="18"/>
  <c r="D19" i="16"/>
  <c r="E18" i="17"/>
  <c r="E18" i="18"/>
  <c r="E19" i="18"/>
  <c r="D20" i="18"/>
  <c r="E19" i="9"/>
  <c r="E19" i="16"/>
  <c r="C20" i="9"/>
  <c r="D20" i="16"/>
  <c r="D20" i="17"/>
  <c r="C20" i="17"/>
  <c r="C20" i="16"/>
  <c r="C20" i="18"/>
  <c r="D20" i="9"/>
  <c r="B20" i="9"/>
  <c r="B20" i="16"/>
  <c r="E19" i="17"/>
  <c r="B20" i="17"/>
  <c r="B20" i="18"/>
  <c r="E20" i="17"/>
  <c r="E20" i="16"/>
  <c r="E20" i="18"/>
  <c r="E2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B8D13D75-D864-4130-854E-235D051AE1BC}">
      <text>
        <r>
          <rPr>
            <b/>
            <sz val="9"/>
            <color indexed="81"/>
            <rFont val="Tahoma"/>
            <charset val="1"/>
          </rPr>
          <t xml:space="preserve">Schmitt, Chris: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9F9047D4-65D4-4FE3-8AD6-472333814F59}">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1E395FDF-CF74-43F5-99F1-F832BBCA6C57}">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3C0E3225-1556-48D3-A4E4-491EFA76C1BE}">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89DB1D22-B1CC-443F-8564-7A8020F0F648}">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15D7B642-E334-42B2-B5DD-1EE9C3174281}">
      <text>
        <r>
          <rPr>
            <b/>
            <sz val="9"/>
            <color indexed="81"/>
            <rFont val="Tahoma"/>
            <charset val="1"/>
          </rPr>
          <t xml:space="preserve">Schmitt, Chris: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370B51A1-2946-41C9-BAEA-BB0D2FB8E24E}">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5E5FB09B-18BB-4E70-A696-7B231196EF81}">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1DDB6BE4-551C-4413-9F3A-3E0C25367F05}">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3F1BFC14-2D2E-4924-BE2B-94FE9CD28338}">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532D0455-D2B3-4AE0-B70A-EAB02D85C065}">
      <text>
        <r>
          <rPr>
            <b/>
            <sz val="9"/>
            <color indexed="81"/>
            <rFont val="Tahoma"/>
            <charset val="1"/>
          </rPr>
          <t xml:space="preserve">Schmitt, Chris: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36227079-1D17-40BB-B06F-5DDE99C78097}">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AF190374-B186-427D-A425-C9A75BCE8E2B}">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C2D60406-2068-4072-BB69-4AB40B07604A}">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4F104C18-1CF6-4172-81C4-202FBB16F897}">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Schmitt, Chris</author>
    <author>Chris Schmitt</author>
  </authors>
  <commentList>
    <comment ref="A12" authorId="0" shapeId="0" xr:uid="{00000000-0006-0000-0300-000001000000}">
      <text>
        <r>
          <rPr>
            <b/>
            <sz val="9"/>
            <color indexed="81"/>
            <rFont val="Tahoma"/>
            <charset val="1"/>
          </rPr>
          <t xml:space="preserve">Schmitt, Chris:
</t>
        </r>
        <r>
          <rPr>
            <sz val="9"/>
            <color indexed="81"/>
            <rFont val="Tahoma"/>
            <family val="2"/>
          </rPr>
          <t xml:space="preserve">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
</t>
        </r>
      </text>
    </comment>
    <comment ref="B12" authorId="0" shapeId="0" xr:uid="{00000000-0006-0000-0300-000002000000}">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C12" authorId="0" shapeId="0" xr:uid="{00000000-0006-0000-0300-000003000000}">
      <text>
        <r>
          <rPr>
            <b/>
            <sz val="9"/>
            <color indexed="81"/>
            <rFont val="Tahoma"/>
            <family val="2"/>
          </rPr>
          <t>Schmitt, Chris:</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D12" authorId="1" shapeId="0" xr:uid="{00000000-0006-0000-0300-000004000000}">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 ref="E12" authorId="1" shapeId="0" xr:uid="{00000000-0006-0000-0300-000005000000}">
      <text>
        <r>
          <rPr>
            <b/>
            <sz val="9"/>
            <color indexed="81"/>
            <rFont val="Tahoma"/>
            <family val="2"/>
          </rPr>
          <t>Chris Schmitt:</t>
        </r>
        <r>
          <rPr>
            <sz val="9"/>
            <color indexed="81"/>
            <rFont val="Tahoma"/>
            <family val="2"/>
          </rPr>
          <t xml:space="preserve">
This amount is NOT used in the Calculated Appraised amount since the county appears to be charging a flat rate for each lot in the neighborhood regardless of lot size. If you want your assessment comparison to use the calculated values, change the Calculated Total Appraised formula to use this cell's value instead of the Average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Schmitt, Chris</author>
  </authors>
  <commentList>
    <comment ref="C3" authorId="0" shapeId="0" xr:uid="{00000000-0006-0000-0400-000001000000}">
      <text>
        <r>
          <rPr>
            <b/>
            <sz val="9"/>
            <color indexed="81"/>
            <rFont val="Tahoma"/>
            <charset val="1"/>
          </rPr>
          <t>Schmitt, Chris:</t>
        </r>
        <r>
          <rPr>
            <sz val="9"/>
            <color indexed="81"/>
            <rFont val="Tahoma"/>
            <charset val="1"/>
          </rPr>
          <t xml:space="preserve">
This column is auto-populated</t>
        </r>
      </text>
    </comment>
    <comment ref="G3" authorId="0" shapeId="0" xr:uid="{00000000-0006-0000-0400-000002000000}">
      <text>
        <r>
          <rPr>
            <b/>
            <sz val="9"/>
            <color indexed="81"/>
            <rFont val="Tahoma"/>
            <family val="2"/>
          </rPr>
          <t>Schmitt, Chris:</t>
        </r>
        <r>
          <rPr>
            <sz val="9"/>
            <color indexed="81"/>
            <rFont val="Tahoma"/>
            <family val="2"/>
          </rPr>
          <t xml:space="preserve">
Going by Total Finished sqft
</t>
        </r>
      </text>
    </comment>
    <comment ref="D26" authorId="0" shapeId="0" xr:uid="{00000000-0006-0000-0400-000003000000}">
      <text>
        <r>
          <rPr>
            <b/>
            <sz val="9"/>
            <color indexed="81"/>
            <rFont val="Tahoma"/>
            <charset val="1"/>
          </rPr>
          <t>Schmitt, Chris:</t>
        </r>
        <r>
          <rPr>
            <sz val="9"/>
            <color indexed="81"/>
            <rFont val="Tahoma"/>
            <charset val="1"/>
          </rPr>
          <t xml:space="preserve">
Tax Site is incorrect for sure on this one</t>
        </r>
      </text>
    </comment>
  </commentList>
</comments>
</file>

<file path=xl/sharedStrings.xml><?xml version="1.0" encoding="utf-8"?>
<sst xmlns="http://schemas.openxmlformats.org/spreadsheetml/2006/main" count="532" uniqueCount="52">
  <si>
    <t>Address</t>
  </si>
  <si>
    <t>Bed</t>
  </si>
  <si>
    <t>Bath</t>
  </si>
  <si>
    <t>Lot Size</t>
  </si>
  <si>
    <t>Sqft</t>
  </si>
  <si>
    <t>Values sourced from http://www.gwinnettassessor.manatron.com/IWantTo/PropertyGISSearch.aspx</t>
  </si>
  <si>
    <t>Similar House Comps
(3 br/2+ ba)</t>
  </si>
  <si>
    <t>Calculations based upon the Data sheet</t>
  </si>
  <si>
    <t>Average</t>
  </si>
  <si>
    <t>Last Sale $/sqft</t>
  </si>
  <si>
    <t>Suggested Values for Property:</t>
  </si>
  <si>
    <t>Largest Lot:</t>
  </si>
  <si>
    <t>Largest Sqft:</t>
  </si>
  <si>
    <t>Street</t>
  </si>
  <si>
    <t>ROW IN 
Data Sheet</t>
  </si>
  <si>
    <t>Albion Farm Way</t>
  </si>
  <si>
    <t>Barnwood Xing</t>
  </si>
  <si>
    <t>Chattahoochee Trce</t>
  </si>
  <si>
    <t>Hawks Nest Ct</t>
  </si>
  <si>
    <t>White Owl Ct</t>
  </si>
  <si>
    <t>Average Appraised Value ($) Delta/Year</t>
  </si>
  <si>
    <t>Average Appraised Value (%) Delta/Year</t>
  </si>
  <si>
    <t>Copy these to create new year</t>
  </si>
  <si>
    <t>Calculations</t>
  </si>
  <si>
    <t>Static search string</t>
  </si>
  <si>
    <t>Appraised Total Value</t>
  </si>
  <si>
    <t xml:space="preserve">Final reference </t>
  </si>
  <si>
    <t>Appraised Building Value</t>
  </si>
  <si>
    <t>Appraised Land Value</t>
  </si>
  <si>
    <t>Appraised $/sqft</t>
  </si>
  <si>
    <t>Data</t>
  </si>
  <si>
    <t>Appraised $/acre</t>
  </si>
  <si>
    <t>Deltas</t>
  </si>
  <si>
    <t>Data Source Sheet Name</t>
  </si>
  <si>
    <t>Last Sold Date</t>
  </si>
  <si>
    <t>Last Sold Price</t>
  </si>
  <si>
    <t>Property Has # Br:</t>
  </si>
  <si>
    <t>Property Has # Ba:</t>
  </si>
  <si>
    <t xml:space="preserve">&lt;---PUT YOUR ADDRESS HERE
Everything else will auto-calculate </t>
  </si>
  <si>
    <t>&lt;--USE THESE VALUES FOR YOUR COMPARISON VALUES</t>
  </si>
  <si>
    <t>Highest $/sqft Sold (all-time):</t>
  </si>
  <si>
    <t>All  Houses</t>
  </si>
  <si>
    <t>Calculation values (select items)</t>
  </si>
  <si>
    <t xml:space="preserve"> </t>
  </si>
  <si>
    <t xml:space="preserve">    </t>
  </si>
  <si>
    <t xml:space="preserve">   </t>
  </si>
  <si>
    <t>Data starts in row (all sheets)</t>
  </si>
  <si>
    <t>Data ends in row (all sheets)</t>
  </si>
  <si>
    <t>Latest Year That Data Is Available</t>
  </si>
  <si>
    <t>--</t>
  </si>
  <si>
    <t>House Number</t>
  </si>
  <si>
    <t>2462 Albion Farm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</si>
</sst>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0_);_(* \(#,##0\);_(* &quot;-&quot;??_);_(@_)"/>
    <numFmt numFmtId="165" formatCode="_(&quot;$&quot;* #,##0_);_(&quot;$&quot;* \(#,##0\);_(&quot;$&quot;* &quot;-&quot;??_);_(@_)"/>
  </numFmts>
  <fonts count="17" x14ac:knownFonts="1">
    <font>
      <sz val="11"/>
      <color rgb="FF000000"/>
      <name val="Calibri"/>
    </font>
    <font>
      <b/>
      <sz val="11"/>
      <color rgb="FF000000"/>
      <name val="Calibri"/>
    </font>
    <font>
      <u/>
      <sz val="11"/>
      <color rgb="FF0563C1"/>
      <name val="Calibri"/>
    </font>
    <font>
      <sz val="11"/>
      <color rgb="FF000000"/>
      <name val="Calibri"/>
    </font>
    <font>
      <b/>
      <sz val="11"/>
      <color rgb="FF000000"/>
      <name val="Calibri"/>
      <family val="2"/>
    </font>
    <font>
      <sz val="11"/>
      <color rgb="FF000000"/>
      <name val="Calibri"/>
      <family val="2"/>
      <scheme val="minor"/>
    </font>
    <font>
      <sz val="11"/>
      <color rgb="FF000000"/>
      <name val="Calibri"/>
      <family val="2"/>
    </font>
    <font>
      <sz val="11"/>
      <name val="Calibri"/>
      <family val="2"/>
    </font>
    <font>
      <b/>
      <sz val="9"/>
      <color indexed="81"/>
      <name val="Tahoma"/>
      <charset val="1"/>
    </font>
    <font>
      <sz val="9"/>
      <color indexed="81"/>
      <name val="Tahoma"/>
      <family val="2"/>
    </font>
    <font>
      <b/>
      <sz val="9"/>
      <color indexed="81"/>
      <name val="Tahoma"/>
      <family val="2"/>
    </font>
    <font>
      <sz val="9"/>
      <color indexed="81"/>
      <name val="Tahoma"/>
      <charset val="1"/>
    </font>
    <font>
      <sz val="36"/>
      <color rgb="FFFF0000"/>
      <name val="Calibri"/>
      <family val="2"/>
    </font>
    <font>
      <b/>
      <sz val="12"/>
      <color rgb="FF000000"/>
      <name val="Calibri"/>
      <family val="2"/>
    </font>
    <font>
      <sz val="11"/>
      <color rgb="FFFF0000"/>
      <name val="Calibri"/>
      <family val="2"/>
    </font>
    <font>
      <b/>
      <sz val="11"/>
      <color rgb="FFFF0000"/>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8">
    <border>
      <left/>
      <right/>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double">
        <color indexed="64"/>
      </left>
      <right/>
      <top style="thin">
        <color indexed="64"/>
      </top>
      <bottom style="thin">
        <color indexed="64"/>
      </bottom>
      <diagonal/>
    </border>
    <border>
      <left style="double">
        <color indexed="64"/>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indexed="64"/>
      </right>
      <top/>
      <bottom style="thin">
        <color auto="1"/>
      </bottom>
      <diagonal/>
    </border>
    <border>
      <left/>
      <right style="thin">
        <color auto="1"/>
      </right>
      <top style="thin">
        <color auto="1"/>
      </top>
      <bottom style="thin">
        <color auto="1"/>
      </bottom>
      <diagonal/>
    </border>
    <border>
      <left/>
      <right/>
      <top/>
      <bottom style="thin">
        <color indexed="64"/>
      </bottom>
      <diagonal/>
    </border>
    <border>
      <left style="thin">
        <color auto="1"/>
      </left>
      <right/>
      <top/>
      <bottom/>
      <diagonal/>
    </border>
    <border>
      <left/>
      <right style="thin">
        <color indexed="64"/>
      </right>
      <top/>
      <bottom/>
      <diagonal/>
    </border>
    <border>
      <left style="thin">
        <color auto="1"/>
      </left>
      <right/>
      <top/>
      <bottom style="thin">
        <color indexed="64"/>
      </bottom>
      <diagonal/>
    </border>
    <border>
      <left/>
      <right style="thick">
        <color auto="1"/>
      </right>
      <top/>
      <bottom/>
      <diagonal/>
    </border>
    <border>
      <left/>
      <right style="thick">
        <color auto="1"/>
      </right>
      <top style="thin">
        <color auto="1"/>
      </top>
      <bottom style="thin">
        <color auto="1"/>
      </bottom>
      <diagonal/>
    </border>
    <border>
      <left style="thick">
        <color auto="1"/>
      </left>
      <right/>
      <top style="thin">
        <color auto="1"/>
      </top>
      <bottom style="thin">
        <color indexed="64"/>
      </bottom>
      <diagonal/>
    </border>
    <border>
      <left style="thick">
        <color auto="1"/>
      </left>
      <right/>
      <top/>
      <bottom/>
      <diagonal/>
    </border>
    <border>
      <left/>
      <right/>
      <top style="thin">
        <color auto="1"/>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top/>
      <bottom style="medium">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135">
    <xf numFmtId="0" fontId="0" fillId="0" borderId="0" xfId="0" applyFont="1" applyAlignment="1"/>
    <xf numFmtId="0" fontId="1" fillId="0" borderId="0" xfId="0" applyFont="1"/>
    <xf numFmtId="0" fontId="1" fillId="0" borderId="0" xfId="0" applyFont="1" applyAlignment="1">
      <alignment wrapText="1"/>
    </xf>
    <xf numFmtId="0" fontId="4" fillId="0" borderId="0" xfId="0" applyFont="1" applyAlignment="1">
      <alignment wrapText="1"/>
    </xf>
    <xf numFmtId="0" fontId="0" fillId="0" borderId="0" xfId="0" applyFont="1" applyBorder="1" applyAlignment="1"/>
    <xf numFmtId="0" fontId="0" fillId="0" borderId="3" xfId="0" applyFont="1" applyBorder="1" applyAlignment="1"/>
    <xf numFmtId="2" fontId="0" fillId="0" borderId="3" xfId="0" applyNumberFormat="1" applyFont="1" applyBorder="1"/>
    <xf numFmtId="164" fontId="0" fillId="0" borderId="3" xfId="0" applyNumberFormat="1" applyFont="1" applyBorder="1"/>
    <xf numFmtId="165" fontId="0" fillId="0" borderId="4" xfId="0" applyNumberFormat="1" applyFont="1" applyBorder="1"/>
    <xf numFmtId="14" fontId="0" fillId="0" borderId="3" xfId="0" applyNumberFormat="1" applyFont="1" applyBorder="1"/>
    <xf numFmtId="165" fontId="0" fillId="0" borderId="3" xfId="0" applyNumberFormat="1" applyFont="1" applyBorder="1"/>
    <xf numFmtId="0" fontId="6" fillId="0" borderId="0" xfId="0" applyFont="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alignment wrapText="1"/>
    </xf>
    <xf numFmtId="0" fontId="4" fillId="0" borderId="2" xfId="0" applyFont="1" applyBorder="1" applyAlignment="1">
      <alignment wrapText="1"/>
    </xf>
    <xf numFmtId="0" fontId="4" fillId="0" borderId="0" xfId="0" applyFont="1" applyFill="1" applyBorder="1" applyAlignment="1">
      <alignment wrapText="1"/>
    </xf>
    <xf numFmtId="165" fontId="5" fillId="0" borderId="6" xfId="1" applyNumberFormat="1" applyFont="1" applyBorder="1" applyAlignment="1">
      <alignment horizontal="right" wrapText="1"/>
    </xf>
    <xf numFmtId="165" fontId="5" fillId="0" borderId="5" xfId="1" applyNumberFormat="1" applyFont="1" applyBorder="1" applyAlignment="1">
      <alignment horizontal="right" wrapText="1"/>
    </xf>
    <xf numFmtId="0" fontId="4" fillId="0" borderId="7" xfId="0" applyFont="1" applyBorder="1" applyAlignment="1">
      <alignment wrapText="1"/>
    </xf>
    <xf numFmtId="0" fontId="6" fillId="0" borderId="3" xfId="0" applyFont="1" applyBorder="1" applyAlignment="1"/>
    <xf numFmtId="0" fontId="0" fillId="0" borderId="7" xfId="0" applyFont="1" applyBorder="1" applyAlignment="1">
      <alignment textRotation="45" wrapText="1"/>
    </xf>
    <xf numFmtId="44" fontId="0" fillId="0" borderId="10" xfId="1" applyFont="1" applyBorder="1" applyAlignment="1"/>
    <xf numFmtId="44" fontId="0" fillId="0" borderId="11" xfId="0" applyNumberFormat="1" applyFont="1" applyBorder="1" applyAlignment="1"/>
    <xf numFmtId="0" fontId="6" fillId="0" borderId="10" xfId="0" applyFont="1" applyBorder="1" applyAlignment="1"/>
    <xf numFmtId="44" fontId="0" fillId="0" borderId="10" xfId="0" applyNumberFormat="1" applyFont="1" applyBorder="1" applyAlignment="1"/>
    <xf numFmtId="0" fontId="0" fillId="0" borderId="10" xfId="0" applyFont="1" applyBorder="1" applyAlignment="1"/>
    <xf numFmtId="0" fontId="0" fillId="2" borderId="10" xfId="0" applyFont="1" applyFill="1" applyBorder="1" applyAlignment="1"/>
    <xf numFmtId="0" fontId="6" fillId="2" borderId="10" xfId="0" applyFont="1" applyFill="1" applyBorder="1" applyAlignment="1"/>
    <xf numFmtId="44" fontId="0" fillId="0" borderId="11" xfId="1" applyFont="1" applyBorder="1" applyAlignment="1"/>
    <xf numFmtId="44" fontId="0" fillId="0" borderId="12" xfId="0" applyNumberFormat="1" applyFont="1" applyBorder="1" applyAlignment="1"/>
    <xf numFmtId="0" fontId="6" fillId="0" borderId="8" xfId="0" applyFont="1" applyBorder="1" applyAlignment="1">
      <alignment textRotation="45" wrapText="1"/>
    </xf>
    <xf numFmtId="0" fontId="6" fillId="0" borderId="9" xfId="0" applyFont="1" applyBorder="1" applyAlignment="1">
      <alignment textRotation="45" wrapText="1"/>
    </xf>
    <xf numFmtId="0" fontId="0" fillId="0" borderId="13" xfId="0" applyFont="1" applyBorder="1" applyAlignment="1">
      <alignment textRotation="45" wrapText="1"/>
    </xf>
    <xf numFmtId="14" fontId="0" fillId="0" borderId="0" xfId="0" applyNumberFormat="1" applyFont="1" applyAlignment="1"/>
    <xf numFmtId="0" fontId="0" fillId="0" borderId="0" xfId="0" applyFont="1" applyAlignment="1">
      <alignment wrapText="1"/>
    </xf>
    <xf numFmtId="0" fontId="6" fillId="0" borderId="11" xfId="0" applyFont="1" applyBorder="1" applyAlignment="1"/>
    <xf numFmtId="0" fontId="0" fillId="0" borderId="11" xfId="0" applyFont="1" applyBorder="1" applyAlignment="1"/>
    <xf numFmtId="10" fontId="0" fillId="0" borderId="3" xfId="2" applyNumberFormat="1" applyFont="1" applyBorder="1" applyAlignment="1"/>
    <xf numFmtId="10" fontId="0" fillId="0" borderId="12" xfId="2" applyNumberFormat="1" applyFont="1" applyBorder="1" applyAlignment="1"/>
    <xf numFmtId="10" fontId="0" fillId="0" borderId="10" xfId="2" applyNumberFormat="1" applyFont="1" applyBorder="1" applyAlignment="1"/>
    <xf numFmtId="0" fontId="0" fillId="0" borderId="3" xfId="0" applyNumberFormat="1" applyFont="1" applyBorder="1" applyAlignment="1"/>
    <xf numFmtId="14" fontId="6" fillId="0" borderId="3" xfId="0" applyNumberFormat="1" applyFont="1" applyBorder="1"/>
    <xf numFmtId="165" fontId="0" fillId="0" borderId="14" xfId="1" applyNumberFormat="1" applyFont="1" applyBorder="1" applyAlignment="1"/>
    <xf numFmtId="165" fontId="0" fillId="0" borderId="14" xfId="1" applyNumberFormat="1" applyFont="1" applyBorder="1" applyAlignment="1">
      <alignment vertical="center"/>
    </xf>
    <xf numFmtId="165" fontId="0" fillId="0" borderId="0" xfId="1" applyNumberFormat="1" applyFont="1" applyBorder="1" applyAlignment="1">
      <alignment vertical="center"/>
    </xf>
    <xf numFmtId="0" fontId="0" fillId="0" borderId="16" xfId="0" applyFont="1" applyBorder="1" applyAlignment="1"/>
    <xf numFmtId="0" fontId="6" fillId="0" borderId="11" xfId="0" applyFont="1" applyBorder="1" applyAlignment="1">
      <alignment horizontal="center" wrapText="1"/>
    </xf>
    <xf numFmtId="44" fontId="0" fillId="0" borderId="14" xfId="1" applyNumberFormat="1" applyFont="1" applyBorder="1" applyAlignment="1">
      <alignment vertical="center"/>
    </xf>
    <xf numFmtId="0" fontId="4" fillId="0" borderId="16" xfId="0" applyFont="1" applyBorder="1" applyAlignment="1">
      <alignment wrapText="1"/>
    </xf>
    <xf numFmtId="0" fontId="7" fillId="0" borderId="3" xfId="0" applyFont="1" applyBorder="1" applyAlignment="1"/>
    <xf numFmtId="44" fontId="7" fillId="0" borderId="5" xfId="1" applyFont="1" applyBorder="1" applyAlignment="1"/>
    <xf numFmtId="44" fontId="7" fillId="0" borderId="3" xfId="1" applyFont="1" applyBorder="1" applyAlignment="1"/>
    <xf numFmtId="44" fontId="7" fillId="0" borderId="14" xfId="1" applyFont="1" applyBorder="1" applyAlignment="1"/>
    <xf numFmtId="0" fontId="7" fillId="0" borderId="11" xfId="0" applyFont="1" applyBorder="1" applyAlignment="1"/>
    <xf numFmtId="165" fontId="7" fillId="0" borderId="11" xfId="1" applyNumberFormat="1" applyFont="1" applyBorder="1" applyAlignment="1"/>
    <xf numFmtId="165" fontId="7" fillId="0" borderId="3" xfId="0" applyNumberFormat="1" applyFont="1" applyBorder="1"/>
    <xf numFmtId="0" fontId="0" fillId="2" borderId="0" xfId="0" applyFont="1" applyFill="1" applyAlignment="1">
      <alignment horizontal="center"/>
    </xf>
    <xf numFmtId="0" fontId="4" fillId="0" borderId="19" xfId="0" applyFont="1" applyFill="1" applyBorder="1" applyAlignment="1">
      <alignment wrapText="1"/>
    </xf>
    <xf numFmtId="165" fontId="7" fillId="0" borderId="21" xfId="0" applyNumberFormat="1" applyFont="1" applyBorder="1"/>
    <xf numFmtId="44" fontId="7" fillId="0" borderId="3" xfId="0" applyNumberFormat="1" applyFont="1" applyBorder="1"/>
    <xf numFmtId="0" fontId="1" fillId="0" borderId="0" xfId="0" applyFont="1" applyBorder="1" applyAlignment="1">
      <alignment wrapText="1"/>
    </xf>
    <xf numFmtId="44" fontId="7" fillId="0" borderId="14" xfId="0" applyNumberFormat="1" applyFont="1" applyBorder="1"/>
    <xf numFmtId="165" fontId="7" fillId="0" borderId="11" xfId="0" applyNumberFormat="1" applyFont="1" applyBorder="1"/>
    <xf numFmtId="10" fontId="7" fillId="0" borderId="3" xfId="0" applyNumberFormat="1" applyFont="1" applyBorder="1" applyAlignment="1">
      <alignment horizontal="center"/>
    </xf>
    <xf numFmtId="10" fontId="7" fillId="0" borderId="20" xfId="0" applyNumberFormat="1" applyFont="1" applyBorder="1" applyAlignment="1">
      <alignment horizontal="center"/>
    </xf>
    <xf numFmtId="44" fontId="0" fillId="0" borderId="0" xfId="0" applyNumberFormat="1" applyFont="1" applyBorder="1" applyAlignment="1"/>
    <xf numFmtId="0" fontId="4" fillId="0" borderId="8" xfId="0" applyFont="1" applyBorder="1" applyAlignment="1">
      <alignment wrapText="1"/>
    </xf>
    <xf numFmtId="0" fontId="4" fillId="0" borderId="18" xfId="0" applyFont="1" applyBorder="1" applyAlignment="1">
      <alignment wrapText="1"/>
    </xf>
    <xf numFmtId="165" fontId="6" fillId="0" borderId="4" xfId="0" applyNumberFormat="1" applyFont="1" applyBorder="1"/>
    <xf numFmtId="0" fontId="0" fillId="0" borderId="0" xfId="0" applyFont="1" applyFill="1" applyBorder="1" applyAlignment="1">
      <alignment textRotation="45" wrapText="1"/>
    </xf>
    <xf numFmtId="0" fontId="12" fillId="0" borderId="0" xfId="0" applyFont="1" applyAlignment="1">
      <alignment horizontal="center" vertical="center"/>
    </xf>
    <xf numFmtId="0" fontId="6" fillId="0" borderId="0" xfId="0" applyFont="1" applyFill="1" applyBorder="1" applyAlignment="1">
      <alignment textRotation="45" wrapText="1"/>
    </xf>
    <xf numFmtId="44" fontId="0" fillId="0" borderId="3" xfId="1" applyFont="1" applyBorder="1" applyAlignment="1"/>
    <xf numFmtId="0" fontId="6" fillId="0" borderId="0" xfId="0" applyFont="1" applyAlignment="1">
      <alignment horizontal="right"/>
    </xf>
    <xf numFmtId="0" fontId="4" fillId="0" borderId="0" xfId="0" applyFont="1" applyAlignment="1">
      <alignment horizontal="left"/>
    </xf>
    <xf numFmtId="0" fontId="0" fillId="0" borderId="23" xfId="0" applyFont="1" applyBorder="1" applyAlignment="1"/>
    <xf numFmtId="0" fontId="0" fillId="0" borderId="11" xfId="0" applyFont="1" applyFill="1" applyBorder="1" applyAlignment="1"/>
    <xf numFmtId="44" fontId="13" fillId="0" borderId="0" xfId="0" quotePrefix="1" applyNumberFormat="1" applyFont="1" applyAlignment="1"/>
    <xf numFmtId="0" fontId="0" fillId="0" borderId="15" xfId="0" applyFont="1" applyBorder="1" applyAlignment="1"/>
    <xf numFmtId="0" fontId="0" fillId="0" borderId="0" xfId="0" applyFont="1" applyAlignment="1">
      <alignment horizontal="right"/>
    </xf>
    <xf numFmtId="44" fontId="0" fillId="0" borderId="0" xfId="0" applyNumberFormat="1" applyFont="1" applyAlignment="1"/>
    <xf numFmtId="14" fontId="7" fillId="0" borderId="3" xfId="1" applyNumberFormat="1" applyFont="1" applyBorder="1" applyAlignment="1"/>
    <xf numFmtId="14" fontId="6" fillId="0" borderId="0" xfId="0" applyNumberFormat="1" applyFont="1" applyAlignment="1"/>
    <xf numFmtId="0" fontId="6" fillId="0" borderId="0" xfId="0" applyNumberFormat="1" applyFont="1" applyAlignment="1"/>
    <xf numFmtId="0" fontId="2" fillId="0" borderId="0" xfId="0" applyFont="1" applyBorder="1" applyAlignment="1">
      <alignment horizontal="left"/>
    </xf>
    <xf numFmtId="0" fontId="4" fillId="0" borderId="16" xfId="0" applyFont="1" applyBorder="1" applyAlignment="1">
      <alignment vertical="top" wrapText="1"/>
    </xf>
    <xf numFmtId="0" fontId="4" fillId="0" borderId="0" xfId="0" applyFont="1" applyAlignment="1">
      <alignment vertical="top" wrapText="1"/>
    </xf>
    <xf numFmtId="0" fontId="4" fillId="0" borderId="0" xfId="0" applyFont="1" applyFill="1" applyBorder="1" applyAlignment="1">
      <alignment vertical="top" wrapText="1"/>
    </xf>
    <xf numFmtId="0" fontId="4" fillId="0" borderId="19" xfId="0" applyFont="1" applyFill="1" applyBorder="1" applyAlignment="1">
      <alignment vertical="top" wrapText="1"/>
    </xf>
    <xf numFmtId="0" fontId="1" fillId="0" borderId="22" xfId="0" applyFont="1" applyBorder="1" applyAlignment="1">
      <alignment vertical="top" wrapText="1"/>
    </xf>
    <xf numFmtId="0" fontId="1" fillId="0" borderId="0" xfId="0" applyFont="1" applyBorder="1" applyAlignment="1">
      <alignment vertical="top" wrapText="1"/>
    </xf>
    <xf numFmtId="0" fontId="4" fillId="0" borderId="17" xfId="0" applyFont="1" applyBorder="1" applyAlignment="1">
      <alignment vertical="top" wrapText="1"/>
    </xf>
    <xf numFmtId="0" fontId="4" fillId="0" borderId="0" xfId="0" applyFont="1" applyBorder="1" applyAlignment="1">
      <alignment vertical="top" wrapText="1"/>
    </xf>
    <xf numFmtId="0" fontId="1" fillId="0" borderId="16" xfId="0" applyFont="1" applyBorder="1" applyAlignment="1">
      <alignment vertical="top" wrapText="1"/>
    </xf>
    <xf numFmtId="0" fontId="0" fillId="0" borderId="0" xfId="0" applyFont="1" applyFill="1" applyAlignment="1">
      <alignment horizontal="center"/>
    </xf>
    <xf numFmtId="0" fontId="14" fillId="0" borderId="0" xfId="0" applyFont="1" applyAlignment="1"/>
    <xf numFmtId="0" fontId="15" fillId="0" borderId="0" xfId="0" applyFont="1" applyFill="1" applyBorder="1" applyAlignment="1">
      <alignment wrapText="1"/>
    </xf>
    <xf numFmtId="0" fontId="4" fillId="0" borderId="0" xfId="0" applyFont="1" applyAlignment="1">
      <alignment horizontal="left"/>
    </xf>
    <xf numFmtId="0" fontId="4" fillId="0" borderId="17" xfId="0" applyFont="1" applyBorder="1" applyAlignment="1">
      <alignment wrapText="1"/>
    </xf>
    <xf numFmtId="44" fontId="4" fillId="2" borderId="10" xfId="0" applyNumberFormat="1" applyFont="1" applyFill="1" applyBorder="1" applyAlignment="1"/>
    <xf numFmtId="44" fontId="4" fillId="2" borderId="11" xfId="0" applyNumberFormat="1" applyFont="1" applyFill="1" applyBorder="1" applyAlignment="1"/>
    <xf numFmtId="44" fontId="4" fillId="2" borderId="12" xfId="0" applyNumberFormat="1" applyFont="1" applyFill="1" applyBorder="1" applyAlignment="1"/>
    <xf numFmtId="10" fontId="0" fillId="0" borderId="14" xfId="2" applyNumberFormat="1" applyFont="1" applyBorder="1" applyAlignment="1">
      <alignment vertical="center"/>
    </xf>
    <xf numFmtId="10" fontId="0" fillId="0" borderId="14" xfId="2" quotePrefix="1" applyNumberFormat="1" applyFont="1" applyBorder="1" applyAlignment="1">
      <alignment vertical="center"/>
    </xf>
    <xf numFmtId="0" fontId="0" fillId="0" borderId="3" xfId="0" applyFont="1" applyBorder="1" applyAlignment="1">
      <alignment horizontal="left"/>
    </xf>
    <xf numFmtId="0" fontId="0" fillId="0" borderId="14" xfId="0" applyFont="1" applyBorder="1" applyAlignment="1">
      <alignment horizontal="left"/>
    </xf>
    <xf numFmtId="0" fontId="6" fillId="0" borderId="11" xfId="0" applyFont="1" applyBorder="1" applyAlignment="1">
      <alignment horizontal="left"/>
    </xf>
    <xf numFmtId="0" fontId="6" fillId="0" borderId="3" xfId="0" applyFont="1" applyBorder="1" applyAlignment="1">
      <alignment horizontal="left"/>
    </xf>
    <xf numFmtId="0" fontId="0" fillId="0" borderId="10" xfId="0" applyFont="1" applyBorder="1" applyAlignment="1">
      <alignment horizontal="center" wrapText="1"/>
    </xf>
    <xf numFmtId="0" fontId="0" fillId="0" borderId="10" xfId="0" applyFont="1" applyBorder="1" applyAlignment="1">
      <alignment horizontal="center" vertical="center" wrapText="1"/>
    </xf>
    <xf numFmtId="0" fontId="4" fillId="0" borderId="0" xfId="0" applyFont="1" applyAlignment="1">
      <alignment horizontal="left"/>
    </xf>
    <xf numFmtId="0" fontId="13" fillId="0" borderId="0" xfId="0" quotePrefix="1" applyFont="1" applyAlignment="1">
      <alignment horizontal="center" vertical="top" wrapText="1"/>
    </xf>
    <xf numFmtId="0" fontId="13" fillId="0" borderId="0" xfId="0" quotePrefix="1" applyFont="1" applyAlignment="1">
      <alignment horizontal="center" vertical="top"/>
    </xf>
    <xf numFmtId="0" fontId="13" fillId="0" borderId="15" xfId="0" quotePrefix="1" applyFont="1" applyBorder="1" applyAlignment="1">
      <alignment horizontal="center" vertical="top"/>
    </xf>
    <xf numFmtId="0" fontId="6" fillId="0" borderId="15" xfId="0" applyFont="1" applyBorder="1" applyAlignment="1">
      <alignment horizontal="left"/>
    </xf>
    <xf numFmtId="0" fontId="4" fillId="0" borderId="24" xfId="0" applyFont="1" applyBorder="1" applyAlignment="1">
      <alignment horizontal="center" wrapText="1"/>
    </xf>
    <xf numFmtId="0" fontId="4" fillId="0" borderId="25" xfId="0" applyFont="1" applyBorder="1" applyAlignment="1">
      <alignment horizontal="center" wrapText="1"/>
    </xf>
    <xf numFmtId="0" fontId="4" fillId="0" borderId="26" xfId="0" applyFont="1" applyBorder="1" applyAlignment="1">
      <alignment horizontal="center" wrapText="1"/>
    </xf>
    <xf numFmtId="0" fontId="7" fillId="0" borderId="27" xfId="0" applyFont="1" applyBorder="1" applyAlignment="1">
      <alignment horizontal="center"/>
    </xf>
    <xf numFmtId="0" fontId="2" fillId="0" borderId="0" xfId="0" applyFont="1" applyBorder="1" applyAlignment="1">
      <alignment horizontal="center" vertical="center"/>
    </xf>
    <xf numFmtId="0" fontId="6" fillId="0" borderId="0" xfId="0" applyFont="1" applyAlignment="1">
      <alignment horizontal="center"/>
    </xf>
    <xf numFmtId="0" fontId="0" fillId="0" borderId="0" xfId="0" applyFont="1" applyAlignment="1">
      <alignment horizontal="center"/>
    </xf>
    <xf numFmtId="0" fontId="0" fillId="0" borderId="0" xfId="0" applyFont="1" applyAlignment="1">
      <alignment horizontal="right"/>
    </xf>
    <xf numFmtId="0" fontId="1" fillId="0" borderId="22" xfId="0" applyFont="1" applyBorder="1" applyAlignment="1">
      <alignment horizontal="center" wrapText="1"/>
    </xf>
    <xf numFmtId="0" fontId="1" fillId="0" borderId="0"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2" fontId="7" fillId="0" borderId="3" xfId="0" applyNumberFormat="1" applyFont="1" applyBorder="1"/>
    <xf numFmtId="164" fontId="7" fillId="0" borderId="3" xfId="0" applyNumberFormat="1" applyFont="1" applyBorder="1"/>
    <xf numFmtId="14" fontId="7" fillId="0" borderId="3" xfId="0" applyNumberFormat="1" applyFont="1" applyBorder="1"/>
    <xf numFmtId="165" fontId="7" fillId="0" borderId="4" xfId="0" applyNumberFormat="1" applyFont="1" applyBorder="1"/>
    <xf numFmtId="165" fontId="16" fillId="0" borderId="6" xfId="1" applyNumberFormat="1" applyFont="1" applyBorder="1" applyAlignment="1">
      <alignment horizontal="right" wrapText="1"/>
    </xf>
    <xf numFmtId="165" fontId="16" fillId="0" borderId="5" xfId="1" applyNumberFormat="1" applyFont="1" applyBorder="1" applyAlignment="1">
      <alignment horizontal="right" wrapText="1"/>
    </xf>
    <xf numFmtId="0" fontId="7" fillId="0" borderId="0" xfId="0" applyFont="1" applyBorder="1" applyAlignment="1"/>
  </cellXfs>
  <cellStyles count="3">
    <cellStyle name="Currency" xfId="1" builtinId="4"/>
    <cellStyle name="Normal" xfId="0" builtinId="0"/>
    <cellStyle name="Percent" xfId="2" builtinId="5"/>
  </cellStyles>
  <dxfs count="3">
    <dxf>
      <font>
        <strike/>
      </font>
    </dxf>
    <dxf>
      <font>
        <strike/>
      </font>
    </dxf>
    <dxf>
      <font>
        <strik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chmitt, Chris" id="{C1692A01-854B-48AD-8C5D-863FA7070853}" userId="S::Chris.Schmitt@ihg.com::eb20fb9d-630a-4f58-9d69-7480512c32d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gwinnettassessor.manatron.com/IWantTo/PropertyGISSearch.aspx"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B99A-2627-4702-B05F-7F74511E853F}">
  <sheetPr codeName="Sheet10"/>
  <dimension ref="A1:Q47"/>
  <sheetViews>
    <sheetView showGridLines="0" tabSelected="1" zoomScale="85" zoomScaleNormal="85" workbookViewId="0">
      <selection activeCell="B10" sqref="B10"/>
    </sheetView>
  </sheetViews>
  <sheetFormatPr defaultRowHeight="14.25" x14ac:dyDescent="0.45"/>
  <cols>
    <col min="1" max="1" width="34.3984375" bestFit="1" customWidth="1"/>
    <col min="2" max="2" width="14.3984375" bestFit="1" customWidth="1"/>
    <col min="3" max="3" width="13.265625" bestFit="1" customWidth="1"/>
    <col min="4" max="4" width="14" customWidth="1"/>
    <col min="5" max="5" width="18"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1" t="str">
        <f ca="1">LEFT(MID(CELL("filename",A1),FIND("]",CELL("filename",A1))+1,255),FIND(" ",MID(CELL("filename",A1),FIND("]",CELL("filename",A1))+1,255)))</f>
        <v xml:space="preserve">2019 </v>
      </c>
      <c r="B1" s="31" t="str">
        <f ca="1">CONCATENATE("Same House Comps","
("&amp;B10&amp;" br/"&amp;B11&amp;" ba)")</f>
        <v>Same House Comps
(2 br/2.5 ba)</v>
      </c>
      <c r="C1" s="32" t="s">
        <v>6</v>
      </c>
      <c r="D1" s="33" t="s">
        <v>41</v>
      </c>
      <c r="E1" s="21" t="s">
        <v>8</v>
      </c>
      <c r="G1" s="70" t="s">
        <v>42</v>
      </c>
      <c r="H1" s="72" t="s">
        <v>26</v>
      </c>
      <c r="I1" s="72" t="s">
        <v>33</v>
      </c>
      <c r="J1" s="70" t="str">
        <f ca="1">$A1&amp;"cell letter"</f>
        <v>2019 cell letter</v>
      </c>
      <c r="K1" s="70" t="s">
        <v>24</v>
      </c>
    </row>
    <row r="2" spans="1:17" x14ac:dyDescent="0.45">
      <c r="A2" s="24" t="str">
        <f ca="1">A1&amp;"Total Appraised Price Average"</f>
        <v>2019 Total Appraised Price Average</v>
      </c>
      <c r="B2" s="22">
        <f ca="1">IFERROR(AVERAGEIFS(INDIRECT($H2),Data!E:E,"&lt;&gt;",Data!D:D,$B$10,Data!E:E,$B$11),"")</f>
        <v>196400</v>
      </c>
      <c r="C2" s="22">
        <f ca="1">IFERROR(AVERAGEIFS(INDIRECT($H2),Data!E:E,"&lt;&gt;",Data!D:D,$B$10,Data!E:E,"&gt;="&amp;ROUNDDOWN($B$11,0)),"")</f>
        <v>175727.58620689655</v>
      </c>
      <c r="D2" s="29">
        <f ca="1">IFERROR(AVERAGEIFS(INDIRECT($H2),Data!E:E,"&lt;&gt;"),"")</f>
        <v>183333.14917127072</v>
      </c>
      <c r="E2" s="30">
        <f ca="1">IFERROR(AVERAGE(B2:D2),"")</f>
        <v>185153.57845938913</v>
      </c>
      <c r="H2" s="11" t="str">
        <f ca="1">CONCATENATE($I2,"!",$J2,":",$J2)</f>
        <v>Data!S:S</v>
      </c>
      <c r="I2" s="11" t="s">
        <v>30</v>
      </c>
      <c r="J2" t="str">
        <f ca="1">SUBSTITUTE(ADDRESS(1,MATCH(CONCATENATE($A$1,$K2),INDIRECT($I2&amp;"!3:3"),0),4),1,"")</f>
        <v>S</v>
      </c>
      <c r="K2" s="11" t="s">
        <v>25</v>
      </c>
    </row>
    <row r="3" spans="1:17" x14ac:dyDescent="0.45">
      <c r="A3" s="24" t="str">
        <f ca="1">A1&amp;"Building Appraised Price Average"</f>
        <v>2019 Building Appraised Price Average</v>
      </c>
      <c r="B3" s="22">
        <f ca="1">IFERROR(AVERAGEIFS(INDIRECT($H3),Data!E:E,"&lt;&gt;",Data!D:D,$B$10,Data!E:E,$B$11),"")</f>
        <v>166400</v>
      </c>
      <c r="C3" s="22">
        <f ca="1">IFERROR(AVERAGEIFS(INDIRECT($H3),Data!E:E,"&lt;&gt;",Data!D:D,$B$10,Data!E:E,"&gt;="&amp;ROUNDDOWN($B$11,0)),"")</f>
        <v>145727.58620689655</v>
      </c>
      <c r="D3" s="29">
        <f ca="1">IFERROR(AVERAGEIFS(INDIRECT($H3),Data!E:E,"&lt;&gt;"),"")</f>
        <v>153333.14917127072</v>
      </c>
      <c r="E3" s="30">
        <f ca="1">IFERROR(AVERAGE(B3:D3),"")</f>
        <v>155153.5784593891</v>
      </c>
      <c r="H3" s="11" t="str">
        <f ca="1">CONCATENATE($I3,"!",$J3,":",$J3)</f>
        <v>Data!T:T</v>
      </c>
      <c r="I3" s="11" t="s">
        <v>30</v>
      </c>
      <c r="J3" t="str">
        <f ca="1">SUBSTITUTE(ADDRESS(1,MATCH(CONCATENATE($A$1,$K3),INDIRECT($I3&amp;"!3:3"),0),4),1,"")</f>
        <v>T</v>
      </c>
      <c r="K3" s="11" t="s">
        <v>27</v>
      </c>
    </row>
    <row r="4" spans="1:17" x14ac:dyDescent="0.45">
      <c r="A4" s="24" t="str">
        <f ca="1">A1&amp;"Land Appraised Price Average"</f>
        <v>2019 Land Appraised Price Average</v>
      </c>
      <c r="B4" s="22">
        <f ca="1">IFERROR(AVERAGEIFS(INDIRECT($H4),Data!E:E,"&lt;&gt;",Data!D:D,$B$10,Data!E:E,$B$11),"")</f>
        <v>30000</v>
      </c>
      <c r="C4" s="22">
        <f ca="1">IFERROR(AVERAGEIFS(INDIRECT($H4),Data!E:E,"&lt;&gt;",Data!D:D,$B$10,Data!E:E,"&gt;="&amp;ROUNDDOWN($B$11,0)),"")</f>
        <v>30000</v>
      </c>
      <c r="D4" s="29">
        <f ca="1">IFERROR(AVERAGEIFS(INDIRECT($H4),Data!E:E,"&lt;&gt;"),"")</f>
        <v>30000</v>
      </c>
      <c r="E4" s="30">
        <f ca="1">IFERROR(AVERAGE(B4:D4),"")</f>
        <v>30000</v>
      </c>
      <c r="H4" s="11" t="str">
        <f ca="1">CONCATENATE($I4,"!",$J4,":",$J4)</f>
        <v>Data!U:U</v>
      </c>
      <c r="I4" s="11" t="s">
        <v>30</v>
      </c>
      <c r="J4" t="str">
        <f ca="1">SUBSTITUTE(ADDRESS(1,MATCH(CONCATENATE($A$1,$K4),INDIRECT($I4&amp;"!3:3"),0),4),1,"")</f>
        <v>U</v>
      </c>
      <c r="K4" t="s">
        <v>28</v>
      </c>
    </row>
    <row r="5" spans="1:17" x14ac:dyDescent="0.45">
      <c r="B5" s="73"/>
      <c r="C5" s="73"/>
      <c r="E5" s="5"/>
      <c r="H5" s="11"/>
      <c r="I5" s="11"/>
    </row>
    <row r="6" spans="1:17" x14ac:dyDescent="0.45">
      <c r="A6" s="24" t="str">
        <f ca="1">A1&amp;"Appraised Price/sqft Average"</f>
        <v>2019 Appraised Price/sqft Average</v>
      </c>
      <c r="B6" s="22">
        <f ca="1">IFERROR(AVERAGEIFS(INDIRECT($H6),Data!E:E,"&lt;&gt;",Data!D:D,$B$10,Data!E:E,$B$11),"")</f>
        <v>144.44444444444446</v>
      </c>
      <c r="C6" s="22">
        <f ca="1">IFERROR(AVERAGEIFS(INDIRECT($H6),Data!E:E,"&lt;&gt;",Data!D:D,$B$10,Data!E:E,"&gt;="&amp;ROUNDDOWN($B$11,0)),"")</f>
        <v>145.8062248699255</v>
      </c>
      <c r="D6" s="29">
        <f ca="1">IFERROR(AVERAGEIFS(INDIRECT($H6),Data!E:E,"&lt;&gt;"),"")</f>
        <v>143.1301139405378</v>
      </c>
      <c r="E6" s="30">
        <f ca="1">IFERROR(AVERAGE(B6:D6),"")</f>
        <v>144.46026108496923</v>
      </c>
      <c r="H6" s="11" t="str">
        <f ca="1">CONCATENATE($I6,"!",$J6,":",$J6)</f>
        <v>Calculations!K:K</v>
      </c>
      <c r="I6" s="11" t="s">
        <v>23</v>
      </c>
      <c r="J6" t="str">
        <f ca="1">SUBSTITUTE(ADDRESS(1,MATCH(CONCATENATE($A$1,$K6),INDIRECT($I6&amp;"!3:3"),0),4),1,"")</f>
        <v>K</v>
      </c>
      <c r="K6" t="s">
        <v>29</v>
      </c>
    </row>
    <row r="7" spans="1:17" x14ac:dyDescent="0.45">
      <c r="A7" s="24" t="str">
        <f ca="1">A1&amp;"Appraised Price/acre Average"</f>
        <v>2019 Appraised Price/acre Average</v>
      </c>
      <c r="B7" s="22">
        <f ca="1">IFERROR(AVERAGEIFS(INDIRECT($H7),Data!E:E,"&lt;&gt;",Data!D:D,$B$10,Data!E:E,$B$11),"")</f>
        <v>214285.71428571426</v>
      </c>
      <c r="C7" s="22">
        <f ca="1">IFERROR(AVERAGEIFS(INDIRECT($H7),Data!E:E,"&lt;&gt;",Data!D:D,$B$10,Data!E:E,"&gt;="&amp;ROUNDDOWN($B$11,0)),"")</f>
        <v>248470.8960748516</v>
      </c>
      <c r="D7" s="29">
        <f ca="1">IFERROR(AVERAGEIFS(INDIRECT($H7),Data!E:E,"&lt;&gt;"),"")</f>
        <v>242894.00633036238</v>
      </c>
      <c r="E7" s="30">
        <f ca="1">IFERROR(AVERAGE(B7:D7),"")</f>
        <v>235216.87223030941</v>
      </c>
      <c r="H7" s="11" t="str">
        <f ca="1">CONCATENATE($I7,"!",$J7,":",$J7)</f>
        <v>Calculations!L:L</v>
      </c>
      <c r="I7" s="11" t="s">
        <v>23</v>
      </c>
      <c r="J7" t="str">
        <f ca="1">SUBSTITUTE(ADDRESS(1,MATCH(CONCATENATE($A$1,$K7),INDIRECT($I7&amp;"!3:3"),0),4),1,"")</f>
        <v>L</v>
      </c>
      <c r="K7" t="s">
        <v>31</v>
      </c>
    </row>
    <row r="8" spans="1:17" x14ac:dyDescent="0.45">
      <c r="D8" s="76"/>
      <c r="E8" s="4"/>
    </row>
    <row r="9" spans="1:17" ht="15.75" customHeight="1" x14ac:dyDescent="0.45">
      <c r="A9" s="11" t="s">
        <v>10</v>
      </c>
      <c r="B9" s="111" t="s">
        <v>51</v>
      </c>
      <c r="C9" s="111"/>
      <c r="D9" s="112" t="s">
        <v>38</v>
      </c>
      <c r="E9" s="113"/>
    </row>
    <row r="10" spans="1:17" x14ac:dyDescent="0.45">
      <c r="A10" s="74" t="s">
        <v>36</v>
      </c>
      <c r="B10" s="98">
        <f ca="1">INDEX(INDIRECT($H10),MATCH($B$9&amp;"*",Data!$C:$C,0))</f>
        <v>2</v>
      </c>
      <c r="D10" s="113"/>
      <c r="E10" s="113"/>
      <c r="H10" s="11" t="str">
        <f ca="1">CONCATENATE($I10,"!",$J10,":",$J10)</f>
        <v>Data!D:D</v>
      </c>
      <c r="I10" s="11" t="s">
        <v>30</v>
      </c>
      <c r="J10" s="11" t="str">
        <f ca="1">SUBSTITUTE(ADDRESS(1,MATCH($K10,INDIRECT($I10&amp;"!3:3"),0),4),1,"")</f>
        <v>D</v>
      </c>
      <c r="K10" s="11" t="s">
        <v>1</v>
      </c>
    </row>
    <row r="11" spans="1:17" x14ac:dyDescent="0.45">
      <c r="A11" s="74" t="s">
        <v>37</v>
      </c>
      <c r="B11" s="98">
        <f ca="1">INDEX(INDIRECT($H11),MATCH($B$9&amp;"*",Data!$C:$C,0))</f>
        <v>2.5</v>
      </c>
      <c r="D11" s="114"/>
      <c r="E11" s="114"/>
      <c r="H11" s="11" t="str">
        <f ca="1">CONCATENATE($I11,"!",$J11,":",$J11)</f>
        <v>Data!E:E</v>
      </c>
      <c r="I11" s="11" t="s">
        <v>30</v>
      </c>
      <c r="J11" s="11" t="str">
        <f ca="1">SUBSTITUTE(ADDRESS(1,MATCH($K11,INDIRECT($I11&amp;"!3:3"),0),4),1,"")</f>
        <v>E</v>
      </c>
      <c r="K11" s="11" t="s">
        <v>2</v>
      </c>
    </row>
    <row r="12" spans="1:17" x14ac:dyDescent="0.45">
      <c r="A12" s="24" t="str">
        <f ca="1">A1&amp;"Calculated Land Value"</f>
        <v>2019 Calculated Land Value</v>
      </c>
      <c r="B12" s="25">
        <f ca="1">IFERROR(B$7*INDEX(INDIRECT($H12),MATCH($B$9&amp;"*",Calculations!$A:$A,0)),"")</f>
        <v>30000</v>
      </c>
      <c r="C12" s="25">
        <f ca="1">IFERROR(C$7*INDEX(INDIRECT($H12),MATCH($B$9&amp;"*",Calculations!$A:$A,0)),"")</f>
        <v>34785.925450479226</v>
      </c>
      <c r="D12" s="25">
        <f ca="1">IFERROR(D$7*INDEX(INDIRECT($H12),MATCH($B$9&amp;"*",Calculations!$A:$A,0)),"")</f>
        <v>34005.160886250735</v>
      </c>
      <c r="E12" s="30">
        <f ca="1">IFERROR(E$7*INDEX(INDIRECT($H12),MATCH($B$9&amp;"*",Calculations!$A:$A,0)),"")</f>
        <v>32930.362112243318</v>
      </c>
      <c r="H12" s="11" t="str">
        <f ca="1">CONCATENATE($I12,"!",$J12,":",$J12)</f>
        <v>Data!F:F</v>
      </c>
      <c r="I12" s="11" t="s">
        <v>30</v>
      </c>
      <c r="J12" s="11" t="str">
        <f ca="1">SUBSTITUTE(ADDRESS(1,MATCH($K12,INDIRECT($I12&amp;"!3:3"),0),4),1,"")</f>
        <v>F</v>
      </c>
      <c r="K12" s="11" t="s">
        <v>3</v>
      </c>
      <c r="N12" s="11"/>
    </row>
    <row r="13" spans="1:17" x14ac:dyDescent="0.45">
      <c r="A13" s="24" t="str">
        <f ca="1">A1&amp;"Calculated Building Value"</f>
        <v>2019 Calculated Building Value</v>
      </c>
      <c r="B13" s="25">
        <f ca="1">IFERROR(B$6*INDEX(INDIRECT($H13),MATCH($B$9&amp;"*",Calculations!$A:$A,0)),"")</f>
        <v>166400</v>
      </c>
      <c r="C13" s="25">
        <f ca="1">IFERROR(C$6*INDEX(INDIRECT($H13),MATCH($B$9&amp;"*",Calculations!$A:$A,0)),"")</f>
        <v>167968.77105015417</v>
      </c>
      <c r="D13" s="23">
        <f ca="1">IFERROR(D$6*INDEX(INDIRECT($H13),MATCH($B$9&amp;"*",Calculations!$A:$A,0)),"")</f>
        <v>164885.89125949953</v>
      </c>
      <c r="E13" s="30">
        <f ca="1">IFERROR(E$6*INDEX(INDIRECT($H13),MATCH($B$9&amp;"*",Calculations!$A:$A,0)),"")</f>
        <v>166418.22076988456</v>
      </c>
      <c r="H13" s="11" t="str">
        <f ca="1">CONCATENATE($I13,"!",$J13,":",$J13)</f>
        <v>Data!G:G</v>
      </c>
      <c r="I13" s="11" t="s">
        <v>30</v>
      </c>
      <c r="J13" s="11" t="str">
        <f ca="1">SUBSTITUTE(ADDRESS(1,MATCH($K13,INDIRECT($I13&amp;"!3:3"),0),4),1,"")</f>
        <v>G</v>
      </c>
      <c r="K13" s="11" t="s">
        <v>4</v>
      </c>
      <c r="N13" s="11"/>
      <c r="Q13" s="81"/>
    </row>
    <row r="14" spans="1:17" ht="15.75" x14ac:dyDescent="0.5">
      <c r="A14" s="27" t="str">
        <f ca="1">A1&amp;"Calculated Total Appraised"</f>
        <v>2019 Calculated Total Appraised</v>
      </c>
      <c r="B14" s="100">
        <f ca="1">IFERROR(B$4+B$13,"")</f>
        <v>196400</v>
      </c>
      <c r="C14" s="100">
        <f ca="1">IFERROR(C$4+C$13,"")</f>
        <v>197968.77105015417</v>
      </c>
      <c r="D14" s="101">
        <f ca="1">IFERROR(D$4+D$13,"")</f>
        <v>194885.89125949953</v>
      </c>
      <c r="E14" s="102">
        <f ca="1">IFERROR(E$4+E$13,"")</f>
        <v>196418.22076988456</v>
      </c>
      <c r="F14" s="78" t="s">
        <v>39</v>
      </c>
      <c r="G14" s="78"/>
    </row>
    <row r="15" spans="1:17" ht="15.75" x14ac:dyDescent="0.5">
      <c r="A15" s="28" t="str">
        <f ca="1">A1&amp;"Calculated Total Assessed"</f>
        <v>2019 Calculated Total Assessed</v>
      </c>
      <c r="B15" s="100">
        <f ca="1">IFERROR(B14*0.4,"")</f>
        <v>78560</v>
      </c>
      <c r="C15" s="100">
        <f ca="1">IFERROR(C14*0.4,"")</f>
        <v>79187.508420061669</v>
      </c>
      <c r="D15" s="101">
        <f ca="1">IFERROR(D14*0.4,"")</f>
        <v>77954.35650379982</v>
      </c>
      <c r="E15" s="102">
        <f ca="1">IFERROR(E14*0.4,"")</f>
        <v>78567.28830795383</v>
      </c>
      <c r="F15" s="78" t="s">
        <v>39</v>
      </c>
      <c r="G15" s="78"/>
      <c r="O15" s="11"/>
    </row>
    <row r="16" spans="1:17" x14ac:dyDescent="0.45">
      <c r="E16" s="76"/>
    </row>
    <row r="17" spans="1:12" x14ac:dyDescent="0.45">
      <c r="A17" s="115" t="str">
        <f>CONCATENATE("Linearly Forecasted Total Appraised Value* For Property: ",$B$9)</f>
        <v>Linearly Forecasted Total Appraised Value* For Property: 2462 Albion Farm Way</v>
      </c>
      <c r="B17" s="115"/>
      <c r="C17" s="115"/>
      <c r="D17" s="115"/>
      <c r="E17" s="79"/>
    </row>
    <row r="18" spans="1:12" x14ac:dyDescent="0.45">
      <c r="A18" s="26">
        <f ca="1">A1+1</f>
        <v>2020</v>
      </c>
      <c r="B18" s="25">
        <f ca="1">IFERROR(B$14*(1+INDEX(INDIRECT($H18),MATCH($B$9&amp;"*",Calculations!$A:$A,0))),"")</f>
        <v>218878.97856817144</v>
      </c>
      <c r="C18" s="25">
        <f ca="1">IFERROR(C$14*(1+INDEX(INDIRECT($H18),MATCH($B$9&amp;"*",Calculations!$A:$A,0))),"")</f>
        <v>220627.30344121146</v>
      </c>
      <c r="D18" s="23">
        <f ca="1">IFERROR(D$14*(1+INDEX(INDIRECT($H18),MATCH($B$9&amp;"*",Calculations!$A:$A,0))),"")</f>
        <v>217191.57238404782</v>
      </c>
      <c r="E18" s="30">
        <f ca="1">IFERROR(E$14*(1+INDEX(INDIRECT($H18),MATCH($B$9&amp;"*",Calculations!$A:$A,0))),"")</f>
        <v>218899.28479781022</v>
      </c>
      <c r="H18" s="11" t="str">
        <f ca="1">CONCATENATE($I18,"!",$J18,":",$J18)</f>
        <v>Deltas!F:F</v>
      </c>
      <c r="I18" s="11" t="s">
        <v>32</v>
      </c>
      <c r="J18" s="11" t="str">
        <f ca="1">SUBSTITUTE(ADDRESS(1,MATCH($K18,INDIRECT($I18&amp;"!3:3"),0),4),1,"")</f>
        <v>F</v>
      </c>
      <c r="K18" t="s">
        <v>21</v>
      </c>
    </row>
    <row r="19" spans="1:12" x14ac:dyDescent="0.45">
      <c r="A19" s="26">
        <f ca="1">A1+2</f>
        <v>2021</v>
      </c>
      <c r="B19" s="25">
        <f ca="1">IFERROR(B$18*(1+INDEX(INDIRECT($H18),MATCH($B$9&amp;"*",Calculations!$A:$A,0))),"")</f>
        <v>243930.7905246744</v>
      </c>
      <c r="C19" s="25">
        <f ca="1">IFERROR(C$18*(1+INDEX(INDIRECT($H18),MATCH($B$9&amp;"*",Calculations!$A:$A,0))),"")</f>
        <v>245879.22006854572</v>
      </c>
      <c r="D19" s="23">
        <f ca="1">IFERROR(D$18*(1+INDEX(INDIRECT($H18),MATCH($B$9&amp;"*",Calculations!$A:$A,0))),"")</f>
        <v>242050.25212339847</v>
      </c>
      <c r="E19" s="30">
        <f ca="1">IFERROR(E$18*(1+INDEX(INDIRECT($H18),MATCH($B$9&amp;"*",Calculations!$A:$A,0))),"")</f>
        <v>243953.4209055395</v>
      </c>
      <c r="H19" s="11" t="str">
        <f ca="1">CONCATENATE($I19,"!",$J19,":",$J19)</f>
        <v>Deltas!F:F</v>
      </c>
      <c r="I19" s="11" t="s">
        <v>32</v>
      </c>
      <c r="J19" s="11" t="str">
        <f ca="1">SUBSTITUTE(ADDRESS(1,MATCH($K19,INDIRECT($I19&amp;"!3:3"),0),4),1,"")</f>
        <v>F</v>
      </c>
      <c r="K19" t="s">
        <v>21</v>
      </c>
    </row>
    <row r="20" spans="1:12" x14ac:dyDescent="0.45">
      <c r="A20" s="26">
        <f ca="1">A1+3</f>
        <v>2022</v>
      </c>
      <c r="B20" s="25">
        <f ca="1">IFERROR(B$19*(1+INDEX(INDIRECT($H18),MATCH($B$9&amp;"*",Calculations!$A:$A,0))),"")</f>
        <v>271849.90973201283</v>
      </c>
      <c r="C20" s="25">
        <f ca="1">IFERROR(C$19*(1+INDEX(INDIRECT($H18),MATCH($B$9&amp;"*",Calculations!$A:$A,0))),"")</f>
        <v>274021.34694369615</v>
      </c>
      <c r="D20" s="23">
        <f ca="1">IFERROR(D$19*(1+INDEX(INDIRECT($H18),MATCH($B$9&amp;"*",Calculations!$A:$A,0))),"")</f>
        <v>269754.13414937793</v>
      </c>
      <c r="E20" s="30">
        <f ca="1">IFERROR(E$19*(1+INDEX(INDIRECT($H18),MATCH($B$9&amp;"*",Calculations!$A:$A,0))),"")</f>
        <v>271875.13027502893</v>
      </c>
      <c r="H20" s="11" t="str">
        <f ca="1">CONCATENATE($I20,"!",$J20,":",$J20)</f>
        <v>Deltas!F:F</v>
      </c>
      <c r="I20" s="11" t="s">
        <v>32</v>
      </c>
      <c r="J20" s="11" t="str">
        <f ca="1">SUBSTITUTE(ADDRESS(1,MATCH($K20,INDIRECT($I20&amp;"!3:3"),0),4),1,"")</f>
        <v>F</v>
      </c>
      <c r="K20" t="s">
        <v>21</v>
      </c>
    </row>
    <row r="21" spans="1:12" x14ac:dyDescent="0.45">
      <c r="A21" s="35"/>
    </row>
    <row r="23" spans="1:12" x14ac:dyDescent="0.45">
      <c r="A23" s="107" t="str">
        <f>CONCATENATE($B$9,"'s Appraised 
Price")</f>
        <v>2462 Albion Farm Way's Appraised 
Price</v>
      </c>
      <c r="B23" s="108"/>
      <c r="C23" s="108"/>
      <c r="D23" s="108"/>
      <c r="E23" s="43">
        <f ca="1">IFERROR(INDEX(INDIRECT($H23),MATCH($B$9&amp;"*",Calculations!$A:$A,0)),"")</f>
        <v>196400</v>
      </c>
      <c r="H23" s="11" t="str">
        <f ca="1">CONCATENATE($I23,"!",$J23,":",$J23)</f>
        <v>Data!S:S</v>
      </c>
      <c r="I23" s="11" t="s">
        <v>30</v>
      </c>
      <c r="J23" t="str">
        <f ca="1">SUBSTITUTE(ADDRESS(1,MATCH(CONCATENATE($A$1,$K23),INDIRECT($I23&amp;"!3:3"),0),4),1,"")</f>
        <v>S</v>
      </c>
      <c r="K23" s="11" t="s">
        <v>25</v>
      </c>
      <c r="L23" s="11"/>
    </row>
    <row r="24" spans="1:12" x14ac:dyDescent="0.45">
      <c r="A24" s="107" t="str">
        <f ca="1">CONCATENATE($B$9,"'s Appraised Price YoY Change (",TRIM($A$1)-1,"-",TRIM($A$1),")")</f>
        <v>2462 Albion Farm Way's Appraised Price YoY Change (2018-2019)</v>
      </c>
      <c r="B24" s="108"/>
      <c r="C24" s="108"/>
      <c r="D24" s="108"/>
      <c r="E24" s="103">
        <f ca="1">IFERROR(INDEX(INDIRECT($H24),MATCH($B$9&amp;"*",Calculations!$A:$A,0)),"")</f>
        <v>8.628318584070796E-2</v>
      </c>
      <c r="F24" s="45"/>
      <c r="G24" s="45"/>
      <c r="H24" s="11" t="str">
        <f ca="1">CONCATENATE($I24,"!",$J24,":",$J24)</f>
        <v>Deltas!N:N</v>
      </c>
      <c r="I24" s="11" t="s">
        <v>32</v>
      </c>
      <c r="J24" s="11" t="str">
        <f ca="1">SUBSTITUTE(ADDRESS(1,MATCH($K24,INDIRECT($I24&amp;"!3:3"),0),4),1,"")</f>
        <v>N</v>
      </c>
      <c r="K24" t="str">
        <f ca="1">RIGHT(TRIM($A$1),2)-1&amp;"/"&amp;RIGHT(TRIM($A$1),2)&amp;" Delta Appraised (%)"</f>
        <v>18/19 Delta Appraised (%)</v>
      </c>
    </row>
    <row r="25" spans="1:12" x14ac:dyDescent="0.45">
      <c r="A25" s="107" t="str">
        <f>CONCATENATE($B$9,"'s Calculated Assessed Price")</f>
        <v>2462 Albion Farm Way's Calculated Assessed Price</v>
      </c>
      <c r="B25" s="108"/>
      <c r="C25" s="108"/>
      <c r="D25" s="108"/>
      <c r="E25" s="44">
        <f ca="1">IFERROR($E$23*0.4,"")</f>
        <v>78560</v>
      </c>
    </row>
    <row r="26" spans="1:12" x14ac:dyDescent="0.45">
      <c r="A26" s="107" t="str">
        <f>CONCATENATE($B$9,"'s Appraised Price/sqft")</f>
        <v>2462 Albion Farm Way's Appraised Price/sqft</v>
      </c>
      <c r="B26" s="108"/>
      <c r="C26" s="108"/>
      <c r="D26" s="108"/>
      <c r="E26" s="48">
        <f ca="1">IFERROR(INDEX(INDIRECT($H26),MATCH($B$9&amp;"*",Calculations!$A:$A,0)),"")</f>
        <v>144.44444444444446</v>
      </c>
      <c r="F26" s="45"/>
      <c r="G26" s="45"/>
      <c r="H26" s="11" t="str">
        <f ca="1">CONCATENATE($I26,"!",$J26,":",$J26)</f>
        <v>Calculations!K:K</v>
      </c>
      <c r="I26" s="11" t="s">
        <v>23</v>
      </c>
      <c r="J26" t="str">
        <f ca="1">SUBSTITUTE(ADDRESS(1,MATCH(CONCATENATE($A$1,$K26),INDIRECT($I26&amp;"!3:3"),0),4),1,"")</f>
        <v>K</v>
      </c>
      <c r="K26" t="s">
        <v>29</v>
      </c>
    </row>
    <row r="27" spans="1:12" ht="28.5" x14ac:dyDescent="0.45">
      <c r="A27" s="47" t="str">
        <f ca="1">CONCATENATE($B$9,"'s Appraised Price vs ",$A$1,"Average")</f>
        <v>2462 Albion Farm Way's Appraised Price vs 2019 Average</v>
      </c>
      <c r="B27" s="40">
        <f ca="1">IFERROR($E$23/B$2,"")</f>
        <v>1</v>
      </c>
      <c r="C27" s="40">
        <f ca="1">IFERROR($E$23/C$2,"")</f>
        <v>1.1176389788269461</v>
      </c>
      <c r="D27" s="38">
        <f ca="1">IFERROR($E$23/D$2,"")</f>
        <v>1.0712738033890541</v>
      </c>
      <c r="E27" s="39">
        <f ca="1">IFERROR($E$23/E$2,"")</f>
        <v>1.0607410433770126</v>
      </c>
      <c r="F27" s="46"/>
      <c r="G27" s="4"/>
      <c r="H27" s="4"/>
      <c r="I27" s="4"/>
      <c r="J27" s="4"/>
      <c r="L27" s="34"/>
    </row>
    <row r="28" spans="1:12" ht="28.5" x14ac:dyDescent="0.45">
      <c r="A28" s="47" t="str">
        <f ca="1">CONCATENATE($B$9,"'s Appraised Price/sqft vs. ",$A$1,"Average")</f>
        <v>2462 Albion Farm Way's Appraised Price/sqft vs. 2019 Average</v>
      </c>
      <c r="B28" s="40">
        <f ca="1">IFERROR(TRUNC(INDEX(INDIRECT($H28),MATCH($B$9&amp;"*",Calculations!$A:$A,0)),2)/B$6,"")</f>
        <v>0.99996923076923072</v>
      </c>
      <c r="C28" s="40">
        <f ca="1">IFERROR(TRUNC(INDEX(INDIRECT($H28),MATCH($B$9&amp;"*",Calculations!$A:$A,0)),2)/C$6,"")</f>
        <v>0.99062985910824919</v>
      </c>
      <c r="D28" s="38">
        <f ca="1">IFERROR(TRUNC(INDEX(INDIRECT($H28),MATCH($B$9&amp;"*",Calculations!$A:$A,0)),2)/D$6,"")</f>
        <v>1.009151715340675</v>
      </c>
      <c r="E28" s="39">
        <f ca="1">IFERROR(TRUNC(INDEX(INDIRECT($H28),MATCH($B$9&amp;"*",Calculations!$A:$A,0)),2)/E$6,"")</f>
        <v>0.99985974630796692</v>
      </c>
      <c r="H28" s="11" t="str">
        <f ca="1">CONCATENATE($I28,"!",$J28,":",$J28)</f>
        <v>Calculations!K:K</v>
      </c>
      <c r="I28" s="11" t="s">
        <v>23</v>
      </c>
      <c r="J28" t="str">
        <f ca="1">SUBSTITUTE(ADDRESS(1,MATCH(CONCATENATE($A$1,$K28),INDIRECT($I28&amp;"!3:3"),0),4),1,"")</f>
        <v>K</v>
      </c>
      <c r="K28" t="s">
        <v>29</v>
      </c>
    </row>
    <row r="29" spans="1:12" ht="30.75" customHeight="1" x14ac:dyDescent="0.45">
      <c r="A29" s="109" t="str">
        <f ca="1">CONCATENATE("If ", $B$9, " sold at the highest cost/sqft (",$G29,") that's been sold in ",$A$1,"it would get:")</f>
        <v>If 2462 Albion Farm Way sold at the highest cost/sqft ($213.82) that's been sold in 2019 it would get:</v>
      </c>
      <c r="B29" s="109"/>
      <c r="C29" s="109"/>
      <c r="D29" s="109"/>
      <c r="E29" s="22">
        <f ca="1">IFERROR($G29*INDEX(INDIRECT($H13),MATCH($B$9&amp;"*",Calculations!$A:$A,0)),"")</f>
        <v>246320.63999999998</v>
      </c>
      <c r="G29" t="str">
        <f t="array" aca="1" ref="G29" ca="1">TEXT(MAX(IF(INDIRECT($H31)&gt;=DATE($A$1,1,1),IF(INDIRECT($H31)&lt;=DATE($A$1,12,31),INDIRECT($H29),""),"")),"$#,##0.00")</f>
        <v>$213.82</v>
      </c>
      <c r="H29" s="11" t="str">
        <f ca="1">CONCATENATE($I29,"!",$J29,":",$J29)</f>
        <v>Calculations!D:D</v>
      </c>
      <c r="I29" s="11" t="s">
        <v>23</v>
      </c>
      <c r="J29" s="11" t="str">
        <f ca="1">SUBSTITUTE(ADDRESS(1,MATCH($K29,INDIRECT($I29&amp;"!3:3"),0),4),1,"")</f>
        <v>D</v>
      </c>
      <c r="K29" t="s">
        <v>9</v>
      </c>
    </row>
    <row r="30" spans="1:12" ht="31.15" customHeight="1" x14ac:dyDescent="0.45">
      <c r="A30" s="110" t="str">
        <f ca="1">IFERROR(CONCATENATE("If ", $B$9, " sold at the average cost/sqft (",TEXT(AVERAGEIFS(INDIRECT($H29),INDIRECT($H30),"&gt;="&amp;DATE($A$1,1,1),INDIRECT($H30),"&lt;="&amp;DATE($A$1,12,31)),"$#,##.##"),") that's been sold in ",$A$1,"it would get:"),"")</f>
        <v>If 2462 Albion Farm Way sold at the average cost/sqft ($174.33) that's been sold in 2019 it would get:</v>
      </c>
      <c r="B30" s="110"/>
      <c r="C30" s="110"/>
      <c r="D30" s="110"/>
      <c r="E30" s="22">
        <f ca="1">IFERROR(INDEX(INDIRECT($H13),MATCH($B$9&amp;"*",Data!C:C,0))*AVERAGEIFS(INDIRECT($H29),INDIRECT($H30),"&gt;="&amp;DATE($A$1,1,1),INDIRECT($H30),"&lt;="&amp;DATE($A$1,12,31)),"")</f>
        <v>200823.85277871377</v>
      </c>
      <c r="H30" s="11" t="str">
        <f ca="1">CONCATENATE($I30,"!",$J30,":",$J30)</f>
        <v>Data!H:H</v>
      </c>
      <c r="I30" s="11" t="s">
        <v>30</v>
      </c>
      <c r="J30" s="11" t="str">
        <f ca="1">SUBSTITUTE(ADDRESS(1,MATCH($K30,INDIRECT($I30&amp;"!3:3"),0),4),1,"")</f>
        <v>H</v>
      </c>
      <c r="K30" s="11" t="s">
        <v>34</v>
      </c>
    </row>
    <row r="31" spans="1:12" ht="31.5" customHeight="1" x14ac:dyDescent="0.45">
      <c r="A31" s="110" t="str">
        <f ca="1">IFERROR(CONCATENATE("If ", $B$9, " sold at the average cost/sqft (",TEXT(AVERAGEIFS(INDIRECT($H29),INDIRECT($H31),"&gt;="&amp;DATE($A$1-2,1,1),INDIRECT($H29),"&lt;="&amp;DATE($A$1,12,31)),"$#,##.##"),") that's been sold in the last 2 years (",$A$1-2,"-",TRIM($A$1),") it would get:"),"")</f>
        <v>If 2462 Albion Farm Way sold at the average cost/sqft ($158.05) that's been sold in the last 2 years (2017-2019) it would get:</v>
      </c>
      <c r="B31" s="110"/>
      <c r="C31" s="110"/>
      <c r="D31" s="110"/>
      <c r="E31" s="22">
        <f ca="1">IFERROR(INDEX(INDIRECT($H13),MATCH($B$9&amp;"*",Data!C:C,0))*AVERAGEIFS(INDIRECT($H29),INDIRECT($H31),"&gt;="&amp;DATE($A$1-2,1,1),INDIRECT($H31),"&lt;="&amp;DATE($A$1,12,31)),"")</f>
        <v>182068.54663846019</v>
      </c>
      <c r="H31" s="11" t="str">
        <f ca="1">CONCATENATE($I31,"!",$J31,":",$J31)</f>
        <v>Data!H:H</v>
      </c>
      <c r="I31" s="11" t="s">
        <v>30</v>
      </c>
      <c r="J31" s="11" t="str">
        <f ca="1">SUBSTITUTE(ADDRESS(1,MATCH($K31,INDIRECT($I31&amp;"!3:3"),0),4),1,"")</f>
        <v>H</v>
      </c>
      <c r="K31" s="11" t="s">
        <v>34</v>
      </c>
    </row>
    <row r="32" spans="1:12" x14ac:dyDescent="0.45">
      <c r="H32">
        <v>5</v>
      </c>
      <c r="I32" s="11" t="s">
        <v>46</v>
      </c>
    </row>
    <row r="33" spans="1:11" x14ac:dyDescent="0.45">
      <c r="H33">
        <f>COUNTIF(Data!$A:$A,"&lt;&gt;")+2</f>
        <v>185</v>
      </c>
      <c r="I33" s="11" t="s">
        <v>47</v>
      </c>
    </row>
    <row r="34" spans="1:11" x14ac:dyDescent="0.45">
      <c r="A34" s="36" t="s">
        <v>11</v>
      </c>
      <c r="B34" s="105" t="str">
        <f ca="1">IFERROR(CONCATENATE(MAX(INDIRECT($H34)), " acres (",INDEX(Data!$C:$C,MATCH(MAX(INDIRECT($H34)),INDIRECT($H34),0)),")"),"")</f>
        <v>0.26 acres (2477 Albion Farm Way, Duluth, GA 30097)</v>
      </c>
      <c r="C34" s="105"/>
      <c r="D34" s="105"/>
      <c r="E34" s="106"/>
      <c r="H34" s="11" t="str">
        <f t="shared" ref="H34:H35" ca="1" si="0">CONCATENATE($I34,"!",$J34,":",$J34)</f>
        <v>Data!F:F</v>
      </c>
      <c r="I34" s="11" t="s">
        <v>30</v>
      </c>
      <c r="J34" s="11" t="str">
        <f ca="1">SUBSTITUTE(ADDRESS(1,MATCH($K34,INDIRECT($I34&amp;"!3:3"),0),4),1,"")</f>
        <v>F</v>
      </c>
      <c r="K34" s="11" t="s">
        <v>3</v>
      </c>
    </row>
    <row r="35" spans="1:11" x14ac:dyDescent="0.45">
      <c r="A35" s="37" t="s">
        <v>12</v>
      </c>
      <c r="B35" s="105" t="str">
        <f ca="1">IFERROR(CONCATENATE(MAX(INDIRECT($H35)), " sqft (",INDEX(Data!$C:$C,MATCH(MAX(INDIRECT($H35)),INDIRECT($H35),0)),")"),"")</f>
        <v>1496 sqft (3080 Barnwood Xing, Duluth, GA 30097)</v>
      </c>
      <c r="C35" s="105"/>
      <c r="D35" s="105"/>
      <c r="E35" s="106"/>
      <c r="H35" s="11" t="str">
        <f t="shared" ca="1" si="0"/>
        <v>Data!G:G</v>
      </c>
      <c r="I35" s="11" t="s">
        <v>30</v>
      </c>
      <c r="J35" s="11" t="str">
        <f ca="1">SUBSTITUTE(ADDRESS(1,MATCH($K35,INDIRECT($I35&amp;"!3:3"),0),4),1,"")</f>
        <v>G</v>
      </c>
      <c r="K35" s="11" t="s">
        <v>4</v>
      </c>
    </row>
    <row r="36" spans="1:11" x14ac:dyDescent="0.45">
      <c r="A36" s="37" t="str">
        <f ca="1">"Highest Appraised Value in "&amp;$A$1&amp;":"</f>
        <v>Highest Appraised Value in 2019 :</v>
      </c>
      <c r="B36" s="105" t="str">
        <f ca="1">IFERROR(CONCATENATE(TEXT(MAX(INDIRECT($H36)),"$#,##0"), " (",INDEX(INDIRECT(SUBSTITUTE($H36,$J36,"C")),MATCH(MAX(INDIRECT($H36)),INDIRECT($H36),0)),")"),"")</f>
        <v>$228,700 (4050 Chattahoochee Trce, Duluth, GA 30097)</v>
      </c>
      <c r="C36" s="105"/>
      <c r="D36" s="105"/>
      <c r="E36" s="106"/>
      <c r="H36" s="11" t="str">
        <f t="shared" ref="H36:H45" ca="1" si="1">CONCATENATE($I36,"!",$J36,$H$32,":",$J36,$H$33)</f>
        <v>Data!S5:S185</v>
      </c>
      <c r="I36" s="11" t="s">
        <v>30</v>
      </c>
      <c r="J36" t="str">
        <f ca="1">SUBSTITUTE(ADDRESS(1,MATCH(CONCATENATE($A$1,$K36),INDIRECT($I36&amp;"!3:3"),0),4),1,"")</f>
        <v>S</v>
      </c>
      <c r="K36" s="11" t="s">
        <v>25</v>
      </c>
    </row>
    <row r="37" spans="1:11" x14ac:dyDescent="0.45">
      <c r="A37" s="37" t="str">
        <f ca="1">"Lowest Appraised Value in "&amp;$A$1&amp;":"</f>
        <v>Lowest Appraised Value in 2019 :</v>
      </c>
      <c r="B37" s="105" t="str">
        <f ca="1">IFERROR(CONCATENATE(TEXT(MIN(INDIRECT($H37)),"$#,##0"), " (",INDEX(INDIRECT(SUBSTITUTE($H37,$J37,"C")),MATCH(MIN(INDIRECT($H37)),INDIRECT($H37),0)),")"),"")</f>
        <v>$142,900 (3948 Hawks Nest Ct, Duluth, GA 30097)</v>
      </c>
      <c r="C37" s="105"/>
      <c r="D37" s="105"/>
      <c r="E37" s="106"/>
      <c r="F37" s="96"/>
      <c r="H37" s="11" t="str">
        <f t="shared" ca="1" si="1"/>
        <v>Data!S5:S185</v>
      </c>
      <c r="I37" s="11" t="s">
        <v>30</v>
      </c>
      <c r="J37" t="str">
        <f ca="1">SUBSTITUTE(ADDRESS(1,MATCH(CONCATENATE($A$1,$K37),INDIRECT($I37&amp;"!3:3"),0),4),1,"")</f>
        <v>S</v>
      </c>
      <c r="K37" s="11" t="s">
        <v>25</v>
      </c>
    </row>
    <row r="38" spans="1:11" x14ac:dyDescent="0.45">
      <c r="A38" s="37" t="str">
        <f ca="1">"Highest Appraised Cost/Sqft in "&amp;$A$1&amp;":"</f>
        <v>Highest Appraised Cost/Sqft in 2019 :</v>
      </c>
      <c r="B38" s="105" t="str">
        <f ca="1">IFERROR(CONCATENATE(TEXT(MAX(INDIRECT($H38)),"$#,##0.00"),"/sqft (",INDEX(INDIRECT(SUBSTITUTE($H38,$J38,"A")),MATCH(MAX(INDIRECT($H38)),INDIRECT($H38),0)),")"),"")</f>
        <v>$166.67/sqft (2905 Barnwood Xing, Duluth, GA 30097)</v>
      </c>
      <c r="C38" s="105"/>
      <c r="D38" s="105"/>
      <c r="E38" s="106"/>
      <c r="H38" s="11" t="str">
        <f t="shared" ca="1" si="1"/>
        <v>Calculations!K5:K185</v>
      </c>
      <c r="I38" s="11" t="s">
        <v>23</v>
      </c>
      <c r="J38" t="str">
        <f ca="1">SUBSTITUTE(ADDRESS(1,MATCH(CONCATENATE($A$1,$K38),INDIRECT($I38&amp;"!3:3"),0),4),1,"")</f>
        <v>K</v>
      </c>
      <c r="K38" t="s">
        <v>29</v>
      </c>
    </row>
    <row r="39" spans="1:11" x14ac:dyDescent="0.45">
      <c r="A39" s="37" t="str">
        <f ca="1">"Lowest Appraised Cost/Sqft in "&amp;$A$1&amp;":"</f>
        <v>Lowest Appraised Cost/Sqft in 2019 :</v>
      </c>
      <c r="B39" s="105" t="str">
        <f ca="1">IFERROR(CONCATENATE(TEXT(MIN(INDIRECT($H39)),"$#,##0.00"),"/sqft (",INDEX(INDIRECT(SUBSTITUTE($H39,$J39,"A")),MATCH(MIN(INDIRECT($H39)),INDIRECT($H39),0)),")"),"")</f>
        <v>$88.90/sqft (3080 Barnwood Xing, Duluth, GA 30097)</v>
      </c>
      <c r="C39" s="105"/>
      <c r="D39" s="105"/>
      <c r="E39" s="106"/>
      <c r="F39" s="11"/>
      <c r="H39" s="11" t="str">
        <f t="shared" ca="1" si="1"/>
        <v>Calculations!K5:K185</v>
      </c>
      <c r="I39" s="11" t="s">
        <v>23</v>
      </c>
      <c r="J39" t="str">
        <f ca="1">SUBSTITUTE(ADDRESS(1,MATCH(CONCATENATE($A$1,$K39),INDIRECT($I39&amp;"!3:3"),0),4),1,"")</f>
        <v>K</v>
      </c>
      <c r="K39" t="s">
        <v>29</v>
      </c>
    </row>
    <row r="40" spans="1:11" x14ac:dyDescent="0.45">
      <c r="A40" s="37" t="str">
        <f ca="1">"Latest Sale in "&amp;$A$1&amp;":"</f>
        <v>Latest Sale in 2019 :</v>
      </c>
      <c r="B40" s="105" t="str">
        <f ca="1">IFERROR(CONCATENATE(TEXT($G40,"MM/DD/YYYY")," (",INDEX(INDIRECT(SUBSTITUTE($H40,$J40,"C")),MATCH($G40,INDIRECT($H40),0)),")"),"")</f>
        <v>03/22/2019 (3954 White Owl Ct, Duluth, GA 30097)</v>
      </c>
      <c r="C40" s="105"/>
      <c r="D40" s="105"/>
      <c r="E40" s="106"/>
      <c r="F40" s="11"/>
      <c r="G40" s="83">
        <f t="array" aca="1" ref="G40" ca="1">MAX(IF(INDIRECT($H40)&gt;=DATE($A$1,1,1),IF(INDIRECT($H40)&lt;=DATE($A$1,12,31),INDIRECT($H40),""),""))</f>
        <v>43546</v>
      </c>
      <c r="H40" s="11" t="str">
        <f t="shared" ca="1" si="1"/>
        <v>Data!H5:H185</v>
      </c>
      <c r="I40" s="11" t="s">
        <v>30</v>
      </c>
      <c r="J40" s="11" t="str">
        <f t="shared" ref="J40:J45" ca="1" si="2">SUBSTITUTE(ADDRESS(1,MATCH($K40,INDIRECT($I40&amp;"!3:3"),0),4),1,"")</f>
        <v>H</v>
      </c>
      <c r="K40" s="11" t="s">
        <v>34</v>
      </c>
    </row>
    <row r="41" spans="1:11" x14ac:dyDescent="0.45">
      <c r="A41" s="36" t="str">
        <f ca="1">"Highest $/sqft Sold in "&amp;$A$1&amp;":"</f>
        <v>Highest $/sqft Sold in 2019 :</v>
      </c>
      <c r="B41" s="105" t="str">
        <f ca="1">IFERROR(CONCATENATE(TEXT($G41,"$#,##0.00"),"/sqft (",INDEX(INDIRECT(SUBSTITUTE($H41,$J41,"A")),MATCH($G41,INDIRECT($H41),0))," -- ",TEXT(INDEX(INDIRECT($H$40),MATCH(INDEX(INDIRECT(SUBSTITUTE($H41,$J41,"A")),MATCH($G41,INDIRECT($H41),0)),INDIRECT(SUBSTITUTE($H$40,$J$40,"C")),0),0),"MM/DD/YYYY"),")"),"")</f>
        <v>$213.82/sqft (3929 White Owl Ct, Duluth, GA 30097 -- 03/14/2019)</v>
      </c>
      <c r="C41" s="105"/>
      <c r="D41" s="105"/>
      <c r="E41" s="106"/>
      <c r="G41" s="84">
        <f t="array" aca="1" ref="G41" ca="1">MAX(IF(INDIRECT($H40)&gt;=DATE($A$1,1,1),IF(INDIRECT($H40)&lt;=DATE($A$1,12,31),INDIRECT($H41),""),""))</f>
        <v>213.81578947368422</v>
      </c>
      <c r="H41" s="11" t="str">
        <f t="shared" ca="1" si="1"/>
        <v>Calculations!D5:D185</v>
      </c>
      <c r="I41" s="11" t="s">
        <v>23</v>
      </c>
      <c r="J41" s="11" t="str">
        <f t="shared" ca="1" si="2"/>
        <v>D</v>
      </c>
      <c r="K41" t="s">
        <v>9</v>
      </c>
    </row>
    <row r="42" spans="1:11" x14ac:dyDescent="0.45">
      <c r="A42" s="36" t="str">
        <f ca="1">"Lowest $/sqft Sold in "&amp;$A$1&amp;":"</f>
        <v>Lowest $/sqft Sold in 2019 :</v>
      </c>
      <c r="B42" s="105" t="str">
        <f ca="1">IFERROR(CONCATENATE(TEXT($G42,"$#,##0.00"),"/sqft (",INDEX(INDIRECT(SUBSTITUTE($H42,$J42,"A")),MATCH($G42,INDIRECT($H42),0))," -- ",TEXT(INDEX(INDIRECT($H$40),MATCH(INDEX(INDIRECT(SUBSTITUTE($H42,$J42,"A")),MATCH($G42,INDIRECT($H42),0)),INDIRECT(SUBSTITUTE($H$40,$J$40,"C")),0),0),"MM/DD/YYYY"),")"),"")</f>
        <v>$101.71/sqft (3959 White Owl Ct, Duluth, GA 30097 -- 03/13/2019)</v>
      </c>
      <c r="C42" s="105"/>
      <c r="D42" s="105"/>
      <c r="E42" s="106"/>
      <c r="G42">
        <f t="array" aca="1" ref="G42" ca="1">MIN(IF(INDIRECT($H40)&gt;=DATE($A$1,1,1),IF(INDIRECT($H40)&lt;=DATE($A$1,12,31),INDIRECT($H41),""),""))</f>
        <v>101.71102661596959</v>
      </c>
      <c r="H42" s="11" t="str">
        <f t="shared" ca="1" si="1"/>
        <v>Calculations!D5:D185</v>
      </c>
      <c r="I42" s="11" t="s">
        <v>23</v>
      </c>
      <c r="J42" s="11" t="str">
        <f t="shared" ca="1" si="2"/>
        <v>D</v>
      </c>
      <c r="K42" t="s">
        <v>9</v>
      </c>
    </row>
    <row r="43" spans="1:11" x14ac:dyDescent="0.45">
      <c r="A43" s="36" t="s">
        <v>40</v>
      </c>
      <c r="B43" s="105" t="str">
        <f ca="1">IFERROR(CONCATENATE(TEXT(MAX(INDIRECT($H43)),"$#,##0.00"),"/sqft (",INDEX(INDIRECT(SUBSTITUTE($H42,$J42,"A")),MATCH(MAX(INDIRECT($H43)),INDIRECT($H43),0))," -- ",TEXT(INDEX(INDIRECT($H$40),MATCH(INDEX(Calculations!$A:$A,MATCH(MAX(INDIRECT($H43)),INDIRECT($H43),0)),Data!$C:$C,0),0),"MM/DD/YYYY"),")"),"")</f>
        <v>$213.82/sqft (3929 White Owl Ct, Duluth, GA 30097 -- 03/14/2019)</v>
      </c>
      <c r="C43" s="105"/>
      <c r="D43" s="105"/>
      <c r="E43" s="106"/>
      <c r="H43" s="11" t="str">
        <f t="shared" ca="1" si="1"/>
        <v>Calculations!D5:D185</v>
      </c>
      <c r="I43" s="11" t="s">
        <v>23</v>
      </c>
      <c r="J43" s="11" t="str">
        <f t="shared" ca="1" si="2"/>
        <v>D</v>
      </c>
      <c r="K43" t="s">
        <v>9</v>
      </c>
    </row>
    <row r="44" spans="1:11" x14ac:dyDescent="0.45">
      <c r="A44" s="77" t="str">
        <f ca="1">"Houses Sold in "&amp;$A$1&amp;":"</f>
        <v>Houses Sold in 2019 :</v>
      </c>
      <c r="B44" s="105">
        <f ca="1">IFERROR(COUNTIFS(INDIRECT($H44),"&gt;="&amp;DATE($A$1,1,1),INDIRECT($H44),"&lt;="&amp;DATE($A$1,12,31)),"")</f>
        <v>4</v>
      </c>
      <c r="C44" s="105"/>
      <c r="D44" s="105"/>
      <c r="E44" s="106"/>
      <c r="H44" s="11" t="str">
        <f t="shared" ca="1" si="1"/>
        <v>Data!H5:H185</v>
      </c>
      <c r="I44" s="11" t="s">
        <v>30</v>
      </c>
      <c r="J44" s="11" t="str">
        <f t="shared" ca="1" si="2"/>
        <v>H</v>
      </c>
      <c r="K44" t="s">
        <v>34</v>
      </c>
    </row>
    <row r="45" spans="1:11" x14ac:dyDescent="0.45">
      <c r="A45" s="77" t="str">
        <f ca="1">"Houses Sold in Previous Year ("&amp;$A$1-1&amp;"):"</f>
        <v>Houses Sold in Previous Year (2018):</v>
      </c>
      <c r="B45" s="105">
        <f ca="1">IFERROR(COUNTIFS(INDIRECT($H45),"&gt;="&amp;DATE($A$1-1,1,1),INDIRECT($H45),"&lt;="&amp;DATE($A$1-1,12,31)),"")</f>
        <v>8</v>
      </c>
      <c r="C45" s="105"/>
      <c r="D45" s="105"/>
      <c r="E45" s="106"/>
      <c r="H45" s="11" t="str">
        <f t="shared" ca="1" si="1"/>
        <v>Data!H5:H185</v>
      </c>
      <c r="I45" s="11" t="s">
        <v>30</v>
      </c>
      <c r="J45" s="11" t="str">
        <f t="shared" ca="1" si="2"/>
        <v>H</v>
      </c>
      <c r="K45" t="s">
        <v>34</v>
      </c>
    </row>
    <row r="47" spans="1:11" x14ac:dyDescent="0.45">
      <c r="F47" s="11"/>
      <c r="G47" s="11"/>
    </row>
  </sheetData>
  <mergeCells count="22">
    <mergeCell ref="A26:D26"/>
    <mergeCell ref="B9:C9"/>
    <mergeCell ref="D9:E11"/>
    <mergeCell ref="A17:D17"/>
    <mergeCell ref="A23:D23"/>
    <mergeCell ref="A25:D25"/>
    <mergeCell ref="B43:E43"/>
    <mergeCell ref="B44:E44"/>
    <mergeCell ref="B45:E45"/>
    <mergeCell ref="A24:D24"/>
    <mergeCell ref="B37:E37"/>
    <mergeCell ref="B38:E38"/>
    <mergeCell ref="B39:E39"/>
    <mergeCell ref="B40:E40"/>
    <mergeCell ref="B41:E41"/>
    <mergeCell ref="B42:E42"/>
    <mergeCell ref="A29:D29"/>
    <mergeCell ref="A30:D30"/>
    <mergeCell ref="A31:D31"/>
    <mergeCell ref="B34:E34"/>
    <mergeCell ref="B35:E35"/>
    <mergeCell ref="B36:E3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168-C852-427D-949C-BFA32BE3E66B}">
  <sheetPr codeName="Sheet9"/>
  <dimension ref="A1:Q47"/>
  <sheetViews>
    <sheetView showGridLines="0" zoomScale="85" zoomScaleNormal="85" workbookViewId="0">
      <selection activeCell="B10" sqref="B10"/>
    </sheetView>
  </sheetViews>
  <sheetFormatPr defaultRowHeight="14.25" x14ac:dyDescent="0.45"/>
  <cols>
    <col min="1" max="1" width="34.3984375" bestFit="1" customWidth="1"/>
    <col min="2" max="2" width="14.3984375" bestFit="1" customWidth="1"/>
    <col min="3" max="3" width="13.265625" bestFit="1" customWidth="1"/>
    <col min="4" max="4" width="14" customWidth="1"/>
    <col min="5" max="5" width="18"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1" t="str">
        <f ca="1">LEFT(MID(CELL("filename",A1),FIND("]",CELL("filename",A1))+1,255),FIND(" ",MID(CELL("filename",A1),FIND("]",CELL("filename",A1))+1,255)))</f>
        <v xml:space="preserve">2018 </v>
      </c>
      <c r="B1" s="31" t="str">
        <f ca="1">CONCATENATE("Same House Comps","
("&amp;B10&amp;" br/"&amp;B11&amp;" ba)")</f>
        <v>Same House Comps
(2 br/2.5 ba)</v>
      </c>
      <c r="C1" s="32" t="s">
        <v>6</v>
      </c>
      <c r="D1" s="33" t="s">
        <v>41</v>
      </c>
      <c r="E1" s="21" t="s">
        <v>8</v>
      </c>
      <c r="G1" s="70" t="s">
        <v>42</v>
      </c>
      <c r="H1" s="72" t="s">
        <v>26</v>
      </c>
      <c r="I1" s="72" t="s">
        <v>33</v>
      </c>
      <c r="J1" s="70" t="str">
        <f ca="1">$A1&amp;"cell letter"</f>
        <v>2018 cell letter</v>
      </c>
      <c r="K1" s="70" t="s">
        <v>24</v>
      </c>
    </row>
    <row r="2" spans="1:17" x14ac:dyDescent="0.45">
      <c r="A2" s="24" t="str">
        <f ca="1">A1&amp;"Total Appraised Price Average"</f>
        <v>2018 Total Appraised Price Average</v>
      </c>
      <c r="B2" s="22">
        <f ca="1">IFERROR(AVERAGEIFS(INDIRECT($H2),Data!E:E,"&lt;&gt;",Data!D:D,$B$10,Data!E:E,$B$11),"")</f>
        <v>180800</v>
      </c>
      <c r="C2" s="22">
        <f ca="1">IFERROR(AVERAGEIFS(INDIRECT($H2),Data!E:E,"&lt;&gt;",Data!D:D,$B$10,Data!E:E,"&gt;="&amp;ROUNDDOWN($B$11,0)),"")</f>
        <v>158410.3448275862</v>
      </c>
      <c r="D2" s="29">
        <f ca="1">IFERROR(AVERAGEIFS(INDIRECT($H2),Data!E:E,"&lt;&gt;"),"")</f>
        <v>167477.90055248619</v>
      </c>
      <c r="E2" s="30">
        <f ca="1">IFERROR(AVERAGE(B2:D2),"")</f>
        <v>168896.08179335747</v>
      </c>
      <c r="H2" s="11" t="str">
        <f ca="1">CONCATENATE($I2,"!",$J2,":",$J2)</f>
        <v>Data!P:P</v>
      </c>
      <c r="I2" s="11" t="s">
        <v>30</v>
      </c>
      <c r="J2" t="str">
        <f ca="1">SUBSTITUTE(ADDRESS(1,MATCH(CONCATENATE($A$1,$K2),INDIRECT($I2&amp;"!3:3"),0),4),1,"")</f>
        <v>P</v>
      </c>
      <c r="K2" s="11" t="s">
        <v>25</v>
      </c>
    </row>
    <row r="3" spans="1:17" x14ac:dyDescent="0.45">
      <c r="A3" s="24" t="str">
        <f ca="1">A1&amp;"Building Appraised Price Average"</f>
        <v>2018 Building Appraised Price Average</v>
      </c>
      <c r="B3" s="22">
        <f ca="1">IFERROR(AVERAGEIFS(INDIRECT($H3),Data!E:E,"&lt;&gt;",Data!D:D,$B$10,Data!E:E,$B$11),"")</f>
        <v>150800</v>
      </c>
      <c r="C3" s="22">
        <f ca="1">IFERROR(AVERAGEIFS(INDIRECT($H3),Data!E:E,"&lt;&gt;",Data!D:D,$B$10,Data!E:E,"&gt;="&amp;ROUNDDOWN($B$11,0)),"")</f>
        <v>128410.3448275862</v>
      </c>
      <c r="D3" s="29">
        <f ca="1">IFERROR(AVERAGEIFS(INDIRECT($H3),Data!E:E,"&lt;&gt;"),"")</f>
        <v>137477.90055248619</v>
      </c>
      <c r="E3" s="30">
        <f ca="1">IFERROR(AVERAGE(B3:D3),"")</f>
        <v>138896.08179335747</v>
      </c>
      <c r="H3" s="11" t="str">
        <f ca="1">CONCATENATE($I3,"!",$J3,":",$J3)</f>
        <v>Data!Q:Q</v>
      </c>
      <c r="I3" s="11" t="s">
        <v>30</v>
      </c>
      <c r="J3" t="str">
        <f ca="1">SUBSTITUTE(ADDRESS(1,MATCH(CONCATENATE($A$1,$K3),INDIRECT($I3&amp;"!3:3"),0),4),1,"")</f>
        <v>Q</v>
      </c>
      <c r="K3" s="11" t="s">
        <v>27</v>
      </c>
    </row>
    <row r="4" spans="1:17" x14ac:dyDescent="0.45">
      <c r="A4" s="24" t="str">
        <f ca="1">A1&amp;"Land Appraised Price Average"</f>
        <v>2018 Land Appraised Price Average</v>
      </c>
      <c r="B4" s="22">
        <f ca="1">IFERROR(AVERAGEIFS(INDIRECT($H4),Data!E:E,"&lt;&gt;",Data!D:D,$B$10,Data!E:E,$B$11),"")</f>
        <v>30000</v>
      </c>
      <c r="C4" s="22">
        <f ca="1">IFERROR(AVERAGEIFS(INDIRECT($H4),Data!E:E,"&lt;&gt;",Data!D:D,$B$10,Data!E:E,"&gt;="&amp;ROUNDDOWN($B$11,0)),"")</f>
        <v>30000</v>
      </c>
      <c r="D4" s="29">
        <f ca="1">IFERROR(AVERAGEIFS(INDIRECT($H4),Data!E:E,"&lt;&gt;"),"")</f>
        <v>30000</v>
      </c>
      <c r="E4" s="30">
        <f ca="1">IFERROR(AVERAGE(B4:D4),"")</f>
        <v>30000</v>
      </c>
      <c r="H4" s="11" t="str">
        <f ca="1">CONCATENATE($I4,"!",$J4,":",$J4)</f>
        <v>Data!R:R</v>
      </c>
      <c r="I4" s="11" t="s">
        <v>30</v>
      </c>
      <c r="J4" t="str">
        <f ca="1">SUBSTITUTE(ADDRESS(1,MATCH(CONCATENATE($A$1,$K4),INDIRECT($I4&amp;"!3:3"),0),4),1,"")</f>
        <v>R</v>
      </c>
      <c r="K4" t="s">
        <v>28</v>
      </c>
    </row>
    <row r="5" spans="1:17" x14ac:dyDescent="0.45">
      <c r="B5" s="73"/>
      <c r="C5" s="73"/>
      <c r="E5" s="5"/>
      <c r="H5" s="11"/>
      <c r="I5" s="11"/>
    </row>
    <row r="6" spans="1:17" x14ac:dyDescent="0.45">
      <c r="A6" s="24" t="str">
        <f ca="1">A1&amp;"Appraised Price/sqft Average"</f>
        <v>2018 Appraised Price/sqft Average</v>
      </c>
      <c r="B6" s="22">
        <f ca="1">IFERROR(AVERAGEIFS(INDIRECT($H6),Data!E:E,"&lt;&gt;",Data!D:D,$B$10,Data!E:E,$B$11),"")</f>
        <v>130.90277777777777</v>
      </c>
      <c r="C6" s="22">
        <f ca="1">IFERROR(AVERAGEIFS(INDIRECT($H6),Data!E:E,"&lt;&gt;",Data!D:D,$B$10,Data!E:E,"&gt;="&amp;ROUNDDOWN($B$11,0)),"")</f>
        <v>128.64387896786957</v>
      </c>
      <c r="D6" s="29">
        <f ca="1">IFERROR(AVERAGEIFS(INDIRECT($H6),Data!E:E,"&lt;&gt;"),"")</f>
        <v>128.07311373579756</v>
      </c>
      <c r="E6" s="30">
        <f ca="1">IFERROR(AVERAGE(B6:D6),"")</f>
        <v>129.20659016048162</v>
      </c>
      <c r="H6" s="11" t="str">
        <f ca="1">CONCATENATE($I6,"!",$J6,":",$J6)</f>
        <v>Calculations!I:I</v>
      </c>
      <c r="I6" s="11" t="s">
        <v>23</v>
      </c>
      <c r="J6" t="str">
        <f ca="1">SUBSTITUTE(ADDRESS(1,MATCH(CONCATENATE($A$1,$K6),INDIRECT($I6&amp;"!3:3"),0),4),1,"")</f>
        <v>I</v>
      </c>
      <c r="K6" t="s">
        <v>29</v>
      </c>
    </row>
    <row r="7" spans="1:17" x14ac:dyDescent="0.45">
      <c r="A7" s="24" t="str">
        <f ca="1">A1&amp;"Appraised Price/acre Average"</f>
        <v>2018 Appraised Price/acre Average</v>
      </c>
      <c r="B7" s="22">
        <f ca="1">IFERROR(AVERAGEIFS(INDIRECT($H7),Data!E:E,"&lt;&gt;",Data!D:D,$B$10,Data!E:E,$B$11),"")</f>
        <v>214285.71428571426</v>
      </c>
      <c r="C7" s="22">
        <f ca="1">IFERROR(AVERAGEIFS(INDIRECT($H7),Data!E:E,"&lt;&gt;",Data!D:D,$B$10,Data!E:E,"&gt;="&amp;ROUNDDOWN($B$11,0)),"")</f>
        <v>248470.8960748516</v>
      </c>
      <c r="D7" s="29">
        <f ca="1">IFERROR(AVERAGEIFS(INDIRECT($H7),Data!E:E,"&lt;&gt;"),"")</f>
        <v>242894.00633036238</v>
      </c>
      <c r="E7" s="30">
        <f ca="1">IFERROR(AVERAGE(B7:D7),"")</f>
        <v>235216.87223030941</v>
      </c>
      <c r="H7" s="11" t="str">
        <f ca="1">CONCATENATE($I7,"!",$J7,":",$J7)</f>
        <v>Calculations!J:J</v>
      </c>
      <c r="I7" s="11" t="s">
        <v>23</v>
      </c>
      <c r="J7" t="str">
        <f ca="1">SUBSTITUTE(ADDRESS(1,MATCH(CONCATENATE($A$1,$K7),INDIRECT($I7&amp;"!3:3"),0),4),1,"")</f>
        <v>J</v>
      </c>
      <c r="K7" t="s">
        <v>31</v>
      </c>
    </row>
    <row r="8" spans="1:17" x14ac:dyDescent="0.45">
      <c r="D8" s="76"/>
      <c r="E8" s="4"/>
    </row>
    <row r="9" spans="1:17" ht="15.75" customHeight="1" x14ac:dyDescent="0.45">
      <c r="A9" s="11" t="s">
        <v>10</v>
      </c>
      <c r="B9" s="111" t="s">
        <v>51</v>
      </c>
      <c r="C9" s="111"/>
      <c r="D9" s="112" t="s">
        <v>38</v>
      </c>
      <c r="E9" s="113"/>
    </row>
    <row r="10" spans="1:17" x14ac:dyDescent="0.45">
      <c r="A10" s="74" t="s">
        <v>36</v>
      </c>
      <c r="B10" s="98">
        <f ca="1">INDEX(INDIRECT($H10),MATCH($B$9&amp;"*",Data!$C:$C,0))</f>
        <v>2</v>
      </c>
      <c r="D10" s="113"/>
      <c r="E10" s="113"/>
      <c r="H10" s="11" t="str">
        <f ca="1">CONCATENATE($I10,"!",$J10,":",$J10)</f>
        <v>Data!D:D</v>
      </c>
      <c r="I10" s="11" t="s">
        <v>30</v>
      </c>
      <c r="J10" s="11" t="str">
        <f ca="1">SUBSTITUTE(ADDRESS(1,MATCH($K10,INDIRECT($I10&amp;"!3:3"),0),4),1,"")</f>
        <v>D</v>
      </c>
      <c r="K10" s="11" t="s">
        <v>1</v>
      </c>
    </row>
    <row r="11" spans="1:17" x14ac:dyDescent="0.45">
      <c r="A11" s="74" t="s">
        <v>37</v>
      </c>
      <c r="B11" s="98">
        <f ca="1">INDEX(INDIRECT($H11),MATCH($B$9&amp;"*",Data!$C:$C,0))</f>
        <v>2.5</v>
      </c>
      <c r="D11" s="114"/>
      <c r="E11" s="114"/>
      <c r="H11" s="11" t="str">
        <f ca="1">CONCATENATE($I11,"!",$J11,":",$J11)</f>
        <v>Data!E:E</v>
      </c>
      <c r="I11" s="11" t="s">
        <v>30</v>
      </c>
      <c r="J11" s="11" t="str">
        <f ca="1">SUBSTITUTE(ADDRESS(1,MATCH($K11,INDIRECT($I11&amp;"!3:3"),0),4),1,"")</f>
        <v>E</v>
      </c>
      <c r="K11" s="11" t="s">
        <v>2</v>
      </c>
    </row>
    <row r="12" spans="1:17" x14ac:dyDescent="0.45">
      <c r="A12" s="24" t="str">
        <f ca="1">A1&amp;"Calculated Land Value"</f>
        <v>2018 Calculated Land Value</v>
      </c>
      <c r="B12" s="25">
        <f ca="1">IFERROR(B$7*INDEX(INDIRECT($H12),MATCH($B$9&amp;"*",Calculations!$A:$A,0)),"")</f>
        <v>30000</v>
      </c>
      <c r="C12" s="25">
        <f ca="1">IFERROR(C$7*INDEX(INDIRECT($H12),MATCH($B$9&amp;"*",Calculations!$A:$A,0)),"")</f>
        <v>34785.925450479226</v>
      </c>
      <c r="D12" s="25">
        <f ca="1">IFERROR(D$7*INDEX(INDIRECT($H12),MATCH($B$9&amp;"*",Calculations!$A:$A,0)),"")</f>
        <v>34005.160886250735</v>
      </c>
      <c r="E12" s="30">
        <f ca="1">IFERROR(E$7*INDEX(INDIRECT($H12),MATCH($B$9&amp;"*",Calculations!$A:$A,0)),"")</f>
        <v>32930.362112243318</v>
      </c>
      <c r="H12" s="11" t="str">
        <f ca="1">CONCATENATE($I12,"!",$J12,":",$J12)</f>
        <v>Data!F:F</v>
      </c>
      <c r="I12" s="11" t="s">
        <v>30</v>
      </c>
      <c r="J12" s="11" t="str">
        <f ca="1">SUBSTITUTE(ADDRESS(1,MATCH($K12,INDIRECT($I12&amp;"!3:3"),0),4),1,"")</f>
        <v>F</v>
      </c>
      <c r="K12" s="11" t="s">
        <v>3</v>
      </c>
      <c r="N12" s="11"/>
    </row>
    <row r="13" spans="1:17" x14ac:dyDescent="0.45">
      <c r="A13" s="24" t="str">
        <f ca="1">A1&amp;"Calculated Building Value"</f>
        <v>2018 Calculated Building Value</v>
      </c>
      <c r="B13" s="25">
        <f ca="1">IFERROR(B$6*INDEX(INDIRECT($H13),MATCH($B$9&amp;"*",Calculations!$A:$A,0)),"")</f>
        <v>150800</v>
      </c>
      <c r="C13" s="25">
        <f ca="1">IFERROR(C$6*INDEX(INDIRECT($H13),MATCH($B$9&amp;"*",Calculations!$A:$A,0)),"")</f>
        <v>148197.74857098574</v>
      </c>
      <c r="D13" s="23">
        <f ca="1">IFERROR(D$6*INDEX(INDIRECT($H13),MATCH($B$9&amp;"*",Calculations!$A:$A,0)),"")</f>
        <v>147540.22702363878</v>
      </c>
      <c r="E13" s="30">
        <f ca="1">IFERROR(E$6*INDEX(INDIRECT($H13),MATCH($B$9&amp;"*",Calculations!$A:$A,0)),"")</f>
        <v>148845.99186487484</v>
      </c>
      <c r="H13" s="11" t="str">
        <f ca="1">CONCATENATE($I13,"!",$J13,":",$J13)</f>
        <v>Data!G:G</v>
      </c>
      <c r="I13" s="11" t="s">
        <v>30</v>
      </c>
      <c r="J13" s="11" t="str">
        <f ca="1">SUBSTITUTE(ADDRESS(1,MATCH($K13,INDIRECT($I13&amp;"!3:3"),0),4),1,"")</f>
        <v>G</v>
      </c>
      <c r="K13" s="11" t="s">
        <v>4</v>
      </c>
      <c r="N13" s="11"/>
      <c r="Q13" s="81"/>
    </row>
    <row r="14" spans="1:17" ht="15.75" x14ac:dyDescent="0.5">
      <c r="A14" s="27" t="str">
        <f ca="1">A1&amp;"Calculated Total Appraised"</f>
        <v>2018 Calculated Total Appraised</v>
      </c>
      <c r="B14" s="100">
        <f ca="1">IFERROR(B$4+B$13,"")</f>
        <v>180800</v>
      </c>
      <c r="C14" s="100">
        <f ca="1">IFERROR(C$4+C$13,"")</f>
        <v>178197.74857098574</v>
      </c>
      <c r="D14" s="101">
        <f ca="1">IFERROR(D$4+D$13,"")</f>
        <v>177540.22702363878</v>
      </c>
      <c r="E14" s="102">
        <f ca="1">IFERROR(E$4+E$13,"")</f>
        <v>178845.99186487484</v>
      </c>
      <c r="F14" s="78" t="s">
        <v>39</v>
      </c>
      <c r="G14" s="78"/>
    </row>
    <row r="15" spans="1:17" ht="15.75" x14ac:dyDescent="0.5">
      <c r="A15" s="28" t="str">
        <f ca="1">A1&amp;"Calculated Total Assessed"</f>
        <v>2018 Calculated Total Assessed</v>
      </c>
      <c r="B15" s="100">
        <f ca="1">IFERROR(B14*0.4,"")</f>
        <v>72320</v>
      </c>
      <c r="C15" s="100">
        <f ca="1">IFERROR(C14*0.4,"")</f>
        <v>71279.0994283943</v>
      </c>
      <c r="D15" s="101">
        <f ca="1">IFERROR(D14*0.4,"")</f>
        <v>71016.09080945552</v>
      </c>
      <c r="E15" s="102">
        <f ca="1">IFERROR(E14*0.4,"")</f>
        <v>71538.39674594994</v>
      </c>
      <c r="F15" s="78" t="s">
        <v>39</v>
      </c>
      <c r="G15" s="78"/>
      <c r="O15" s="11"/>
    </row>
    <row r="16" spans="1:17" x14ac:dyDescent="0.45">
      <c r="E16" s="76"/>
    </row>
    <row r="17" spans="1:12" x14ac:dyDescent="0.45">
      <c r="A17" s="115" t="str">
        <f>CONCATENATE("Linearly Forecasted Total Appraised Value* For Property: ",$B$9)</f>
        <v>Linearly Forecasted Total Appraised Value* For Property: 2462 Albion Farm Way</v>
      </c>
      <c r="B17" s="115"/>
      <c r="C17" s="115"/>
      <c r="D17" s="115"/>
      <c r="E17" s="79"/>
    </row>
    <row r="18" spans="1:12" x14ac:dyDescent="0.45">
      <c r="A18" s="26">
        <f ca="1">A1+1</f>
        <v>2019</v>
      </c>
      <c r="B18" s="25">
        <f ca="1">IFERROR(B$14*(1+INDEX(INDIRECT($H18),MATCH($B$9&amp;"*",Calculations!$A:$A,0))),"")</f>
        <v>201493.47925216597</v>
      </c>
      <c r="C18" s="25">
        <f ca="1">IFERROR(C$14*(1+INDEX(INDIRECT($H18),MATCH($B$9&amp;"*",Calculations!$A:$A,0))),"")</f>
        <v>198593.38691631972</v>
      </c>
      <c r="D18" s="23">
        <f ca="1">IFERROR(D$14*(1+INDEX(INDIRECT($H18),MATCH($B$9&amp;"*",Calculations!$A:$A,0))),"")</f>
        <v>197860.6086848031</v>
      </c>
      <c r="E18" s="30">
        <f ca="1">IFERROR(E$14*(1+INDEX(INDIRECT($H18),MATCH($B$9&amp;"*",Calculations!$A:$A,0))),"")</f>
        <v>199315.82495109626</v>
      </c>
      <c r="H18" s="11" t="str">
        <f ca="1">CONCATENATE($I18,"!",$J18,":",$J18)</f>
        <v>Deltas!F:F</v>
      </c>
      <c r="I18" s="11" t="s">
        <v>32</v>
      </c>
      <c r="J18" s="11" t="str">
        <f ca="1">SUBSTITUTE(ADDRESS(1,MATCH($K18,INDIRECT($I18&amp;"!3:3"),0),4),1,"")</f>
        <v>F</v>
      </c>
      <c r="K18" t="s">
        <v>21</v>
      </c>
    </row>
    <row r="19" spans="1:12" x14ac:dyDescent="0.45">
      <c r="A19" s="26">
        <f ca="1">A1+2</f>
        <v>2020</v>
      </c>
      <c r="B19" s="25">
        <f ca="1">IFERROR(B$18*(1+INDEX(INDIRECT($H18),MATCH($B$9&amp;"*",Calculations!$A:$A,0))),"")</f>
        <v>224555.43241782652</v>
      </c>
      <c r="C19" s="25">
        <f ca="1">IFERROR(C$18*(1+INDEX(INDIRECT($H18),MATCH($B$9&amp;"*",Calculations!$A:$A,0))),"")</f>
        <v>221323.40976903119</v>
      </c>
      <c r="D19" s="23">
        <f ca="1">IFERROR(D$18*(1+INDEX(INDIRECT($H18),MATCH($B$9&amp;"*",Calculations!$A:$A,0))),"")</f>
        <v>220506.76134320963</v>
      </c>
      <c r="E19" s="30">
        <f ca="1">IFERROR(E$18*(1+INDEX(INDIRECT($H18),MATCH($B$9&amp;"*",Calculations!$A:$A,0))),"")</f>
        <v>222128.53451002247</v>
      </c>
      <c r="H19" s="11" t="str">
        <f ca="1">CONCATENATE($I19,"!",$J19,":",$J19)</f>
        <v>Deltas!F:F</v>
      </c>
      <c r="I19" s="11" t="s">
        <v>32</v>
      </c>
      <c r="J19" s="11" t="str">
        <f ca="1">SUBSTITUTE(ADDRESS(1,MATCH($K19,INDIRECT($I19&amp;"!3:3"),0),4),1,"")</f>
        <v>F</v>
      </c>
      <c r="K19" t="s">
        <v>21</v>
      </c>
    </row>
    <row r="20" spans="1:12" x14ac:dyDescent="0.45">
      <c r="A20" s="26">
        <f ca="1">A1+3</f>
        <v>2021</v>
      </c>
      <c r="B20" s="25">
        <f ca="1">IFERROR(B$19*(1+INDEX(INDIRECT($H18),MATCH($B$9&amp;"*",Calculations!$A:$A,0))),"")</f>
        <v>250256.94337855358</v>
      </c>
      <c r="C20" s="25">
        <f ca="1">IFERROR(C$19*(1+INDEX(INDIRECT($H18),MATCH($B$9&amp;"*",Calculations!$A:$A,0))),"")</f>
        <v>246654.99930483912</v>
      </c>
      <c r="D20" s="23">
        <f ca="1">IFERROR(D$19*(1+INDEX(INDIRECT($H18),MATCH($B$9&amp;"*",Calculations!$A:$A,0))),"")</f>
        <v>245744.88131454823</v>
      </c>
      <c r="E20" s="30">
        <f ca="1">IFERROR(E$19*(1+INDEX(INDIRECT($H18),MATCH($B$9&amp;"*",Calculations!$A:$A,0))),"")</f>
        <v>247552.27466598034</v>
      </c>
      <c r="H20" s="11" t="str">
        <f ca="1">CONCATENATE($I20,"!",$J20,":",$J20)</f>
        <v>Deltas!F:F</v>
      </c>
      <c r="I20" s="11" t="s">
        <v>32</v>
      </c>
      <c r="J20" s="11" t="str">
        <f ca="1">SUBSTITUTE(ADDRESS(1,MATCH($K20,INDIRECT($I20&amp;"!3:3"),0),4),1,"")</f>
        <v>F</v>
      </c>
      <c r="K20" t="s">
        <v>21</v>
      </c>
    </row>
    <row r="21" spans="1:12" x14ac:dyDescent="0.45">
      <c r="A21" s="35"/>
    </row>
    <row r="23" spans="1:12" x14ac:dyDescent="0.45">
      <c r="A23" s="107" t="str">
        <f>CONCATENATE($B$9,"'s Appraised 
Price")</f>
        <v>2462 Albion Farm Way's Appraised 
Price</v>
      </c>
      <c r="B23" s="108"/>
      <c r="C23" s="108"/>
      <c r="D23" s="108"/>
      <c r="E23" s="43">
        <f ca="1">IFERROR(INDEX(INDIRECT($H23),MATCH($B$9&amp;"*",Calculations!$A:$A,0)),"")</f>
        <v>180800</v>
      </c>
      <c r="H23" s="11" t="str">
        <f ca="1">CONCATENATE($I23,"!",$J23,":",$J23)</f>
        <v>Data!P:P</v>
      </c>
      <c r="I23" s="11" t="s">
        <v>30</v>
      </c>
      <c r="J23" t="str">
        <f ca="1">SUBSTITUTE(ADDRESS(1,MATCH(CONCATENATE($A$1,$K23),INDIRECT($I23&amp;"!3:3"),0),4),1,"")</f>
        <v>P</v>
      </c>
      <c r="K23" s="11" t="s">
        <v>25</v>
      </c>
      <c r="L23" s="11"/>
    </row>
    <row r="24" spans="1:12" x14ac:dyDescent="0.45">
      <c r="A24" s="107" t="str">
        <f ca="1">CONCATENATE($B$9,"'s Appraised Price YoY Change (",TRIM($A$1)-1,"-",TRIM($A$1),")")</f>
        <v>2462 Albion Farm Way's Appraised Price YoY Change (2017-2018)</v>
      </c>
      <c r="B24" s="108"/>
      <c r="C24" s="108"/>
      <c r="D24" s="108"/>
      <c r="E24" s="103">
        <f ca="1">IFERROR(INDEX(INDIRECT($H24),MATCH($B$9&amp;"*",Calculations!$A:$A,0)),"")</f>
        <v>0.13639220615964803</v>
      </c>
      <c r="F24" s="45"/>
      <c r="G24" s="45"/>
      <c r="H24" s="11" t="str">
        <f ca="1">CONCATENATE($I24,"!",$J24,":",$J24)</f>
        <v>Deltas!K:K</v>
      </c>
      <c r="I24" s="11" t="s">
        <v>32</v>
      </c>
      <c r="J24" s="11" t="str">
        <f ca="1">SUBSTITUTE(ADDRESS(1,MATCH($K24,INDIRECT($I24&amp;"!3:3"),0),4),1,"")</f>
        <v>K</v>
      </c>
      <c r="K24" t="str">
        <f ca="1">RIGHT(TRIM($A$1),2)-1&amp;"/"&amp;RIGHT(TRIM($A$1),2)&amp;" Delta Appraised (%)"</f>
        <v>17/18 Delta Appraised (%)</v>
      </c>
    </row>
    <row r="25" spans="1:12" x14ac:dyDescent="0.45">
      <c r="A25" s="107" t="str">
        <f>CONCATENATE($B$9,"'s Calculated Assessed Price")</f>
        <v>2462 Albion Farm Way's Calculated Assessed Price</v>
      </c>
      <c r="B25" s="108"/>
      <c r="C25" s="108"/>
      <c r="D25" s="108"/>
      <c r="E25" s="44">
        <f ca="1">IFERROR($E$23*0.4,"")</f>
        <v>72320</v>
      </c>
    </row>
    <row r="26" spans="1:12" x14ac:dyDescent="0.45">
      <c r="A26" s="107" t="str">
        <f>CONCATENATE($B$9,"'s Appraised Price/sqft")</f>
        <v>2462 Albion Farm Way's Appraised Price/sqft</v>
      </c>
      <c r="B26" s="108"/>
      <c r="C26" s="108"/>
      <c r="D26" s="108"/>
      <c r="E26" s="48">
        <f ca="1">IFERROR(INDEX(INDIRECT($H26),MATCH($B$9&amp;"*",Calculations!$A:$A,0)),"")</f>
        <v>130.90277777777777</v>
      </c>
      <c r="F26" s="45"/>
      <c r="G26" s="45"/>
      <c r="H26" s="11" t="str">
        <f ca="1">CONCATENATE($I26,"!",$J26,":",$J26)</f>
        <v>Calculations!I:I</v>
      </c>
      <c r="I26" s="11" t="s">
        <v>23</v>
      </c>
      <c r="J26" t="str">
        <f ca="1">SUBSTITUTE(ADDRESS(1,MATCH(CONCATENATE($A$1,$K26),INDIRECT($I26&amp;"!3:3"),0),4),1,"")</f>
        <v>I</v>
      </c>
      <c r="K26" t="s">
        <v>29</v>
      </c>
    </row>
    <row r="27" spans="1:12" ht="28.5" x14ac:dyDescent="0.45">
      <c r="A27" s="47" t="str">
        <f ca="1">CONCATENATE($B$9,"'s Appraised Price vs ",$A$1,"Average")</f>
        <v>2462 Albion Farm Way's Appraised Price vs 2018 Average</v>
      </c>
      <c r="B27" s="40">
        <f ca="1">IFERROR($E$23/B$2,"")</f>
        <v>1</v>
      </c>
      <c r="C27" s="40">
        <f ca="1">IFERROR($E$23/C$2,"")</f>
        <v>1.1413396025163804</v>
      </c>
      <c r="D27" s="38">
        <f ca="1">IFERROR($E$23/D$2,"")</f>
        <v>1.0795454170584062</v>
      </c>
      <c r="E27" s="39">
        <f ca="1">IFERROR($E$23/E$2,"")</f>
        <v>1.0704807244800791</v>
      </c>
      <c r="F27" s="46"/>
      <c r="G27" s="4"/>
      <c r="H27" s="4"/>
      <c r="I27" s="4"/>
      <c r="J27" s="4"/>
      <c r="L27" s="34"/>
    </row>
    <row r="28" spans="1:12" ht="28.5" x14ac:dyDescent="0.45">
      <c r="A28" s="47" t="str">
        <f ca="1">CONCATENATE($B$9,"'s Appraised Price/sqft vs. ",$A$1,"Average")</f>
        <v>2462 Albion Farm Way's Appraised Price/sqft vs. 2018 Average</v>
      </c>
      <c r="B28" s="40">
        <f ca="1">IFERROR(TRUNC(INDEX(INDIRECT($H28),MATCH($B$9&amp;"*",Calculations!$A:$A,0)),2)/B$6,"")</f>
        <v>0.99997877984084893</v>
      </c>
      <c r="C28" s="40">
        <f ca="1">IFERROR(TRUNC(INDEX(INDIRECT($H28),MATCH($B$9&amp;"*",Calculations!$A:$A,0)),2)/C$6,"")</f>
        <v>1.0175377254653051</v>
      </c>
      <c r="D28" s="38">
        <f ca="1">IFERROR(TRUNC(INDEX(INDIRECT($H28),MATCH($B$9&amp;"*",Calculations!$A:$A,0)),2)/D$6,"")</f>
        <v>1.022072441137287</v>
      </c>
      <c r="E28" s="39">
        <f ca="1">IFERROR(TRUNC(INDEX(INDIRECT($H28),MATCH($B$9&amp;"*",Calculations!$A:$A,0)),2)/E$6,"")</f>
        <v>1.0131062187881832</v>
      </c>
      <c r="H28" s="11" t="str">
        <f ca="1">CONCATENATE($I28,"!",$J28,":",$J28)</f>
        <v>Calculations!I:I</v>
      </c>
      <c r="I28" s="11" t="s">
        <v>23</v>
      </c>
      <c r="J28" t="str">
        <f ca="1">SUBSTITUTE(ADDRESS(1,MATCH(CONCATENATE($A$1,$K28),INDIRECT($I28&amp;"!3:3"),0),4),1,"")</f>
        <v>I</v>
      </c>
      <c r="K28" t="s">
        <v>29</v>
      </c>
    </row>
    <row r="29" spans="1:12" ht="30.75" customHeight="1" x14ac:dyDescent="0.45">
      <c r="A29" s="109" t="str">
        <f ca="1">CONCATENATE("If ", $B$9, " sold at the highest cost/sqft (",$G29,") that's been sold in ",$A$1,"it would get:")</f>
        <v>If 2462 Albion Farm Way sold at the highest cost/sqft ($204.26) that's been sold in 2018 it would get:</v>
      </c>
      <c r="B29" s="109"/>
      <c r="C29" s="109"/>
      <c r="D29" s="109"/>
      <c r="E29" s="22">
        <f ca="1">IFERROR($G29*INDEX(INDIRECT($H13),MATCH($B$9&amp;"*",Calculations!$A:$A,0)),"")</f>
        <v>235307.51999999999</v>
      </c>
      <c r="G29" t="str">
        <f t="array" aca="1" ref="G29" ca="1">TEXT(MAX(IF(INDIRECT($H31)&gt;=DATE($A$1,1,1),IF(INDIRECT($H31)&lt;=DATE($A$1,12,31),INDIRECT($H29),""),"")),"$#,##0.00")</f>
        <v>$204.26</v>
      </c>
      <c r="H29" s="11" t="str">
        <f ca="1">CONCATENATE($I29,"!",$J29,":",$J29)</f>
        <v>Calculations!D:D</v>
      </c>
      <c r="I29" s="11" t="s">
        <v>23</v>
      </c>
      <c r="J29" s="11" t="str">
        <f ca="1">SUBSTITUTE(ADDRESS(1,MATCH($K29,INDIRECT($I29&amp;"!3:3"),0),4),1,"")</f>
        <v>D</v>
      </c>
      <c r="K29" t="s">
        <v>9</v>
      </c>
    </row>
    <row r="30" spans="1:12" ht="31.15" customHeight="1" x14ac:dyDescent="0.45">
      <c r="A30" s="110" t="str">
        <f ca="1">IFERROR(CONCATENATE("If ", $B$9, " sold at the average cost/sqft (",TEXT(AVERAGEIFS(INDIRECT($H29),INDIRECT($H30),"&gt;="&amp;DATE($A$1,1,1),INDIRECT($H30),"&lt;="&amp;DATE($A$1,12,31)),"$#,##.##"),") that's been sold in ",$A$1,"it would get:"),"")</f>
        <v>If 2462 Albion Farm Way sold at the average cost/sqft ($161.51) that's been sold in 2018 it would get:</v>
      </c>
      <c r="B30" s="110"/>
      <c r="C30" s="110"/>
      <c r="D30" s="110"/>
      <c r="E30" s="22">
        <f ca="1">IFERROR(INDEX(INDIRECT($H13),MATCH($B$9&amp;"*",Data!C:C,0))*AVERAGEIFS(INDIRECT($H29),INDIRECT($H30),"&gt;="&amp;DATE($A$1,1,1),INDIRECT($H30),"&lt;="&amp;DATE($A$1,12,31)),"")</f>
        <v>186059.64729645452</v>
      </c>
      <c r="H30" s="11" t="str">
        <f ca="1">CONCATENATE($I30,"!",$J30,":",$J30)</f>
        <v>Data!H:H</v>
      </c>
      <c r="I30" s="11" t="s">
        <v>30</v>
      </c>
      <c r="J30" s="11" t="str">
        <f ca="1">SUBSTITUTE(ADDRESS(1,MATCH($K30,INDIRECT($I30&amp;"!3:3"),0),4),1,"")</f>
        <v>H</v>
      </c>
      <c r="K30" s="11" t="s">
        <v>34</v>
      </c>
    </row>
    <row r="31" spans="1:12" ht="31.5" customHeight="1" x14ac:dyDescent="0.45">
      <c r="A31" s="110" t="str">
        <f ca="1">IFERROR(CONCATENATE("If ", $B$9, " sold at the average cost/sqft (",TEXT(AVERAGEIFS(INDIRECT($H29),INDIRECT($H31),"&gt;="&amp;DATE($A$1-2,1,1),INDIRECT($H29),"&lt;="&amp;DATE($A$1,12,31)),"$#,##.##"),") that's been sold in the last 2 years (",$A$1-2,"-",TRIM($A$1),") it would get:"),"")</f>
        <v>If 2462 Albion Farm Way sold at the average cost/sqft ($153.49) that's been sold in the last 2 years (2016-2018) it would get:</v>
      </c>
      <c r="B31" s="110"/>
      <c r="C31" s="110"/>
      <c r="D31" s="110"/>
      <c r="E31" s="22">
        <f ca="1">IFERROR(INDEX(INDIRECT($H13),MATCH($B$9&amp;"*",Data!C:C,0))*AVERAGEIFS(INDIRECT($H29),INDIRECT($H31),"&gt;="&amp;DATE($A$1-2,1,1),INDIRECT($H31),"&lt;="&amp;DATE($A$1,12,31)),"")</f>
        <v>174782.73696963134</v>
      </c>
      <c r="H31" s="11" t="str">
        <f ca="1">CONCATENATE($I31,"!",$J31,":",$J31)</f>
        <v>Data!H:H</v>
      </c>
      <c r="I31" s="11" t="s">
        <v>30</v>
      </c>
      <c r="J31" s="11" t="str">
        <f ca="1">SUBSTITUTE(ADDRESS(1,MATCH($K31,INDIRECT($I31&amp;"!3:3"),0),4),1,"")</f>
        <v>H</v>
      </c>
      <c r="K31" s="11" t="s">
        <v>34</v>
      </c>
    </row>
    <row r="32" spans="1:12" x14ac:dyDescent="0.45">
      <c r="H32">
        <v>5</v>
      </c>
      <c r="I32" s="11" t="s">
        <v>46</v>
      </c>
    </row>
    <row r="33" spans="1:11" x14ac:dyDescent="0.45">
      <c r="H33">
        <f>COUNTIF(Data!$A:$A,"&lt;&gt;")+2</f>
        <v>185</v>
      </c>
      <c r="I33" s="11" t="s">
        <v>47</v>
      </c>
    </row>
    <row r="34" spans="1:11" x14ac:dyDescent="0.45">
      <c r="A34" s="36" t="s">
        <v>11</v>
      </c>
      <c r="B34" s="105" t="str">
        <f ca="1">IFERROR(CONCATENATE(MAX(INDIRECT($H34)), " acres (",INDEX(Data!$C:$C,MATCH(MAX(INDIRECT($H34)),INDIRECT($H34),0)),")"),"")</f>
        <v>0.26 acres (2477 Albion Farm Way, Duluth, GA 30097)</v>
      </c>
      <c r="C34" s="105"/>
      <c r="D34" s="105"/>
      <c r="E34" s="106"/>
      <c r="H34" s="11" t="str">
        <f t="shared" ref="H34:H35" ca="1" si="0">CONCATENATE($I34,"!",$J34,":",$J34)</f>
        <v>Data!F:F</v>
      </c>
      <c r="I34" s="11" t="s">
        <v>30</v>
      </c>
      <c r="J34" s="11" t="str">
        <f ca="1">SUBSTITUTE(ADDRESS(1,MATCH($K34,INDIRECT($I34&amp;"!3:3"),0),4),1,"")</f>
        <v>F</v>
      </c>
      <c r="K34" s="11" t="s">
        <v>3</v>
      </c>
    </row>
    <row r="35" spans="1:11" x14ac:dyDescent="0.45">
      <c r="A35" s="37" t="s">
        <v>12</v>
      </c>
      <c r="B35" s="105" t="str">
        <f ca="1">IFERROR(CONCATENATE(MAX(INDIRECT($H35)), " sqft (",INDEX(Data!$C:$C,MATCH(MAX(INDIRECT($H35)),INDIRECT($H35),0)),")"),"")</f>
        <v>1496 sqft (3080 Barnwood Xing, Duluth, GA 30097)</v>
      </c>
      <c r="C35" s="105"/>
      <c r="D35" s="105"/>
      <c r="E35" s="106"/>
      <c r="H35" s="11" t="str">
        <f t="shared" ca="1" si="0"/>
        <v>Data!G:G</v>
      </c>
      <c r="I35" s="11" t="s">
        <v>30</v>
      </c>
      <c r="J35" s="11" t="str">
        <f ca="1">SUBSTITUTE(ADDRESS(1,MATCH($K35,INDIRECT($I35&amp;"!3:3"),0),4),1,"")</f>
        <v>G</v>
      </c>
      <c r="K35" s="11" t="s">
        <v>4</v>
      </c>
    </row>
    <row r="36" spans="1:11" x14ac:dyDescent="0.45">
      <c r="A36" s="37" t="str">
        <f ca="1">"Highest Appraised Value in "&amp;$A$1&amp;":"</f>
        <v>Highest Appraised Value in 2018 :</v>
      </c>
      <c r="B36" s="105" t="str">
        <f ca="1">IFERROR(CONCATENATE(TEXT(MAX(INDIRECT($H36)),"$#,##0"), " (",INDEX(INDIRECT(SUBSTITUTE($H36,$J36,"C")),MATCH(MAX(INDIRECT($H36)),INDIRECT($H36),0)),")"),"")</f>
        <v>$216,000 (2862 Albion Farm Way, Duluth, GA 30097)</v>
      </c>
      <c r="C36" s="105"/>
      <c r="D36" s="105"/>
      <c r="E36" s="106"/>
      <c r="H36" s="11" t="str">
        <f t="shared" ref="H36:H45" ca="1" si="1">CONCATENATE($I36,"!",$J36,$H$32,":",$J36,$H$33)</f>
        <v>Data!P5:P185</v>
      </c>
      <c r="I36" s="11" t="s">
        <v>30</v>
      </c>
      <c r="J36" t="str">
        <f ca="1">SUBSTITUTE(ADDRESS(1,MATCH(CONCATENATE($A$1,$K36),INDIRECT($I36&amp;"!3:3"),0),4),1,"")</f>
        <v>P</v>
      </c>
      <c r="K36" s="11" t="s">
        <v>25</v>
      </c>
    </row>
    <row r="37" spans="1:11" x14ac:dyDescent="0.45">
      <c r="A37" s="37" t="str">
        <f ca="1">"Lowest Appraised Value in "&amp;$A$1&amp;":"</f>
        <v>Lowest Appraised Value in 2018 :</v>
      </c>
      <c r="B37" s="105" t="str">
        <f ca="1">IFERROR(CONCATENATE(TEXT(MIN(INDIRECT($H37)),"$#,##0"), " (",INDEX(INDIRECT(SUBSTITUTE($H37,$J37,"C")),MATCH(MIN(INDIRECT($H37)),INDIRECT($H37),0)),")"),"")</f>
        <v>$131,300 (3948 Hawks Nest Ct, Duluth, GA 30097)</v>
      </c>
      <c r="C37" s="105"/>
      <c r="D37" s="105"/>
      <c r="E37" s="106"/>
      <c r="F37" s="96"/>
      <c r="H37" s="11" t="str">
        <f t="shared" ca="1" si="1"/>
        <v>Data!P5:P185</v>
      </c>
      <c r="I37" s="11" t="s">
        <v>30</v>
      </c>
      <c r="J37" t="str">
        <f ca="1">SUBSTITUTE(ADDRESS(1,MATCH(CONCATENATE($A$1,$K37),INDIRECT($I37&amp;"!3:3"),0),4),1,"")</f>
        <v>P</v>
      </c>
      <c r="K37" s="11" t="s">
        <v>25</v>
      </c>
    </row>
    <row r="38" spans="1:11" x14ac:dyDescent="0.45">
      <c r="A38" s="37" t="str">
        <f ca="1">"Highest Appraised Cost/Sqft in "&amp;$A$1&amp;":"</f>
        <v>Highest Appraised Cost/Sqft in 2018 :</v>
      </c>
      <c r="B38" s="105" t="str">
        <f ca="1">IFERROR(CONCATENATE(TEXT(MAX(INDIRECT($H38)),"$#,##0.00"),"/sqft (",INDEX(INDIRECT(SUBSTITUTE($H38,$J38,"A")),MATCH(MAX(INDIRECT($H38)),INDIRECT($H38),0)),")"),"")</f>
        <v>$142.54/sqft (4044 White Owl Ct, Duluth, GA 30097)</v>
      </c>
      <c r="C38" s="105"/>
      <c r="D38" s="105"/>
      <c r="E38" s="106"/>
      <c r="H38" s="11" t="str">
        <f t="shared" ca="1" si="1"/>
        <v>Calculations!I5:I185</v>
      </c>
      <c r="I38" s="11" t="s">
        <v>23</v>
      </c>
      <c r="J38" t="str">
        <f ca="1">SUBSTITUTE(ADDRESS(1,MATCH(CONCATENATE($A$1,$K38),INDIRECT($I38&amp;"!3:3"),0),4),1,"")</f>
        <v>I</v>
      </c>
      <c r="K38" t="s">
        <v>29</v>
      </c>
    </row>
    <row r="39" spans="1:11" x14ac:dyDescent="0.45">
      <c r="A39" s="37" t="str">
        <f ca="1">"Lowest Appraised Cost/Sqft in "&amp;$A$1&amp;":"</f>
        <v>Lowest Appraised Cost/Sqft in 2018 :</v>
      </c>
      <c r="B39" s="105" t="str">
        <f ca="1">IFERROR(CONCATENATE(TEXT(MIN(INDIRECT($H39)),"$#,##0.00"),"/sqft (",INDEX(INDIRECT(SUBSTITUTE($H39,$J39,"A")),MATCH(MIN(INDIRECT($H39)),INDIRECT($H39),0)),")"),"")</f>
        <v>$89.94/sqft (3933 Hawks Nest Ct, Duluth, GA 30097)</v>
      </c>
      <c r="C39" s="105"/>
      <c r="D39" s="105"/>
      <c r="E39" s="106"/>
      <c r="F39" s="11"/>
      <c r="H39" s="11" t="str">
        <f t="shared" ca="1" si="1"/>
        <v>Calculations!I5:I185</v>
      </c>
      <c r="I39" s="11" t="s">
        <v>23</v>
      </c>
      <c r="J39" t="str">
        <f ca="1">SUBSTITUTE(ADDRESS(1,MATCH(CONCATENATE($A$1,$K39),INDIRECT($I39&amp;"!3:3"),0),4),1,"")</f>
        <v>I</v>
      </c>
      <c r="K39" t="s">
        <v>29</v>
      </c>
    </row>
    <row r="40" spans="1:11" x14ac:dyDescent="0.45">
      <c r="A40" s="37" t="str">
        <f ca="1">"Latest Sale in "&amp;$A$1&amp;":"</f>
        <v>Latest Sale in 2018 :</v>
      </c>
      <c r="B40" s="105" t="str">
        <f ca="1">IFERROR(CONCATENATE(TEXT($G40,"MM/DD/YYYY")," (",INDEX(INDIRECT(SUBSTITUTE($H40,$J40,"C")),MATCH($G40,INDIRECT($H40),0)),")"),"")</f>
        <v>08/29/2018 (2745 Barnwood Xing, Duluth, GA 30097)</v>
      </c>
      <c r="C40" s="105"/>
      <c r="D40" s="105"/>
      <c r="E40" s="106"/>
      <c r="F40" s="11"/>
      <c r="G40" s="83">
        <f t="array" aca="1" ref="G40" ca="1">MAX(IF(INDIRECT($H40)&gt;=DATE($A$1,1,1),IF(INDIRECT($H40)&lt;=DATE($A$1,12,31),INDIRECT($H40),""),""))</f>
        <v>43341</v>
      </c>
      <c r="H40" s="11" t="str">
        <f t="shared" ca="1" si="1"/>
        <v>Data!H5:H185</v>
      </c>
      <c r="I40" s="11" t="s">
        <v>30</v>
      </c>
      <c r="J40" s="11" t="str">
        <f t="shared" ref="J40:J45" ca="1" si="2">SUBSTITUTE(ADDRESS(1,MATCH($K40,INDIRECT($I40&amp;"!3:3"),0),4),1,"")</f>
        <v>H</v>
      </c>
      <c r="K40" s="11" t="s">
        <v>34</v>
      </c>
    </row>
    <row r="41" spans="1:11" x14ac:dyDescent="0.45">
      <c r="A41" s="36" t="str">
        <f ca="1">"Highest $/sqft Sold in "&amp;$A$1&amp;":"</f>
        <v>Highest $/sqft Sold in 2018 :</v>
      </c>
      <c r="B41" s="105" t="str">
        <f ca="1">IFERROR(CONCATENATE(TEXT($G41,"$#,##0.00"),"/sqft (",INDEX(INDIRECT(SUBSTITUTE($H41,$J41,"A")),MATCH($G41,INDIRECT($H41),0))," -- ",TEXT(INDEX(INDIRECT($H$40),MATCH(INDEX(INDIRECT(SUBSTITUTE($H41,$J41,"A")),MATCH($G41,INDIRECT($H41),0)),INDIRECT(SUBSTITUTE($H$40,$J$40,"C")),0),0),"MM/DD/YYYY"),")"),"")</f>
        <v>$204.26/sqft (2905 Barnwood Xing, Duluth, GA 30097 -- 04/06/2018)</v>
      </c>
      <c r="C41" s="105"/>
      <c r="D41" s="105"/>
      <c r="E41" s="106"/>
      <c r="G41" s="84">
        <f t="array" aca="1" ref="G41" ca="1">MAX(IF(INDIRECT($H40)&gt;=DATE($A$1,1,1),IF(INDIRECT($H40)&lt;=DATE($A$1,12,31),INDIRECT($H41),""),""))</f>
        <v>204.26065162907267</v>
      </c>
      <c r="H41" s="11" t="str">
        <f t="shared" ca="1" si="1"/>
        <v>Calculations!D5:D185</v>
      </c>
      <c r="I41" s="11" t="s">
        <v>23</v>
      </c>
      <c r="J41" s="11" t="str">
        <f t="shared" ca="1" si="2"/>
        <v>D</v>
      </c>
      <c r="K41" t="s">
        <v>9</v>
      </c>
    </row>
    <row r="42" spans="1:11" x14ac:dyDescent="0.45">
      <c r="A42" s="36" t="str">
        <f ca="1">"Lowest $/sqft Sold in "&amp;$A$1&amp;":"</f>
        <v>Lowest $/sqft Sold in 2018 :</v>
      </c>
      <c r="B42" s="105" t="str">
        <f ca="1">IFERROR(CONCATENATE(TEXT($G42,"$#,##0.00"),"/sqft (",INDEX(INDIRECT(SUBSTITUTE($H42,$J42,"A")),MATCH($G42,INDIRECT($H42),0))," -- ",TEXT(INDEX(INDIRECT($H$40),MATCH(INDEX(INDIRECT(SUBSTITUTE($H42,$J42,"A")),MATCH($G42,INDIRECT($H42),0)),INDIRECT(SUBSTITUTE($H$40,$J$40,"C")),0),0),"MM/DD/YYYY"),")"),"")</f>
        <v>$108.96/sqft (3080 Barnwood Xing, Duluth, GA 30097 -- 03/06/2018)</v>
      </c>
      <c r="C42" s="105"/>
      <c r="D42" s="105"/>
      <c r="E42" s="106"/>
      <c r="G42">
        <f t="array" aca="1" ref="G42" ca="1">MIN(IF(INDIRECT($H40)&gt;=DATE($A$1,1,1),IF(INDIRECT($H40)&lt;=DATE($A$1,12,31),INDIRECT($H41),""),""))</f>
        <v>108.95721925133689</v>
      </c>
      <c r="H42" s="11" t="str">
        <f t="shared" ca="1" si="1"/>
        <v>Calculations!D5:D185</v>
      </c>
      <c r="I42" s="11" t="s">
        <v>23</v>
      </c>
      <c r="J42" s="11" t="str">
        <f t="shared" ca="1" si="2"/>
        <v>D</v>
      </c>
      <c r="K42" t="s">
        <v>9</v>
      </c>
    </row>
    <row r="43" spans="1:11" x14ac:dyDescent="0.45">
      <c r="A43" s="36" t="s">
        <v>40</v>
      </c>
      <c r="B43" s="105" t="str">
        <f ca="1">IFERROR(CONCATENATE(TEXT(MAX(INDIRECT($H43)),"$#,##0.00"),"/sqft (",INDEX(INDIRECT(SUBSTITUTE($H42,$J42,"A")),MATCH(MAX(INDIRECT($H43)),INDIRECT($H43),0))," -- ",TEXT(INDEX(INDIRECT($H$40),MATCH(INDEX(Calculations!$A:$A,MATCH(MAX(INDIRECT($H43)),INDIRECT($H43),0)),Data!$C:$C,0),0),"MM/DD/YYYY"),")"),"")</f>
        <v>$213.82/sqft (3929 White Owl Ct, Duluth, GA 30097 -- 03/14/2019)</v>
      </c>
      <c r="C43" s="105"/>
      <c r="D43" s="105"/>
      <c r="E43" s="106"/>
      <c r="H43" s="11" t="str">
        <f t="shared" ca="1" si="1"/>
        <v>Calculations!D5:D185</v>
      </c>
      <c r="I43" s="11" t="s">
        <v>23</v>
      </c>
      <c r="J43" s="11" t="str">
        <f t="shared" ca="1" si="2"/>
        <v>D</v>
      </c>
      <c r="K43" t="s">
        <v>9</v>
      </c>
    </row>
    <row r="44" spans="1:11" x14ac:dyDescent="0.45">
      <c r="A44" s="77" t="str">
        <f ca="1">"Houses Sold in "&amp;$A$1&amp;":"</f>
        <v>Houses Sold in 2018 :</v>
      </c>
      <c r="B44" s="105">
        <f ca="1">IFERROR(COUNTIFS(INDIRECT($H44),"&gt;="&amp;DATE($A$1,1,1),INDIRECT($H44),"&lt;="&amp;DATE($A$1,12,31)),"")</f>
        <v>8</v>
      </c>
      <c r="C44" s="105"/>
      <c r="D44" s="105"/>
      <c r="E44" s="106"/>
      <c r="H44" s="11" t="str">
        <f t="shared" ca="1" si="1"/>
        <v>Data!H5:H185</v>
      </c>
      <c r="I44" s="11" t="s">
        <v>30</v>
      </c>
      <c r="J44" s="11" t="str">
        <f t="shared" ca="1" si="2"/>
        <v>H</v>
      </c>
      <c r="K44" t="s">
        <v>34</v>
      </c>
    </row>
    <row r="45" spans="1:11" x14ac:dyDescent="0.45">
      <c r="A45" s="77" t="str">
        <f ca="1">"Houses Sold in Previous Year ("&amp;$A$1-1&amp;"):"</f>
        <v>Houses Sold in Previous Year (2017):</v>
      </c>
      <c r="B45" s="105">
        <f ca="1">IFERROR(COUNTIFS(INDIRECT($H45),"&gt;="&amp;DATE($A$1-1,1,1),INDIRECT($H45),"&lt;="&amp;DATE($A$1-1,12,31)),"")</f>
        <v>23</v>
      </c>
      <c r="C45" s="105"/>
      <c r="D45" s="105"/>
      <c r="E45" s="106"/>
      <c r="H45" s="11" t="str">
        <f t="shared" ca="1" si="1"/>
        <v>Data!H5:H185</v>
      </c>
      <c r="I45" s="11" t="s">
        <v>30</v>
      </c>
      <c r="J45" s="11" t="str">
        <f t="shared" ca="1" si="2"/>
        <v>H</v>
      </c>
      <c r="K45" t="s">
        <v>34</v>
      </c>
    </row>
    <row r="47" spans="1:11" x14ac:dyDescent="0.45">
      <c r="F47" s="11"/>
      <c r="G47" s="11"/>
    </row>
  </sheetData>
  <mergeCells count="22">
    <mergeCell ref="A26:D26"/>
    <mergeCell ref="B9:C9"/>
    <mergeCell ref="D9:E11"/>
    <mergeCell ref="A17:D17"/>
    <mergeCell ref="A23:D23"/>
    <mergeCell ref="A25:D25"/>
    <mergeCell ref="B43:E43"/>
    <mergeCell ref="B44:E44"/>
    <mergeCell ref="B45:E45"/>
    <mergeCell ref="A24:D24"/>
    <mergeCell ref="B37:E37"/>
    <mergeCell ref="B38:E38"/>
    <mergeCell ref="B39:E39"/>
    <mergeCell ref="B40:E40"/>
    <mergeCell ref="B41:E41"/>
    <mergeCell ref="B42:E42"/>
    <mergeCell ref="A29:D29"/>
    <mergeCell ref="A30:D30"/>
    <mergeCell ref="A31:D31"/>
    <mergeCell ref="B34:E34"/>
    <mergeCell ref="B35:E35"/>
    <mergeCell ref="B36:E3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68336-89E0-4E8B-81DB-97A0AA404347}">
  <sheetPr codeName="Sheet8"/>
  <dimension ref="A1:Q47"/>
  <sheetViews>
    <sheetView showGridLines="0" zoomScale="85" zoomScaleNormal="85" workbookViewId="0">
      <selection activeCell="B10" sqref="B10"/>
    </sheetView>
  </sheetViews>
  <sheetFormatPr defaultRowHeight="14.25" x14ac:dyDescent="0.45"/>
  <cols>
    <col min="1" max="1" width="34.3984375" bestFit="1" customWidth="1"/>
    <col min="2" max="2" width="14.3984375" bestFit="1" customWidth="1"/>
    <col min="3" max="3" width="13.265625" bestFit="1" customWidth="1"/>
    <col min="4" max="4" width="14" customWidth="1"/>
    <col min="5" max="5" width="18"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1" t="str">
        <f ca="1">LEFT(MID(CELL("filename",A1),FIND("]",CELL("filename",A1))+1,255),FIND(" ",MID(CELL("filename",A1),FIND("]",CELL("filename",A1))+1,255)))</f>
        <v xml:space="preserve">2017 </v>
      </c>
      <c r="B1" s="31" t="str">
        <f ca="1">CONCATENATE("Same House Comps","
("&amp;B10&amp;" br/"&amp;B11&amp;" ba)")</f>
        <v>Same House Comps
(2 br/2.5 ba)</v>
      </c>
      <c r="C1" s="32" t="s">
        <v>6</v>
      </c>
      <c r="D1" s="33" t="s">
        <v>41</v>
      </c>
      <c r="E1" s="21" t="s">
        <v>8</v>
      </c>
      <c r="G1" s="70" t="s">
        <v>42</v>
      </c>
      <c r="H1" s="72" t="s">
        <v>26</v>
      </c>
      <c r="I1" s="72" t="s">
        <v>33</v>
      </c>
      <c r="J1" s="70" t="str">
        <f ca="1">$A1&amp;"cell letter"</f>
        <v>2017 cell letter</v>
      </c>
      <c r="K1" s="70" t="s">
        <v>24</v>
      </c>
    </row>
    <row r="2" spans="1:17" x14ac:dyDescent="0.45">
      <c r="A2" s="24" t="str">
        <f ca="1">A1&amp;"Total Appraised Price Average"</f>
        <v>2017 Total Appraised Price Average</v>
      </c>
      <c r="B2" s="22">
        <f ca="1">IFERROR(AVERAGEIFS(INDIRECT($H2),Data!E:E,"&lt;&gt;",Data!D:D,$B$10,Data!E:E,$B$11),"")</f>
        <v>159100</v>
      </c>
      <c r="C2" s="22">
        <f ca="1">IFERROR(AVERAGEIFS(INDIRECT($H2),Data!E:E,"&lt;&gt;",Data!D:D,$B$10,Data!E:E,"&gt;="&amp;ROUNDDOWN($B$11,0)),"")</f>
        <v>140727.58620689655</v>
      </c>
      <c r="D2" s="29">
        <f ca="1">IFERROR(AVERAGEIFS(INDIRECT($H2),Data!E:E,"&lt;&gt;"),"")</f>
        <v>149174.58563535911</v>
      </c>
      <c r="E2" s="30">
        <f ca="1">IFERROR(AVERAGE(B2:D2),"")</f>
        <v>149667.39061408522</v>
      </c>
      <c r="H2" s="11" t="str">
        <f ca="1">CONCATENATE($I2,"!",$J2,":",$J2)</f>
        <v>Data!M:M</v>
      </c>
      <c r="I2" s="11" t="s">
        <v>30</v>
      </c>
      <c r="J2" t="str">
        <f ca="1">SUBSTITUTE(ADDRESS(1,MATCH(CONCATENATE($A$1,$K2),INDIRECT($I2&amp;"!3:3"),0),4),1,"")</f>
        <v>M</v>
      </c>
      <c r="K2" s="11" t="s">
        <v>25</v>
      </c>
    </row>
    <row r="3" spans="1:17" x14ac:dyDescent="0.45">
      <c r="A3" s="24" t="str">
        <f ca="1">A1&amp;"Building Appraised Price Average"</f>
        <v>2017 Building Appraised Price Average</v>
      </c>
      <c r="B3" s="22">
        <f ca="1">IFERROR(AVERAGEIFS(INDIRECT($H3),Data!E:E,"&lt;&gt;",Data!D:D,$B$10,Data!E:E,$B$11),"")</f>
        <v>129100</v>
      </c>
      <c r="C3" s="22">
        <f ca="1">IFERROR(AVERAGEIFS(INDIRECT($H3),Data!E:E,"&lt;&gt;",Data!D:D,$B$10,Data!E:E,"&gt;="&amp;ROUNDDOWN($B$11,0)),"")</f>
        <v>110727.58620689655</v>
      </c>
      <c r="D3" s="29">
        <f ca="1">IFERROR(AVERAGEIFS(INDIRECT($H3),Data!E:E,"&lt;&gt;"),"")</f>
        <v>119350.27624309392</v>
      </c>
      <c r="E3" s="30">
        <f ca="1">IFERROR(AVERAGE(B3:D3),"")</f>
        <v>119725.95414999682</v>
      </c>
      <c r="H3" s="11" t="str">
        <f ca="1">CONCATENATE($I3,"!",$J3,":",$J3)</f>
        <v>Data!N:N</v>
      </c>
      <c r="I3" s="11" t="s">
        <v>30</v>
      </c>
      <c r="J3" t="str">
        <f ca="1">SUBSTITUTE(ADDRESS(1,MATCH(CONCATENATE($A$1,$K3),INDIRECT($I3&amp;"!3:3"),0),4),1,"")</f>
        <v>N</v>
      </c>
      <c r="K3" s="11" t="s">
        <v>27</v>
      </c>
    </row>
    <row r="4" spans="1:17" x14ac:dyDescent="0.45">
      <c r="A4" s="24" t="str">
        <f ca="1">A1&amp;"Land Appraised Price Average"</f>
        <v>2017 Land Appraised Price Average</v>
      </c>
      <c r="B4" s="22">
        <f ca="1">IFERROR(AVERAGEIFS(INDIRECT($H4),Data!E:E,"&lt;&gt;",Data!D:D,$B$10,Data!E:E,$B$11),"")</f>
        <v>30000</v>
      </c>
      <c r="C4" s="22">
        <f ca="1">IFERROR(AVERAGEIFS(INDIRECT($H4),Data!E:E,"&lt;&gt;",Data!D:D,$B$10,Data!E:E,"&gt;="&amp;ROUNDDOWN($B$11,0)),"")</f>
        <v>30000</v>
      </c>
      <c r="D4" s="29">
        <f ca="1">IFERROR(AVERAGEIFS(INDIRECT($H4),Data!E:E,"&lt;&gt;"),"")</f>
        <v>30000</v>
      </c>
      <c r="E4" s="30">
        <f ca="1">IFERROR(AVERAGE(B4:D4),"")</f>
        <v>30000</v>
      </c>
      <c r="H4" s="11" t="str">
        <f ca="1">CONCATENATE($I4,"!",$J4,":",$J4)</f>
        <v>Data!O:O</v>
      </c>
      <c r="I4" s="11" t="s">
        <v>30</v>
      </c>
      <c r="J4" t="str">
        <f ca="1">SUBSTITUTE(ADDRESS(1,MATCH(CONCATENATE($A$1,$K4),INDIRECT($I4&amp;"!3:3"),0),4),1,"")</f>
        <v>O</v>
      </c>
      <c r="K4" t="s">
        <v>28</v>
      </c>
    </row>
    <row r="5" spans="1:17" x14ac:dyDescent="0.45">
      <c r="B5" s="73"/>
      <c r="C5" s="73"/>
      <c r="E5" s="5"/>
      <c r="H5" s="11"/>
      <c r="I5" s="11"/>
    </row>
    <row r="6" spans="1:17" x14ac:dyDescent="0.45">
      <c r="A6" s="24" t="str">
        <f ca="1">A1&amp;"Appraised Price/sqft Average"</f>
        <v>2017 Appraised Price/sqft Average</v>
      </c>
      <c r="B6" s="22">
        <f ca="1">IFERROR(AVERAGEIFS(INDIRECT($H6),Data!E:E,"&lt;&gt;",Data!D:D,$B$10,Data!E:E,$B$11),"")</f>
        <v>112.06597222222223</v>
      </c>
      <c r="C6" s="22">
        <f ca="1">IFERROR(AVERAGEIFS(INDIRECT($H6),Data!E:E,"&lt;&gt;",Data!D:D,$B$10,Data!E:E,"&gt;="&amp;ROUNDDOWN($B$11,0)),"")</f>
        <v>110.9296018662271</v>
      </c>
      <c r="D6" s="29">
        <f ca="1">IFERROR(AVERAGEIFS(INDIRECT($H6),Data!E:E,"&lt;&gt;"),"")</f>
        <v>111.05331375418123</v>
      </c>
      <c r="E6" s="30">
        <f ca="1">IFERROR(AVERAGE(B6:D6),"")</f>
        <v>111.34962928087685</v>
      </c>
      <c r="H6" s="11" t="str">
        <f ca="1">CONCATENATE($I6,"!",$J6,":",$J6)</f>
        <v>Calculations!G:G</v>
      </c>
      <c r="I6" s="11" t="s">
        <v>23</v>
      </c>
      <c r="J6" t="str">
        <f ca="1">SUBSTITUTE(ADDRESS(1,MATCH(CONCATENATE($A$1,$K6),INDIRECT($I6&amp;"!3:3"),0),4),1,"")</f>
        <v>G</v>
      </c>
      <c r="K6" t="s">
        <v>29</v>
      </c>
    </row>
    <row r="7" spans="1:17" x14ac:dyDescent="0.45">
      <c r="A7" s="24" t="str">
        <f ca="1">A1&amp;"Appraised Price/acre Average"</f>
        <v>2017 Appraised Price/acre Average</v>
      </c>
      <c r="B7" s="22">
        <f ca="1">IFERROR(AVERAGEIFS(INDIRECT($H7),Data!E:E,"&lt;&gt;",Data!D:D,$B$10,Data!E:E,$B$11),"")</f>
        <v>214285.71428571426</v>
      </c>
      <c r="C7" s="22">
        <f ca="1">IFERROR(AVERAGEIFS(INDIRECT($H7),Data!E:E,"&lt;&gt;",Data!D:D,$B$10,Data!E:E,"&gt;="&amp;ROUNDDOWN($B$11,0)),"")</f>
        <v>248470.8960748516</v>
      </c>
      <c r="D7" s="29">
        <f ca="1">IFERROR(AVERAGEIFS(INDIRECT($H7),Data!E:E,"&lt;&gt;"),"")</f>
        <v>242894.00633036238</v>
      </c>
      <c r="E7" s="30">
        <f ca="1">IFERROR(AVERAGE(B7:D7),"")</f>
        <v>235216.87223030941</v>
      </c>
      <c r="H7" s="11" t="str">
        <f ca="1">CONCATENATE($I7,"!",$J7,":",$J7)</f>
        <v>Calculations!H:H</v>
      </c>
      <c r="I7" s="11" t="s">
        <v>23</v>
      </c>
      <c r="J7" t="str">
        <f ca="1">SUBSTITUTE(ADDRESS(1,MATCH(CONCATENATE($A$1,$K7),INDIRECT($I7&amp;"!3:3"),0),4),1,"")</f>
        <v>H</v>
      </c>
      <c r="K7" t="s">
        <v>31</v>
      </c>
    </row>
    <row r="8" spans="1:17" x14ac:dyDescent="0.45">
      <c r="D8" s="76"/>
      <c r="E8" s="4"/>
    </row>
    <row r="9" spans="1:17" ht="15.75" customHeight="1" x14ac:dyDescent="0.45">
      <c r="A9" s="11" t="s">
        <v>10</v>
      </c>
      <c r="B9" s="111" t="s">
        <v>51</v>
      </c>
      <c r="C9" s="111"/>
      <c r="D9" s="112" t="s">
        <v>38</v>
      </c>
      <c r="E9" s="113"/>
    </row>
    <row r="10" spans="1:17" x14ac:dyDescent="0.45">
      <c r="A10" s="74" t="s">
        <v>36</v>
      </c>
      <c r="B10" s="98">
        <f ca="1">INDEX(INDIRECT($H10),MATCH($B$9&amp;"*",Data!$C:$C,0))</f>
        <v>2</v>
      </c>
      <c r="D10" s="113"/>
      <c r="E10" s="113"/>
      <c r="H10" s="11" t="str">
        <f ca="1">CONCATENATE($I10,"!",$J10,":",$J10)</f>
        <v>Data!D:D</v>
      </c>
      <c r="I10" s="11" t="s">
        <v>30</v>
      </c>
      <c r="J10" s="11" t="str">
        <f ca="1">SUBSTITUTE(ADDRESS(1,MATCH($K10,INDIRECT($I10&amp;"!3:3"),0),4),1,"")</f>
        <v>D</v>
      </c>
      <c r="K10" s="11" t="s">
        <v>1</v>
      </c>
    </row>
    <row r="11" spans="1:17" x14ac:dyDescent="0.45">
      <c r="A11" s="74" t="s">
        <v>37</v>
      </c>
      <c r="B11" s="98">
        <f ca="1">INDEX(INDIRECT($H11),MATCH($B$9&amp;"*",Data!$C:$C,0))</f>
        <v>2.5</v>
      </c>
      <c r="D11" s="114"/>
      <c r="E11" s="114"/>
      <c r="H11" s="11" t="str">
        <f ca="1">CONCATENATE($I11,"!",$J11,":",$J11)</f>
        <v>Data!E:E</v>
      </c>
      <c r="I11" s="11" t="s">
        <v>30</v>
      </c>
      <c r="J11" s="11" t="str">
        <f ca="1">SUBSTITUTE(ADDRESS(1,MATCH($K11,INDIRECT($I11&amp;"!3:3"),0),4),1,"")</f>
        <v>E</v>
      </c>
      <c r="K11" s="11" t="s">
        <v>2</v>
      </c>
    </row>
    <row r="12" spans="1:17" x14ac:dyDescent="0.45">
      <c r="A12" s="24" t="str">
        <f ca="1">A1&amp;"Calculated Land Value"</f>
        <v>2017 Calculated Land Value</v>
      </c>
      <c r="B12" s="25">
        <f ca="1">IFERROR(B$7*INDEX(INDIRECT($H12),MATCH($B$9&amp;"*",Calculations!$A:$A,0)),"")</f>
        <v>30000</v>
      </c>
      <c r="C12" s="25">
        <f ca="1">IFERROR(C$7*INDEX(INDIRECT($H12),MATCH($B$9&amp;"*",Calculations!$A:$A,0)),"")</f>
        <v>34785.925450479226</v>
      </c>
      <c r="D12" s="25">
        <f ca="1">IFERROR(D$7*INDEX(INDIRECT($H12),MATCH($B$9&amp;"*",Calculations!$A:$A,0)),"")</f>
        <v>34005.160886250735</v>
      </c>
      <c r="E12" s="30">
        <f ca="1">IFERROR(E$7*INDEX(INDIRECT($H12),MATCH($B$9&amp;"*",Calculations!$A:$A,0)),"")</f>
        <v>32930.362112243318</v>
      </c>
      <c r="H12" s="11" t="str">
        <f ca="1">CONCATENATE($I12,"!",$J12,":",$J12)</f>
        <v>Data!F:F</v>
      </c>
      <c r="I12" s="11" t="s">
        <v>30</v>
      </c>
      <c r="J12" s="11" t="str">
        <f ca="1">SUBSTITUTE(ADDRESS(1,MATCH($K12,INDIRECT($I12&amp;"!3:3"),0),4),1,"")</f>
        <v>F</v>
      </c>
      <c r="K12" s="11" t="s">
        <v>3</v>
      </c>
      <c r="N12" s="11"/>
    </row>
    <row r="13" spans="1:17" x14ac:dyDescent="0.45">
      <c r="A13" s="24" t="str">
        <f ca="1">A1&amp;"Calculated Building Value"</f>
        <v>2017 Calculated Building Value</v>
      </c>
      <c r="B13" s="25">
        <f ca="1">IFERROR(B$6*INDEX(INDIRECT($H13),MATCH($B$9&amp;"*",Calculations!$A:$A,0)),"")</f>
        <v>129100</v>
      </c>
      <c r="C13" s="25">
        <f ca="1">IFERROR(C$6*INDEX(INDIRECT($H13),MATCH($B$9&amp;"*",Calculations!$A:$A,0)),"")</f>
        <v>127790.90134989363</v>
      </c>
      <c r="D13" s="23">
        <f ca="1">IFERROR(D$6*INDEX(INDIRECT($H13),MATCH($B$9&amp;"*",Calculations!$A:$A,0)),"")</f>
        <v>127933.41744481678</v>
      </c>
      <c r="E13" s="30">
        <f ca="1">IFERROR(E$6*INDEX(INDIRECT($H13),MATCH($B$9&amp;"*",Calculations!$A:$A,0)),"")</f>
        <v>128274.77293157013</v>
      </c>
      <c r="H13" s="11" t="str">
        <f ca="1">CONCATENATE($I13,"!",$J13,":",$J13)</f>
        <v>Data!G:G</v>
      </c>
      <c r="I13" s="11" t="s">
        <v>30</v>
      </c>
      <c r="J13" s="11" t="str">
        <f ca="1">SUBSTITUTE(ADDRESS(1,MATCH($K13,INDIRECT($I13&amp;"!3:3"),0),4),1,"")</f>
        <v>G</v>
      </c>
      <c r="K13" s="11" t="s">
        <v>4</v>
      </c>
      <c r="N13" s="11"/>
      <c r="Q13" s="81"/>
    </row>
    <row r="14" spans="1:17" ht="15.75" x14ac:dyDescent="0.5">
      <c r="A14" s="27" t="str">
        <f ca="1">A1&amp;"Calculated Total Appraised"</f>
        <v>2017 Calculated Total Appraised</v>
      </c>
      <c r="B14" s="100">
        <f ca="1">IFERROR(B$4+B$13,"")</f>
        <v>159100</v>
      </c>
      <c r="C14" s="100">
        <f ca="1">IFERROR(C$4+C$13,"")</f>
        <v>157790.90134989363</v>
      </c>
      <c r="D14" s="101">
        <f ca="1">IFERROR(D$4+D$13,"")</f>
        <v>157933.41744481679</v>
      </c>
      <c r="E14" s="102">
        <f ca="1">IFERROR(E$4+E$13,"")</f>
        <v>158274.77293157013</v>
      </c>
      <c r="F14" s="78" t="s">
        <v>39</v>
      </c>
      <c r="G14" s="78"/>
    </row>
    <row r="15" spans="1:17" ht="15.75" x14ac:dyDescent="0.5">
      <c r="A15" s="28" t="str">
        <f ca="1">A1&amp;"Calculated Total Assessed"</f>
        <v>2017 Calculated Total Assessed</v>
      </c>
      <c r="B15" s="100">
        <f ca="1">IFERROR(B14*0.4,"")</f>
        <v>63640</v>
      </c>
      <c r="C15" s="100">
        <f ca="1">IFERROR(C14*0.4,"")</f>
        <v>63116.360539957452</v>
      </c>
      <c r="D15" s="101">
        <f ca="1">IFERROR(D14*0.4,"")</f>
        <v>63173.366977926722</v>
      </c>
      <c r="E15" s="102">
        <f ca="1">IFERROR(E14*0.4,"")</f>
        <v>63309.909172628053</v>
      </c>
      <c r="F15" s="78" t="s">
        <v>39</v>
      </c>
      <c r="G15" s="78"/>
      <c r="O15" s="11"/>
    </row>
    <row r="16" spans="1:17" x14ac:dyDescent="0.45">
      <c r="E16" s="76"/>
    </row>
    <row r="17" spans="1:12" x14ac:dyDescent="0.45">
      <c r="A17" s="115" t="str">
        <f>CONCATENATE("Linearly Forecasted Total Appraised Value* For Property: ",$B$9)</f>
        <v>Linearly Forecasted Total Appraised Value* For Property: 2462 Albion Farm Way</v>
      </c>
      <c r="B17" s="115"/>
      <c r="C17" s="115"/>
      <c r="D17" s="115"/>
      <c r="E17" s="79"/>
    </row>
    <row r="18" spans="1:12" x14ac:dyDescent="0.45">
      <c r="A18" s="26">
        <f ca="1">A1+1</f>
        <v>2018</v>
      </c>
      <c r="B18" s="25">
        <f ca="1">IFERROR(B$14*(1+INDEX(INDIRECT($H18),MATCH($B$9&amp;"*",Calculations!$A:$A,0))),"")</f>
        <v>177309.80392156861</v>
      </c>
      <c r="C18" s="25">
        <f ca="1">IFERROR(C$14*(1+INDEX(INDIRECT($H18),MATCH($B$9&amp;"*",Calculations!$A:$A,0))),"")</f>
        <v>175850.87227502963</v>
      </c>
      <c r="D18" s="23">
        <f ca="1">IFERROR(D$14*(1+INDEX(INDIRECT($H18),MATCH($B$9&amp;"*",Calculations!$A:$A,0))),"")</f>
        <v>176009.70006161981</v>
      </c>
      <c r="E18" s="30">
        <f ca="1">IFERROR(E$14*(1+INDEX(INDIRECT($H18),MATCH($B$9&amp;"*",Calculations!$A:$A,0))),"")</f>
        <v>176390.12541940602</v>
      </c>
      <c r="H18" s="11" t="str">
        <f ca="1">CONCATENATE($I18,"!",$J18,":",$J18)</f>
        <v>Deltas!F:F</v>
      </c>
      <c r="I18" s="11" t="s">
        <v>32</v>
      </c>
      <c r="J18" s="11" t="str">
        <f ca="1">SUBSTITUTE(ADDRESS(1,MATCH($K18,INDIRECT($I18&amp;"!3:3"),0),4),1,"")</f>
        <v>F</v>
      </c>
      <c r="K18" t="s">
        <v>21</v>
      </c>
    </row>
    <row r="19" spans="1:12" x14ac:dyDescent="0.45">
      <c r="A19" s="26">
        <f ca="1">A1+2</f>
        <v>2019</v>
      </c>
      <c r="B19" s="25">
        <f ca="1">IFERROR(B$18*(1+INDEX(INDIRECT($H18),MATCH($B$9&amp;"*",Calculations!$A:$A,0))),"")</f>
        <v>197603.81248714714</v>
      </c>
      <c r="C19" s="25">
        <f ca="1">IFERROR(C$18*(1+INDEX(INDIRECT($H18),MATCH($B$9&amp;"*",Calculations!$A:$A,0))),"")</f>
        <v>195977.89869592903</v>
      </c>
      <c r="D19" s="23">
        <f ca="1">IFERROR(D$18*(1+INDEX(INDIRECT($H18),MATCH($B$9&amp;"*",Calculations!$A:$A,0))),"")</f>
        <v>196154.90513023201</v>
      </c>
      <c r="E19" s="30">
        <f ca="1">IFERROR(E$18*(1+INDEX(INDIRECT($H18),MATCH($B$9&amp;"*",Calculations!$A:$A,0))),"")</f>
        <v>196578.87210443607</v>
      </c>
      <c r="H19" s="11" t="str">
        <f ca="1">CONCATENATE($I19,"!",$J19,":",$J19)</f>
        <v>Deltas!F:F</v>
      </c>
      <c r="I19" s="11" t="s">
        <v>32</v>
      </c>
      <c r="J19" s="11" t="str">
        <f ca="1">SUBSTITUTE(ADDRESS(1,MATCH($K19,INDIRECT($I19&amp;"!3:3"),0),4),1,"")</f>
        <v>F</v>
      </c>
      <c r="K19" t="s">
        <v>21</v>
      </c>
    </row>
    <row r="20" spans="1:12" x14ac:dyDescent="0.45">
      <c r="A20" s="26">
        <f ca="1">A1+3</f>
        <v>2020</v>
      </c>
      <c r="B20" s="25">
        <f ca="1">IFERROR(B$19*(1+INDEX(INDIRECT($H18),MATCH($B$9&amp;"*",Calculations!$A:$A,0))),"")</f>
        <v>220220.5735150878</v>
      </c>
      <c r="C20" s="25">
        <f ca="1">IFERROR(C$19*(1+INDEX(INDIRECT($H18),MATCH($B$9&amp;"*",Calculations!$A:$A,0))),"")</f>
        <v>218408.56562373484</v>
      </c>
      <c r="D20" s="23">
        <f ca="1">IFERROR(D$19*(1+INDEX(INDIRECT($H18),MATCH($B$9&amp;"*",Calculations!$A:$A,0))),"")</f>
        <v>218605.83134440813</v>
      </c>
      <c r="E20" s="30">
        <f ca="1">IFERROR(E$19*(1+INDEX(INDIRECT($H18),MATCH($B$9&amp;"*",Calculations!$A:$A,0))),"")</f>
        <v>219078.32349441026</v>
      </c>
      <c r="H20" s="11" t="str">
        <f ca="1">CONCATENATE($I20,"!",$J20,":",$J20)</f>
        <v>Deltas!F:F</v>
      </c>
      <c r="I20" s="11" t="s">
        <v>32</v>
      </c>
      <c r="J20" s="11" t="str">
        <f ca="1">SUBSTITUTE(ADDRESS(1,MATCH($K20,INDIRECT($I20&amp;"!3:3"),0),4),1,"")</f>
        <v>F</v>
      </c>
      <c r="K20" t="s">
        <v>21</v>
      </c>
    </row>
    <row r="21" spans="1:12" x14ac:dyDescent="0.45">
      <c r="A21" s="35"/>
    </row>
    <row r="23" spans="1:12" x14ac:dyDescent="0.45">
      <c r="A23" s="107" t="str">
        <f>CONCATENATE($B$9,"'s Appraised 
Price")</f>
        <v>2462 Albion Farm Way's Appraised 
Price</v>
      </c>
      <c r="B23" s="108"/>
      <c r="C23" s="108"/>
      <c r="D23" s="108"/>
      <c r="E23" s="43">
        <f ca="1">IFERROR(INDEX(INDIRECT($H23),MATCH($B$9&amp;"*",Calculations!$A:$A,0)),"")</f>
        <v>159100</v>
      </c>
      <c r="H23" s="11" t="str">
        <f ca="1">CONCATENATE($I23,"!",$J23,":",$J23)</f>
        <v>Data!M:M</v>
      </c>
      <c r="I23" s="11" t="s">
        <v>30</v>
      </c>
      <c r="J23" t="str">
        <f ca="1">SUBSTITUTE(ADDRESS(1,MATCH(CONCATENATE($A$1,$K23),INDIRECT($I23&amp;"!3:3"),0),4),1,"")</f>
        <v>M</v>
      </c>
      <c r="K23" s="11" t="s">
        <v>25</v>
      </c>
      <c r="L23" s="11"/>
    </row>
    <row r="24" spans="1:12" x14ac:dyDescent="0.45">
      <c r="A24" s="107" t="str">
        <f ca="1">CONCATENATE($B$9,"'s Appraised Price YoY Change (",TRIM($A$1)-1,"-",TRIM($A$1),")")</f>
        <v>2462 Albion Farm Way's Appraised Price YoY Change (2016-2017)</v>
      </c>
      <c r="B24" s="108"/>
      <c r="C24" s="108"/>
      <c r="D24" s="108"/>
      <c r="E24" s="103">
        <f ca="1">IFERROR(INDEX(INDIRECT($H24),MATCH($B$9&amp;"*",Calculations!$A:$A,0)),"")</f>
        <v>8.8235294117647065E-2</v>
      </c>
      <c r="F24" s="45"/>
      <c r="G24" s="45"/>
      <c r="H24" s="11" t="str">
        <f ca="1">CONCATENATE($I24,"!",$J24,":",$J24)</f>
        <v>Deltas!H:H</v>
      </c>
      <c r="I24" s="11" t="s">
        <v>32</v>
      </c>
      <c r="J24" s="11" t="str">
        <f ca="1">SUBSTITUTE(ADDRESS(1,MATCH($K24,INDIRECT($I24&amp;"!3:3"),0),4),1,"")</f>
        <v>H</v>
      </c>
      <c r="K24" t="str">
        <f ca="1">RIGHT(TRIM($A$1),2)-1&amp;"/"&amp;RIGHT(TRIM($A$1),2)&amp;" Delta Appraised (%)"</f>
        <v>16/17 Delta Appraised (%)</v>
      </c>
    </row>
    <row r="25" spans="1:12" x14ac:dyDescent="0.45">
      <c r="A25" s="107" t="str">
        <f>CONCATENATE($B$9,"'s Calculated Assessed Price")</f>
        <v>2462 Albion Farm Way's Calculated Assessed Price</v>
      </c>
      <c r="B25" s="108"/>
      <c r="C25" s="108"/>
      <c r="D25" s="108"/>
      <c r="E25" s="44">
        <f ca="1">IFERROR($E$23*0.4,"")</f>
        <v>63640</v>
      </c>
    </row>
    <row r="26" spans="1:12" x14ac:dyDescent="0.45">
      <c r="A26" s="107" t="str">
        <f>CONCATENATE($B$9,"'s Appraised Price/sqft")</f>
        <v>2462 Albion Farm Way's Appraised Price/sqft</v>
      </c>
      <c r="B26" s="108"/>
      <c r="C26" s="108"/>
      <c r="D26" s="108"/>
      <c r="E26" s="48">
        <f ca="1">IFERROR(INDEX(INDIRECT($H26),MATCH($B$9&amp;"*",Calculations!$A:$A,0)),"")</f>
        <v>112.06597222222223</v>
      </c>
      <c r="F26" s="45"/>
      <c r="G26" s="45"/>
      <c r="H26" s="11" t="str">
        <f ca="1">CONCATENATE($I26,"!",$J26,":",$J26)</f>
        <v>Calculations!G:G</v>
      </c>
      <c r="I26" s="11" t="s">
        <v>23</v>
      </c>
      <c r="J26" t="str">
        <f ca="1">SUBSTITUTE(ADDRESS(1,MATCH(CONCATENATE($A$1,$K26),INDIRECT($I26&amp;"!3:3"),0),4),1,"")</f>
        <v>G</v>
      </c>
      <c r="K26" t="s">
        <v>29</v>
      </c>
    </row>
    <row r="27" spans="1:12" ht="28.5" x14ac:dyDescent="0.45">
      <c r="A27" s="47" t="str">
        <f ca="1">CONCATENATE($B$9,"'s Appraised Price vs ",$A$1,"Average")</f>
        <v>2462 Albion Farm Way's Appraised Price vs 2017 Average</v>
      </c>
      <c r="B27" s="40">
        <f ca="1">IFERROR($E$23/B$2,"")</f>
        <v>1</v>
      </c>
      <c r="C27" s="40">
        <f ca="1">IFERROR($E$23/C$2,"")</f>
        <v>1.1305530371713508</v>
      </c>
      <c r="D27" s="38">
        <f ca="1">IFERROR($E$23/D$2,"")</f>
        <v>1.0665355584690712</v>
      </c>
      <c r="E27" s="39">
        <f ca="1">IFERROR($E$23/E$2,"")</f>
        <v>1.0630238113139594</v>
      </c>
      <c r="F27" s="46"/>
      <c r="G27" s="4"/>
      <c r="H27" s="4"/>
      <c r="I27" s="4"/>
      <c r="J27" s="4"/>
      <c r="L27" s="34"/>
    </row>
    <row r="28" spans="1:12" ht="28.5" x14ac:dyDescent="0.45">
      <c r="A28" s="47" t="str">
        <f ca="1">CONCATENATE($B$9,"'s Appraised Price/sqft vs. ",$A$1,"Average")</f>
        <v>2462 Albion Farm Way's Appraised Price/sqft vs. 2017 Average</v>
      </c>
      <c r="B28" s="40">
        <f ca="1">IFERROR(TRUNC(INDEX(INDIRECT($H28),MATCH($B$9&amp;"*",Calculations!$A:$A,0)),2)/B$6,"")</f>
        <v>0.99994670797831131</v>
      </c>
      <c r="C28" s="40">
        <f ca="1">IFERROR(TRUNC(INDEX(INDIRECT($H28),MATCH($B$9&amp;"*",Calculations!$A:$A,0)),2)/C$6,"")</f>
        <v>1.010190229792189</v>
      </c>
      <c r="D28" s="38">
        <f ca="1">IFERROR(TRUNC(INDEX(INDIRECT($H28),MATCH($B$9&amp;"*",Calculations!$A:$A,0)),2)/D$6,"")</f>
        <v>1.0090648915533227</v>
      </c>
      <c r="E28" s="39">
        <f ca="1">IFERROR(TRUNC(INDEX(INDIRECT($H28),MATCH($B$9&amp;"*",Calculations!$A:$A,0)),2)/E$6,"")</f>
        <v>1.0063796415283184</v>
      </c>
      <c r="H28" s="11" t="str">
        <f ca="1">CONCATENATE($I28,"!",$J28,":",$J28)</f>
        <v>Calculations!G:G</v>
      </c>
      <c r="I28" s="11" t="s">
        <v>23</v>
      </c>
      <c r="J28" t="str">
        <f ca="1">SUBSTITUTE(ADDRESS(1,MATCH(CONCATENATE($A$1,$K28),INDIRECT($I28&amp;"!3:3"),0),4),1,"")</f>
        <v>G</v>
      </c>
      <c r="K28" t="s">
        <v>29</v>
      </c>
    </row>
    <row r="29" spans="1:12" ht="30.75" customHeight="1" x14ac:dyDescent="0.45">
      <c r="A29" s="109" t="str">
        <f ca="1">CONCATENATE("If ", $B$9, " sold at the highest cost/sqft (",$G29,") that's been sold in ",$A$1,"it would get:")</f>
        <v>If 2462 Albion Farm Way sold at the highest cost/sqft ($181.91) that's been sold in 2017 it would get:</v>
      </c>
      <c r="B29" s="109"/>
      <c r="C29" s="109"/>
      <c r="D29" s="109"/>
      <c r="E29" s="22">
        <f ca="1">IFERROR($G29*INDEX(INDIRECT($H13),MATCH($B$9&amp;"*",Calculations!$A:$A,0)),"")</f>
        <v>209560.32000000001</v>
      </c>
      <c r="G29" t="str">
        <f t="array" aca="1" ref="G29" ca="1">TEXT(MAX(IF(INDIRECT($H31)&gt;=DATE($A$1,1,1),IF(INDIRECT($H31)&lt;=DATE($A$1,12,31),INDIRECT($H29),""),"")),"$#,##0.00")</f>
        <v>$181.91</v>
      </c>
      <c r="H29" s="11" t="str">
        <f ca="1">CONCATENATE($I29,"!",$J29,":",$J29)</f>
        <v>Calculations!D:D</v>
      </c>
      <c r="I29" s="11" t="s">
        <v>23</v>
      </c>
      <c r="J29" s="11" t="str">
        <f ca="1">SUBSTITUTE(ADDRESS(1,MATCH($K29,INDIRECT($I29&amp;"!3:3"),0),4),1,"")</f>
        <v>D</v>
      </c>
      <c r="K29" t="s">
        <v>9</v>
      </c>
    </row>
    <row r="30" spans="1:12" ht="31.15" customHeight="1" x14ac:dyDescent="0.45">
      <c r="A30" s="110" t="str">
        <f ca="1">IFERROR(CONCATENATE("If ", $B$9, " sold at the average cost/sqft (",TEXT(AVERAGEIFS(INDIRECT($H29),INDIRECT($H30),"&gt;="&amp;DATE($A$1,1,1),INDIRECT($H30),"&lt;="&amp;DATE($A$1,12,31)),"$#,##.##"),") that's been sold in ",$A$1,"it would get:"),"")</f>
        <v>If 2462 Albion Farm Way sold at the average cost/sqft ($154.01) that's been sold in 2017 it would get:</v>
      </c>
      <c r="B30" s="110"/>
      <c r="C30" s="110"/>
      <c r="D30" s="110"/>
      <c r="E30" s="22">
        <f ca="1">IFERROR(INDEX(INDIRECT($H13),MATCH($B$9&amp;"*",Data!C:C,0))*AVERAGEIFS(INDIRECT($H29),INDIRECT($H30),"&gt;="&amp;DATE($A$1,1,1),INDIRECT($H30),"&lt;="&amp;DATE($A$1,12,31)),"")</f>
        <v>177418.54534172235</v>
      </c>
      <c r="H30" s="11" t="str">
        <f ca="1">CONCATENATE($I30,"!",$J30,":",$J30)</f>
        <v>Data!H:H</v>
      </c>
      <c r="I30" s="11" t="s">
        <v>30</v>
      </c>
      <c r="J30" s="11" t="str">
        <f ca="1">SUBSTITUTE(ADDRESS(1,MATCH($K30,INDIRECT($I30&amp;"!3:3"),0),4),1,"")</f>
        <v>H</v>
      </c>
      <c r="K30" s="11" t="s">
        <v>34</v>
      </c>
    </row>
    <row r="31" spans="1:12" ht="31.5" customHeight="1" x14ac:dyDescent="0.45">
      <c r="A31" s="110" t="str">
        <f ca="1">IFERROR(CONCATENATE("If ", $B$9, " sold at the average cost/sqft (",TEXT(AVERAGEIFS(INDIRECT($H29),INDIRECT($H31),"&gt;="&amp;DATE($A$1-2,1,1),INDIRECT($H29),"&lt;="&amp;DATE($A$1,12,31)),"$#,##.##"),") that's been sold in the last 2 years (",$A$1-2,"-",TRIM($A$1),") it would get:"),"")</f>
        <v>If 2462 Albion Farm Way sold at the average cost/sqft ($145.61) that's been sold in the last 2 years (2015-2017) it would get:</v>
      </c>
      <c r="B31" s="110"/>
      <c r="C31" s="110"/>
      <c r="D31" s="110"/>
      <c r="E31" s="22">
        <f ca="1">IFERROR(INDEX(INDIRECT($H13),MATCH($B$9&amp;"*",Data!C:C,0))*AVERAGEIFS(INDIRECT($H29),INDIRECT($H31),"&gt;="&amp;DATE($A$1-2,1,1),INDIRECT($H31),"&lt;="&amp;DATE($A$1,12,31)),"")</f>
        <v>162936.02498445974</v>
      </c>
      <c r="H31" s="11" t="str">
        <f ca="1">CONCATENATE($I31,"!",$J31,":",$J31)</f>
        <v>Data!H:H</v>
      </c>
      <c r="I31" s="11" t="s">
        <v>30</v>
      </c>
      <c r="J31" s="11" t="str">
        <f ca="1">SUBSTITUTE(ADDRESS(1,MATCH($K31,INDIRECT($I31&amp;"!3:3"),0),4),1,"")</f>
        <v>H</v>
      </c>
      <c r="K31" s="11" t="s">
        <v>34</v>
      </c>
    </row>
    <row r="32" spans="1:12" x14ac:dyDescent="0.45">
      <c r="H32">
        <v>5</v>
      </c>
      <c r="I32" s="11" t="s">
        <v>46</v>
      </c>
    </row>
    <row r="33" spans="1:11" x14ac:dyDescent="0.45">
      <c r="H33">
        <f>COUNTIF(Data!$A:$A,"&lt;&gt;")+2</f>
        <v>185</v>
      </c>
      <c r="I33" s="11" t="s">
        <v>47</v>
      </c>
    </row>
    <row r="34" spans="1:11" x14ac:dyDescent="0.45">
      <c r="A34" s="36" t="s">
        <v>11</v>
      </c>
      <c r="B34" s="105" t="str">
        <f ca="1">IFERROR(CONCATENATE(MAX(INDIRECT($H34)), " acres (",INDEX(Data!$C:$C,MATCH(MAX(INDIRECT($H34)),INDIRECT($H34),0)),")"),"")</f>
        <v>0.26 acres (2477 Albion Farm Way, Duluth, GA 30097)</v>
      </c>
      <c r="C34" s="105"/>
      <c r="D34" s="105"/>
      <c r="E34" s="106"/>
      <c r="H34" s="11" t="str">
        <f t="shared" ref="H34:H35" ca="1" si="0">CONCATENATE($I34,"!",$J34,":",$J34)</f>
        <v>Data!F:F</v>
      </c>
      <c r="I34" s="11" t="s">
        <v>30</v>
      </c>
      <c r="J34" s="11" t="str">
        <f ca="1">SUBSTITUTE(ADDRESS(1,MATCH($K34,INDIRECT($I34&amp;"!3:3"),0),4),1,"")</f>
        <v>F</v>
      </c>
      <c r="K34" s="11" t="s">
        <v>3</v>
      </c>
    </row>
    <row r="35" spans="1:11" x14ac:dyDescent="0.45">
      <c r="A35" s="37" t="s">
        <v>12</v>
      </c>
      <c r="B35" s="105" t="str">
        <f ca="1">IFERROR(CONCATENATE(MAX(INDIRECT($H35)), " sqft (",INDEX(Data!$C:$C,MATCH(MAX(INDIRECT($H35)),INDIRECT($H35),0)),")"),"")</f>
        <v>1496 sqft (3080 Barnwood Xing, Duluth, GA 30097)</v>
      </c>
      <c r="C35" s="105"/>
      <c r="D35" s="105"/>
      <c r="E35" s="106"/>
      <c r="H35" s="11" t="str">
        <f t="shared" ca="1" si="0"/>
        <v>Data!G:G</v>
      </c>
      <c r="I35" s="11" t="s">
        <v>30</v>
      </c>
      <c r="J35" s="11" t="str">
        <f ca="1">SUBSTITUTE(ADDRESS(1,MATCH($K35,INDIRECT($I35&amp;"!3:3"),0),4),1,"")</f>
        <v>G</v>
      </c>
      <c r="K35" s="11" t="s">
        <v>4</v>
      </c>
    </row>
    <row r="36" spans="1:11" x14ac:dyDescent="0.45">
      <c r="A36" s="37" t="str">
        <f ca="1">"Highest Appraised Value in "&amp;$A$1&amp;":"</f>
        <v>Highest Appraised Value in 2017 :</v>
      </c>
      <c r="B36" s="105" t="str">
        <f ca="1">IFERROR(CONCATENATE(TEXT(MAX(INDIRECT($H36)),"$#,##0"), " (",INDEX(INDIRECT(SUBSTITUTE($H36,$J36,"C")),MATCH(MAX(INDIRECT($H36)),INDIRECT($H36),0)),")"),"")</f>
        <v>$189,900 (3080 Barnwood Xing, Duluth, GA 30097)</v>
      </c>
      <c r="C36" s="105"/>
      <c r="D36" s="105"/>
      <c r="E36" s="106"/>
      <c r="H36" s="11" t="str">
        <f t="shared" ref="H36:H45" ca="1" si="1">CONCATENATE($I36,"!",$J36,$H$32,":",$J36,$H$33)</f>
        <v>Data!M5:M185</v>
      </c>
      <c r="I36" s="11" t="s">
        <v>30</v>
      </c>
      <c r="J36" t="str">
        <f ca="1">SUBSTITUTE(ADDRESS(1,MATCH(CONCATENATE($A$1,$K36),INDIRECT($I36&amp;"!3:3"),0),4),1,"")</f>
        <v>M</v>
      </c>
      <c r="K36" s="11" t="s">
        <v>25</v>
      </c>
    </row>
    <row r="37" spans="1:11" x14ac:dyDescent="0.45">
      <c r="A37" s="37" t="str">
        <f ca="1">"Lowest Appraised Value in "&amp;$A$1&amp;":"</f>
        <v>Lowest Appraised Value in 2017 :</v>
      </c>
      <c r="B37" s="105" t="str">
        <f ca="1">IFERROR(CONCATENATE(TEXT(MIN(INDIRECT($H37)),"$#,##0"), " (",INDEX(INDIRECT(SUBSTITUTE($H37,$J37,"C")),MATCH(MIN(INDIRECT($H37)),INDIRECT($H37),0)),")"),"")</f>
        <v>$117,800 (2567 Albion Farm Way, Duluth, GA 30097)</v>
      </c>
      <c r="C37" s="105"/>
      <c r="D37" s="105"/>
      <c r="E37" s="106"/>
      <c r="F37" s="96"/>
      <c r="H37" s="11" t="str">
        <f t="shared" ca="1" si="1"/>
        <v>Data!M5:M185</v>
      </c>
      <c r="I37" s="11" t="s">
        <v>30</v>
      </c>
      <c r="J37" t="str">
        <f ca="1">SUBSTITUTE(ADDRESS(1,MATCH(CONCATENATE($A$1,$K37),INDIRECT($I37&amp;"!3:3"),0),4),1,"")</f>
        <v>M</v>
      </c>
      <c r="K37" s="11" t="s">
        <v>25</v>
      </c>
    </row>
    <row r="38" spans="1:11" x14ac:dyDescent="0.45">
      <c r="A38" s="37" t="str">
        <f ca="1">"Highest Appraised Cost/Sqft in "&amp;$A$1&amp;":"</f>
        <v>Highest Appraised Cost/Sqft in 2017 :</v>
      </c>
      <c r="B38" s="105" t="str">
        <f ca="1">IFERROR(CONCATENATE(TEXT(MAX(INDIRECT($H38)),"$#,##0.00"),"/sqft (",INDEX(INDIRECT(SUBSTITUTE($H38,$J38,"A")),MATCH(MAX(INDIRECT($H38)),INDIRECT($H38),0)),")"),"")</f>
        <v>$126.94/sqft (3080 Barnwood Xing, Duluth, GA 30097)</v>
      </c>
      <c r="C38" s="105"/>
      <c r="D38" s="105"/>
      <c r="E38" s="106"/>
      <c r="H38" s="11" t="str">
        <f t="shared" ca="1" si="1"/>
        <v>Calculations!G5:G185</v>
      </c>
      <c r="I38" s="11" t="s">
        <v>23</v>
      </c>
      <c r="J38" t="str">
        <f ca="1">SUBSTITUTE(ADDRESS(1,MATCH(CONCATENATE($A$1,$K38),INDIRECT($I38&amp;"!3:3"),0),4),1,"")</f>
        <v>G</v>
      </c>
      <c r="K38" t="s">
        <v>29</v>
      </c>
    </row>
    <row r="39" spans="1:11" x14ac:dyDescent="0.45">
      <c r="A39" s="37" t="str">
        <f ca="1">"Lowest Appraised Cost/Sqft in "&amp;$A$1&amp;":"</f>
        <v>Lowest Appraised Cost/Sqft in 2017 :</v>
      </c>
      <c r="B39" s="105" t="str">
        <f ca="1">IFERROR(CONCATENATE(TEXT(MIN(INDIRECT($H39)),"$#,##0.00"),"/sqft (",INDEX(INDIRECT(SUBSTITUTE($H39,$J39,"A")),MATCH(MIN(INDIRECT($H39)),INDIRECT($H39),0)),")"),"")</f>
        <v>$89.05/sqft (2895 Barnwood Xing, Duluth, GA 30097)</v>
      </c>
      <c r="C39" s="105"/>
      <c r="D39" s="105"/>
      <c r="E39" s="106"/>
      <c r="F39" s="11"/>
      <c r="H39" s="11" t="str">
        <f t="shared" ca="1" si="1"/>
        <v>Calculations!G5:G185</v>
      </c>
      <c r="I39" s="11" t="s">
        <v>23</v>
      </c>
      <c r="J39" t="str">
        <f ca="1">SUBSTITUTE(ADDRESS(1,MATCH(CONCATENATE($A$1,$K39),INDIRECT($I39&amp;"!3:3"),0),4),1,"")</f>
        <v>G</v>
      </c>
      <c r="K39" t="s">
        <v>29</v>
      </c>
    </row>
    <row r="40" spans="1:11" x14ac:dyDescent="0.45">
      <c r="A40" s="37" t="str">
        <f ca="1">"Latest Sale in "&amp;$A$1&amp;":"</f>
        <v>Latest Sale in 2017 :</v>
      </c>
      <c r="B40" s="105" t="str">
        <f ca="1">IFERROR(CONCATENATE(TEXT($G40,"MM/DD/YYYY")," (",INDEX(INDIRECT(SUBSTITUTE($H40,$J40,"C")),MATCH($G40,INDIRECT($H40),0)),")"),"")</f>
        <v>12/14/2017 (4095 Chattahoochee Trce, Duluth, GA 30097)</v>
      </c>
      <c r="C40" s="105"/>
      <c r="D40" s="105"/>
      <c r="E40" s="106"/>
      <c r="F40" s="11"/>
      <c r="G40" s="83">
        <f t="array" aca="1" ref="G40" ca="1">MAX(IF(INDIRECT($H40)&gt;=DATE($A$1,1,1),IF(INDIRECT($H40)&lt;=DATE($A$1,12,31),INDIRECT($H40),""),""))</f>
        <v>43083</v>
      </c>
      <c r="H40" s="11" t="str">
        <f t="shared" ca="1" si="1"/>
        <v>Data!H5:H185</v>
      </c>
      <c r="I40" s="11" t="s">
        <v>30</v>
      </c>
      <c r="J40" s="11" t="str">
        <f t="shared" ref="J40:J45" ca="1" si="2">SUBSTITUTE(ADDRESS(1,MATCH($K40,INDIRECT($I40&amp;"!3:3"),0),4),1,"")</f>
        <v>H</v>
      </c>
      <c r="K40" s="11" t="s">
        <v>34</v>
      </c>
    </row>
    <row r="41" spans="1:11" x14ac:dyDescent="0.45">
      <c r="A41" s="36" t="str">
        <f ca="1">"Highest $/sqft Sold in "&amp;$A$1&amp;":"</f>
        <v>Highest $/sqft Sold in 2017 :</v>
      </c>
      <c r="B41" s="105" t="str">
        <f ca="1">IFERROR(CONCATENATE(TEXT($G41,"$#,##0.00"),"/sqft (",INDEX(INDIRECT(SUBSTITUTE($H41,$J41,"A")),MATCH($G41,INDIRECT($H41),0))," -- ",TEXT(INDEX(INDIRECT($H$40),MATCH(INDEX(INDIRECT(SUBSTITUTE($H41,$J41,"A")),MATCH($G41,INDIRECT($H41),0)),INDIRECT(SUBSTITUTE($H$40,$J$40,"C")),0),0),"MM/DD/YYYY"),")"),"")</f>
        <v>$181.91/sqft (2810 Barnwood Xing, Duluth, GA 30097 -- 07/07/2017)</v>
      </c>
      <c r="C41" s="105"/>
      <c r="D41" s="105"/>
      <c r="E41" s="106"/>
      <c r="G41" s="84">
        <f t="array" aca="1" ref="G41" ca="1">MAX(IF(INDIRECT($H40)&gt;=DATE($A$1,1,1),IF(INDIRECT($H40)&lt;=DATE($A$1,12,31),INDIRECT($H41),""),""))</f>
        <v>181.90789473684211</v>
      </c>
      <c r="H41" s="11" t="str">
        <f t="shared" ca="1" si="1"/>
        <v>Calculations!D5:D185</v>
      </c>
      <c r="I41" s="11" t="s">
        <v>23</v>
      </c>
      <c r="J41" s="11" t="str">
        <f t="shared" ca="1" si="2"/>
        <v>D</v>
      </c>
      <c r="K41" t="s">
        <v>9</v>
      </c>
    </row>
    <row r="42" spans="1:11" x14ac:dyDescent="0.45">
      <c r="A42" s="36" t="str">
        <f ca="1">"Lowest $/sqft Sold in "&amp;$A$1&amp;":"</f>
        <v>Lowest $/sqft Sold in 2017 :</v>
      </c>
      <c r="B42" s="105" t="str">
        <f ca="1">IFERROR(CONCATENATE(TEXT($G42,"$#,##0.00"),"/sqft (",INDEX(INDIRECT(SUBSTITUTE($H42,$J42,"A")),MATCH($G42,INDIRECT($H42),0))," -- ",TEXT(INDEX(INDIRECT($H$40),MATCH(INDEX(INDIRECT(SUBSTITUTE($H42,$J42,"A")),MATCH($G42,INDIRECT($H42),0)),INDIRECT(SUBSTITUTE($H$40,$J$40,"C")),0),0),"MM/DD/YYYY"),")"),"")</f>
        <v>$129.78/sqft (2990 Barnwood Xing, Duluth, GA 30097 -- 05/31/2017)</v>
      </c>
      <c r="C42" s="105"/>
      <c r="D42" s="105"/>
      <c r="E42" s="106"/>
      <c r="G42">
        <f t="array" aca="1" ref="G42" ca="1">MIN(IF(INDIRECT($H40)&gt;=DATE($A$1,1,1),IF(INDIRECT($H40)&lt;=DATE($A$1,12,31),INDIRECT($H41),""),""))</f>
        <v>129.77707006369425</v>
      </c>
      <c r="H42" s="11" t="str">
        <f t="shared" ca="1" si="1"/>
        <v>Calculations!D5:D185</v>
      </c>
      <c r="I42" s="11" t="s">
        <v>23</v>
      </c>
      <c r="J42" s="11" t="str">
        <f t="shared" ca="1" si="2"/>
        <v>D</v>
      </c>
      <c r="K42" t="s">
        <v>9</v>
      </c>
    </row>
    <row r="43" spans="1:11" x14ac:dyDescent="0.45">
      <c r="A43" s="36" t="s">
        <v>40</v>
      </c>
      <c r="B43" s="105" t="str">
        <f ca="1">IFERROR(CONCATENATE(TEXT(MAX(INDIRECT($H43)),"$#,##0.00"),"/sqft (",INDEX(INDIRECT(SUBSTITUTE($H42,$J42,"A")),MATCH(MAX(INDIRECT($H43)),INDIRECT($H43),0))," -- ",TEXT(INDEX(INDIRECT($H$40),MATCH(INDEX(Calculations!$A:$A,MATCH(MAX(INDIRECT($H43)),INDIRECT($H43),0)),Data!$C:$C,0),0),"MM/DD/YYYY"),")"),"")</f>
        <v>$213.82/sqft (3929 White Owl Ct, Duluth, GA 30097 -- 03/14/2019)</v>
      </c>
      <c r="C43" s="105"/>
      <c r="D43" s="105"/>
      <c r="E43" s="106"/>
      <c r="H43" s="11" t="str">
        <f t="shared" ca="1" si="1"/>
        <v>Calculations!D5:D185</v>
      </c>
      <c r="I43" s="11" t="s">
        <v>23</v>
      </c>
      <c r="J43" s="11" t="str">
        <f t="shared" ca="1" si="2"/>
        <v>D</v>
      </c>
      <c r="K43" t="s">
        <v>9</v>
      </c>
    </row>
    <row r="44" spans="1:11" x14ac:dyDescent="0.45">
      <c r="A44" s="77" t="str">
        <f ca="1">"Houses Sold in "&amp;$A$1&amp;":"</f>
        <v>Houses Sold in 2017 :</v>
      </c>
      <c r="B44" s="105">
        <f ca="1">IFERROR(COUNTIFS(INDIRECT($H44),"&gt;="&amp;DATE($A$1,1,1),INDIRECT($H44),"&lt;="&amp;DATE($A$1,12,31)),"")</f>
        <v>23</v>
      </c>
      <c r="C44" s="105"/>
      <c r="D44" s="105"/>
      <c r="E44" s="106"/>
      <c r="H44" s="11" t="str">
        <f t="shared" ca="1" si="1"/>
        <v>Data!H5:H185</v>
      </c>
      <c r="I44" s="11" t="s">
        <v>30</v>
      </c>
      <c r="J44" s="11" t="str">
        <f t="shared" ca="1" si="2"/>
        <v>H</v>
      </c>
      <c r="K44" t="s">
        <v>34</v>
      </c>
    </row>
    <row r="45" spans="1:11" x14ac:dyDescent="0.45">
      <c r="A45" s="77" t="str">
        <f ca="1">"Houses Sold in Previous Year ("&amp;$A$1-1&amp;"):"</f>
        <v>Houses Sold in Previous Year (2016):</v>
      </c>
      <c r="B45" s="105">
        <f ca="1">IFERROR(COUNTIFS(INDIRECT($H45),"&gt;="&amp;DATE($A$1-1,1,1),INDIRECT($H45),"&lt;="&amp;DATE($A$1-1,12,31)),"")</f>
        <v>16</v>
      </c>
      <c r="C45" s="105"/>
      <c r="D45" s="105"/>
      <c r="E45" s="106"/>
      <c r="H45" s="11" t="str">
        <f t="shared" ca="1" si="1"/>
        <v>Data!H5:H185</v>
      </c>
      <c r="I45" s="11" t="s">
        <v>30</v>
      </c>
      <c r="J45" s="11" t="str">
        <f t="shared" ca="1" si="2"/>
        <v>H</v>
      </c>
      <c r="K45" t="s">
        <v>34</v>
      </c>
    </row>
    <row r="47" spans="1:11" x14ac:dyDescent="0.45">
      <c r="F47" s="11"/>
      <c r="G47" s="11"/>
    </row>
  </sheetData>
  <mergeCells count="22">
    <mergeCell ref="A26:D26"/>
    <mergeCell ref="B9:C9"/>
    <mergeCell ref="D9:E11"/>
    <mergeCell ref="A17:D17"/>
    <mergeCell ref="A23:D23"/>
    <mergeCell ref="A25:D25"/>
    <mergeCell ref="B43:E43"/>
    <mergeCell ref="B44:E44"/>
    <mergeCell ref="B45:E45"/>
    <mergeCell ref="A24:D24"/>
    <mergeCell ref="B37:E37"/>
    <mergeCell ref="B38:E38"/>
    <mergeCell ref="B39:E39"/>
    <mergeCell ref="B40:E40"/>
    <mergeCell ref="B41:E41"/>
    <mergeCell ref="B42:E42"/>
    <mergeCell ref="A29:D29"/>
    <mergeCell ref="A30:D30"/>
    <mergeCell ref="A31:D31"/>
    <mergeCell ref="B34:E34"/>
    <mergeCell ref="B35:E35"/>
    <mergeCell ref="B36:E3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47"/>
  <sheetViews>
    <sheetView showGridLines="0" zoomScale="85" zoomScaleNormal="85" workbookViewId="0">
      <selection activeCell="B10" sqref="B10"/>
    </sheetView>
  </sheetViews>
  <sheetFormatPr defaultRowHeight="14.25" x14ac:dyDescent="0.45"/>
  <cols>
    <col min="1" max="1" width="34.3984375" bestFit="1" customWidth="1"/>
    <col min="2" max="2" width="14.3984375" bestFit="1" customWidth="1"/>
    <col min="3" max="3" width="13.265625" bestFit="1" customWidth="1"/>
    <col min="4" max="4" width="14" customWidth="1"/>
    <col min="5" max="5" width="18" customWidth="1"/>
    <col min="6" max="6" width="11.59765625" customWidth="1"/>
    <col min="7" max="7" width="11.59765625" hidden="1" customWidth="1"/>
    <col min="8" max="8" width="18.265625" hidden="1" customWidth="1"/>
    <col min="9" max="9" width="14.265625" hidden="1" customWidth="1"/>
    <col min="10" max="10" width="12.73046875" hidden="1" customWidth="1"/>
    <col min="11" max="11" width="4.86328125" hidden="1" customWidth="1"/>
    <col min="17" max="17" width="10.86328125" bestFit="1" customWidth="1"/>
  </cols>
  <sheetData>
    <row r="1" spans="1:17" ht="78" x14ac:dyDescent="0.45">
      <c r="A1" s="71" t="str">
        <f ca="1">LEFT(MID(CELL("filename",A1),FIND("]",CELL("filename",A1))+1,255),FIND(" ",MID(CELL("filename",A1),FIND("]",CELL("filename",A1))+1,255)))</f>
        <v xml:space="preserve">2016 </v>
      </c>
      <c r="B1" s="31" t="str">
        <f ca="1">CONCATENATE("Same House Comps","
("&amp;B10&amp;" br/"&amp;B11&amp;" ba)")</f>
        <v>Same House Comps
(2 br/2.5 ba)</v>
      </c>
      <c r="C1" s="32" t="s">
        <v>6</v>
      </c>
      <c r="D1" s="33" t="s">
        <v>41</v>
      </c>
      <c r="E1" s="21" t="s">
        <v>8</v>
      </c>
      <c r="G1" s="70" t="s">
        <v>42</v>
      </c>
      <c r="H1" s="72" t="s">
        <v>26</v>
      </c>
      <c r="I1" s="72" t="s">
        <v>33</v>
      </c>
      <c r="J1" s="70" t="str">
        <f ca="1">$A1&amp;"cell letter"</f>
        <v>2016 cell letter</v>
      </c>
      <c r="K1" s="70" t="s">
        <v>24</v>
      </c>
    </row>
    <row r="2" spans="1:17" x14ac:dyDescent="0.45">
      <c r="A2" s="24" t="str">
        <f ca="1">A1&amp;"Total Appraised Price Average"</f>
        <v>2016 Total Appraised Price Average</v>
      </c>
      <c r="B2" s="22">
        <f ca="1">IFERROR(AVERAGEIFS(INDIRECT($H2),Data!E:E,"&lt;&gt;",Data!D:D,$B$10,Data!E:E,$B$11),"")</f>
        <v>146200</v>
      </c>
      <c r="C2" s="22">
        <f ca="1">IFERROR(AVERAGEIFS(INDIRECT($H2),Data!E:E,"&lt;&gt;",Data!D:D,$B$10,Data!E:E,"&gt;="&amp;ROUNDDOWN($B$11,0)),"")</f>
        <v>127155.1724137931</v>
      </c>
      <c r="D2" s="29">
        <f ca="1">IFERROR(AVERAGEIFS(INDIRECT($H2),Data!E:E,"&lt;&gt;"),"")</f>
        <v>135400</v>
      </c>
      <c r="E2" s="30">
        <f ca="1">IFERROR(AVERAGE(B2:D2),"")</f>
        <v>136251.72413793104</v>
      </c>
      <c r="H2" s="11" t="str">
        <f ca="1">CONCATENATE($I2,"!",$J2,":",$J2)</f>
        <v>Data!J:J</v>
      </c>
      <c r="I2" s="11" t="s">
        <v>30</v>
      </c>
      <c r="J2" t="str">
        <f ca="1">SUBSTITUTE(ADDRESS(1,MATCH(CONCATENATE($A$1,$K2),INDIRECT($I2&amp;"!3:3"),0),4),1,"")</f>
        <v>J</v>
      </c>
      <c r="K2" s="11" t="s">
        <v>25</v>
      </c>
    </row>
    <row r="3" spans="1:17" x14ac:dyDescent="0.45">
      <c r="A3" s="24" t="str">
        <f ca="1">A1&amp;"Building Appraised Price Average"</f>
        <v>2016 Building Appraised Price Average</v>
      </c>
      <c r="B3" s="22">
        <f ca="1">IFERROR(AVERAGEIFS(INDIRECT($H3),Data!E:E,"&lt;&gt;",Data!D:D,$B$10,Data!E:E,$B$11),"")</f>
        <v>118200</v>
      </c>
      <c r="C3" s="22">
        <f ca="1">IFERROR(AVERAGEIFS(INDIRECT($H3),Data!E:E,"&lt;&gt;",Data!D:D,$B$10,Data!E:E,"&gt;="&amp;ROUNDDOWN($B$11,0)),"")</f>
        <v>99343.103448275855</v>
      </c>
      <c r="D3" s="29">
        <f ca="1">IFERROR(AVERAGEIFS(INDIRECT($H3),Data!E:E,"&lt;&gt;"),"")</f>
        <v>107867.40331491713</v>
      </c>
      <c r="E3" s="30">
        <f ca="1">IFERROR(AVERAGE(B3:D3),"")</f>
        <v>108470.16892106434</v>
      </c>
      <c r="H3" s="11" t="str">
        <f ca="1">CONCATENATE($I3,"!",$J3,":",$J3)</f>
        <v>Data!K:K</v>
      </c>
      <c r="I3" s="11" t="s">
        <v>30</v>
      </c>
      <c r="J3" t="str">
        <f ca="1">SUBSTITUTE(ADDRESS(1,MATCH(CONCATENATE($A$1,$K3),INDIRECT($I3&amp;"!3:3"),0),4),1,"")</f>
        <v>K</v>
      </c>
      <c r="K3" s="11" t="s">
        <v>27</v>
      </c>
    </row>
    <row r="4" spans="1:17" x14ac:dyDescent="0.45">
      <c r="A4" s="24" t="str">
        <f ca="1">A1&amp;"Land Appraised Price Average"</f>
        <v>2016 Land Appraised Price Average</v>
      </c>
      <c r="B4" s="22">
        <f ca="1">IFERROR(AVERAGEIFS(INDIRECT($H4),Data!E:E,"&lt;&gt;",Data!D:D,$B$10,Data!E:E,$B$11),"")</f>
        <v>28000</v>
      </c>
      <c r="C4" s="22">
        <f ca="1">IFERROR(AVERAGEIFS(INDIRECT($H4),Data!E:E,"&lt;&gt;",Data!D:D,$B$10,Data!E:E,"&gt;="&amp;ROUNDDOWN($B$11,0)),"")</f>
        <v>28000</v>
      </c>
      <c r="D4" s="29">
        <f ca="1">IFERROR(AVERAGEIFS(INDIRECT($H4),Data!E:E,"&lt;&gt;"),"")</f>
        <v>28000</v>
      </c>
      <c r="E4" s="30">
        <f ca="1">IFERROR(AVERAGE(B4:D4),"")</f>
        <v>28000</v>
      </c>
      <c r="H4" s="11" t="str">
        <f ca="1">CONCATENATE($I4,"!",$J4,":",$J4)</f>
        <v>Data!L:L</v>
      </c>
      <c r="I4" s="11" t="s">
        <v>30</v>
      </c>
      <c r="J4" t="str">
        <f ca="1">SUBSTITUTE(ADDRESS(1,MATCH(CONCATENATE($A$1,$K4),INDIRECT($I4&amp;"!3:3"),0),4),1,"")</f>
        <v>L</v>
      </c>
      <c r="K4" t="s">
        <v>28</v>
      </c>
    </row>
    <row r="5" spans="1:17" x14ac:dyDescent="0.45">
      <c r="B5" s="73"/>
      <c r="C5" s="73"/>
      <c r="E5" s="5"/>
      <c r="H5" s="11"/>
      <c r="I5" s="11"/>
    </row>
    <row r="6" spans="1:17" x14ac:dyDescent="0.45">
      <c r="A6" s="24" t="str">
        <f ca="1">A1&amp;"Appraised Price/sqft Average"</f>
        <v>2016 Appraised Price/sqft Average</v>
      </c>
      <c r="B6" s="22">
        <f ca="1">IFERROR(AVERAGEIFS(INDIRECT($H6),Data!E:E,"&lt;&gt;",Data!D:D,$B$10,Data!E:E,$B$11),"")</f>
        <v>102.60416666666667</v>
      </c>
      <c r="C6" s="22">
        <f ca="1">IFERROR(AVERAGEIFS(INDIRECT($H6),Data!E:E,"&lt;&gt;",Data!D:D,$B$10,Data!E:E,"&gt;="&amp;ROUNDDOWN($B$11,0)),"")</f>
        <v>99.683817711694729</v>
      </c>
      <c r="D6" s="29">
        <f ca="1">IFERROR(AVERAGEIFS(INDIRECT($H6),Data!E:E,"&lt;&gt;"),"")</f>
        <v>100.45621848039029</v>
      </c>
      <c r="E6" s="30">
        <f ca="1">IFERROR(AVERAGE(B6:D6),"")</f>
        <v>100.91473428625056</v>
      </c>
      <c r="H6" s="11" t="str">
        <f ca="1">CONCATENATE($I6,"!",$J6,":",$J6)</f>
        <v>Calculations!E:E</v>
      </c>
      <c r="I6" s="11" t="s">
        <v>23</v>
      </c>
      <c r="J6" t="str">
        <f ca="1">SUBSTITUTE(ADDRESS(1,MATCH(CONCATENATE($A$1,$K6),INDIRECT($I6&amp;"!3:3"),0),4),1,"")</f>
        <v>E</v>
      </c>
      <c r="K6" t="s">
        <v>29</v>
      </c>
    </row>
    <row r="7" spans="1:17" x14ac:dyDescent="0.45">
      <c r="A7" s="24" t="str">
        <f ca="1">A1&amp;"Appraised Price/acre Average"</f>
        <v>2016 Appraised Price/acre Average</v>
      </c>
      <c r="B7" s="22">
        <f ca="1">IFERROR(AVERAGEIFS(INDIRECT($H7),Data!E:E,"&lt;&gt;",Data!D:D,$B$10,Data!E:E,$B$11),"")</f>
        <v>199999.99999999997</v>
      </c>
      <c r="C7" s="22">
        <f ca="1">IFERROR(AVERAGEIFS(INDIRECT($H7),Data!E:E,"&lt;&gt;",Data!D:D,$B$10,Data!E:E,"&gt;="&amp;ROUNDDOWN($B$11,0)),"")</f>
        <v>231906.16966986141</v>
      </c>
      <c r="D7" s="29">
        <f ca="1">IFERROR(AVERAGEIFS(INDIRECT($H7),Data!E:E,"&lt;&gt;"),"")</f>
        <v>226701.07257500451</v>
      </c>
      <c r="E7" s="30">
        <f ca="1">IFERROR(AVERAGE(B7:D7),"")</f>
        <v>219535.74741495529</v>
      </c>
      <c r="H7" s="11" t="str">
        <f ca="1">CONCATENATE($I7,"!",$J7,":",$J7)</f>
        <v>Calculations!F:F</v>
      </c>
      <c r="I7" s="11" t="s">
        <v>23</v>
      </c>
      <c r="J7" t="str">
        <f ca="1">SUBSTITUTE(ADDRESS(1,MATCH(CONCATENATE($A$1,$K7),INDIRECT($I7&amp;"!3:3"),0),4),1,"")</f>
        <v>F</v>
      </c>
      <c r="K7" t="s">
        <v>31</v>
      </c>
    </row>
    <row r="8" spans="1:17" x14ac:dyDescent="0.45">
      <c r="D8" s="76"/>
      <c r="E8" s="4"/>
    </row>
    <row r="9" spans="1:17" ht="15.75" customHeight="1" x14ac:dyDescent="0.45">
      <c r="A9" s="11" t="s">
        <v>10</v>
      </c>
      <c r="B9" s="111" t="s">
        <v>51</v>
      </c>
      <c r="C9" s="111"/>
      <c r="D9" s="112" t="s">
        <v>38</v>
      </c>
      <c r="E9" s="113"/>
    </row>
    <row r="10" spans="1:17" x14ac:dyDescent="0.45">
      <c r="A10" s="74" t="s">
        <v>36</v>
      </c>
      <c r="B10" s="75">
        <f ca="1">INDEX(INDIRECT($H10),MATCH($B$9&amp;"*",Data!$C:$C,0))</f>
        <v>2</v>
      </c>
      <c r="D10" s="113"/>
      <c r="E10" s="113"/>
      <c r="H10" s="11" t="str">
        <f ca="1">CONCATENATE($I10,"!",$J10,":",$J10)</f>
        <v>Data!D:D</v>
      </c>
      <c r="I10" s="11" t="s">
        <v>30</v>
      </c>
      <c r="J10" s="11" t="str">
        <f ca="1">SUBSTITUTE(ADDRESS(1,MATCH($K10,INDIRECT($I10&amp;"!3:3"),0),4),1,"")</f>
        <v>D</v>
      </c>
      <c r="K10" s="11" t="s">
        <v>1</v>
      </c>
    </row>
    <row r="11" spans="1:17" x14ac:dyDescent="0.45">
      <c r="A11" s="74" t="s">
        <v>37</v>
      </c>
      <c r="B11" s="75">
        <f ca="1">INDEX(INDIRECT($H11),MATCH($B$9&amp;"*",Data!$C:$C,0))</f>
        <v>2.5</v>
      </c>
      <c r="D11" s="114"/>
      <c r="E11" s="114"/>
      <c r="H11" s="11" t="str">
        <f ca="1">CONCATENATE($I11,"!",$J11,":",$J11)</f>
        <v>Data!E:E</v>
      </c>
      <c r="I11" s="11" t="s">
        <v>30</v>
      </c>
      <c r="J11" s="11" t="str">
        <f ca="1">SUBSTITUTE(ADDRESS(1,MATCH($K11,INDIRECT($I11&amp;"!3:3"),0),4),1,"")</f>
        <v>E</v>
      </c>
      <c r="K11" s="11" t="s">
        <v>2</v>
      </c>
    </row>
    <row r="12" spans="1:17" x14ac:dyDescent="0.45">
      <c r="A12" s="24" t="str">
        <f ca="1">A1&amp;"Calculated Land Value"</f>
        <v>2016 Calculated Land Value</v>
      </c>
      <c r="B12" s="25">
        <f ca="1">IFERROR(B$7*INDEX(INDIRECT($H12),MATCH($B$9&amp;"*",Calculations!$A:$A,0)),"")</f>
        <v>28000</v>
      </c>
      <c r="C12" s="25">
        <f ca="1">IFERROR(C$7*INDEX(INDIRECT($H12),MATCH($B$9&amp;"*",Calculations!$A:$A,0)),"")</f>
        <v>32466.863753780599</v>
      </c>
      <c r="D12" s="25">
        <f ca="1">IFERROR(D$7*INDEX(INDIRECT($H12),MATCH($B$9&amp;"*",Calculations!$A:$A,0)),"")</f>
        <v>31738.150160500634</v>
      </c>
      <c r="E12" s="30">
        <f ca="1">IFERROR(E$7*INDEX(INDIRECT($H12),MATCH($B$9&amp;"*",Calculations!$A:$A,0)),"")</f>
        <v>30735.004638093742</v>
      </c>
      <c r="H12" s="11" t="str">
        <f ca="1">CONCATENATE($I12,"!",$J12,":",$J12)</f>
        <v>Data!F:F</v>
      </c>
      <c r="I12" s="11" t="s">
        <v>30</v>
      </c>
      <c r="J12" s="11" t="str">
        <f ca="1">SUBSTITUTE(ADDRESS(1,MATCH($K12,INDIRECT($I12&amp;"!3:3"),0),4),1,"")</f>
        <v>F</v>
      </c>
      <c r="K12" s="11" t="s">
        <v>3</v>
      </c>
      <c r="N12" s="11"/>
    </row>
    <row r="13" spans="1:17" x14ac:dyDescent="0.45">
      <c r="A13" s="24" t="str">
        <f ca="1">A1&amp;"Calculated Building Value"</f>
        <v>2016 Calculated Building Value</v>
      </c>
      <c r="B13" s="25">
        <f ca="1">IFERROR(B$6*INDEX(INDIRECT($H13),MATCH($B$9&amp;"*",Calculations!$A:$A,0)),"")</f>
        <v>118200</v>
      </c>
      <c r="C13" s="25">
        <f ca="1">IFERROR(C$6*INDEX(INDIRECT($H13),MATCH($B$9&amp;"*",Calculations!$A:$A,0)),"")</f>
        <v>114835.75800387232</v>
      </c>
      <c r="D13" s="23">
        <f ca="1">IFERROR(D$6*INDEX(INDIRECT($H13),MATCH($B$9&amp;"*",Calculations!$A:$A,0)),"")</f>
        <v>115725.56368940961</v>
      </c>
      <c r="E13" s="30">
        <f ca="1">IFERROR(E$6*INDEX(INDIRECT($H13),MATCH($B$9&amp;"*",Calculations!$A:$A,0)),"")</f>
        <v>116253.77389776065</v>
      </c>
      <c r="H13" s="11" t="str">
        <f ca="1">CONCATENATE($I13,"!",$J13,":",$J13)</f>
        <v>Data!G:G</v>
      </c>
      <c r="I13" s="11" t="s">
        <v>30</v>
      </c>
      <c r="J13" s="11" t="str">
        <f ca="1">SUBSTITUTE(ADDRESS(1,MATCH($K13,INDIRECT($I13&amp;"!3:3"),0),4),1,"")</f>
        <v>G</v>
      </c>
      <c r="K13" s="11" t="s">
        <v>4</v>
      </c>
      <c r="N13" s="11"/>
      <c r="Q13" s="81"/>
    </row>
    <row r="14" spans="1:17" ht="15.75" x14ac:dyDescent="0.5">
      <c r="A14" s="27" t="str">
        <f ca="1">A1&amp;"Calculated Total Appraised"</f>
        <v>2016 Calculated Total Appraised</v>
      </c>
      <c r="B14" s="100">
        <f ca="1">IFERROR(B$4+B$13,"")</f>
        <v>146200</v>
      </c>
      <c r="C14" s="100">
        <f ca="1">IFERROR(C$4+C$13,"")</f>
        <v>142835.75800387232</v>
      </c>
      <c r="D14" s="101">
        <f ca="1">IFERROR(D$4+D$13,"")</f>
        <v>143725.56368940961</v>
      </c>
      <c r="E14" s="102">
        <f ca="1">IFERROR(E$4+E$13,"")</f>
        <v>144253.77389776066</v>
      </c>
      <c r="F14" s="78" t="s">
        <v>39</v>
      </c>
      <c r="G14" s="78"/>
    </row>
    <row r="15" spans="1:17" ht="15.75" x14ac:dyDescent="0.5">
      <c r="A15" s="28" t="str">
        <f ca="1">A1&amp;"Calculated Total Assessed"</f>
        <v>2016 Calculated Total Assessed</v>
      </c>
      <c r="B15" s="100">
        <f ca="1">IFERROR(B14*0.4,"")</f>
        <v>58480</v>
      </c>
      <c r="C15" s="100">
        <f ca="1">IFERROR(C14*0.4,"")</f>
        <v>57134.30320154893</v>
      </c>
      <c r="D15" s="101">
        <f ca="1">IFERROR(D14*0.4,"")</f>
        <v>57490.225475763844</v>
      </c>
      <c r="E15" s="102">
        <f ca="1">IFERROR(E14*0.4,"")</f>
        <v>57701.50955910427</v>
      </c>
      <c r="F15" s="78" t="s">
        <v>39</v>
      </c>
      <c r="G15" s="78"/>
      <c r="O15" s="11"/>
    </row>
    <row r="16" spans="1:17" x14ac:dyDescent="0.45">
      <c r="E16" s="76"/>
    </row>
    <row r="17" spans="1:12" x14ac:dyDescent="0.45">
      <c r="A17" s="115" t="str">
        <f>CONCATENATE("Linearly Forecasted Total Appraised Value* For Property: ",$B$9)</f>
        <v>Linearly Forecasted Total Appraised Value* For Property: 2462 Albion Farm Way</v>
      </c>
      <c r="B17" s="115"/>
      <c r="C17" s="115"/>
      <c r="D17" s="115"/>
      <c r="E17" s="79"/>
    </row>
    <row r="18" spans="1:12" x14ac:dyDescent="0.45">
      <c r="A18" s="26">
        <f ca="1">A1+1</f>
        <v>2017</v>
      </c>
      <c r="B18" s="25">
        <f ca="1">IFERROR(B$14*(1+INDEX(INDIRECT($H18),MATCH($B$9&amp;"*",Calculations!$A:$A,0))),"")</f>
        <v>162933.33333333331</v>
      </c>
      <c r="C18" s="25">
        <f ca="1">IFERROR(C$14*(1+INDEX(INDIRECT($H18),MATCH($B$9&amp;"*",Calculations!$A:$A,0))),"")</f>
        <v>159184.03673573368</v>
      </c>
      <c r="D18" s="23">
        <f ca="1">IFERROR(D$14*(1+INDEX(INDIRECT($H18),MATCH($B$9&amp;"*",Calculations!$A:$A,0))),"")</f>
        <v>160175.68520607252</v>
      </c>
      <c r="E18" s="30">
        <f ca="1">IFERROR(E$14*(1+INDEX(INDIRECT($H18),MATCH($B$9&amp;"*",Calculations!$A:$A,0))),"")</f>
        <v>160764.35175837987</v>
      </c>
      <c r="H18" s="11" t="str">
        <f ca="1">CONCATENATE($I18,"!",$J18,":",$J18)</f>
        <v>Deltas!F:F</v>
      </c>
      <c r="I18" s="11" t="s">
        <v>32</v>
      </c>
      <c r="J18" s="11" t="str">
        <f ca="1">SUBSTITUTE(ADDRESS(1,MATCH($K18,INDIRECT($I18&amp;"!3:3"),0),4),1,"")</f>
        <v>F</v>
      </c>
      <c r="K18" t="s">
        <v>21</v>
      </c>
    </row>
    <row r="19" spans="1:12" x14ac:dyDescent="0.45">
      <c r="A19" s="26">
        <f ca="1">A1+2</f>
        <v>2018</v>
      </c>
      <c r="B19" s="25">
        <f ca="1">IFERROR(B$18*(1+INDEX(INDIRECT($H18),MATCH($B$9&amp;"*",Calculations!$A:$A,0))),"")</f>
        <v>181581.881744946</v>
      </c>
      <c r="C19" s="25">
        <f ca="1">IFERROR(C$18*(1+INDEX(INDIRECT($H18),MATCH($B$9&amp;"*",Calculations!$A:$A,0))),"")</f>
        <v>177403.45908897999</v>
      </c>
      <c r="D19" s="23">
        <f ca="1">IFERROR(D$18*(1+INDEX(INDIRECT($H18),MATCH($B$9&amp;"*",Calculations!$A:$A,0))),"")</f>
        <v>178508.60676864625</v>
      </c>
      <c r="E19" s="30">
        <f ca="1">IFERROR(E$18*(1+INDEX(INDIRECT($H18),MATCH($B$9&amp;"*",Calculations!$A:$A,0))),"")</f>
        <v>179164.64920085744</v>
      </c>
      <c r="H19" s="11" t="str">
        <f ca="1">CONCATENATE($I19,"!",$J19,":",$J19)</f>
        <v>Deltas!F:F</v>
      </c>
      <c r="I19" s="11" t="s">
        <v>32</v>
      </c>
      <c r="J19" s="11" t="str">
        <f ca="1">SUBSTITUTE(ADDRESS(1,MATCH($K19,INDIRECT($I19&amp;"!3:3"),0),4),1,"")</f>
        <v>F</v>
      </c>
      <c r="K19" t="s">
        <v>21</v>
      </c>
    </row>
    <row r="20" spans="1:12" x14ac:dyDescent="0.45">
      <c r="A20" s="26">
        <f ca="1">A1+3</f>
        <v>2019</v>
      </c>
      <c r="B20" s="25">
        <f ca="1">IFERROR(B$19*(1+INDEX(INDIRECT($H18),MATCH($B$9&amp;"*",Calculations!$A:$A,0))),"")</f>
        <v>202364.85133818878</v>
      </c>
      <c r="C20" s="25">
        <f ca="1">IFERROR(C$19*(1+INDEX(INDIRECT($H18),MATCH($B$9&amp;"*",Calculations!$A:$A,0))),"")</f>
        <v>197708.18696464525</v>
      </c>
      <c r="D20" s="23">
        <f ca="1">IFERROR(D$19*(1+INDEX(INDIRECT($H18),MATCH($B$9&amp;"*",Calculations!$A:$A,0))),"")</f>
        <v>198939.82441521724</v>
      </c>
      <c r="E20" s="30">
        <f ca="1">IFERROR(E$19*(1+INDEX(INDIRECT($H18),MATCH($B$9&amp;"*",Calculations!$A:$A,0))),"")</f>
        <v>199670.95423935045</v>
      </c>
      <c r="H20" s="11" t="str">
        <f ca="1">CONCATENATE($I20,"!",$J20,":",$J20)</f>
        <v>Deltas!F:F</v>
      </c>
      <c r="I20" s="11" t="s">
        <v>32</v>
      </c>
      <c r="J20" s="11" t="str">
        <f ca="1">SUBSTITUTE(ADDRESS(1,MATCH($K20,INDIRECT($I20&amp;"!3:3"),0),4),1,"")</f>
        <v>F</v>
      </c>
      <c r="K20" t="s">
        <v>21</v>
      </c>
    </row>
    <row r="21" spans="1:12" x14ac:dyDescent="0.45">
      <c r="A21" s="35"/>
    </row>
    <row r="23" spans="1:12" x14ac:dyDescent="0.45">
      <c r="A23" s="107" t="str">
        <f>CONCATENATE($B$9,"'s Appraised 
Price")</f>
        <v>2462 Albion Farm Way's Appraised 
Price</v>
      </c>
      <c r="B23" s="108"/>
      <c r="C23" s="108"/>
      <c r="D23" s="108"/>
      <c r="E23" s="43">
        <f ca="1">IFERROR(INDEX(INDIRECT($H23),MATCH($B$9&amp;"*",Calculations!$A:$A,0)),"")</f>
        <v>146200</v>
      </c>
      <c r="H23" s="11" t="str">
        <f ca="1">CONCATENATE($I23,"!",$J23,":",$J23)</f>
        <v>Data!J:J</v>
      </c>
      <c r="I23" s="11" t="s">
        <v>30</v>
      </c>
      <c r="J23" t="str">
        <f ca="1">SUBSTITUTE(ADDRESS(1,MATCH(CONCATENATE($A$1,$K23),INDIRECT($I23&amp;"!3:3"),0),4),1,"")</f>
        <v>J</v>
      </c>
      <c r="K23" s="11" t="s">
        <v>25</v>
      </c>
      <c r="L23" s="11"/>
    </row>
    <row r="24" spans="1:12" x14ac:dyDescent="0.45">
      <c r="A24" s="107" t="str">
        <f ca="1">CONCATENATE($B$9,"'s Appraised Price YoY Change (",TRIM($A$1)-1,"-",TRIM($A$1),")")</f>
        <v>2462 Albion Farm Way's Appraised Price YoY Change (2015-2016)</v>
      </c>
      <c r="B24" s="108"/>
      <c r="C24" s="108"/>
      <c r="D24" s="108"/>
      <c r="E24" s="104" t="s">
        <v>49</v>
      </c>
      <c r="F24" s="45"/>
      <c r="G24" s="45"/>
      <c r="H24" s="11" t="e">
        <f ca="1">CONCATENATE($I24,"!",$J24,":",$J24)</f>
        <v>#N/A</v>
      </c>
      <c r="I24" s="11" t="s">
        <v>32</v>
      </c>
      <c r="J24" s="11" t="e">
        <f ca="1">SUBSTITUTE(ADDRESS(1,MATCH($K24,INDIRECT($I24&amp;"!3:3"),0),4),1,"")</f>
        <v>#N/A</v>
      </c>
      <c r="K24" t="str">
        <f ca="1">RIGHT(TRIM($A$1),2)-1&amp;"/"&amp;RIGHT(TRIM($A$1),2)&amp;" Delta Appraised (%)"</f>
        <v>15/16 Delta Appraised (%)</v>
      </c>
    </row>
    <row r="25" spans="1:12" x14ac:dyDescent="0.45">
      <c r="A25" s="107" t="str">
        <f>CONCATENATE($B$9,"'s Calculated Assessed Price")</f>
        <v>2462 Albion Farm Way's Calculated Assessed Price</v>
      </c>
      <c r="B25" s="108"/>
      <c r="C25" s="108"/>
      <c r="D25" s="108"/>
      <c r="E25" s="44">
        <f ca="1">IFERROR($E$23*0.4,"")</f>
        <v>58480</v>
      </c>
    </row>
    <row r="26" spans="1:12" x14ac:dyDescent="0.45">
      <c r="A26" s="107" t="str">
        <f>CONCATENATE($B$9,"'s Appraised Price/sqft")</f>
        <v>2462 Albion Farm Way's Appraised Price/sqft</v>
      </c>
      <c r="B26" s="108"/>
      <c r="C26" s="108"/>
      <c r="D26" s="108"/>
      <c r="E26" s="48">
        <f ca="1">IFERROR(INDEX(INDIRECT($H26),MATCH($B$9&amp;"*",Calculations!$A:$A,0)),"")</f>
        <v>102.60416666666667</v>
      </c>
      <c r="F26" s="45"/>
      <c r="G26" s="45"/>
      <c r="H26" s="11" t="str">
        <f ca="1">CONCATENATE($I26,"!",$J26,":",$J26)</f>
        <v>Calculations!E:E</v>
      </c>
      <c r="I26" s="11" t="s">
        <v>23</v>
      </c>
      <c r="J26" t="str">
        <f ca="1">SUBSTITUTE(ADDRESS(1,MATCH(CONCATENATE($A$1,$K26),INDIRECT($I26&amp;"!3:3"),0),4),1,"")</f>
        <v>E</v>
      </c>
      <c r="K26" t="s">
        <v>29</v>
      </c>
    </row>
    <row r="27" spans="1:12" ht="28.5" x14ac:dyDescent="0.45">
      <c r="A27" s="47" t="str">
        <f ca="1">CONCATENATE($B$9,"'s Appraised Price vs ",$A$1,"Average")</f>
        <v>2462 Albion Farm Way's Appraised Price vs 2016 Average</v>
      </c>
      <c r="B27" s="40">
        <f ca="1">IFERROR($E$23/B$2,"")</f>
        <v>1</v>
      </c>
      <c r="C27" s="40">
        <f ca="1">IFERROR($E$23/C$2,"")</f>
        <v>1.1497762711864408</v>
      </c>
      <c r="D27" s="38">
        <f ca="1">IFERROR($E$23/D$2,"")</f>
        <v>1.0797636632200887</v>
      </c>
      <c r="E27" s="39">
        <f ca="1">IFERROR($E$23/E$2,"")</f>
        <v>1.0730139447776681</v>
      </c>
      <c r="F27" s="46"/>
      <c r="G27" s="4"/>
      <c r="H27" s="4"/>
      <c r="I27" s="4"/>
      <c r="J27" s="4"/>
      <c r="L27" s="34"/>
    </row>
    <row r="28" spans="1:12" ht="28.5" x14ac:dyDescent="0.45">
      <c r="A28" s="47" t="str">
        <f ca="1">CONCATENATE($B$9,"'s Appraised Price/sqft vs. ",$A$1,"Average")</f>
        <v>2462 Albion Farm Way's Appraised Price/sqft vs. 2016 Average</v>
      </c>
      <c r="B28" s="40">
        <f ca="1">IFERROR(TRUNC(INDEX(INDIRECT($H28),MATCH($B$9&amp;"*",Calculations!$A:$A,0)),2)/B$6,"")</f>
        <v>0.99995939086294405</v>
      </c>
      <c r="C28" s="40">
        <f ca="1">IFERROR(TRUNC(INDEX(INDIRECT($H28),MATCH($B$9&amp;"*",Calculations!$A:$A,0)),2)/C$6,"")</f>
        <v>1.0292543198610173</v>
      </c>
      <c r="D28" s="38">
        <f ca="1">IFERROR(TRUNC(INDEX(INDIRECT($H28),MATCH($B$9&amp;"*",Calculations!$A:$A,0)),2)/D$6,"")</f>
        <v>1.0213404560916075</v>
      </c>
      <c r="E28" s="39">
        <f ca="1">IFERROR(TRUNC(INDEX(INDIRECT($H28),MATCH($B$9&amp;"*",Calculations!$A:$A,0)),2)/E$6,"")</f>
        <v>1.0166998974497528</v>
      </c>
      <c r="H28" s="11" t="str">
        <f ca="1">CONCATENATE($I28,"!",$J28,":",$J28)</f>
        <v>Calculations!E:E</v>
      </c>
      <c r="I28" s="11" t="s">
        <v>23</v>
      </c>
      <c r="J28" t="str">
        <f ca="1">SUBSTITUTE(ADDRESS(1,MATCH(CONCATENATE($A$1,$K28),INDIRECT($I28&amp;"!3:3"),0),4),1,"")</f>
        <v>E</v>
      </c>
      <c r="K28" t="s">
        <v>29</v>
      </c>
    </row>
    <row r="29" spans="1:12" ht="30.75" customHeight="1" x14ac:dyDescent="0.45">
      <c r="A29" s="109" t="str">
        <f ca="1">CONCATENATE("If ", $B$9, " sold at the highest cost/sqft (",$G29,") that's been sold in ",$A$1,"it would get:")</f>
        <v>If 2462 Albion Farm Way sold at the highest cost/sqft ($184.18) that's been sold in 2016 it would get:</v>
      </c>
      <c r="B29" s="109"/>
      <c r="C29" s="109"/>
      <c r="D29" s="109"/>
      <c r="E29" s="22">
        <f ca="1">IFERROR($G29*INDEX(INDIRECT($H13),MATCH($B$9&amp;"*",Calculations!$A:$A,0)),"")</f>
        <v>212175.36000000002</v>
      </c>
      <c r="G29" t="str">
        <f t="array" aca="1" ref="G29" ca="1">TEXT(MAX(IF(INDIRECT($H31)&gt;=DATE($A$1,1,1),IF(INDIRECT($H31)&lt;=DATE($A$1,12,31),INDIRECT($H29),""),"")),"$#,##0.00")</f>
        <v>$184.18</v>
      </c>
      <c r="H29" s="11" t="str">
        <f ca="1">CONCATENATE($I29,"!",$J29,":",$J29)</f>
        <v>Calculations!D:D</v>
      </c>
      <c r="I29" s="11" t="s">
        <v>23</v>
      </c>
      <c r="J29" s="11" t="str">
        <f ca="1">SUBSTITUTE(ADDRESS(1,MATCH($K29,INDIRECT($I29&amp;"!3:3"),0),4),1,"")</f>
        <v>D</v>
      </c>
      <c r="K29" t="s">
        <v>9</v>
      </c>
    </row>
    <row r="30" spans="1:12" ht="31.15" customHeight="1" x14ac:dyDescent="0.45">
      <c r="A30" s="110" t="str">
        <f ca="1">IFERROR(CONCATENATE("If ", $B$9, " sold at the average cost/sqft (",TEXT(AVERAGEIFS(INDIRECT($H29),INDIRECT($H30),"&gt;="&amp;DATE($A$1,1,1),INDIRECT($H30),"&lt;="&amp;DATE($A$1,12,31)),"$#,##.##"),") that's been sold in ",$A$1,"it would get:"),"")</f>
        <v>If 2462 Albion Farm Way sold at the average cost/sqft ($143.54) that's been sold in 2016 it would get:</v>
      </c>
      <c r="B30" s="110"/>
      <c r="C30" s="110"/>
      <c r="D30" s="110"/>
      <c r="E30" s="22">
        <f ca="1">IFERROR(INDEX(INDIRECT($H13),MATCH($B$9&amp;"*",Data!C:C,0))*AVERAGEIFS(INDIRECT($H29),INDIRECT($H30),"&gt;="&amp;DATE($A$1,1,1),INDIRECT($H30),"&lt;="&amp;DATE($A$1,12,31)),"")</f>
        <v>165355.30727133871</v>
      </c>
      <c r="H30" s="11" t="str">
        <f ca="1">CONCATENATE($I30,"!",$J30,":",$J30)</f>
        <v>Data!H:H</v>
      </c>
      <c r="I30" s="11" t="s">
        <v>30</v>
      </c>
      <c r="J30" s="11" t="str">
        <f ca="1">SUBSTITUTE(ADDRESS(1,MATCH($K30,INDIRECT($I30&amp;"!3:3"),0),4),1,"")</f>
        <v>H</v>
      </c>
      <c r="K30" s="11" t="s">
        <v>34</v>
      </c>
    </row>
    <row r="31" spans="1:12" ht="31.5" customHeight="1" x14ac:dyDescent="0.45">
      <c r="A31" s="110" t="str">
        <f ca="1">IFERROR(CONCATENATE("If ", $B$9, " sold at the average cost/sqft (",TEXT(AVERAGEIFS(INDIRECT($H29),INDIRECT($H31),"&gt;="&amp;DATE($A$1-2,1,1),INDIRECT($H29),"&lt;="&amp;DATE($A$1,12,31)),"$#,##.##"),") that's been sold in the last 2 years (",$A$1-2,"-",TRIM($A$1),") it would get:"),"")</f>
        <v>If 2462 Albion Farm Way sold at the average cost/sqft ($140.48) that's been sold in the last 2 years (2014-2016) it would get:</v>
      </c>
      <c r="B31" s="110"/>
      <c r="C31" s="110"/>
      <c r="D31" s="110"/>
      <c r="E31" s="22">
        <f ca="1">IFERROR(INDEX(INDIRECT($H13),MATCH($B$9&amp;"*",Data!C:C,0))*AVERAGEIFS(INDIRECT($H29),INDIRECT($H31),"&gt;="&amp;DATE($A$1-2,1,1),INDIRECT($H31),"&lt;="&amp;DATE($A$1,12,31)),"")</f>
        <v>147383.17317416452</v>
      </c>
      <c r="H31" s="11" t="str">
        <f ca="1">CONCATENATE($I31,"!",$J31,":",$J31)</f>
        <v>Data!H:H</v>
      </c>
      <c r="I31" s="11" t="s">
        <v>30</v>
      </c>
      <c r="J31" s="11" t="str">
        <f ca="1">SUBSTITUTE(ADDRESS(1,MATCH($K31,INDIRECT($I31&amp;"!3:3"),0),4),1,"")</f>
        <v>H</v>
      </c>
      <c r="K31" s="11" t="s">
        <v>34</v>
      </c>
    </row>
    <row r="32" spans="1:12" x14ac:dyDescent="0.45">
      <c r="H32">
        <v>5</v>
      </c>
      <c r="I32" s="11" t="s">
        <v>46</v>
      </c>
    </row>
    <row r="33" spans="1:11" x14ac:dyDescent="0.45">
      <c r="H33">
        <f>COUNTIF(Data!$A:$A,"&lt;&gt;")+2</f>
        <v>185</v>
      </c>
      <c r="I33" s="11" t="s">
        <v>47</v>
      </c>
    </row>
    <row r="34" spans="1:11" x14ac:dyDescent="0.45">
      <c r="A34" s="36" t="s">
        <v>11</v>
      </c>
      <c r="B34" s="105" t="str">
        <f ca="1">IFERROR(CONCATENATE(MAX(INDIRECT($H34)), " acres (",INDEX(Data!$C:$C,MATCH(MAX(INDIRECT($H34)),INDIRECT($H34),0)),")"),"")</f>
        <v>0.26 acres (2477 Albion Farm Way, Duluth, GA 30097)</v>
      </c>
      <c r="C34" s="105"/>
      <c r="D34" s="105"/>
      <c r="E34" s="106"/>
      <c r="H34" s="11" t="str">
        <f t="shared" ref="H34:H35" ca="1" si="0">CONCATENATE($I34,"!",$J34,":",$J34)</f>
        <v>Data!F:F</v>
      </c>
      <c r="I34" s="11" t="s">
        <v>30</v>
      </c>
      <c r="J34" s="11" t="str">
        <f ca="1">SUBSTITUTE(ADDRESS(1,MATCH($K34,INDIRECT($I34&amp;"!3:3"),0),4),1,"")</f>
        <v>F</v>
      </c>
      <c r="K34" s="11" t="s">
        <v>3</v>
      </c>
    </row>
    <row r="35" spans="1:11" x14ac:dyDescent="0.45">
      <c r="A35" s="37" t="s">
        <v>12</v>
      </c>
      <c r="B35" s="105" t="str">
        <f ca="1">IFERROR(CONCATENATE(MAX(INDIRECT($H35)), " sqft (",INDEX(Data!$C:$C,MATCH(MAX(INDIRECT($H35)),INDIRECT($H35),0)),")"),"")</f>
        <v>1496 sqft (3080 Barnwood Xing, Duluth, GA 30097)</v>
      </c>
      <c r="C35" s="105"/>
      <c r="D35" s="105"/>
      <c r="E35" s="106"/>
      <c r="H35" s="11" t="str">
        <f t="shared" ca="1" si="0"/>
        <v>Data!G:G</v>
      </c>
      <c r="I35" s="11" t="s">
        <v>30</v>
      </c>
      <c r="J35" s="11" t="str">
        <f ca="1">SUBSTITUTE(ADDRESS(1,MATCH($K35,INDIRECT($I35&amp;"!3:3"),0),4),1,"")</f>
        <v>G</v>
      </c>
      <c r="K35" s="11" t="s">
        <v>4</v>
      </c>
    </row>
    <row r="36" spans="1:11" x14ac:dyDescent="0.45">
      <c r="A36" s="37" t="str">
        <f ca="1">"Highest Appraised Value in "&amp;$A$1&amp;":"</f>
        <v>Highest Appraised Value in 2016 :</v>
      </c>
      <c r="B36" s="105" t="str">
        <f ca="1">IFERROR(CONCATENATE(TEXT(MAX(INDIRECT($H36)),"$#,##0"), " (",INDEX(INDIRECT(SUBSTITUTE($H36,$J36,"C")),MATCH(MAX(INDIRECT($H36)),INDIRECT($H36),0)),")"),"")</f>
        <v>$174,400 (3080 Barnwood Xing, Duluth, GA 30097)</v>
      </c>
      <c r="C36" s="105"/>
      <c r="D36" s="105"/>
      <c r="E36" s="106"/>
      <c r="H36" s="11" t="str">
        <f t="shared" ref="H36:H45" ca="1" si="1">CONCATENATE($I36,"!",$J36,$H$32,":",$J36,$H$33)</f>
        <v>Data!J5:J185</v>
      </c>
      <c r="I36" s="11" t="s">
        <v>30</v>
      </c>
      <c r="J36" t="str">
        <f ca="1">SUBSTITUTE(ADDRESS(1,MATCH(CONCATENATE($A$1,$K36),INDIRECT($I36&amp;"!3:3"),0),4),1,"")</f>
        <v>J</v>
      </c>
      <c r="K36" s="11" t="s">
        <v>25</v>
      </c>
    </row>
    <row r="37" spans="1:11" x14ac:dyDescent="0.45">
      <c r="A37" s="37" t="str">
        <f ca="1">"Lowest Appraised Value in "&amp;$A$1&amp;":"</f>
        <v>Lowest Appraised Value in 2016 :</v>
      </c>
      <c r="B37" s="105" t="str">
        <f ca="1">IFERROR(CONCATENATE(TEXT(MIN(INDIRECT($H37)),"$#,##0"), " (",INDEX(INDIRECT(SUBSTITUTE($H37,$J37,"C")),MATCH(MIN(INDIRECT($H37)),INDIRECT($H37),0)),")"),"")</f>
        <v>$107,400 (3948 Hawks Nest Ct, Duluth, GA 30097)</v>
      </c>
      <c r="C37" s="105"/>
      <c r="D37" s="105"/>
      <c r="E37" s="106"/>
      <c r="F37" s="96"/>
      <c r="H37" s="11" t="str">
        <f t="shared" ca="1" si="1"/>
        <v>Data!J5:J185</v>
      </c>
      <c r="I37" s="11" t="s">
        <v>30</v>
      </c>
      <c r="J37" t="str">
        <f ca="1">SUBSTITUTE(ADDRESS(1,MATCH(CONCATENATE($A$1,$K37),INDIRECT($I37&amp;"!3:3"),0),4),1,"")</f>
        <v>J</v>
      </c>
      <c r="K37" s="11" t="s">
        <v>25</v>
      </c>
    </row>
    <row r="38" spans="1:11" x14ac:dyDescent="0.45">
      <c r="A38" s="37" t="str">
        <f ca="1">"Highest Appraised Cost/Sqft in "&amp;$A$1&amp;":"</f>
        <v>Highest Appraised Cost/Sqft in 2016 :</v>
      </c>
      <c r="B38" s="105" t="str">
        <f ca="1">IFERROR(CONCATENATE(TEXT(MAX(INDIRECT($H38)),"$#,##0.00"),"/sqft (",INDEX(INDIRECT(SUBSTITUTE($H38,$J38,"A")),MATCH(MAX(INDIRECT($H38)),INDIRECT($H38),0)),")"),"")</f>
        <v>$126.59/sqft (3005 Barnwood Xing, Duluth, GA 30097)</v>
      </c>
      <c r="C38" s="105"/>
      <c r="D38" s="105"/>
      <c r="E38" s="106"/>
      <c r="H38" s="11" t="str">
        <f t="shared" ca="1" si="1"/>
        <v>Calculations!E5:E185</v>
      </c>
      <c r="I38" s="11" t="s">
        <v>23</v>
      </c>
      <c r="J38" t="str">
        <f ca="1">SUBSTITUTE(ADDRESS(1,MATCH(CONCATENATE($A$1,$K38),INDIRECT($I38&amp;"!3:3"),0),4),1,"")</f>
        <v>E</v>
      </c>
      <c r="K38" t="s">
        <v>29</v>
      </c>
    </row>
    <row r="39" spans="1:11" x14ac:dyDescent="0.45">
      <c r="A39" s="37" t="str">
        <f ca="1">"Lowest Appraised Cost/Sqft in "&amp;$A$1&amp;":"</f>
        <v>Lowest Appraised Cost/Sqft in 2016 :</v>
      </c>
      <c r="B39" s="105" t="str">
        <f ca="1">IFERROR(CONCATENATE(TEXT(MIN(INDIRECT($H39)),"$#,##0.00"),"/sqft (",INDEX(INDIRECT(SUBSTITUTE($H39,$J39,"A")),MATCH(MIN(INDIRECT($H39)),INDIRECT($H39),0)),")"),"")</f>
        <v>$70.88/sqft (2765 Barnwood Xing, Duluth, GA 30097)</v>
      </c>
      <c r="C39" s="105"/>
      <c r="D39" s="105"/>
      <c r="E39" s="106"/>
      <c r="F39" s="11"/>
      <c r="H39" s="11" t="str">
        <f t="shared" ca="1" si="1"/>
        <v>Calculations!E5:E185</v>
      </c>
      <c r="I39" s="11" t="s">
        <v>23</v>
      </c>
      <c r="J39" t="str">
        <f ca="1">SUBSTITUTE(ADDRESS(1,MATCH(CONCATENATE($A$1,$K39),INDIRECT($I39&amp;"!3:3"),0),4),1,"")</f>
        <v>E</v>
      </c>
      <c r="K39" t="s">
        <v>29</v>
      </c>
    </row>
    <row r="40" spans="1:11" x14ac:dyDescent="0.45">
      <c r="A40" s="37" t="str">
        <f ca="1">"Latest Sale in "&amp;$A$1&amp;":"</f>
        <v>Latest Sale in 2016 :</v>
      </c>
      <c r="B40" s="105" t="str">
        <f ca="1">IFERROR(CONCATENATE(TEXT($G40,"MM/DD/YYYY")," (",INDEX(INDIRECT(SUBSTITUTE($H40,$J40,"C")),MATCH($G40,INDIRECT($H40),0)),")"),"")</f>
        <v>12/09/2016 (2547 Albion Farm Way, Duluth, GA 30097)</v>
      </c>
      <c r="C40" s="105"/>
      <c r="D40" s="105"/>
      <c r="E40" s="106"/>
      <c r="F40" s="11"/>
      <c r="G40" s="83">
        <f t="array" aca="1" ref="G40" ca="1">MAX(IF(INDIRECT($H40)&gt;=DATE($A$1,1,1),IF(INDIRECT($H40)&lt;=DATE($A$1,12,31),INDIRECT($H40),""),""))</f>
        <v>42713</v>
      </c>
      <c r="H40" s="11" t="str">
        <f t="shared" ca="1" si="1"/>
        <v>Data!H5:H185</v>
      </c>
      <c r="I40" s="11" t="s">
        <v>30</v>
      </c>
      <c r="J40" s="11" t="str">
        <f t="shared" ref="J40:J45" ca="1" si="2">SUBSTITUTE(ADDRESS(1,MATCH($K40,INDIRECT($I40&amp;"!3:3"),0),4),1,"")</f>
        <v>H</v>
      </c>
      <c r="K40" s="11" t="s">
        <v>34</v>
      </c>
    </row>
    <row r="41" spans="1:11" x14ac:dyDescent="0.45">
      <c r="A41" s="36" t="str">
        <f ca="1">"Highest $/sqft Sold in "&amp;$A$1&amp;":"</f>
        <v>Highest $/sqft Sold in 2016 :</v>
      </c>
      <c r="B41" s="105" t="str">
        <f ca="1">IFERROR(CONCATENATE(TEXT($G41,"$#,##0.00"),"/sqft (",INDEX(INDIRECT(SUBSTITUTE($H41,$J41,"A")),MATCH($G41,INDIRECT($H41),0))," -- ",TEXT(INDEX(INDIRECT($H$40),MATCH(INDEX(INDIRECT(SUBSTITUTE($H41,$J41,"A")),MATCH($G41,INDIRECT($H41),0)),INDIRECT(SUBSTITUTE($H$40,$J$40,"C")),0),0),"MM/DD/YYYY"),")"),"")</f>
        <v>$184.18/sqft (2800 Barnwood Xing, Duluth, GA 30097 -- 09/16/2016)</v>
      </c>
      <c r="C41" s="105"/>
      <c r="D41" s="105"/>
      <c r="E41" s="106"/>
      <c r="G41" s="84">
        <f t="array" aca="1" ref="G41" ca="1">MAX(IF(INDIRECT($H40)&gt;=DATE($A$1,1,1),IF(INDIRECT($H40)&lt;=DATE($A$1,12,31),INDIRECT($H41),""),""))</f>
        <v>184.17874396135267</v>
      </c>
      <c r="H41" s="11" t="str">
        <f t="shared" ca="1" si="1"/>
        <v>Calculations!D5:D185</v>
      </c>
      <c r="I41" s="11" t="s">
        <v>23</v>
      </c>
      <c r="J41" s="11" t="str">
        <f t="shared" ca="1" si="2"/>
        <v>D</v>
      </c>
      <c r="K41" t="s">
        <v>9</v>
      </c>
    </row>
    <row r="42" spans="1:11" x14ac:dyDescent="0.45">
      <c r="A42" s="36" t="str">
        <f ca="1">"Lowest $/sqft Sold in "&amp;$A$1&amp;":"</f>
        <v>Lowest $/sqft Sold in 2016 :</v>
      </c>
      <c r="B42" s="105" t="str">
        <f ca="1">IFERROR(CONCATENATE(TEXT($G42,"$#,##0.00"),"/sqft (",INDEX(INDIRECT(SUBSTITUTE($H42,$J42,"A")),MATCH($G42,INDIRECT($H42),0))," -- ",TEXT(INDEX(INDIRECT($H$40),MATCH(INDEX(INDIRECT(SUBSTITUTE($H42,$J42,"A")),MATCH($G42,INDIRECT($H42),0)),INDIRECT(SUBSTITUTE($H$40,$J$40,"C")),0),0),"MM/DD/YYYY"),")"),"")</f>
        <v>$114.60/sqft (2862 Albion Farm Way, Duluth, GA 30097 -- 05/12/2016)</v>
      </c>
      <c r="C42" s="105"/>
      <c r="D42" s="105"/>
      <c r="E42" s="106"/>
      <c r="G42">
        <f t="array" aca="1" ref="G42" ca="1">MIN(IF(INDIRECT($H40)&gt;=DATE($A$1,1,1),IF(INDIRECT($H40)&lt;=DATE($A$1,12,31),INDIRECT($H41),""),""))</f>
        <v>114.59802538787024</v>
      </c>
      <c r="H42" s="11" t="str">
        <f t="shared" ca="1" si="1"/>
        <v>Calculations!D5:D185</v>
      </c>
      <c r="I42" s="11" t="s">
        <v>23</v>
      </c>
      <c r="J42" s="11" t="str">
        <f t="shared" ca="1" si="2"/>
        <v>D</v>
      </c>
      <c r="K42" t="s">
        <v>9</v>
      </c>
    </row>
    <row r="43" spans="1:11" x14ac:dyDescent="0.45">
      <c r="A43" s="36" t="s">
        <v>40</v>
      </c>
      <c r="B43" s="105" t="str">
        <f ca="1">IFERROR(CONCATENATE(TEXT(MAX(INDIRECT($H43)),"$#,##0.00"),"/sqft (",INDEX(INDIRECT(SUBSTITUTE($H42,$J42,"A")),MATCH(MAX(INDIRECT($H43)),INDIRECT($H43),0))," -- ",TEXT(INDEX(INDIRECT($H$40),MATCH(INDEX(Calculations!$A:$A,MATCH(MAX(INDIRECT($H43)),INDIRECT($H43),0)),Data!$C:$C,0),0),"MM/DD/YYYY"),")"),"")</f>
        <v>$213.82/sqft (3929 White Owl Ct, Duluth, GA 30097 -- 03/14/2019)</v>
      </c>
      <c r="C43" s="105"/>
      <c r="D43" s="105"/>
      <c r="E43" s="106"/>
      <c r="H43" s="11" t="str">
        <f t="shared" ca="1" si="1"/>
        <v>Calculations!D5:D185</v>
      </c>
      <c r="I43" s="11" t="s">
        <v>23</v>
      </c>
      <c r="J43" s="11" t="str">
        <f t="shared" ca="1" si="2"/>
        <v>D</v>
      </c>
      <c r="K43" t="s">
        <v>9</v>
      </c>
    </row>
    <row r="44" spans="1:11" x14ac:dyDescent="0.45">
      <c r="A44" s="77" t="str">
        <f ca="1">"Houses Sold in "&amp;$A$1&amp;":"</f>
        <v>Houses Sold in 2016 :</v>
      </c>
      <c r="B44" s="105">
        <f ca="1">IFERROR(COUNTIFS(INDIRECT($H44),"&gt;="&amp;DATE($A$1,1,1),INDIRECT($H44),"&lt;="&amp;DATE($A$1,12,31)),"")</f>
        <v>16</v>
      </c>
      <c r="C44" s="105"/>
      <c r="D44" s="105"/>
      <c r="E44" s="106"/>
      <c r="H44" s="11" t="str">
        <f t="shared" ca="1" si="1"/>
        <v>Data!H5:H185</v>
      </c>
      <c r="I44" s="11" t="s">
        <v>30</v>
      </c>
      <c r="J44" s="11" t="str">
        <f t="shared" ca="1" si="2"/>
        <v>H</v>
      </c>
      <c r="K44" t="s">
        <v>34</v>
      </c>
    </row>
    <row r="45" spans="1:11" x14ac:dyDescent="0.45">
      <c r="A45" s="77" t="str">
        <f ca="1">"Houses Sold in Previous Year ("&amp;$A$1-1&amp;"):"</f>
        <v>Houses Sold in Previous Year (2015):</v>
      </c>
      <c r="B45" s="105">
        <f ca="1">IFERROR(COUNTIFS(INDIRECT($H45),"&gt;="&amp;DATE($A$1-1,1,1),INDIRECT($H45),"&lt;="&amp;DATE($A$1-1,12,31)),"")</f>
        <v>19</v>
      </c>
      <c r="C45" s="105"/>
      <c r="D45" s="105"/>
      <c r="E45" s="106"/>
      <c r="H45" s="11" t="str">
        <f t="shared" ca="1" si="1"/>
        <v>Data!H5:H185</v>
      </c>
      <c r="I45" s="11" t="s">
        <v>30</v>
      </c>
      <c r="J45" s="11" t="str">
        <f t="shared" ca="1" si="2"/>
        <v>H</v>
      </c>
      <c r="K45" t="s">
        <v>34</v>
      </c>
    </row>
    <row r="47" spans="1:11" x14ac:dyDescent="0.45">
      <c r="F47" s="11"/>
      <c r="G47" s="11"/>
    </row>
  </sheetData>
  <mergeCells count="22">
    <mergeCell ref="B45:E45"/>
    <mergeCell ref="A31:D31"/>
    <mergeCell ref="B9:C9"/>
    <mergeCell ref="D9:E11"/>
    <mergeCell ref="A17:D17"/>
    <mergeCell ref="A23:D23"/>
    <mergeCell ref="A25:D25"/>
    <mergeCell ref="A26:D26"/>
    <mergeCell ref="A29:D29"/>
    <mergeCell ref="B40:E40"/>
    <mergeCell ref="B41:E41"/>
    <mergeCell ref="B42:E42"/>
    <mergeCell ref="B34:E34"/>
    <mergeCell ref="B35:E35"/>
    <mergeCell ref="B36:E36"/>
    <mergeCell ref="B37:E37"/>
    <mergeCell ref="A24:D24"/>
    <mergeCell ref="B44:E44"/>
    <mergeCell ref="A30:D30"/>
    <mergeCell ref="B43:E43"/>
    <mergeCell ref="B38:E38"/>
    <mergeCell ref="B39:E39"/>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V1003"/>
  <sheetViews>
    <sheetView showGridLines="0" zoomScale="85" zoomScaleNormal="85" workbookViewId="0">
      <selection activeCell="A5" sqref="A5"/>
    </sheetView>
  </sheetViews>
  <sheetFormatPr defaultColWidth="14.3984375" defaultRowHeight="15" customHeight="1" x14ac:dyDescent="0.45"/>
  <cols>
    <col min="1" max="1" width="7.3984375" style="4" bestFit="1" customWidth="1"/>
    <col min="2" max="2" width="16.86328125" style="4" bestFit="1" customWidth="1"/>
    <col min="3" max="3" width="37" style="4" bestFit="1" customWidth="1"/>
    <col min="4" max="4" width="4.3984375" style="4" customWidth="1"/>
    <col min="5" max="5" width="5" style="4" customWidth="1"/>
    <col min="6" max="6" width="7.73046875" style="4" customWidth="1"/>
    <col min="7" max="7" width="7" style="4" customWidth="1"/>
    <col min="8" max="9" width="12.59765625" style="4" customWidth="1"/>
    <col min="10" max="18" width="13.73046875" style="4" customWidth="1"/>
    <col min="19" max="21" width="13.73046875" style="4" bestFit="1" customWidth="1"/>
    <col min="22" max="22" width="12.59765625" style="4" customWidth="1"/>
    <col min="23" max="23" width="16.1328125" style="4" customWidth="1"/>
    <col min="24" max="24" width="12.86328125" style="4" customWidth="1"/>
    <col min="25" max="32" width="8.73046875" style="4" customWidth="1"/>
    <col min="33" max="16384" width="14.3984375" style="4"/>
  </cols>
  <sheetData>
    <row r="1" spans="1:22" ht="15" customHeight="1" thickBot="1" x14ac:dyDescent="0.5">
      <c r="A1" s="120" t="s">
        <v>5</v>
      </c>
      <c r="B1" s="120"/>
      <c r="C1" s="120"/>
      <c r="D1" s="120"/>
      <c r="E1" s="120"/>
      <c r="F1" s="120"/>
      <c r="G1" s="120"/>
      <c r="H1" s="120"/>
      <c r="I1" s="120"/>
      <c r="J1" s="85"/>
      <c r="K1" s="85"/>
      <c r="L1" s="85"/>
      <c r="M1" s="119" t="s">
        <v>22</v>
      </c>
      <c r="N1" s="119"/>
      <c r="O1" s="119"/>
      <c r="P1" s="119" t="s">
        <v>22</v>
      </c>
      <c r="Q1" s="119"/>
      <c r="R1" s="119"/>
      <c r="S1" s="119" t="s">
        <v>22</v>
      </c>
      <c r="T1" s="119"/>
      <c r="U1" s="119"/>
    </row>
    <row r="2" spans="1:22" ht="15" customHeight="1" x14ac:dyDescent="0.45">
      <c r="A2" s="120"/>
      <c r="B2" s="120"/>
      <c r="C2" s="120"/>
      <c r="D2" s="120"/>
      <c r="E2" s="120"/>
      <c r="F2" s="120"/>
      <c r="G2" s="120"/>
      <c r="H2" s="120"/>
      <c r="I2" s="120"/>
      <c r="J2" s="116">
        <v>2016</v>
      </c>
      <c r="K2" s="117"/>
      <c r="L2" s="118"/>
      <c r="M2" s="116">
        <f>J2+1</f>
        <v>2017</v>
      </c>
      <c r="N2" s="117"/>
      <c r="O2" s="118"/>
      <c r="P2" s="116">
        <f>M2+1</f>
        <v>2018</v>
      </c>
      <c r="Q2" s="117"/>
      <c r="R2" s="118"/>
      <c r="S2" s="116">
        <f>P2+1</f>
        <v>2019</v>
      </c>
      <c r="T2" s="117"/>
      <c r="U2" s="118"/>
    </row>
    <row r="3" spans="1:22" ht="30" customHeight="1" x14ac:dyDescent="0.45">
      <c r="A3" s="3" t="s">
        <v>50</v>
      </c>
      <c r="B3" s="1" t="s">
        <v>13</v>
      </c>
      <c r="C3" s="1" t="s">
        <v>0</v>
      </c>
      <c r="D3" s="1" t="s">
        <v>1</v>
      </c>
      <c r="E3" s="1" t="s">
        <v>2</v>
      </c>
      <c r="F3" s="1" t="s">
        <v>3</v>
      </c>
      <c r="G3" s="1" t="s">
        <v>4</v>
      </c>
      <c r="H3" s="3" t="s">
        <v>34</v>
      </c>
      <c r="I3" s="3" t="s">
        <v>35</v>
      </c>
      <c r="J3" s="13" t="str">
        <f>CONCATENATE(J2," Appraised Total Value")</f>
        <v>2016 Appraised Total Value</v>
      </c>
      <c r="K3" s="19" t="str">
        <f>CONCATENATE(J2, " Appraised Building Value")</f>
        <v>2016 Appraised Building Value</v>
      </c>
      <c r="L3" s="15" t="str">
        <f>CONCATENATE(J2," Appraised Land Value")</f>
        <v>2016 Appraised Land Value</v>
      </c>
      <c r="M3" s="13" t="str">
        <f>CONCATENATE(M2," Appraised Total Value")</f>
        <v>2017 Appraised Total Value</v>
      </c>
      <c r="N3" s="19" t="str">
        <f>CONCATENATE(M2, " Appraised Building Value")</f>
        <v>2017 Appraised Building Value</v>
      </c>
      <c r="O3" s="15" t="str">
        <f>CONCATENATE(M2," Appraised Land Value")</f>
        <v>2017 Appraised Land Value</v>
      </c>
      <c r="P3" s="13" t="str">
        <f>CONCATENATE(P2," Appraised Total Value")</f>
        <v>2018 Appraised Total Value</v>
      </c>
      <c r="Q3" s="19" t="str">
        <f>CONCATENATE(P2, " Appraised Building Value")</f>
        <v>2018 Appraised Building Value</v>
      </c>
      <c r="R3" s="15" t="str">
        <f>CONCATENATE(P2," Appraised Land Value")</f>
        <v>2018 Appraised Land Value</v>
      </c>
      <c r="S3" s="13" t="str">
        <f>CONCATENATE(S2," Appraised Total Value")</f>
        <v>2019 Appraised Total Value</v>
      </c>
      <c r="T3" s="19" t="str">
        <f>CONCATENATE(S2, " Appraised Building Value")</f>
        <v>2019 Appraised Building Value</v>
      </c>
      <c r="U3" s="15" t="str">
        <f>CONCATENATE(S2," Appraised Land Value")</f>
        <v>2019 Appraised Land Value</v>
      </c>
      <c r="V3" s="97"/>
    </row>
    <row r="4" spans="1:22" ht="30" hidden="1" customHeight="1" x14ac:dyDescent="0.45">
      <c r="A4" s="1"/>
      <c r="B4" s="1"/>
      <c r="C4" s="1"/>
      <c r="D4" s="1"/>
      <c r="E4" s="1"/>
      <c r="F4" s="1"/>
      <c r="G4" s="1"/>
      <c r="H4" s="3"/>
      <c r="I4" s="3" t="s">
        <v>43</v>
      </c>
      <c r="J4" s="13"/>
      <c r="K4" s="19"/>
      <c r="L4" s="15"/>
      <c r="M4" s="13"/>
      <c r="N4" s="19"/>
      <c r="O4" s="15"/>
      <c r="P4" s="13"/>
      <c r="Q4" s="19"/>
      <c r="R4" s="15"/>
      <c r="S4" s="13"/>
      <c r="T4" s="19"/>
      <c r="U4" s="15"/>
      <c r="V4" s="97"/>
    </row>
    <row r="5" spans="1:22" ht="14.25" x14ac:dyDescent="0.45">
      <c r="A5" s="5">
        <v>2462</v>
      </c>
      <c r="B5" s="20" t="s">
        <v>15</v>
      </c>
      <c r="C5" s="5" t="str">
        <f t="shared" ref="C5:C36" si="0">CONCATENATE($A5," ",$B5,", Duluth, GA 30097")</f>
        <v>2462 Albion Farm Way, Duluth, GA 30097</v>
      </c>
      <c r="D5" s="5">
        <v>2</v>
      </c>
      <c r="E5" s="5">
        <v>2.5</v>
      </c>
      <c r="F5" s="6">
        <v>0.14000000000000001</v>
      </c>
      <c r="G5" s="7">
        <v>1152</v>
      </c>
      <c r="H5" s="9">
        <v>38315</v>
      </c>
      <c r="I5" s="10">
        <v>136400</v>
      </c>
      <c r="J5" s="8">
        <v>146200</v>
      </c>
      <c r="K5" s="17">
        <v>118200</v>
      </c>
      <c r="L5" s="18">
        <v>28000</v>
      </c>
      <c r="M5" s="8">
        <v>159100</v>
      </c>
      <c r="N5" s="17">
        <v>129100</v>
      </c>
      <c r="O5" s="18">
        <v>30000</v>
      </c>
      <c r="P5" s="8">
        <v>180800</v>
      </c>
      <c r="Q5" s="17">
        <v>150800</v>
      </c>
      <c r="R5" s="18">
        <v>30000</v>
      </c>
      <c r="S5" s="69">
        <v>196400</v>
      </c>
      <c r="T5" s="17">
        <f t="shared" ref="T5:T36" si="1">S5-U5</f>
        <v>166400</v>
      </c>
      <c r="U5" s="18">
        <v>30000</v>
      </c>
    </row>
    <row r="6" spans="1:22" ht="14.25" x14ac:dyDescent="0.45">
      <c r="A6" s="41">
        <v>2467</v>
      </c>
      <c r="B6" s="20" t="s">
        <v>15</v>
      </c>
      <c r="C6" s="5" t="str">
        <f t="shared" si="0"/>
        <v>2467 Albion Farm Way, Duluth, GA 30097</v>
      </c>
      <c r="D6" s="5">
        <v>3</v>
      </c>
      <c r="E6" s="5">
        <v>2</v>
      </c>
      <c r="F6" s="6">
        <v>0.17</v>
      </c>
      <c r="G6" s="7">
        <v>1218</v>
      </c>
      <c r="H6" s="9">
        <v>39514</v>
      </c>
      <c r="I6" s="10">
        <v>153250</v>
      </c>
      <c r="J6" s="8">
        <v>138300</v>
      </c>
      <c r="K6" s="17">
        <v>110300</v>
      </c>
      <c r="L6" s="18">
        <v>28000</v>
      </c>
      <c r="M6" s="8">
        <v>150400</v>
      </c>
      <c r="N6" s="17">
        <v>120400</v>
      </c>
      <c r="O6" s="18">
        <v>30000</v>
      </c>
      <c r="P6" s="8">
        <v>170700</v>
      </c>
      <c r="Q6" s="17">
        <v>140700</v>
      </c>
      <c r="R6" s="18">
        <v>30000</v>
      </c>
      <c r="S6" s="69">
        <v>193400</v>
      </c>
      <c r="T6" s="17">
        <f t="shared" si="1"/>
        <v>163400</v>
      </c>
      <c r="U6" s="18">
        <v>30000</v>
      </c>
      <c r="V6" s="66"/>
    </row>
    <row r="7" spans="1:22" ht="14.25" x14ac:dyDescent="0.45">
      <c r="A7" s="41">
        <v>2472</v>
      </c>
      <c r="B7" s="20" t="s">
        <v>15</v>
      </c>
      <c r="C7" s="5" t="str">
        <f t="shared" si="0"/>
        <v>2472 Albion Farm Way, Duluth, GA 30097</v>
      </c>
      <c r="D7" s="5">
        <v>2</v>
      </c>
      <c r="E7" s="5">
        <v>1</v>
      </c>
      <c r="F7" s="6">
        <v>0.17</v>
      </c>
      <c r="G7" s="7">
        <v>1104</v>
      </c>
      <c r="H7" s="9">
        <v>39611</v>
      </c>
      <c r="I7" s="10">
        <v>141000</v>
      </c>
      <c r="J7" s="8">
        <v>131800</v>
      </c>
      <c r="K7" s="17">
        <v>103800</v>
      </c>
      <c r="L7" s="18">
        <v>28000</v>
      </c>
      <c r="M7" s="8">
        <v>143300</v>
      </c>
      <c r="N7" s="17">
        <v>113300</v>
      </c>
      <c r="O7" s="18">
        <v>30000</v>
      </c>
      <c r="P7" s="8">
        <v>162400</v>
      </c>
      <c r="Q7" s="17">
        <v>132400</v>
      </c>
      <c r="R7" s="18">
        <v>30000</v>
      </c>
      <c r="S7" s="69">
        <v>180600</v>
      </c>
      <c r="T7" s="17">
        <f t="shared" si="1"/>
        <v>150600</v>
      </c>
      <c r="U7" s="18">
        <v>30000</v>
      </c>
    </row>
    <row r="8" spans="1:22" ht="14.25" x14ac:dyDescent="0.45">
      <c r="A8" s="5">
        <v>2477</v>
      </c>
      <c r="B8" s="20" t="s">
        <v>15</v>
      </c>
      <c r="C8" s="5" t="str">
        <f t="shared" si="0"/>
        <v>2477 Albion Farm Way, Duluth, GA 30097</v>
      </c>
      <c r="D8" s="5">
        <v>2</v>
      </c>
      <c r="E8" s="5">
        <v>1</v>
      </c>
      <c r="F8" s="6">
        <v>0.26</v>
      </c>
      <c r="G8" s="7">
        <v>936</v>
      </c>
      <c r="H8" s="9">
        <v>42258</v>
      </c>
      <c r="I8" s="10">
        <v>148000</v>
      </c>
      <c r="J8" s="8">
        <v>132200</v>
      </c>
      <c r="K8" s="17">
        <v>104000</v>
      </c>
      <c r="L8" s="18">
        <v>28000</v>
      </c>
      <c r="M8" s="8">
        <v>143800</v>
      </c>
      <c r="N8" s="17">
        <v>113800</v>
      </c>
      <c r="O8" s="18">
        <v>30000</v>
      </c>
      <c r="P8" s="8">
        <v>163000</v>
      </c>
      <c r="Q8" s="17">
        <v>133000</v>
      </c>
      <c r="R8" s="18">
        <v>30000</v>
      </c>
      <c r="S8" s="69">
        <v>179100</v>
      </c>
      <c r="T8" s="17">
        <f t="shared" si="1"/>
        <v>149100</v>
      </c>
      <c r="U8" s="18">
        <v>30000</v>
      </c>
    </row>
    <row r="9" spans="1:22" ht="14.25" x14ac:dyDescent="0.45">
      <c r="A9" s="5">
        <v>2482</v>
      </c>
      <c r="B9" s="20" t="s">
        <v>15</v>
      </c>
      <c r="C9" s="5" t="str">
        <f t="shared" si="0"/>
        <v>2482 Albion Farm Way, Duluth, GA 30097</v>
      </c>
      <c r="D9" s="5">
        <v>2</v>
      </c>
      <c r="E9" s="5">
        <v>2</v>
      </c>
      <c r="F9" s="6">
        <v>0.17</v>
      </c>
      <c r="G9" s="7">
        <v>870</v>
      </c>
      <c r="H9" s="9">
        <v>42150</v>
      </c>
      <c r="I9" s="10">
        <v>141000</v>
      </c>
      <c r="J9" s="8">
        <v>123500</v>
      </c>
      <c r="K9" s="17">
        <v>95500</v>
      </c>
      <c r="L9" s="18">
        <v>28000</v>
      </c>
      <c r="M9" s="8">
        <v>134300</v>
      </c>
      <c r="N9" s="17">
        <v>104300</v>
      </c>
      <c r="O9" s="18">
        <v>30000</v>
      </c>
      <c r="P9" s="8">
        <v>151900</v>
      </c>
      <c r="Q9" s="17">
        <v>121900</v>
      </c>
      <c r="R9" s="18">
        <v>30000</v>
      </c>
      <c r="S9" s="69">
        <v>167900</v>
      </c>
      <c r="T9" s="17">
        <f t="shared" si="1"/>
        <v>137900</v>
      </c>
      <c r="U9" s="18">
        <v>30000</v>
      </c>
    </row>
    <row r="10" spans="1:22" ht="14.25" x14ac:dyDescent="0.45">
      <c r="A10" s="5">
        <v>2487</v>
      </c>
      <c r="B10" s="20" t="s">
        <v>15</v>
      </c>
      <c r="C10" s="5" t="str">
        <f t="shared" si="0"/>
        <v>2487 Albion Farm Way, Duluth, GA 30097</v>
      </c>
      <c r="D10" s="5">
        <v>2</v>
      </c>
      <c r="E10" s="5">
        <v>1</v>
      </c>
      <c r="F10" s="6">
        <v>0.18</v>
      </c>
      <c r="G10" s="7">
        <v>912</v>
      </c>
      <c r="H10" s="9">
        <v>42145</v>
      </c>
      <c r="I10" s="10">
        <v>127000</v>
      </c>
      <c r="J10" s="8">
        <v>127000</v>
      </c>
      <c r="K10" s="17">
        <v>99000</v>
      </c>
      <c r="L10" s="18">
        <v>28000</v>
      </c>
      <c r="M10" s="8">
        <v>139600</v>
      </c>
      <c r="N10" s="17">
        <v>109600</v>
      </c>
      <c r="O10" s="18">
        <v>30000</v>
      </c>
      <c r="P10" s="8">
        <v>158100</v>
      </c>
      <c r="Q10" s="17">
        <v>128100</v>
      </c>
      <c r="R10" s="18">
        <v>30000</v>
      </c>
      <c r="S10" s="69">
        <v>173900</v>
      </c>
      <c r="T10" s="17">
        <f t="shared" si="1"/>
        <v>143900</v>
      </c>
      <c r="U10" s="18">
        <v>30000</v>
      </c>
    </row>
    <row r="11" spans="1:22" ht="14.25" x14ac:dyDescent="0.45">
      <c r="A11" s="5">
        <v>2492</v>
      </c>
      <c r="B11" s="20" t="s">
        <v>15</v>
      </c>
      <c r="C11" s="5" t="str">
        <f t="shared" si="0"/>
        <v>2492 Albion Farm Way, Duluth, GA 30097</v>
      </c>
      <c r="D11" s="5">
        <v>3</v>
      </c>
      <c r="E11" s="5">
        <v>2</v>
      </c>
      <c r="F11" s="6">
        <v>0.11</v>
      </c>
      <c r="G11" s="7">
        <v>1008</v>
      </c>
      <c r="H11" s="9">
        <v>38083</v>
      </c>
      <c r="I11" s="10">
        <v>127625</v>
      </c>
      <c r="J11" s="8">
        <v>127500</v>
      </c>
      <c r="K11" s="17">
        <v>99500</v>
      </c>
      <c r="L11" s="18">
        <v>28000</v>
      </c>
      <c r="M11" s="8">
        <v>138600</v>
      </c>
      <c r="N11" s="17">
        <v>108600</v>
      </c>
      <c r="O11" s="18">
        <v>30000</v>
      </c>
      <c r="P11" s="8">
        <v>156900</v>
      </c>
      <c r="Q11" s="17">
        <v>126900</v>
      </c>
      <c r="R11" s="18">
        <v>30000</v>
      </c>
      <c r="S11" s="69">
        <v>171400</v>
      </c>
      <c r="T11" s="17">
        <f t="shared" si="1"/>
        <v>141400</v>
      </c>
      <c r="U11" s="18">
        <v>30000</v>
      </c>
    </row>
    <row r="12" spans="1:22" ht="14.25" x14ac:dyDescent="0.45">
      <c r="A12" s="5">
        <v>2497</v>
      </c>
      <c r="B12" s="20" t="s">
        <v>15</v>
      </c>
      <c r="C12" s="5" t="str">
        <f t="shared" si="0"/>
        <v>2497 Albion Farm Way, Duluth, GA 30097</v>
      </c>
      <c r="D12" s="5">
        <v>3</v>
      </c>
      <c r="E12" s="5">
        <v>1</v>
      </c>
      <c r="F12" s="6">
        <v>0.12</v>
      </c>
      <c r="G12" s="7">
        <v>1332</v>
      </c>
      <c r="H12" s="9">
        <v>42160</v>
      </c>
      <c r="I12" s="10">
        <v>153000</v>
      </c>
      <c r="J12" s="8">
        <v>153000</v>
      </c>
      <c r="K12" s="17">
        <v>125000</v>
      </c>
      <c r="L12" s="18">
        <v>28000</v>
      </c>
      <c r="M12" s="8">
        <v>171900</v>
      </c>
      <c r="N12" s="17">
        <v>141900</v>
      </c>
      <c r="O12" s="18">
        <v>30000</v>
      </c>
      <c r="P12" s="8">
        <v>195800</v>
      </c>
      <c r="Q12" s="17">
        <v>165800</v>
      </c>
      <c r="R12" s="18">
        <v>30000</v>
      </c>
      <c r="S12" s="69">
        <v>210300</v>
      </c>
      <c r="T12" s="17">
        <f t="shared" si="1"/>
        <v>180300</v>
      </c>
      <c r="U12" s="18">
        <v>30000</v>
      </c>
    </row>
    <row r="13" spans="1:22" ht="14.25" x14ac:dyDescent="0.45">
      <c r="A13" s="5">
        <v>2507</v>
      </c>
      <c r="B13" s="20" t="s">
        <v>15</v>
      </c>
      <c r="C13" s="5" t="str">
        <f t="shared" si="0"/>
        <v>2507 Albion Farm Way, Duluth, GA 30097</v>
      </c>
      <c r="D13" s="5">
        <v>2</v>
      </c>
      <c r="E13" s="5">
        <v>2</v>
      </c>
      <c r="F13" s="6">
        <v>0.1</v>
      </c>
      <c r="G13" s="7">
        <v>1104</v>
      </c>
      <c r="H13" s="9">
        <v>38713</v>
      </c>
      <c r="I13" s="10">
        <v>142000</v>
      </c>
      <c r="J13" s="8">
        <v>134800</v>
      </c>
      <c r="K13" s="17">
        <v>106800</v>
      </c>
      <c r="L13" s="18">
        <v>28000</v>
      </c>
      <c r="M13" s="8">
        <v>146600</v>
      </c>
      <c r="N13" s="17">
        <v>116600</v>
      </c>
      <c r="O13" s="18">
        <v>30000</v>
      </c>
      <c r="P13" s="8">
        <v>166200</v>
      </c>
      <c r="Q13" s="17">
        <v>136200</v>
      </c>
      <c r="R13" s="18">
        <v>30000</v>
      </c>
      <c r="S13" s="69">
        <v>185800</v>
      </c>
      <c r="T13" s="17">
        <f t="shared" si="1"/>
        <v>155800</v>
      </c>
      <c r="U13" s="18">
        <v>30000</v>
      </c>
    </row>
    <row r="14" spans="1:22" ht="14.25" x14ac:dyDescent="0.45">
      <c r="A14" s="5">
        <v>2512</v>
      </c>
      <c r="B14" s="20" t="s">
        <v>15</v>
      </c>
      <c r="C14" s="5" t="str">
        <f t="shared" si="0"/>
        <v>2512 Albion Farm Way, Duluth, GA 30097</v>
      </c>
      <c r="D14" s="5">
        <v>2</v>
      </c>
      <c r="E14" s="5">
        <v>1</v>
      </c>
      <c r="F14" s="6">
        <v>0.1</v>
      </c>
      <c r="G14" s="7">
        <v>1110</v>
      </c>
      <c r="H14" s="9">
        <v>37078</v>
      </c>
      <c r="I14" s="10">
        <v>127500</v>
      </c>
      <c r="J14" s="8">
        <v>132700</v>
      </c>
      <c r="K14" s="17">
        <v>104700</v>
      </c>
      <c r="L14" s="18">
        <v>28000</v>
      </c>
      <c r="M14" s="8">
        <v>144300</v>
      </c>
      <c r="N14" s="17">
        <v>114300</v>
      </c>
      <c r="O14" s="18">
        <v>30000</v>
      </c>
      <c r="P14" s="8">
        <v>163500</v>
      </c>
      <c r="Q14" s="17">
        <v>133500</v>
      </c>
      <c r="R14" s="18">
        <v>30000</v>
      </c>
      <c r="S14" s="69">
        <v>181900</v>
      </c>
      <c r="T14" s="17">
        <f t="shared" si="1"/>
        <v>151900</v>
      </c>
      <c r="U14" s="18">
        <v>30000</v>
      </c>
    </row>
    <row r="15" spans="1:22" ht="14.25" x14ac:dyDescent="0.45">
      <c r="A15" s="5">
        <v>2517</v>
      </c>
      <c r="B15" s="20" t="s">
        <v>15</v>
      </c>
      <c r="C15" s="5" t="str">
        <f t="shared" si="0"/>
        <v>2517 Albion Farm Way, Duluth, GA 30097</v>
      </c>
      <c r="D15" s="5">
        <v>3</v>
      </c>
      <c r="E15" s="5">
        <v>2.5</v>
      </c>
      <c r="F15" s="6">
        <v>0.12</v>
      </c>
      <c r="G15" s="7">
        <v>1244</v>
      </c>
      <c r="H15" s="9">
        <v>35877</v>
      </c>
      <c r="I15" s="10">
        <v>106000</v>
      </c>
      <c r="J15" s="8">
        <v>142000</v>
      </c>
      <c r="K15" s="17">
        <v>114000</v>
      </c>
      <c r="L15" s="18">
        <v>28000</v>
      </c>
      <c r="M15" s="8">
        <v>169200</v>
      </c>
      <c r="N15" s="17">
        <v>139200</v>
      </c>
      <c r="O15" s="18">
        <v>30000</v>
      </c>
      <c r="P15" s="8">
        <v>169200</v>
      </c>
      <c r="Q15" s="17">
        <v>139200</v>
      </c>
      <c r="R15" s="18">
        <v>30000</v>
      </c>
      <c r="S15" s="69">
        <v>169200</v>
      </c>
      <c r="T15" s="17">
        <f t="shared" si="1"/>
        <v>139200</v>
      </c>
      <c r="U15" s="18">
        <v>30000</v>
      </c>
    </row>
    <row r="16" spans="1:22" ht="14.25" x14ac:dyDescent="0.45">
      <c r="A16" s="5">
        <v>2522</v>
      </c>
      <c r="B16" s="20" t="s">
        <v>15</v>
      </c>
      <c r="C16" s="5" t="str">
        <f t="shared" si="0"/>
        <v>2522 Albion Farm Way, Duluth, GA 30097</v>
      </c>
      <c r="D16" s="5">
        <v>3</v>
      </c>
      <c r="E16" s="5">
        <v>2.5</v>
      </c>
      <c r="F16" s="6">
        <v>0.1</v>
      </c>
      <c r="G16" s="7">
        <v>1108</v>
      </c>
      <c r="H16" s="9">
        <v>37011</v>
      </c>
      <c r="I16" s="10">
        <v>128500</v>
      </c>
      <c r="J16" s="8">
        <v>147400</v>
      </c>
      <c r="K16" s="17">
        <v>119400</v>
      </c>
      <c r="L16" s="18">
        <v>28000</v>
      </c>
      <c r="M16" s="8">
        <v>160400</v>
      </c>
      <c r="N16" s="17">
        <v>130400</v>
      </c>
      <c r="O16" s="18">
        <v>30000</v>
      </c>
      <c r="P16" s="8">
        <v>182300</v>
      </c>
      <c r="Q16" s="17">
        <v>152300</v>
      </c>
      <c r="R16" s="18">
        <v>30000</v>
      </c>
      <c r="S16" s="69">
        <v>198200</v>
      </c>
      <c r="T16" s="17">
        <f t="shared" si="1"/>
        <v>168200</v>
      </c>
      <c r="U16" s="18">
        <v>30000</v>
      </c>
    </row>
    <row r="17" spans="1:21" ht="14.25" x14ac:dyDescent="0.45">
      <c r="A17" s="5">
        <v>2527</v>
      </c>
      <c r="B17" s="20" t="s">
        <v>15</v>
      </c>
      <c r="C17" s="5" t="str">
        <f t="shared" si="0"/>
        <v>2527 Albion Farm Way, Duluth, GA 30097</v>
      </c>
      <c r="D17" s="5">
        <v>3</v>
      </c>
      <c r="E17" s="5">
        <v>2</v>
      </c>
      <c r="F17" s="6">
        <v>0.12</v>
      </c>
      <c r="G17" s="7">
        <v>1338</v>
      </c>
      <c r="H17" s="9">
        <v>37894</v>
      </c>
      <c r="I17" s="10">
        <v>145000</v>
      </c>
      <c r="J17" s="8">
        <v>156800</v>
      </c>
      <c r="K17" s="17">
        <v>128800</v>
      </c>
      <c r="L17" s="18">
        <v>28000</v>
      </c>
      <c r="M17" s="8">
        <v>170700</v>
      </c>
      <c r="N17" s="17">
        <v>140700</v>
      </c>
      <c r="O17" s="18">
        <v>30000</v>
      </c>
      <c r="P17" s="8">
        <v>194400</v>
      </c>
      <c r="Q17" s="17">
        <v>164400</v>
      </c>
      <c r="R17" s="18">
        <v>30000</v>
      </c>
      <c r="S17" s="69">
        <v>215900</v>
      </c>
      <c r="T17" s="17">
        <f t="shared" si="1"/>
        <v>185900</v>
      </c>
      <c r="U17" s="18">
        <v>30000</v>
      </c>
    </row>
    <row r="18" spans="1:21" ht="14.25" x14ac:dyDescent="0.45">
      <c r="A18" s="5">
        <v>2532</v>
      </c>
      <c r="B18" s="20" t="s">
        <v>15</v>
      </c>
      <c r="C18" s="5" t="str">
        <f t="shared" si="0"/>
        <v>2532 Albion Farm Way, Duluth, GA 30097</v>
      </c>
      <c r="D18" s="5">
        <v>2</v>
      </c>
      <c r="E18" s="5">
        <v>1</v>
      </c>
      <c r="F18" s="6">
        <v>0.1</v>
      </c>
      <c r="G18" s="7">
        <v>894</v>
      </c>
      <c r="H18" s="9">
        <v>40121</v>
      </c>
      <c r="I18" s="10">
        <v>129000</v>
      </c>
      <c r="J18" s="8">
        <v>127500</v>
      </c>
      <c r="K18" s="17">
        <v>99500</v>
      </c>
      <c r="L18" s="18">
        <v>28000</v>
      </c>
      <c r="M18" s="8">
        <v>138600</v>
      </c>
      <c r="N18" s="17">
        <v>108600</v>
      </c>
      <c r="O18" s="18">
        <v>30000</v>
      </c>
      <c r="P18" s="8">
        <v>156900</v>
      </c>
      <c r="Q18" s="17">
        <v>126900</v>
      </c>
      <c r="R18" s="18">
        <v>30000</v>
      </c>
      <c r="S18" s="69">
        <v>172500</v>
      </c>
      <c r="T18" s="17">
        <f t="shared" si="1"/>
        <v>142500</v>
      </c>
      <c r="U18" s="18">
        <v>30000</v>
      </c>
    </row>
    <row r="19" spans="1:21" ht="14.25" x14ac:dyDescent="0.45">
      <c r="A19" s="5">
        <v>2537</v>
      </c>
      <c r="B19" s="20" t="s">
        <v>15</v>
      </c>
      <c r="C19" s="5" t="str">
        <f t="shared" si="0"/>
        <v>2537 Albion Farm Way, Duluth, GA 30097</v>
      </c>
      <c r="D19" s="5">
        <v>3</v>
      </c>
      <c r="E19" s="5">
        <v>2</v>
      </c>
      <c r="F19" s="6">
        <v>0.12</v>
      </c>
      <c r="G19" s="7">
        <v>1076</v>
      </c>
      <c r="H19" s="9">
        <v>41821</v>
      </c>
      <c r="I19" s="10">
        <v>125000</v>
      </c>
      <c r="J19" s="8">
        <v>137700</v>
      </c>
      <c r="K19" s="17">
        <v>109700</v>
      </c>
      <c r="L19" s="18">
        <v>28000</v>
      </c>
      <c r="M19" s="8">
        <v>149800</v>
      </c>
      <c r="N19" s="17">
        <v>119800</v>
      </c>
      <c r="O19" s="18">
        <v>30000</v>
      </c>
      <c r="P19" s="8">
        <v>169900</v>
      </c>
      <c r="Q19" s="17">
        <v>139900</v>
      </c>
      <c r="R19" s="18">
        <v>30000</v>
      </c>
      <c r="S19" s="69">
        <v>183900</v>
      </c>
      <c r="T19" s="17">
        <f t="shared" si="1"/>
        <v>153900</v>
      </c>
      <c r="U19" s="18">
        <v>30000</v>
      </c>
    </row>
    <row r="20" spans="1:21" ht="14.25" x14ac:dyDescent="0.45">
      <c r="A20" s="5">
        <v>2542</v>
      </c>
      <c r="B20" s="20" t="s">
        <v>15</v>
      </c>
      <c r="C20" s="5" t="str">
        <f t="shared" si="0"/>
        <v>2542 Albion Farm Way, Duluth, GA 30097</v>
      </c>
      <c r="D20" s="5">
        <v>3</v>
      </c>
      <c r="E20" s="5">
        <v>1</v>
      </c>
      <c r="F20" s="6">
        <v>0.1</v>
      </c>
      <c r="G20" s="7">
        <v>1332</v>
      </c>
      <c r="H20" s="9">
        <v>38692</v>
      </c>
      <c r="I20" s="10">
        <v>151000</v>
      </c>
      <c r="J20" s="8">
        <v>160400</v>
      </c>
      <c r="K20" s="17">
        <v>132400</v>
      </c>
      <c r="L20" s="18">
        <v>28000</v>
      </c>
      <c r="M20" s="8">
        <v>174500</v>
      </c>
      <c r="N20" s="17">
        <v>144500</v>
      </c>
      <c r="O20" s="18">
        <v>30000</v>
      </c>
      <c r="P20" s="8">
        <v>198900</v>
      </c>
      <c r="Q20" s="17">
        <v>168900</v>
      </c>
      <c r="R20" s="18">
        <v>30000</v>
      </c>
      <c r="S20" s="69">
        <v>214500</v>
      </c>
      <c r="T20" s="17">
        <f t="shared" si="1"/>
        <v>184500</v>
      </c>
      <c r="U20" s="18">
        <v>30000</v>
      </c>
    </row>
    <row r="21" spans="1:21" ht="14.25" x14ac:dyDescent="0.45">
      <c r="A21" s="5">
        <v>2547</v>
      </c>
      <c r="B21" s="20" t="s">
        <v>15</v>
      </c>
      <c r="C21" s="5" t="str">
        <f t="shared" si="0"/>
        <v>2547 Albion Farm Way, Duluth, GA 30097</v>
      </c>
      <c r="D21" s="5">
        <v>2</v>
      </c>
      <c r="E21" s="5">
        <v>2</v>
      </c>
      <c r="F21" s="6">
        <v>0.12</v>
      </c>
      <c r="G21" s="7">
        <v>1108</v>
      </c>
      <c r="H21" s="9">
        <v>42713</v>
      </c>
      <c r="I21" s="10">
        <v>159000</v>
      </c>
      <c r="J21" s="8">
        <v>126200</v>
      </c>
      <c r="K21" s="17">
        <v>98200</v>
      </c>
      <c r="L21" s="18">
        <v>28000</v>
      </c>
      <c r="M21" s="8">
        <v>156700</v>
      </c>
      <c r="N21" s="17">
        <v>126700</v>
      </c>
      <c r="O21" s="18">
        <v>30000</v>
      </c>
      <c r="P21" s="8">
        <v>178100</v>
      </c>
      <c r="Q21" s="17">
        <v>148100</v>
      </c>
      <c r="R21" s="18">
        <v>30000</v>
      </c>
      <c r="S21" s="69">
        <v>200900</v>
      </c>
      <c r="T21" s="17">
        <f t="shared" si="1"/>
        <v>170900</v>
      </c>
      <c r="U21" s="18">
        <v>30000</v>
      </c>
    </row>
    <row r="22" spans="1:21" ht="14.25" x14ac:dyDescent="0.45">
      <c r="A22" s="5">
        <v>2552</v>
      </c>
      <c r="B22" s="20" t="s">
        <v>15</v>
      </c>
      <c r="C22" s="5" t="str">
        <f t="shared" si="0"/>
        <v>2552 Albion Farm Way, Duluth, GA 30097</v>
      </c>
      <c r="D22" s="5">
        <v>3</v>
      </c>
      <c r="E22" s="5">
        <v>2</v>
      </c>
      <c r="F22" s="6">
        <v>0.1</v>
      </c>
      <c r="G22" s="7">
        <v>1356</v>
      </c>
      <c r="H22" s="9">
        <v>42214</v>
      </c>
      <c r="I22" s="10">
        <v>150000</v>
      </c>
      <c r="J22" s="8">
        <v>150000</v>
      </c>
      <c r="K22" s="17">
        <v>122000</v>
      </c>
      <c r="L22" s="18">
        <v>28000</v>
      </c>
      <c r="M22" s="8">
        <v>181100</v>
      </c>
      <c r="N22" s="17">
        <v>151100</v>
      </c>
      <c r="O22" s="18">
        <v>30000</v>
      </c>
      <c r="P22" s="8">
        <v>206600</v>
      </c>
      <c r="Q22" s="17">
        <v>176600</v>
      </c>
      <c r="R22" s="18">
        <v>30000</v>
      </c>
      <c r="S22" s="69">
        <v>224700</v>
      </c>
      <c r="T22" s="17">
        <f t="shared" si="1"/>
        <v>194700</v>
      </c>
      <c r="U22" s="18">
        <v>30000</v>
      </c>
    </row>
    <row r="23" spans="1:21" ht="14.25" x14ac:dyDescent="0.45">
      <c r="A23" s="5">
        <v>2557</v>
      </c>
      <c r="B23" s="20" t="s">
        <v>15</v>
      </c>
      <c r="C23" s="5" t="str">
        <f t="shared" si="0"/>
        <v>2557 Albion Farm Way, Duluth, GA 30097</v>
      </c>
      <c r="D23" s="5">
        <v>3</v>
      </c>
      <c r="E23" s="5">
        <v>2</v>
      </c>
      <c r="F23" s="6">
        <v>0.12</v>
      </c>
      <c r="G23" s="7">
        <v>868</v>
      </c>
      <c r="H23" s="9">
        <v>38799</v>
      </c>
      <c r="I23" s="10">
        <v>130000</v>
      </c>
      <c r="J23" s="8">
        <v>121900</v>
      </c>
      <c r="K23" s="17">
        <v>93900</v>
      </c>
      <c r="L23" s="18">
        <v>28000</v>
      </c>
      <c r="M23" s="8">
        <v>132500</v>
      </c>
      <c r="N23" s="17">
        <v>102500</v>
      </c>
      <c r="O23" s="18">
        <v>30000</v>
      </c>
      <c r="P23" s="8">
        <v>149800</v>
      </c>
      <c r="Q23" s="17">
        <v>119800</v>
      </c>
      <c r="R23" s="18">
        <v>30000</v>
      </c>
      <c r="S23" s="69">
        <v>165200</v>
      </c>
      <c r="T23" s="17">
        <f t="shared" si="1"/>
        <v>135200</v>
      </c>
      <c r="U23" s="18">
        <v>30000</v>
      </c>
    </row>
    <row r="24" spans="1:21" ht="15.75" customHeight="1" x14ac:dyDescent="0.45">
      <c r="A24" s="5">
        <v>2562</v>
      </c>
      <c r="B24" s="20" t="s">
        <v>15</v>
      </c>
      <c r="C24" s="5" t="str">
        <f t="shared" si="0"/>
        <v>2562 Albion Farm Way, Duluth, GA 30097</v>
      </c>
      <c r="D24" s="5">
        <v>2</v>
      </c>
      <c r="E24" s="5">
        <v>1</v>
      </c>
      <c r="F24" s="6">
        <v>0.11</v>
      </c>
      <c r="G24" s="7">
        <v>894</v>
      </c>
      <c r="H24" s="9">
        <v>34593</v>
      </c>
      <c r="I24" s="10">
        <v>80300</v>
      </c>
      <c r="J24" s="8">
        <v>127300</v>
      </c>
      <c r="K24" s="17">
        <v>99300</v>
      </c>
      <c r="L24" s="18">
        <v>28000</v>
      </c>
      <c r="M24" s="8">
        <v>138400</v>
      </c>
      <c r="N24" s="17">
        <v>108400</v>
      </c>
      <c r="O24" s="18">
        <v>30000</v>
      </c>
      <c r="P24" s="8">
        <v>156700</v>
      </c>
      <c r="Q24" s="17">
        <v>126700</v>
      </c>
      <c r="R24" s="18">
        <v>30000</v>
      </c>
      <c r="S24" s="69">
        <v>172000</v>
      </c>
      <c r="T24" s="17">
        <f t="shared" si="1"/>
        <v>142000</v>
      </c>
      <c r="U24" s="18">
        <v>30000</v>
      </c>
    </row>
    <row r="25" spans="1:21" ht="15.75" customHeight="1" x14ac:dyDescent="0.45">
      <c r="A25" s="5">
        <v>2567</v>
      </c>
      <c r="B25" s="20" t="s">
        <v>15</v>
      </c>
      <c r="C25" s="5" t="str">
        <f t="shared" si="0"/>
        <v>2567 Albion Farm Way, Duluth, GA 30097</v>
      </c>
      <c r="D25" s="5">
        <v>2</v>
      </c>
      <c r="E25" s="5">
        <v>2</v>
      </c>
      <c r="F25" s="6">
        <v>0.12</v>
      </c>
      <c r="G25" s="7">
        <v>788</v>
      </c>
      <c r="H25" s="9">
        <v>42986</v>
      </c>
      <c r="I25" s="10">
        <v>143000</v>
      </c>
      <c r="J25" s="8">
        <v>108500</v>
      </c>
      <c r="K25" s="17">
        <v>80500</v>
      </c>
      <c r="L25" s="18">
        <v>28000</v>
      </c>
      <c r="M25" s="8">
        <v>117800</v>
      </c>
      <c r="N25" s="17">
        <v>87800</v>
      </c>
      <c r="O25" s="18">
        <v>30000</v>
      </c>
      <c r="P25" s="8">
        <v>132600</v>
      </c>
      <c r="Q25" s="17">
        <v>102600</v>
      </c>
      <c r="R25" s="18">
        <v>30000</v>
      </c>
      <c r="S25" s="69">
        <v>145600</v>
      </c>
      <c r="T25" s="17">
        <f t="shared" si="1"/>
        <v>115600</v>
      </c>
      <c r="U25" s="18">
        <v>30000</v>
      </c>
    </row>
    <row r="26" spans="1:21" ht="15.75" customHeight="1" x14ac:dyDescent="0.45">
      <c r="A26" s="5">
        <v>2577</v>
      </c>
      <c r="B26" s="20" t="s">
        <v>15</v>
      </c>
      <c r="C26" s="5" t="str">
        <f t="shared" si="0"/>
        <v>2577 Albion Farm Way, Duluth, GA 30097</v>
      </c>
      <c r="D26" s="5">
        <v>0</v>
      </c>
      <c r="E26" s="5">
        <v>1</v>
      </c>
      <c r="F26" s="6">
        <v>0.14000000000000001</v>
      </c>
      <c r="G26" s="7">
        <v>1212</v>
      </c>
      <c r="H26" s="9">
        <v>41683</v>
      </c>
      <c r="I26" s="10">
        <v>129900</v>
      </c>
      <c r="J26" s="8">
        <v>152400</v>
      </c>
      <c r="K26" s="17">
        <v>124400</v>
      </c>
      <c r="L26" s="18">
        <v>28000</v>
      </c>
      <c r="M26" s="8">
        <v>165800</v>
      </c>
      <c r="N26" s="17">
        <v>135800</v>
      </c>
      <c r="O26" s="18">
        <v>30000</v>
      </c>
      <c r="P26" s="8">
        <v>188700</v>
      </c>
      <c r="Q26" s="17">
        <v>158700</v>
      </c>
      <c r="R26" s="18">
        <v>30000</v>
      </c>
      <c r="S26" s="69">
        <v>202800</v>
      </c>
      <c r="T26" s="17">
        <f t="shared" si="1"/>
        <v>172800</v>
      </c>
      <c r="U26" s="18">
        <v>30000</v>
      </c>
    </row>
    <row r="27" spans="1:21" ht="15.75" customHeight="1" x14ac:dyDescent="0.45">
      <c r="A27" s="5">
        <v>2582</v>
      </c>
      <c r="B27" s="20" t="s">
        <v>15</v>
      </c>
      <c r="C27" s="5" t="str">
        <f t="shared" si="0"/>
        <v>2582 Albion Farm Way, Duluth, GA 30097</v>
      </c>
      <c r="D27" s="5">
        <v>3</v>
      </c>
      <c r="E27" s="5">
        <v>2</v>
      </c>
      <c r="F27" s="6">
        <v>0.2</v>
      </c>
      <c r="G27" s="7">
        <v>1124</v>
      </c>
      <c r="H27" s="9">
        <v>42053</v>
      </c>
      <c r="I27" s="10">
        <v>145000</v>
      </c>
      <c r="J27" s="8">
        <v>141700</v>
      </c>
      <c r="K27" s="17">
        <v>113700</v>
      </c>
      <c r="L27" s="18">
        <v>28000</v>
      </c>
      <c r="M27" s="8">
        <v>154200</v>
      </c>
      <c r="N27" s="17">
        <v>124200</v>
      </c>
      <c r="O27" s="18">
        <v>30000</v>
      </c>
      <c r="P27" s="8">
        <v>175100</v>
      </c>
      <c r="Q27" s="17">
        <v>145100</v>
      </c>
      <c r="R27" s="18">
        <v>30000</v>
      </c>
      <c r="S27" s="69">
        <v>189500</v>
      </c>
      <c r="T27" s="17">
        <f t="shared" si="1"/>
        <v>159500</v>
      </c>
      <c r="U27" s="18">
        <v>30000</v>
      </c>
    </row>
    <row r="28" spans="1:21" ht="15.75" customHeight="1" x14ac:dyDescent="0.45">
      <c r="A28" s="5">
        <v>2587</v>
      </c>
      <c r="B28" s="20" t="s">
        <v>15</v>
      </c>
      <c r="C28" s="5" t="str">
        <f t="shared" si="0"/>
        <v>2587 Albion Farm Way, Duluth, GA 30097</v>
      </c>
      <c r="D28" s="5">
        <v>3</v>
      </c>
      <c r="E28" s="5">
        <v>2</v>
      </c>
      <c r="F28" s="6">
        <v>0.12</v>
      </c>
      <c r="G28" s="7">
        <v>1154</v>
      </c>
      <c r="H28" s="9">
        <v>36672</v>
      </c>
      <c r="I28" s="10">
        <v>117000</v>
      </c>
      <c r="J28" s="8">
        <v>147700</v>
      </c>
      <c r="K28" s="17">
        <v>119700</v>
      </c>
      <c r="L28" s="18">
        <v>28000</v>
      </c>
      <c r="M28" s="8">
        <v>160700</v>
      </c>
      <c r="N28" s="17">
        <v>130700</v>
      </c>
      <c r="O28" s="18">
        <v>30000</v>
      </c>
      <c r="P28" s="8">
        <v>182800</v>
      </c>
      <c r="Q28" s="17">
        <v>152800</v>
      </c>
      <c r="R28" s="18">
        <v>30000</v>
      </c>
      <c r="S28" s="69">
        <v>199800</v>
      </c>
      <c r="T28" s="17">
        <f t="shared" si="1"/>
        <v>169800</v>
      </c>
      <c r="U28" s="18">
        <v>30000</v>
      </c>
    </row>
    <row r="29" spans="1:21" ht="15.75" customHeight="1" x14ac:dyDescent="0.45">
      <c r="A29" s="5">
        <v>2597</v>
      </c>
      <c r="B29" s="20" t="s">
        <v>15</v>
      </c>
      <c r="C29" s="5" t="str">
        <f t="shared" si="0"/>
        <v>2597 Albion Farm Way, Duluth, GA 30097</v>
      </c>
      <c r="D29" s="5">
        <v>2</v>
      </c>
      <c r="E29" s="5">
        <v>2</v>
      </c>
      <c r="F29" s="6">
        <v>0.12</v>
      </c>
      <c r="G29" s="7">
        <v>1012</v>
      </c>
      <c r="H29" s="9">
        <v>39167</v>
      </c>
      <c r="I29" s="10">
        <v>134500</v>
      </c>
      <c r="J29" s="8">
        <v>121000</v>
      </c>
      <c r="K29" s="17">
        <v>93000</v>
      </c>
      <c r="L29" s="18">
        <v>28000</v>
      </c>
      <c r="M29" s="8">
        <v>131600</v>
      </c>
      <c r="N29" s="17">
        <v>101600</v>
      </c>
      <c r="O29" s="18">
        <v>30000</v>
      </c>
      <c r="P29" s="8">
        <v>148700</v>
      </c>
      <c r="Q29" s="17">
        <v>118700</v>
      </c>
      <c r="R29" s="18">
        <v>30000</v>
      </c>
      <c r="S29" s="69">
        <v>165500</v>
      </c>
      <c r="T29" s="17">
        <f t="shared" si="1"/>
        <v>135500</v>
      </c>
      <c r="U29" s="18">
        <v>30000</v>
      </c>
    </row>
    <row r="30" spans="1:21" ht="15.75" customHeight="1" x14ac:dyDescent="0.45">
      <c r="A30" s="5">
        <v>2607</v>
      </c>
      <c r="B30" s="20" t="s">
        <v>15</v>
      </c>
      <c r="C30" s="5" t="str">
        <f t="shared" si="0"/>
        <v>2607 Albion Farm Way, Duluth, GA 30097</v>
      </c>
      <c r="D30" s="5">
        <v>2</v>
      </c>
      <c r="E30" s="5">
        <v>2</v>
      </c>
      <c r="F30" s="6">
        <v>0.11</v>
      </c>
      <c r="G30" s="7">
        <v>868</v>
      </c>
      <c r="H30" s="9">
        <v>42892</v>
      </c>
      <c r="I30" s="10">
        <v>157500</v>
      </c>
      <c r="J30" s="8">
        <v>124300</v>
      </c>
      <c r="K30" s="17">
        <v>96300</v>
      </c>
      <c r="L30" s="18">
        <v>28000</v>
      </c>
      <c r="M30" s="8">
        <v>135100</v>
      </c>
      <c r="N30" s="17">
        <v>105100</v>
      </c>
      <c r="O30" s="18">
        <v>30000</v>
      </c>
      <c r="P30" s="8">
        <v>152800</v>
      </c>
      <c r="Q30" s="17">
        <v>122800</v>
      </c>
      <c r="R30" s="18">
        <v>30000</v>
      </c>
      <c r="S30" s="69">
        <v>168900</v>
      </c>
      <c r="T30" s="17">
        <f t="shared" si="1"/>
        <v>138900</v>
      </c>
      <c r="U30" s="18">
        <v>30000</v>
      </c>
    </row>
    <row r="31" spans="1:21" ht="15.75" customHeight="1" x14ac:dyDescent="0.45">
      <c r="A31" s="5">
        <v>2617</v>
      </c>
      <c r="B31" s="20" t="s">
        <v>15</v>
      </c>
      <c r="C31" s="5" t="str">
        <f t="shared" si="0"/>
        <v>2617 Albion Farm Way, Duluth, GA 30097</v>
      </c>
      <c r="D31" s="5">
        <v>3</v>
      </c>
      <c r="E31" s="5">
        <v>2</v>
      </c>
      <c r="F31" s="6">
        <v>0.12</v>
      </c>
      <c r="G31" s="7">
        <v>1004</v>
      </c>
      <c r="H31" s="9">
        <v>42459</v>
      </c>
      <c r="I31" s="10">
        <v>149250</v>
      </c>
      <c r="J31" s="8">
        <v>127500</v>
      </c>
      <c r="K31" s="17">
        <v>99500</v>
      </c>
      <c r="L31" s="18">
        <v>28000</v>
      </c>
      <c r="M31" s="8">
        <v>142700</v>
      </c>
      <c r="N31" s="17">
        <v>112700</v>
      </c>
      <c r="O31" s="18">
        <v>30000</v>
      </c>
      <c r="P31" s="8">
        <v>161700</v>
      </c>
      <c r="Q31" s="17">
        <v>131700</v>
      </c>
      <c r="R31" s="18">
        <v>30000</v>
      </c>
      <c r="S31" s="69">
        <v>178900</v>
      </c>
      <c r="T31" s="17">
        <f t="shared" si="1"/>
        <v>148900</v>
      </c>
      <c r="U31" s="18">
        <v>30000</v>
      </c>
    </row>
    <row r="32" spans="1:21" ht="14.25" x14ac:dyDescent="0.45">
      <c r="A32" s="5">
        <v>2627</v>
      </c>
      <c r="B32" s="20" t="s">
        <v>15</v>
      </c>
      <c r="C32" s="5" t="str">
        <f t="shared" si="0"/>
        <v>2627 Albion Farm Way, Duluth, GA 30097</v>
      </c>
      <c r="D32" s="5">
        <v>2</v>
      </c>
      <c r="E32" s="5">
        <v>2</v>
      </c>
      <c r="F32" s="6">
        <v>0.11</v>
      </c>
      <c r="G32" s="7">
        <v>1056</v>
      </c>
      <c r="H32" s="9">
        <v>42870</v>
      </c>
      <c r="I32" s="10">
        <v>162000</v>
      </c>
      <c r="J32" s="8">
        <v>136200</v>
      </c>
      <c r="K32" s="17">
        <v>108200</v>
      </c>
      <c r="L32" s="18">
        <v>28000</v>
      </c>
      <c r="M32" s="8">
        <v>148100</v>
      </c>
      <c r="N32" s="17">
        <v>118100</v>
      </c>
      <c r="O32" s="18">
        <v>30000</v>
      </c>
      <c r="P32" s="8">
        <v>162000</v>
      </c>
      <c r="Q32" s="17">
        <v>132000</v>
      </c>
      <c r="R32" s="18">
        <v>30000</v>
      </c>
      <c r="S32" s="69">
        <v>187600</v>
      </c>
      <c r="T32" s="17">
        <f t="shared" si="1"/>
        <v>157600</v>
      </c>
      <c r="U32" s="18">
        <v>30000</v>
      </c>
    </row>
    <row r="33" spans="1:21" ht="15.75" customHeight="1" x14ac:dyDescent="0.45">
      <c r="A33" s="5">
        <v>2637</v>
      </c>
      <c r="B33" s="20" t="s">
        <v>15</v>
      </c>
      <c r="C33" s="5" t="str">
        <f t="shared" si="0"/>
        <v>2637 Albion Farm Way, Duluth, GA 30097</v>
      </c>
      <c r="D33" s="5">
        <v>3</v>
      </c>
      <c r="E33" s="5">
        <v>2</v>
      </c>
      <c r="F33" s="6">
        <v>0.11</v>
      </c>
      <c r="G33" s="7">
        <v>1122</v>
      </c>
      <c r="H33" s="9">
        <v>43510</v>
      </c>
      <c r="I33" s="10">
        <v>210048</v>
      </c>
      <c r="J33" s="8">
        <v>144100</v>
      </c>
      <c r="K33" s="17">
        <v>116100</v>
      </c>
      <c r="L33" s="18">
        <v>28000</v>
      </c>
      <c r="M33" s="8">
        <v>147000</v>
      </c>
      <c r="N33" s="17">
        <v>117000</v>
      </c>
      <c r="O33" s="18">
        <v>30000</v>
      </c>
      <c r="P33" s="8">
        <v>178100</v>
      </c>
      <c r="Q33" s="17">
        <v>148100</v>
      </c>
      <c r="R33" s="18">
        <v>30000</v>
      </c>
      <c r="S33" s="69">
        <v>194100</v>
      </c>
      <c r="T33" s="17">
        <f t="shared" si="1"/>
        <v>164100</v>
      </c>
      <c r="U33" s="18">
        <v>30000</v>
      </c>
    </row>
    <row r="34" spans="1:21" ht="15.75" customHeight="1" x14ac:dyDescent="0.45">
      <c r="A34" s="5">
        <v>2647</v>
      </c>
      <c r="B34" s="20" t="s">
        <v>15</v>
      </c>
      <c r="C34" s="5" t="str">
        <f t="shared" si="0"/>
        <v>2647 Albion Farm Way, Duluth, GA 30097</v>
      </c>
      <c r="D34" s="5">
        <v>3</v>
      </c>
      <c r="E34" s="5">
        <v>2</v>
      </c>
      <c r="F34" s="6">
        <v>0.11</v>
      </c>
      <c r="G34" s="7">
        <v>1004</v>
      </c>
      <c r="H34" s="9">
        <v>34478</v>
      </c>
      <c r="I34" s="10">
        <v>83000</v>
      </c>
      <c r="J34" s="8">
        <v>121900</v>
      </c>
      <c r="K34" s="17">
        <v>93900</v>
      </c>
      <c r="L34" s="18">
        <v>28000</v>
      </c>
      <c r="M34" s="8">
        <v>132500</v>
      </c>
      <c r="N34" s="17">
        <v>102500</v>
      </c>
      <c r="O34" s="18">
        <v>30000</v>
      </c>
      <c r="P34" s="8">
        <v>149800</v>
      </c>
      <c r="Q34" s="17">
        <v>119800</v>
      </c>
      <c r="R34" s="18">
        <v>30000</v>
      </c>
      <c r="S34" s="69">
        <v>166200</v>
      </c>
      <c r="T34" s="17">
        <f t="shared" si="1"/>
        <v>136200</v>
      </c>
      <c r="U34" s="18">
        <v>30000</v>
      </c>
    </row>
    <row r="35" spans="1:21" ht="15.75" customHeight="1" x14ac:dyDescent="0.45">
      <c r="A35" s="5">
        <v>2657</v>
      </c>
      <c r="B35" s="20" t="s">
        <v>15</v>
      </c>
      <c r="C35" s="5" t="str">
        <f t="shared" si="0"/>
        <v>2657 Albion Farm Way, Duluth, GA 30097</v>
      </c>
      <c r="D35" s="5">
        <v>3</v>
      </c>
      <c r="E35" s="5">
        <v>2</v>
      </c>
      <c r="F35" s="6">
        <v>0.12</v>
      </c>
      <c r="G35" s="7">
        <v>1034</v>
      </c>
      <c r="H35" s="9">
        <v>34621</v>
      </c>
      <c r="I35" s="10">
        <v>84400</v>
      </c>
      <c r="J35" s="8">
        <v>132900</v>
      </c>
      <c r="K35" s="17">
        <v>104900</v>
      </c>
      <c r="L35" s="18">
        <v>28000</v>
      </c>
      <c r="M35" s="8">
        <v>144500</v>
      </c>
      <c r="N35" s="17">
        <v>114500</v>
      </c>
      <c r="O35" s="18">
        <v>30000</v>
      </c>
      <c r="P35" s="8">
        <v>163800</v>
      </c>
      <c r="Q35" s="17">
        <v>133800</v>
      </c>
      <c r="R35" s="18">
        <v>30000</v>
      </c>
      <c r="S35" s="69">
        <v>181200</v>
      </c>
      <c r="T35" s="17">
        <f t="shared" si="1"/>
        <v>151200</v>
      </c>
      <c r="U35" s="18">
        <v>30000</v>
      </c>
    </row>
    <row r="36" spans="1:21" ht="15.75" customHeight="1" x14ac:dyDescent="0.45">
      <c r="A36" s="5">
        <v>2667</v>
      </c>
      <c r="B36" s="20" t="s">
        <v>15</v>
      </c>
      <c r="C36" s="5" t="str">
        <f t="shared" si="0"/>
        <v>2667 Albion Farm Way, Duluth, GA 30097</v>
      </c>
      <c r="D36" s="5">
        <v>3</v>
      </c>
      <c r="E36" s="5">
        <v>2</v>
      </c>
      <c r="F36" s="6">
        <v>0.12</v>
      </c>
      <c r="G36" s="7">
        <v>892</v>
      </c>
      <c r="H36" s="9">
        <v>42822</v>
      </c>
      <c r="I36" s="10">
        <v>154000</v>
      </c>
      <c r="J36" s="8">
        <v>123000</v>
      </c>
      <c r="K36" s="17">
        <v>95000</v>
      </c>
      <c r="L36" s="18">
        <v>28000</v>
      </c>
      <c r="M36" s="8">
        <v>133700</v>
      </c>
      <c r="N36" s="17">
        <v>103700</v>
      </c>
      <c r="O36" s="18">
        <v>30000</v>
      </c>
      <c r="P36" s="8">
        <v>151200</v>
      </c>
      <c r="Q36" s="17">
        <v>121200</v>
      </c>
      <c r="R36" s="18">
        <v>30000</v>
      </c>
      <c r="S36" s="69">
        <v>166800</v>
      </c>
      <c r="T36" s="17">
        <f t="shared" si="1"/>
        <v>136800</v>
      </c>
      <c r="U36" s="18">
        <v>30000</v>
      </c>
    </row>
    <row r="37" spans="1:21" ht="15.75" customHeight="1" x14ac:dyDescent="0.45">
      <c r="A37" s="5">
        <v>2677</v>
      </c>
      <c r="B37" s="20" t="s">
        <v>15</v>
      </c>
      <c r="C37" s="5" t="str">
        <f t="shared" ref="C37:C68" si="2">CONCATENATE($A37," ",$B37,", Duluth, GA 30097")</f>
        <v>2677 Albion Farm Way, Duluth, GA 30097</v>
      </c>
      <c r="D37" s="5">
        <v>2</v>
      </c>
      <c r="E37" s="5">
        <v>1</v>
      </c>
      <c r="F37" s="6">
        <v>0.11</v>
      </c>
      <c r="G37" s="7">
        <v>876</v>
      </c>
      <c r="H37" s="9">
        <v>42608</v>
      </c>
      <c r="I37" s="10">
        <v>145000</v>
      </c>
      <c r="J37" s="8">
        <v>118800</v>
      </c>
      <c r="K37" s="17">
        <v>90800</v>
      </c>
      <c r="L37" s="18">
        <v>28000</v>
      </c>
      <c r="M37" s="8">
        <v>129200</v>
      </c>
      <c r="N37" s="17">
        <v>99200</v>
      </c>
      <c r="O37" s="18">
        <v>30000</v>
      </c>
      <c r="P37" s="8">
        <v>145900</v>
      </c>
      <c r="Q37" s="17">
        <v>115900</v>
      </c>
      <c r="R37" s="18">
        <v>30000</v>
      </c>
      <c r="S37" s="69">
        <v>159800</v>
      </c>
      <c r="T37" s="17">
        <f t="shared" ref="T37:T68" si="3">S37-U37</f>
        <v>129800</v>
      </c>
      <c r="U37" s="18">
        <v>30000</v>
      </c>
    </row>
    <row r="38" spans="1:21" ht="15.75" customHeight="1" x14ac:dyDescent="0.45">
      <c r="A38" s="5">
        <v>2687</v>
      </c>
      <c r="B38" s="20" t="s">
        <v>15</v>
      </c>
      <c r="C38" s="5" t="str">
        <f t="shared" si="2"/>
        <v>2687 Albion Farm Way, Duluth, GA 30097</v>
      </c>
      <c r="D38" s="5">
        <v>3</v>
      </c>
      <c r="E38" s="5">
        <v>2</v>
      </c>
      <c r="F38" s="6">
        <v>0.11</v>
      </c>
      <c r="G38" s="7">
        <v>1178</v>
      </c>
      <c r="H38" s="9">
        <v>41929</v>
      </c>
      <c r="I38" s="10">
        <v>136500</v>
      </c>
      <c r="J38" s="8">
        <v>153200</v>
      </c>
      <c r="K38" s="17">
        <v>125200</v>
      </c>
      <c r="L38" s="18">
        <v>28000</v>
      </c>
      <c r="M38" s="8">
        <v>166700</v>
      </c>
      <c r="N38" s="17">
        <v>136700</v>
      </c>
      <c r="O38" s="18">
        <v>30000</v>
      </c>
      <c r="P38" s="8">
        <v>189800</v>
      </c>
      <c r="Q38" s="17">
        <v>159800</v>
      </c>
      <c r="R38" s="18">
        <v>30000</v>
      </c>
      <c r="S38" s="69">
        <v>206100</v>
      </c>
      <c r="T38" s="17">
        <f t="shared" si="3"/>
        <v>176100</v>
      </c>
      <c r="U38" s="18">
        <v>30000</v>
      </c>
    </row>
    <row r="39" spans="1:21" ht="15.75" customHeight="1" x14ac:dyDescent="0.45">
      <c r="A39" s="5">
        <v>2697</v>
      </c>
      <c r="B39" s="20" t="s">
        <v>15</v>
      </c>
      <c r="C39" s="5" t="str">
        <f t="shared" si="2"/>
        <v>2697 Albion Farm Way, Duluth, GA 30097</v>
      </c>
      <c r="D39" s="5">
        <v>3</v>
      </c>
      <c r="E39" s="5">
        <v>2</v>
      </c>
      <c r="F39" s="6">
        <v>0.12</v>
      </c>
      <c r="G39" s="7">
        <v>1228</v>
      </c>
      <c r="H39" s="9">
        <v>34485</v>
      </c>
      <c r="I39" s="10">
        <v>98500</v>
      </c>
      <c r="J39" s="8">
        <v>157300</v>
      </c>
      <c r="K39" s="17">
        <v>129300</v>
      </c>
      <c r="L39" s="18">
        <v>28000</v>
      </c>
      <c r="M39" s="8">
        <v>171100</v>
      </c>
      <c r="N39" s="17">
        <v>141100</v>
      </c>
      <c r="O39" s="18">
        <v>30000</v>
      </c>
      <c r="P39" s="8">
        <v>194900</v>
      </c>
      <c r="Q39" s="17">
        <v>164900</v>
      </c>
      <c r="R39" s="18">
        <v>30000</v>
      </c>
      <c r="S39" s="69">
        <v>211600</v>
      </c>
      <c r="T39" s="17">
        <f t="shared" si="3"/>
        <v>181600</v>
      </c>
      <c r="U39" s="18">
        <v>30000</v>
      </c>
    </row>
    <row r="40" spans="1:21" ht="15.75" customHeight="1" x14ac:dyDescent="0.45">
      <c r="A40" s="5">
        <v>2707</v>
      </c>
      <c r="B40" s="20" t="s">
        <v>15</v>
      </c>
      <c r="C40" s="5" t="str">
        <f t="shared" si="2"/>
        <v>2707 Albion Farm Way, Duluth, GA 30097</v>
      </c>
      <c r="D40" s="5">
        <v>3</v>
      </c>
      <c r="E40" s="5">
        <v>2</v>
      </c>
      <c r="F40" s="6">
        <v>0.11</v>
      </c>
      <c r="G40" s="7">
        <v>861</v>
      </c>
      <c r="H40" s="9">
        <v>34502</v>
      </c>
      <c r="I40" s="10">
        <v>78400</v>
      </c>
      <c r="J40" s="8">
        <v>121200</v>
      </c>
      <c r="K40" s="17">
        <v>93200</v>
      </c>
      <c r="L40" s="18">
        <v>28000</v>
      </c>
      <c r="M40" s="8">
        <v>131800</v>
      </c>
      <c r="N40" s="17">
        <v>101800</v>
      </c>
      <c r="O40" s="18">
        <v>30000</v>
      </c>
      <c r="P40" s="8">
        <v>149000</v>
      </c>
      <c r="Q40" s="17">
        <v>119000</v>
      </c>
      <c r="R40" s="18">
        <v>30000</v>
      </c>
      <c r="S40" s="69">
        <v>164200</v>
      </c>
      <c r="T40" s="17">
        <f t="shared" si="3"/>
        <v>134200</v>
      </c>
      <c r="U40" s="18">
        <v>30000</v>
      </c>
    </row>
    <row r="41" spans="1:21" ht="15.75" customHeight="1" x14ac:dyDescent="0.45">
      <c r="A41" s="5">
        <v>2717</v>
      </c>
      <c r="B41" s="20" t="s">
        <v>15</v>
      </c>
      <c r="C41" s="5" t="str">
        <f t="shared" si="2"/>
        <v>2717 Albion Farm Way, Duluth, GA 30097</v>
      </c>
      <c r="D41" s="5">
        <v>3</v>
      </c>
      <c r="E41" s="5">
        <v>2.5</v>
      </c>
      <c r="F41" s="6">
        <v>0.11</v>
      </c>
      <c r="G41" s="7">
        <v>1298</v>
      </c>
      <c r="H41" s="9">
        <v>41843</v>
      </c>
      <c r="I41" s="10">
        <v>139800</v>
      </c>
      <c r="J41" s="8">
        <v>165300</v>
      </c>
      <c r="K41" s="17">
        <v>137300</v>
      </c>
      <c r="L41" s="18">
        <v>28000</v>
      </c>
      <c r="M41" s="8">
        <v>176500</v>
      </c>
      <c r="N41" s="17">
        <v>146500</v>
      </c>
      <c r="O41" s="18">
        <v>30000</v>
      </c>
      <c r="P41" s="8">
        <v>176500</v>
      </c>
      <c r="Q41" s="17">
        <v>146500</v>
      </c>
      <c r="R41" s="18">
        <v>30000</v>
      </c>
      <c r="S41" s="69">
        <v>176500</v>
      </c>
      <c r="T41" s="17">
        <f t="shared" si="3"/>
        <v>146500</v>
      </c>
      <c r="U41" s="18">
        <v>30000</v>
      </c>
    </row>
    <row r="42" spans="1:21" ht="15.75" customHeight="1" x14ac:dyDescent="0.45">
      <c r="A42" s="5">
        <v>2722</v>
      </c>
      <c r="B42" s="20" t="s">
        <v>15</v>
      </c>
      <c r="C42" s="5" t="str">
        <f t="shared" si="2"/>
        <v>2722 Albion Farm Way, Duluth, GA 30097</v>
      </c>
      <c r="D42" s="5">
        <v>2</v>
      </c>
      <c r="E42" s="5">
        <v>2</v>
      </c>
      <c r="F42" s="6">
        <v>0.09</v>
      </c>
      <c r="G42" s="7">
        <v>1135</v>
      </c>
      <c r="H42" s="9">
        <v>40112</v>
      </c>
      <c r="I42" s="10">
        <v>142000</v>
      </c>
      <c r="J42" s="8">
        <v>143800</v>
      </c>
      <c r="K42" s="17">
        <v>115800</v>
      </c>
      <c r="L42" s="18">
        <v>28000</v>
      </c>
      <c r="M42" s="8">
        <v>158100</v>
      </c>
      <c r="N42" s="17">
        <v>128100</v>
      </c>
      <c r="O42" s="18">
        <v>30000</v>
      </c>
      <c r="P42" s="8">
        <v>177800</v>
      </c>
      <c r="Q42" s="17">
        <v>147800</v>
      </c>
      <c r="R42" s="18">
        <v>30000</v>
      </c>
      <c r="S42" s="69">
        <v>197100</v>
      </c>
      <c r="T42" s="17">
        <f t="shared" si="3"/>
        <v>167100</v>
      </c>
      <c r="U42" s="18">
        <v>30000</v>
      </c>
    </row>
    <row r="43" spans="1:21" ht="15.75" customHeight="1" x14ac:dyDescent="0.45">
      <c r="A43" s="5">
        <v>2727</v>
      </c>
      <c r="B43" s="20" t="s">
        <v>15</v>
      </c>
      <c r="C43" s="5" t="str">
        <f t="shared" si="2"/>
        <v>2727 Albion Farm Way, Duluth, GA 30097</v>
      </c>
      <c r="D43" s="5">
        <v>2</v>
      </c>
      <c r="E43" s="5">
        <v>2</v>
      </c>
      <c r="F43" s="6">
        <v>0.11</v>
      </c>
      <c r="G43" s="7">
        <v>1014</v>
      </c>
      <c r="H43" s="9">
        <v>42915</v>
      </c>
      <c r="I43" s="10">
        <v>162000</v>
      </c>
      <c r="J43" s="8">
        <v>134000</v>
      </c>
      <c r="K43" s="17">
        <v>106000</v>
      </c>
      <c r="L43" s="18">
        <v>28000</v>
      </c>
      <c r="M43" s="8">
        <v>147200</v>
      </c>
      <c r="N43" s="17">
        <v>117200</v>
      </c>
      <c r="O43" s="18">
        <v>30000</v>
      </c>
      <c r="P43" s="8">
        <v>162000</v>
      </c>
      <c r="Q43" s="17">
        <v>132000</v>
      </c>
      <c r="R43" s="18">
        <v>30000</v>
      </c>
      <c r="S43" s="69">
        <v>182900</v>
      </c>
      <c r="T43" s="17">
        <f t="shared" si="3"/>
        <v>152900</v>
      </c>
      <c r="U43" s="18">
        <v>30000</v>
      </c>
    </row>
    <row r="44" spans="1:21" ht="15.75" customHeight="1" x14ac:dyDescent="0.45">
      <c r="A44" s="5">
        <v>2732</v>
      </c>
      <c r="B44" s="20" t="s">
        <v>15</v>
      </c>
      <c r="C44" s="5" t="str">
        <f t="shared" si="2"/>
        <v>2732 Albion Farm Way, Duluth, GA 30097</v>
      </c>
      <c r="D44" s="5">
        <v>3</v>
      </c>
      <c r="E44" s="5">
        <v>2.5</v>
      </c>
      <c r="F44" s="6">
        <v>0.1</v>
      </c>
      <c r="G44" s="7">
        <v>1298</v>
      </c>
      <c r="H44" s="9">
        <v>36061</v>
      </c>
      <c r="I44" s="10">
        <v>111000</v>
      </c>
      <c r="J44" s="8">
        <v>162700</v>
      </c>
      <c r="K44" s="17">
        <v>134700</v>
      </c>
      <c r="L44" s="18">
        <v>28000</v>
      </c>
      <c r="M44" s="8">
        <v>178900</v>
      </c>
      <c r="N44" s="17">
        <v>148900</v>
      </c>
      <c r="O44" s="18">
        <v>30000</v>
      </c>
      <c r="P44" s="8">
        <v>201800</v>
      </c>
      <c r="Q44" s="17">
        <v>171800</v>
      </c>
      <c r="R44" s="18">
        <v>30000</v>
      </c>
      <c r="S44" s="69">
        <v>217700</v>
      </c>
      <c r="T44" s="17">
        <f t="shared" si="3"/>
        <v>187700</v>
      </c>
      <c r="U44" s="18">
        <v>30000</v>
      </c>
    </row>
    <row r="45" spans="1:21" ht="15.75" customHeight="1" x14ac:dyDescent="0.45">
      <c r="A45" s="5">
        <v>2737</v>
      </c>
      <c r="B45" s="20" t="s">
        <v>15</v>
      </c>
      <c r="C45" s="5" t="str">
        <f t="shared" si="2"/>
        <v>2737 Albion Farm Way, Duluth, GA 30097</v>
      </c>
      <c r="D45" s="5">
        <v>3</v>
      </c>
      <c r="E45" s="5">
        <v>2</v>
      </c>
      <c r="F45" s="6">
        <v>0.11</v>
      </c>
      <c r="G45" s="7">
        <v>1014</v>
      </c>
      <c r="H45" s="9">
        <v>34211</v>
      </c>
      <c r="I45" s="10">
        <v>83300</v>
      </c>
      <c r="J45" s="8">
        <v>133500</v>
      </c>
      <c r="K45" s="17">
        <v>105500</v>
      </c>
      <c r="L45" s="18">
        <v>28000</v>
      </c>
      <c r="M45" s="8">
        <v>146600</v>
      </c>
      <c r="N45" s="17">
        <v>116600</v>
      </c>
      <c r="O45" s="18">
        <v>30000</v>
      </c>
      <c r="P45" s="8">
        <v>164500</v>
      </c>
      <c r="Q45" s="17">
        <v>134500</v>
      </c>
      <c r="R45" s="18">
        <v>30000</v>
      </c>
      <c r="S45" s="69">
        <v>178100</v>
      </c>
      <c r="T45" s="17">
        <f t="shared" si="3"/>
        <v>148100</v>
      </c>
      <c r="U45" s="18">
        <v>30000</v>
      </c>
    </row>
    <row r="46" spans="1:21" ht="15.75" customHeight="1" x14ac:dyDescent="0.45">
      <c r="A46" s="5">
        <v>2742</v>
      </c>
      <c r="B46" s="20" t="s">
        <v>15</v>
      </c>
      <c r="C46" s="5" t="str">
        <f t="shared" si="2"/>
        <v>2742 Albion Farm Way, Duluth, GA 30097</v>
      </c>
      <c r="D46" s="5">
        <v>3</v>
      </c>
      <c r="E46" s="5">
        <v>2</v>
      </c>
      <c r="F46" s="6">
        <v>0.14000000000000001</v>
      </c>
      <c r="G46" s="7">
        <v>1298</v>
      </c>
      <c r="H46" s="9">
        <v>42898</v>
      </c>
      <c r="I46" s="10">
        <v>169900</v>
      </c>
      <c r="J46" s="8">
        <v>160700</v>
      </c>
      <c r="K46" s="17">
        <v>132700</v>
      </c>
      <c r="L46" s="18">
        <v>28000</v>
      </c>
      <c r="M46" s="8">
        <v>176700</v>
      </c>
      <c r="N46" s="17">
        <v>146700</v>
      </c>
      <c r="O46" s="18">
        <v>30000</v>
      </c>
      <c r="P46" s="8">
        <v>169900</v>
      </c>
      <c r="Q46" s="17">
        <v>139900</v>
      </c>
      <c r="R46" s="18">
        <v>30000</v>
      </c>
      <c r="S46" s="69">
        <v>214300</v>
      </c>
      <c r="T46" s="17">
        <f t="shared" si="3"/>
        <v>184300</v>
      </c>
      <c r="U46" s="18">
        <v>30000</v>
      </c>
    </row>
    <row r="47" spans="1:21" ht="15.75" customHeight="1" x14ac:dyDescent="0.45">
      <c r="A47" s="5">
        <v>2747</v>
      </c>
      <c r="B47" s="20" t="s">
        <v>15</v>
      </c>
      <c r="C47" s="5" t="str">
        <f t="shared" si="2"/>
        <v>2747 Albion Farm Way, Duluth, GA 30097</v>
      </c>
      <c r="D47" s="5">
        <v>2</v>
      </c>
      <c r="E47" s="5">
        <v>2</v>
      </c>
      <c r="F47" s="6">
        <v>0.11</v>
      </c>
      <c r="G47" s="7">
        <v>1104</v>
      </c>
      <c r="H47" s="9">
        <v>38092</v>
      </c>
      <c r="I47" s="10">
        <v>130300</v>
      </c>
      <c r="J47" s="8">
        <v>134000</v>
      </c>
      <c r="K47" s="17">
        <v>117200</v>
      </c>
      <c r="L47" s="18">
        <v>28000</v>
      </c>
      <c r="M47" s="8">
        <v>147200</v>
      </c>
      <c r="N47" s="17">
        <v>117200</v>
      </c>
      <c r="O47" s="18">
        <v>30000</v>
      </c>
      <c r="P47" s="8">
        <v>165200</v>
      </c>
      <c r="Q47" s="17">
        <v>135200</v>
      </c>
      <c r="R47" s="18">
        <v>30000</v>
      </c>
      <c r="S47" s="69">
        <v>182900</v>
      </c>
      <c r="T47" s="17">
        <f t="shared" si="3"/>
        <v>152900</v>
      </c>
      <c r="U47" s="18">
        <v>30000</v>
      </c>
    </row>
    <row r="48" spans="1:21" ht="15.75" customHeight="1" x14ac:dyDescent="0.45">
      <c r="A48" s="5">
        <v>2757</v>
      </c>
      <c r="B48" s="20" t="s">
        <v>15</v>
      </c>
      <c r="C48" s="5" t="str">
        <f t="shared" si="2"/>
        <v>2757 Albion Farm Way, Duluth, GA 30097</v>
      </c>
      <c r="D48" s="5">
        <v>3</v>
      </c>
      <c r="E48" s="5">
        <v>2</v>
      </c>
      <c r="F48" s="6">
        <v>0.11</v>
      </c>
      <c r="G48" s="7">
        <v>1000</v>
      </c>
      <c r="H48" s="9">
        <v>37736</v>
      </c>
      <c r="I48" s="10">
        <v>122000</v>
      </c>
      <c r="J48" s="8">
        <v>131500</v>
      </c>
      <c r="K48" s="17">
        <v>103500</v>
      </c>
      <c r="L48" s="18">
        <v>28000</v>
      </c>
      <c r="M48" s="8">
        <v>144500</v>
      </c>
      <c r="N48" s="17">
        <v>114500</v>
      </c>
      <c r="O48" s="18">
        <v>30000</v>
      </c>
      <c r="P48" s="8">
        <v>162000</v>
      </c>
      <c r="Q48" s="17">
        <v>132000</v>
      </c>
      <c r="R48" s="18">
        <v>30000</v>
      </c>
      <c r="S48" s="69">
        <v>177400</v>
      </c>
      <c r="T48" s="17">
        <f t="shared" si="3"/>
        <v>147400</v>
      </c>
      <c r="U48" s="18">
        <v>30000</v>
      </c>
    </row>
    <row r="49" spans="1:21" ht="15.75" customHeight="1" x14ac:dyDescent="0.45">
      <c r="A49" s="5">
        <v>2767</v>
      </c>
      <c r="B49" s="20" t="s">
        <v>15</v>
      </c>
      <c r="C49" s="5" t="str">
        <f t="shared" si="2"/>
        <v>2767 Albion Farm Way, Duluth, GA 30097</v>
      </c>
      <c r="D49" s="5">
        <v>3</v>
      </c>
      <c r="E49" s="5">
        <v>2</v>
      </c>
      <c r="F49" s="6">
        <v>0.11</v>
      </c>
      <c r="G49" s="7">
        <v>1199</v>
      </c>
      <c r="H49" s="9">
        <v>38156</v>
      </c>
      <c r="I49" s="10">
        <v>135500</v>
      </c>
      <c r="J49" s="8">
        <v>141400</v>
      </c>
      <c r="K49" s="17">
        <v>113400</v>
      </c>
      <c r="L49" s="18">
        <v>28000</v>
      </c>
      <c r="M49" s="8">
        <v>155400</v>
      </c>
      <c r="N49" s="17">
        <v>125400</v>
      </c>
      <c r="O49" s="18">
        <v>30000</v>
      </c>
      <c r="P49" s="8">
        <v>174700</v>
      </c>
      <c r="Q49" s="17">
        <v>144700</v>
      </c>
      <c r="R49" s="18">
        <v>30000</v>
      </c>
      <c r="S49" s="69">
        <v>191000</v>
      </c>
      <c r="T49" s="17">
        <f t="shared" si="3"/>
        <v>161000</v>
      </c>
      <c r="U49" s="18">
        <v>30000</v>
      </c>
    </row>
    <row r="50" spans="1:21" ht="15.75" customHeight="1" x14ac:dyDescent="0.45">
      <c r="A50" s="5">
        <v>2777</v>
      </c>
      <c r="B50" s="20" t="s">
        <v>15</v>
      </c>
      <c r="C50" s="5" t="str">
        <f t="shared" si="2"/>
        <v>2777 Albion Farm Way, Duluth, GA 30097</v>
      </c>
      <c r="D50" s="5">
        <v>2</v>
      </c>
      <c r="E50" s="5">
        <v>2</v>
      </c>
      <c r="F50" s="6">
        <v>0.11</v>
      </c>
      <c r="G50" s="7">
        <v>912</v>
      </c>
      <c r="H50" s="9">
        <v>41551</v>
      </c>
      <c r="I50" s="10">
        <v>114500</v>
      </c>
      <c r="J50" s="8">
        <v>125600</v>
      </c>
      <c r="K50" s="17">
        <v>97600</v>
      </c>
      <c r="L50" s="18">
        <v>28000</v>
      </c>
      <c r="M50" s="8">
        <v>138000</v>
      </c>
      <c r="N50" s="17">
        <v>108000</v>
      </c>
      <c r="O50" s="18">
        <v>30000</v>
      </c>
      <c r="P50" s="8">
        <v>154600</v>
      </c>
      <c r="Q50" s="17">
        <v>124600</v>
      </c>
      <c r="R50" s="18">
        <v>30000</v>
      </c>
      <c r="S50" s="69">
        <v>169400</v>
      </c>
      <c r="T50" s="17">
        <f t="shared" si="3"/>
        <v>139400</v>
      </c>
      <c r="U50" s="18">
        <v>30000</v>
      </c>
    </row>
    <row r="51" spans="1:21" ht="15.75" customHeight="1" x14ac:dyDescent="0.45">
      <c r="A51" s="5">
        <v>2787</v>
      </c>
      <c r="B51" s="20" t="s">
        <v>15</v>
      </c>
      <c r="C51" s="5" t="str">
        <f t="shared" si="2"/>
        <v>2787 Albion Farm Way, Duluth, GA 30097</v>
      </c>
      <c r="D51" s="5">
        <v>3</v>
      </c>
      <c r="E51" s="5">
        <v>2</v>
      </c>
      <c r="F51" s="6">
        <v>0.11</v>
      </c>
      <c r="G51" s="7">
        <v>1298</v>
      </c>
      <c r="H51" s="9">
        <v>43217</v>
      </c>
      <c r="I51" s="10">
        <v>198000</v>
      </c>
      <c r="J51" s="8">
        <v>163500</v>
      </c>
      <c r="K51" s="17">
        <v>135500</v>
      </c>
      <c r="L51" s="18">
        <v>28000</v>
      </c>
      <c r="M51" s="8">
        <v>179800</v>
      </c>
      <c r="N51" s="17">
        <v>149800</v>
      </c>
      <c r="O51" s="18">
        <v>30000</v>
      </c>
      <c r="P51" s="8">
        <v>202800</v>
      </c>
      <c r="Q51" s="17">
        <v>172800</v>
      </c>
      <c r="R51" s="18">
        <v>30000</v>
      </c>
      <c r="S51" s="69">
        <v>198000</v>
      </c>
      <c r="T51" s="17">
        <f t="shared" si="3"/>
        <v>168000</v>
      </c>
      <c r="U51" s="18">
        <v>30000</v>
      </c>
    </row>
    <row r="52" spans="1:21" ht="15.75" customHeight="1" x14ac:dyDescent="0.45">
      <c r="A52" s="5">
        <v>2797</v>
      </c>
      <c r="B52" s="20" t="s">
        <v>15</v>
      </c>
      <c r="C52" s="5" t="str">
        <f t="shared" si="2"/>
        <v>2797 Albion Farm Way, Duluth, GA 30097</v>
      </c>
      <c r="D52" s="5">
        <v>3</v>
      </c>
      <c r="E52" s="5">
        <v>2</v>
      </c>
      <c r="F52" s="6">
        <v>0.12</v>
      </c>
      <c r="G52" s="7">
        <v>1014</v>
      </c>
      <c r="H52" s="9">
        <v>41856</v>
      </c>
      <c r="I52" s="10">
        <v>130000</v>
      </c>
      <c r="J52" s="8">
        <v>134900</v>
      </c>
      <c r="K52" s="17">
        <v>106900</v>
      </c>
      <c r="L52" s="18">
        <v>28000</v>
      </c>
      <c r="M52" s="8">
        <v>148200</v>
      </c>
      <c r="N52" s="17">
        <v>118200</v>
      </c>
      <c r="O52" s="18">
        <v>30000</v>
      </c>
      <c r="P52" s="8">
        <v>166400</v>
      </c>
      <c r="Q52" s="17">
        <v>136400</v>
      </c>
      <c r="R52" s="18">
        <v>30000</v>
      </c>
      <c r="S52" s="69">
        <v>180000</v>
      </c>
      <c r="T52" s="17">
        <f t="shared" si="3"/>
        <v>150000</v>
      </c>
      <c r="U52" s="18">
        <v>30000</v>
      </c>
    </row>
    <row r="53" spans="1:21" ht="15.75" customHeight="1" x14ac:dyDescent="0.45">
      <c r="A53" s="5">
        <v>2807</v>
      </c>
      <c r="B53" s="20" t="s">
        <v>15</v>
      </c>
      <c r="C53" s="5" t="str">
        <f t="shared" si="2"/>
        <v>2807 Albion Farm Way, Duluth, GA 30097</v>
      </c>
      <c r="D53" s="5">
        <v>3</v>
      </c>
      <c r="E53" s="5">
        <v>2</v>
      </c>
      <c r="F53" s="6">
        <v>0.13</v>
      </c>
      <c r="G53" s="7">
        <v>1006</v>
      </c>
      <c r="H53" s="9">
        <v>42867</v>
      </c>
      <c r="I53" s="10">
        <v>158000</v>
      </c>
      <c r="J53" s="8">
        <v>123400</v>
      </c>
      <c r="K53" s="17">
        <v>95400</v>
      </c>
      <c r="L53" s="18">
        <v>28000</v>
      </c>
      <c r="M53" s="8">
        <v>135000</v>
      </c>
      <c r="N53" s="17">
        <v>105000</v>
      </c>
      <c r="O53" s="18">
        <v>30000</v>
      </c>
      <c r="P53" s="8">
        <v>151700</v>
      </c>
      <c r="Q53" s="17">
        <v>121700</v>
      </c>
      <c r="R53" s="18">
        <v>30000</v>
      </c>
      <c r="S53" s="69">
        <v>166000</v>
      </c>
      <c r="T53" s="17">
        <f t="shared" si="3"/>
        <v>136000</v>
      </c>
      <c r="U53" s="18">
        <v>30000</v>
      </c>
    </row>
    <row r="54" spans="1:21" ht="15.75" customHeight="1" x14ac:dyDescent="0.45">
      <c r="A54" s="5">
        <v>2817</v>
      </c>
      <c r="B54" s="20" t="s">
        <v>15</v>
      </c>
      <c r="C54" s="5" t="str">
        <f t="shared" si="2"/>
        <v>2817 Albion Farm Way, Duluth, GA 30097</v>
      </c>
      <c r="D54" s="5">
        <v>2</v>
      </c>
      <c r="E54" s="5">
        <v>2</v>
      </c>
      <c r="F54" s="6">
        <v>0.16</v>
      </c>
      <c r="G54" s="7">
        <v>1104</v>
      </c>
      <c r="H54" s="9">
        <v>42132</v>
      </c>
      <c r="I54" s="10">
        <v>130000</v>
      </c>
      <c r="J54" s="8">
        <v>130000</v>
      </c>
      <c r="K54" s="17">
        <v>102000</v>
      </c>
      <c r="L54" s="18">
        <v>28000</v>
      </c>
      <c r="M54" s="8">
        <v>147100</v>
      </c>
      <c r="N54" s="17">
        <v>117100</v>
      </c>
      <c r="O54" s="18">
        <v>30000</v>
      </c>
      <c r="P54" s="8">
        <v>165100</v>
      </c>
      <c r="Q54" s="17">
        <v>135100</v>
      </c>
      <c r="R54" s="18">
        <v>30000</v>
      </c>
      <c r="S54" s="69">
        <v>182900</v>
      </c>
      <c r="T54" s="17">
        <f t="shared" si="3"/>
        <v>152900</v>
      </c>
      <c r="U54" s="18">
        <v>30000</v>
      </c>
    </row>
    <row r="55" spans="1:21" ht="15.75" customHeight="1" x14ac:dyDescent="0.45">
      <c r="A55" s="5">
        <v>2822</v>
      </c>
      <c r="B55" s="20" t="s">
        <v>15</v>
      </c>
      <c r="C55" s="5" t="str">
        <f t="shared" si="2"/>
        <v>2822 Albion Farm Way, Duluth, GA 30097</v>
      </c>
      <c r="D55" s="5">
        <v>3</v>
      </c>
      <c r="E55" s="5">
        <v>2</v>
      </c>
      <c r="F55" s="6">
        <v>0.15</v>
      </c>
      <c r="G55" s="7">
        <v>1205</v>
      </c>
      <c r="H55" s="9">
        <v>40904</v>
      </c>
      <c r="I55" s="10">
        <v>75350</v>
      </c>
      <c r="J55" s="8">
        <v>145200</v>
      </c>
      <c r="K55" s="17">
        <v>117200</v>
      </c>
      <c r="L55" s="18">
        <v>28000</v>
      </c>
      <c r="M55" s="8">
        <v>159500</v>
      </c>
      <c r="N55" s="17">
        <v>129500</v>
      </c>
      <c r="O55" s="18">
        <v>30000</v>
      </c>
      <c r="P55" s="8">
        <v>179400</v>
      </c>
      <c r="Q55" s="17">
        <v>149400</v>
      </c>
      <c r="R55" s="18">
        <v>30000</v>
      </c>
      <c r="S55" s="69">
        <v>195400</v>
      </c>
      <c r="T55" s="17">
        <f t="shared" si="3"/>
        <v>165400</v>
      </c>
      <c r="U55" s="18">
        <v>30000</v>
      </c>
    </row>
    <row r="56" spans="1:21" ht="15.75" customHeight="1" x14ac:dyDescent="0.45">
      <c r="A56" s="5">
        <v>2827</v>
      </c>
      <c r="B56" s="20" t="s">
        <v>15</v>
      </c>
      <c r="C56" s="5" t="str">
        <f t="shared" si="2"/>
        <v>2827 Albion Farm Way, Duluth, GA 30097</v>
      </c>
      <c r="D56" s="5">
        <v>3</v>
      </c>
      <c r="E56" s="5">
        <v>2</v>
      </c>
      <c r="F56" s="6">
        <v>0.14000000000000001</v>
      </c>
      <c r="G56" s="7">
        <v>1000</v>
      </c>
      <c r="H56" s="9">
        <v>38498</v>
      </c>
      <c r="I56" s="10">
        <v>138000</v>
      </c>
      <c r="J56" s="8">
        <v>130100</v>
      </c>
      <c r="K56" s="17">
        <v>102100</v>
      </c>
      <c r="L56" s="18">
        <v>28000</v>
      </c>
      <c r="M56" s="8">
        <v>142800</v>
      </c>
      <c r="N56" s="17">
        <v>112800</v>
      </c>
      <c r="O56" s="18">
        <v>30000</v>
      </c>
      <c r="P56" s="8">
        <v>160200</v>
      </c>
      <c r="Q56" s="17">
        <v>130200</v>
      </c>
      <c r="R56" s="18">
        <v>30000</v>
      </c>
      <c r="S56" s="69">
        <v>175600</v>
      </c>
      <c r="T56" s="17">
        <f t="shared" si="3"/>
        <v>145600</v>
      </c>
      <c r="U56" s="18">
        <v>30000</v>
      </c>
    </row>
    <row r="57" spans="1:21" ht="15.75" customHeight="1" x14ac:dyDescent="0.45">
      <c r="A57" s="5">
        <v>2832</v>
      </c>
      <c r="B57" s="20" t="s">
        <v>15</v>
      </c>
      <c r="C57" s="5" t="str">
        <f t="shared" si="2"/>
        <v>2832 Albion Farm Way, Duluth, GA 30097</v>
      </c>
      <c r="D57" s="5">
        <v>2</v>
      </c>
      <c r="E57" s="5">
        <v>2</v>
      </c>
      <c r="F57" s="6">
        <v>0.13</v>
      </c>
      <c r="G57" s="7">
        <v>1123</v>
      </c>
      <c r="H57" s="9">
        <v>42891</v>
      </c>
      <c r="I57" s="10">
        <v>163000</v>
      </c>
      <c r="J57" s="8">
        <v>134300</v>
      </c>
      <c r="K57" s="17">
        <v>106300</v>
      </c>
      <c r="L57" s="18">
        <v>28000</v>
      </c>
      <c r="M57" s="8">
        <v>147500</v>
      </c>
      <c r="N57" s="17">
        <v>117500</v>
      </c>
      <c r="O57" s="18">
        <v>30000</v>
      </c>
      <c r="P57" s="8">
        <v>163000</v>
      </c>
      <c r="Q57" s="17">
        <v>133000</v>
      </c>
      <c r="R57" s="18">
        <v>30000</v>
      </c>
      <c r="S57" s="69">
        <v>183500</v>
      </c>
      <c r="T57" s="17">
        <f t="shared" si="3"/>
        <v>153500</v>
      </c>
      <c r="U57" s="18">
        <v>30000</v>
      </c>
    </row>
    <row r="58" spans="1:21" ht="15.75" customHeight="1" x14ac:dyDescent="0.45">
      <c r="A58" s="5">
        <v>2842</v>
      </c>
      <c r="B58" s="20" t="s">
        <v>15</v>
      </c>
      <c r="C58" s="5" t="str">
        <f t="shared" si="2"/>
        <v>2842 Albion Farm Way, Duluth, GA 30097</v>
      </c>
      <c r="D58" s="5">
        <v>3</v>
      </c>
      <c r="E58" s="5">
        <v>2</v>
      </c>
      <c r="F58" s="6">
        <v>0.17</v>
      </c>
      <c r="G58" s="7">
        <v>984</v>
      </c>
      <c r="H58" s="9">
        <v>40212</v>
      </c>
      <c r="I58" s="10">
        <v>133750</v>
      </c>
      <c r="J58" s="8">
        <v>128900</v>
      </c>
      <c r="K58" s="17">
        <v>100900</v>
      </c>
      <c r="L58" s="18">
        <v>28000</v>
      </c>
      <c r="M58" s="8">
        <v>141600</v>
      </c>
      <c r="N58" s="17">
        <v>111600</v>
      </c>
      <c r="O58" s="18">
        <v>30000</v>
      </c>
      <c r="P58" s="8">
        <v>158800</v>
      </c>
      <c r="Q58" s="17">
        <v>128800</v>
      </c>
      <c r="R58" s="18">
        <v>30000</v>
      </c>
      <c r="S58" s="69">
        <v>174000</v>
      </c>
      <c r="T58" s="17">
        <f t="shared" si="3"/>
        <v>144000</v>
      </c>
      <c r="U58" s="18">
        <v>30000</v>
      </c>
    </row>
    <row r="59" spans="1:21" ht="15.75" customHeight="1" x14ac:dyDescent="0.45">
      <c r="A59" s="5">
        <v>2847</v>
      </c>
      <c r="B59" s="20" t="s">
        <v>15</v>
      </c>
      <c r="C59" s="5" t="str">
        <f t="shared" si="2"/>
        <v>2847 Albion Farm Way, Duluth, GA 30097</v>
      </c>
      <c r="D59" s="5">
        <v>3</v>
      </c>
      <c r="E59" s="5">
        <v>2.5</v>
      </c>
      <c r="F59" s="6">
        <v>0.12</v>
      </c>
      <c r="G59" s="7">
        <v>1298</v>
      </c>
      <c r="H59" s="9">
        <v>34333</v>
      </c>
      <c r="I59" s="10">
        <v>95200</v>
      </c>
      <c r="J59" s="8">
        <v>162700</v>
      </c>
      <c r="K59" s="17">
        <v>134700</v>
      </c>
      <c r="L59" s="18">
        <v>28000</v>
      </c>
      <c r="M59" s="8">
        <v>178900</v>
      </c>
      <c r="N59" s="17">
        <v>148900</v>
      </c>
      <c r="O59" s="18">
        <v>30000</v>
      </c>
      <c r="P59" s="8">
        <v>201800</v>
      </c>
      <c r="Q59" s="17">
        <v>171800</v>
      </c>
      <c r="R59" s="18">
        <v>30000</v>
      </c>
      <c r="S59" s="69">
        <v>217700</v>
      </c>
      <c r="T59" s="17">
        <f t="shared" si="3"/>
        <v>187700</v>
      </c>
      <c r="U59" s="18">
        <v>30000</v>
      </c>
    </row>
    <row r="60" spans="1:21" ht="15.75" customHeight="1" x14ac:dyDescent="0.45">
      <c r="A60" s="5">
        <v>2852</v>
      </c>
      <c r="B60" s="20" t="s">
        <v>15</v>
      </c>
      <c r="C60" s="5" t="str">
        <f t="shared" si="2"/>
        <v>2852 Albion Farm Way, Duluth, GA 30097</v>
      </c>
      <c r="D60" s="5">
        <v>2</v>
      </c>
      <c r="E60" s="5">
        <v>2</v>
      </c>
      <c r="F60" s="6">
        <v>0.17</v>
      </c>
      <c r="G60" s="7">
        <v>1277</v>
      </c>
      <c r="H60" s="9">
        <v>34323</v>
      </c>
      <c r="I60" s="10">
        <v>86600</v>
      </c>
      <c r="J60" s="8">
        <v>121200</v>
      </c>
      <c r="K60" s="17">
        <v>93200</v>
      </c>
      <c r="L60" s="18">
        <v>28000</v>
      </c>
      <c r="M60" s="8">
        <v>153800</v>
      </c>
      <c r="N60" s="17">
        <v>123800</v>
      </c>
      <c r="O60" s="18">
        <v>30000</v>
      </c>
      <c r="P60" s="8">
        <v>172800</v>
      </c>
      <c r="Q60" s="17">
        <v>142800</v>
      </c>
      <c r="R60" s="18">
        <v>30000</v>
      </c>
      <c r="S60" s="69">
        <v>192800</v>
      </c>
      <c r="T60" s="17">
        <f t="shared" si="3"/>
        <v>162800</v>
      </c>
      <c r="U60" s="18">
        <v>30000</v>
      </c>
    </row>
    <row r="61" spans="1:21" s="134" customFormat="1" ht="15.75" customHeight="1" x14ac:dyDescent="0.45">
      <c r="A61" s="50">
        <v>2862</v>
      </c>
      <c r="B61" s="50" t="s">
        <v>15</v>
      </c>
      <c r="C61" s="50" t="str">
        <f t="shared" si="2"/>
        <v>2862 Albion Farm Way, Duluth, GA 30097</v>
      </c>
      <c r="D61" s="50">
        <v>3</v>
      </c>
      <c r="E61" s="50">
        <v>2.5</v>
      </c>
      <c r="F61" s="128">
        <v>0.17</v>
      </c>
      <c r="G61" s="129">
        <f>744+674</f>
        <v>1418</v>
      </c>
      <c r="H61" s="130">
        <v>42502</v>
      </c>
      <c r="I61" s="56">
        <v>162500</v>
      </c>
      <c r="J61" s="131">
        <v>173800</v>
      </c>
      <c r="K61" s="132">
        <v>145800</v>
      </c>
      <c r="L61" s="133">
        <v>28000</v>
      </c>
      <c r="M61" s="131">
        <v>162500</v>
      </c>
      <c r="N61" s="132">
        <v>132500</v>
      </c>
      <c r="O61" s="133">
        <v>30000</v>
      </c>
      <c r="P61" s="131">
        <v>216000</v>
      </c>
      <c r="Q61" s="132">
        <v>186000</v>
      </c>
      <c r="R61" s="133">
        <v>30000</v>
      </c>
      <c r="S61" s="131">
        <v>207800</v>
      </c>
      <c r="T61" s="132">
        <f t="shared" si="3"/>
        <v>177800</v>
      </c>
      <c r="U61" s="133">
        <v>30000</v>
      </c>
    </row>
    <row r="62" spans="1:21" ht="15.75" customHeight="1" x14ac:dyDescent="0.45">
      <c r="A62" s="5">
        <v>2867</v>
      </c>
      <c r="B62" s="20" t="s">
        <v>15</v>
      </c>
      <c r="C62" s="5" t="str">
        <f t="shared" si="2"/>
        <v>2867 Albion Farm Way, Duluth, GA 30097</v>
      </c>
      <c r="D62" s="5">
        <v>3</v>
      </c>
      <c r="E62" s="5">
        <v>2</v>
      </c>
      <c r="F62" s="6">
        <v>0.12</v>
      </c>
      <c r="G62" s="7">
        <v>1240</v>
      </c>
      <c r="H62" s="9">
        <v>42056</v>
      </c>
      <c r="I62" s="10">
        <v>139000</v>
      </c>
      <c r="J62" s="8">
        <v>139000</v>
      </c>
      <c r="K62" s="17">
        <v>139000</v>
      </c>
      <c r="L62" s="18">
        <v>28000</v>
      </c>
      <c r="M62" s="8">
        <v>172400</v>
      </c>
      <c r="N62" s="17">
        <v>142400</v>
      </c>
      <c r="O62" s="18">
        <v>30000</v>
      </c>
      <c r="P62" s="8">
        <v>194300</v>
      </c>
      <c r="Q62" s="17">
        <v>164300</v>
      </c>
      <c r="R62" s="18">
        <v>30000</v>
      </c>
      <c r="S62" s="69">
        <v>208900</v>
      </c>
      <c r="T62" s="17">
        <f t="shared" si="3"/>
        <v>178900</v>
      </c>
      <c r="U62" s="18">
        <v>30000</v>
      </c>
    </row>
    <row r="63" spans="1:21" ht="15.75" customHeight="1" x14ac:dyDescent="0.45">
      <c r="A63" s="5">
        <v>2872</v>
      </c>
      <c r="B63" s="20" t="s">
        <v>15</v>
      </c>
      <c r="C63" s="5" t="str">
        <f t="shared" si="2"/>
        <v>2872 Albion Farm Way, Duluth, GA 30097</v>
      </c>
      <c r="D63" s="5">
        <v>3</v>
      </c>
      <c r="E63" s="5">
        <v>2</v>
      </c>
      <c r="F63" s="6">
        <v>0.14000000000000001</v>
      </c>
      <c r="G63" s="7">
        <v>912</v>
      </c>
      <c r="H63" s="9">
        <v>34297</v>
      </c>
      <c r="I63" s="10">
        <v>78400</v>
      </c>
      <c r="J63" s="8">
        <v>125100</v>
      </c>
      <c r="K63" s="17">
        <v>97100</v>
      </c>
      <c r="L63" s="18">
        <v>28000</v>
      </c>
      <c r="M63" s="8">
        <v>137300</v>
      </c>
      <c r="N63" s="17">
        <v>107300</v>
      </c>
      <c r="O63" s="18">
        <v>30000</v>
      </c>
      <c r="P63" s="8">
        <v>153800</v>
      </c>
      <c r="Q63" s="17">
        <v>123800</v>
      </c>
      <c r="R63" s="18">
        <v>30000</v>
      </c>
      <c r="S63" s="69">
        <v>168500</v>
      </c>
      <c r="T63" s="17">
        <f t="shared" si="3"/>
        <v>138500</v>
      </c>
      <c r="U63" s="18">
        <v>30000</v>
      </c>
    </row>
    <row r="64" spans="1:21" ht="15.75" customHeight="1" x14ac:dyDescent="0.45">
      <c r="A64" s="5">
        <v>2882</v>
      </c>
      <c r="B64" s="20" t="s">
        <v>15</v>
      </c>
      <c r="C64" s="5" t="str">
        <f t="shared" si="2"/>
        <v>2882 Albion Farm Way, Duluth, GA 30097</v>
      </c>
      <c r="D64" s="5">
        <v>3</v>
      </c>
      <c r="E64" s="5">
        <v>2</v>
      </c>
      <c r="F64" s="6">
        <v>0.11</v>
      </c>
      <c r="G64" s="7">
        <v>1000</v>
      </c>
      <c r="H64" s="9">
        <v>42377</v>
      </c>
      <c r="I64" s="10">
        <v>140000</v>
      </c>
      <c r="J64" s="8">
        <v>130000</v>
      </c>
      <c r="K64" s="17">
        <v>102000</v>
      </c>
      <c r="L64" s="18">
        <v>28000</v>
      </c>
      <c r="M64" s="8">
        <v>140000</v>
      </c>
      <c r="N64" s="17">
        <v>110000</v>
      </c>
      <c r="O64" s="18">
        <v>30000</v>
      </c>
      <c r="P64" s="8">
        <v>160100</v>
      </c>
      <c r="Q64" s="17">
        <v>130100</v>
      </c>
      <c r="R64" s="18">
        <v>30000</v>
      </c>
      <c r="S64" s="69">
        <v>175600</v>
      </c>
      <c r="T64" s="17">
        <f t="shared" si="3"/>
        <v>145600</v>
      </c>
      <c r="U64" s="18">
        <v>30000</v>
      </c>
    </row>
    <row r="65" spans="1:21" ht="15.75" customHeight="1" x14ac:dyDescent="0.45">
      <c r="A65" s="5">
        <v>2887</v>
      </c>
      <c r="B65" s="20" t="s">
        <v>15</v>
      </c>
      <c r="C65" s="5" t="str">
        <f t="shared" si="2"/>
        <v>2887 Albion Farm Way, Duluth, GA 30097</v>
      </c>
      <c r="D65" s="5">
        <v>3</v>
      </c>
      <c r="E65" s="5">
        <v>2</v>
      </c>
      <c r="F65" s="6">
        <v>0.11</v>
      </c>
      <c r="G65" s="7">
        <v>1096</v>
      </c>
      <c r="H65" s="9">
        <v>42993</v>
      </c>
      <c r="I65" s="10">
        <v>163700</v>
      </c>
      <c r="J65" s="8">
        <v>130700</v>
      </c>
      <c r="K65" s="17">
        <v>102700</v>
      </c>
      <c r="L65" s="18">
        <v>28000</v>
      </c>
      <c r="M65" s="8">
        <v>143500</v>
      </c>
      <c r="N65" s="17">
        <v>113500</v>
      </c>
      <c r="O65" s="18">
        <v>30000</v>
      </c>
      <c r="P65" s="8">
        <v>161000</v>
      </c>
      <c r="Q65" s="17">
        <v>131000</v>
      </c>
      <c r="R65" s="18">
        <v>30000</v>
      </c>
      <c r="S65" s="69">
        <v>178200</v>
      </c>
      <c r="T65" s="17">
        <f t="shared" si="3"/>
        <v>148200</v>
      </c>
      <c r="U65" s="18">
        <v>30000</v>
      </c>
    </row>
    <row r="66" spans="1:21" ht="15.75" customHeight="1" x14ac:dyDescent="0.45">
      <c r="A66" s="5">
        <v>2892</v>
      </c>
      <c r="B66" s="20" t="s">
        <v>15</v>
      </c>
      <c r="C66" s="5" t="str">
        <f t="shared" si="2"/>
        <v>2892 Albion Farm Way, Duluth, GA 30097</v>
      </c>
      <c r="D66" s="5">
        <v>2</v>
      </c>
      <c r="E66" s="5">
        <v>2</v>
      </c>
      <c r="F66" s="6">
        <v>0.15</v>
      </c>
      <c r="G66" s="7">
        <v>1123</v>
      </c>
      <c r="H66" s="9">
        <v>34318</v>
      </c>
      <c r="I66" s="10">
        <v>86900</v>
      </c>
      <c r="J66" s="8">
        <v>134400</v>
      </c>
      <c r="K66" s="17">
        <v>106400</v>
      </c>
      <c r="L66" s="18">
        <v>28000</v>
      </c>
      <c r="M66" s="8">
        <v>147600</v>
      </c>
      <c r="N66" s="17">
        <v>117600</v>
      </c>
      <c r="O66" s="18">
        <v>30000</v>
      </c>
      <c r="P66" s="8">
        <v>165700</v>
      </c>
      <c r="Q66" s="17">
        <v>135700</v>
      </c>
      <c r="R66" s="18">
        <v>30000</v>
      </c>
      <c r="S66" s="69">
        <v>183500</v>
      </c>
      <c r="T66" s="17">
        <f t="shared" si="3"/>
        <v>153500</v>
      </c>
      <c r="U66" s="18">
        <v>30000</v>
      </c>
    </row>
    <row r="67" spans="1:21" ht="15.75" customHeight="1" x14ac:dyDescent="0.45">
      <c r="A67" s="5">
        <v>2897</v>
      </c>
      <c r="B67" s="20" t="s">
        <v>15</v>
      </c>
      <c r="C67" s="5" t="str">
        <f t="shared" si="2"/>
        <v>2897 Albion Farm Way, Duluth, GA 30097</v>
      </c>
      <c r="D67" s="5">
        <v>3</v>
      </c>
      <c r="E67" s="5">
        <v>2</v>
      </c>
      <c r="F67" s="6">
        <v>0.15</v>
      </c>
      <c r="G67" s="7">
        <v>1000</v>
      </c>
      <c r="H67" s="9">
        <v>34333</v>
      </c>
      <c r="I67" s="10">
        <v>81100</v>
      </c>
      <c r="J67" s="8">
        <v>131300</v>
      </c>
      <c r="K67" s="17">
        <v>103300</v>
      </c>
      <c r="L67" s="18">
        <v>28000</v>
      </c>
      <c r="M67" s="8">
        <v>144300</v>
      </c>
      <c r="N67" s="17">
        <v>114300</v>
      </c>
      <c r="O67" s="18">
        <v>30000</v>
      </c>
      <c r="P67" s="8">
        <v>161800</v>
      </c>
      <c r="Q67" s="17">
        <v>131800</v>
      </c>
      <c r="R67" s="18">
        <v>30000</v>
      </c>
      <c r="S67" s="69">
        <v>177300</v>
      </c>
      <c r="T67" s="17">
        <f t="shared" si="3"/>
        <v>147300</v>
      </c>
      <c r="U67" s="18">
        <v>30000</v>
      </c>
    </row>
    <row r="68" spans="1:21" ht="15.75" customHeight="1" x14ac:dyDescent="0.45">
      <c r="A68" s="5">
        <v>2715</v>
      </c>
      <c r="B68" s="20" t="s">
        <v>16</v>
      </c>
      <c r="C68" s="5" t="str">
        <f t="shared" si="2"/>
        <v>2715 Barnwood Xing, Duluth, GA 30097</v>
      </c>
      <c r="D68" s="5">
        <v>3</v>
      </c>
      <c r="E68" s="5">
        <v>2.5</v>
      </c>
      <c r="F68" s="6">
        <v>0.16</v>
      </c>
      <c r="G68" s="7">
        <v>1298</v>
      </c>
      <c r="H68" s="9">
        <v>37698</v>
      </c>
      <c r="I68" s="10">
        <v>113000</v>
      </c>
      <c r="J68" s="8">
        <v>162700</v>
      </c>
      <c r="K68" s="17">
        <v>134700</v>
      </c>
      <c r="L68" s="18">
        <v>28000</v>
      </c>
      <c r="M68" s="8">
        <v>178900</v>
      </c>
      <c r="N68" s="17">
        <v>148900</v>
      </c>
      <c r="O68" s="18">
        <v>30000</v>
      </c>
      <c r="P68" s="8">
        <v>201800</v>
      </c>
      <c r="Q68" s="17">
        <v>171800</v>
      </c>
      <c r="R68" s="18">
        <v>30000</v>
      </c>
      <c r="S68" s="69">
        <v>217700</v>
      </c>
      <c r="T68" s="17">
        <f t="shared" si="3"/>
        <v>187700</v>
      </c>
      <c r="U68" s="18">
        <v>30000</v>
      </c>
    </row>
    <row r="69" spans="1:21" ht="15.75" customHeight="1" x14ac:dyDescent="0.45">
      <c r="A69" s="5">
        <v>2725</v>
      </c>
      <c r="B69" s="20" t="s">
        <v>16</v>
      </c>
      <c r="C69" s="5" t="str">
        <f t="shared" ref="C69:C100" si="4">CONCATENATE($A69," ",$B69,", Duluth, GA 30097")</f>
        <v>2725 Barnwood Xing, Duluth, GA 30097</v>
      </c>
      <c r="D69" s="5">
        <v>3</v>
      </c>
      <c r="E69" s="5">
        <v>2</v>
      </c>
      <c r="F69" s="6">
        <v>0.11</v>
      </c>
      <c r="G69" s="7">
        <v>1000</v>
      </c>
      <c r="H69" s="9">
        <v>41712</v>
      </c>
      <c r="I69" s="10">
        <v>120000</v>
      </c>
      <c r="J69" s="8">
        <v>130000</v>
      </c>
      <c r="K69" s="17">
        <v>102000</v>
      </c>
      <c r="L69" s="18">
        <v>28000</v>
      </c>
      <c r="M69" s="8">
        <v>146000</v>
      </c>
      <c r="N69" s="17">
        <v>116000</v>
      </c>
      <c r="O69" s="18">
        <v>30000</v>
      </c>
      <c r="P69" s="8">
        <v>163900</v>
      </c>
      <c r="Q69" s="17">
        <v>133900</v>
      </c>
      <c r="R69" s="18">
        <v>30000</v>
      </c>
      <c r="S69" s="69">
        <v>180600</v>
      </c>
      <c r="T69" s="17">
        <f t="shared" ref="T69:T100" si="5">S69-U69</f>
        <v>150600</v>
      </c>
      <c r="U69" s="18">
        <v>30000</v>
      </c>
    </row>
    <row r="70" spans="1:21" ht="15.75" customHeight="1" x14ac:dyDescent="0.45">
      <c r="A70" s="5">
        <v>2730</v>
      </c>
      <c r="B70" s="20" t="s">
        <v>16</v>
      </c>
      <c r="C70" s="5" t="str">
        <f t="shared" si="4"/>
        <v>2730 Barnwood Xing, Duluth, GA 30097</v>
      </c>
      <c r="D70" s="5">
        <v>3</v>
      </c>
      <c r="E70" s="5">
        <v>2</v>
      </c>
      <c r="F70" s="6">
        <v>0.11</v>
      </c>
      <c r="G70" s="7">
        <v>1000</v>
      </c>
      <c r="H70" s="9">
        <v>42788</v>
      </c>
      <c r="I70" s="10">
        <v>147000</v>
      </c>
      <c r="J70" s="8">
        <v>130100</v>
      </c>
      <c r="K70" s="17">
        <v>102100</v>
      </c>
      <c r="L70" s="18">
        <v>28000</v>
      </c>
      <c r="M70" s="8">
        <v>142800</v>
      </c>
      <c r="N70" s="17">
        <v>112800</v>
      </c>
      <c r="O70" s="18">
        <v>30000</v>
      </c>
      <c r="P70" s="8">
        <v>160200</v>
      </c>
      <c r="Q70" s="17">
        <v>130200</v>
      </c>
      <c r="R70" s="18">
        <v>30000</v>
      </c>
      <c r="S70" s="69">
        <v>150000</v>
      </c>
      <c r="T70" s="17">
        <f t="shared" si="5"/>
        <v>120000</v>
      </c>
      <c r="U70" s="18">
        <v>30000</v>
      </c>
    </row>
    <row r="71" spans="1:21" ht="15.75" customHeight="1" x14ac:dyDescent="0.45">
      <c r="A71" s="5">
        <v>2735</v>
      </c>
      <c r="B71" s="20" t="s">
        <v>16</v>
      </c>
      <c r="C71" s="5" t="str">
        <f t="shared" si="4"/>
        <v>2735 Barnwood Xing, Duluth, GA 30097</v>
      </c>
      <c r="D71" s="5">
        <v>3</v>
      </c>
      <c r="E71" s="5">
        <v>2</v>
      </c>
      <c r="F71" s="6">
        <v>0.11</v>
      </c>
      <c r="G71" s="7">
        <v>912</v>
      </c>
      <c r="H71" s="9">
        <v>42566</v>
      </c>
      <c r="I71" s="10">
        <v>149900</v>
      </c>
      <c r="J71" s="8">
        <v>125100</v>
      </c>
      <c r="K71" s="17">
        <v>97100</v>
      </c>
      <c r="L71" s="18">
        <v>28000</v>
      </c>
      <c r="M71" s="8">
        <v>137300</v>
      </c>
      <c r="N71" s="17">
        <v>107300</v>
      </c>
      <c r="O71" s="18">
        <v>30000</v>
      </c>
      <c r="P71" s="8">
        <v>153800</v>
      </c>
      <c r="Q71" s="17">
        <v>123800</v>
      </c>
      <c r="R71" s="18">
        <v>30000</v>
      </c>
      <c r="S71" s="69">
        <v>168500</v>
      </c>
      <c r="T71" s="17">
        <f t="shared" si="5"/>
        <v>138500</v>
      </c>
      <c r="U71" s="18">
        <v>30000</v>
      </c>
    </row>
    <row r="72" spans="1:21" ht="15.75" customHeight="1" x14ac:dyDescent="0.45">
      <c r="A72" s="5">
        <v>2740</v>
      </c>
      <c r="B72" s="20" t="s">
        <v>16</v>
      </c>
      <c r="C72" s="5" t="str">
        <f t="shared" si="4"/>
        <v>2740 Barnwood Xing, Duluth, GA 30097</v>
      </c>
      <c r="D72" s="5">
        <v>3</v>
      </c>
      <c r="E72" s="5">
        <v>2.5</v>
      </c>
      <c r="F72" s="6">
        <v>0.11</v>
      </c>
      <c r="G72" s="7">
        <v>1298</v>
      </c>
      <c r="H72" s="9">
        <v>39658</v>
      </c>
      <c r="I72" s="10">
        <v>109252</v>
      </c>
      <c r="J72" s="8">
        <v>162700</v>
      </c>
      <c r="K72" s="17">
        <v>134700</v>
      </c>
      <c r="L72" s="18">
        <v>28000</v>
      </c>
      <c r="M72" s="8">
        <v>178900</v>
      </c>
      <c r="N72" s="17">
        <v>148900</v>
      </c>
      <c r="O72" s="18">
        <v>30000</v>
      </c>
      <c r="P72" s="8">
        <v>201800</v>
      </c>
      <c r="Q72" s="17">
        <v>171800</v>
      </c>
      <c r="R72" s="18">
        <v>30000</v>
      </c>
      <c r="S72" s="69">
        <v>180000</v>
      </c>
      <c r="T72" s="17">
        <f t="shared" si="5"/>
        <v>150000</v>
      </c>
      <c r="U72" s="18">
        <v>30000</v>
      </c>
    </row>
    <row r="73" spans="1:21" ht="15.75" customHeight="1" x14ac:dyDescent="0.45">
      <c r="A73" s="5">
        <v>2745</v>
      </c>
      <c r="B73" s="20" t="s">
        <v>16</v>
      </c>
      <c r="C73" s="5" t="str">
        <f t="shared" si="4"/>
        <v>2745 Barnwood Xing, Duluth, GA 30097</v>
      </c>
      <c r="D73" s="5">
        <v>3</v>
      </c>
      <c r="E73" s="5">
        <v>2</v>
      </c>
      <c r="F73" s="6">
        <v>0.13</v>
      </c>
      <c r="G73" s="7">
        <v>984</v>
      </c>
      <c r="H73" s="9">
        <v>43341</v>
      </c>
      <c r="I73" s="10">
        <v>189500</v>
      </c>
      <c r="J73" s="8">
        <v>130100</v>
      </c>
      <c r="K73" s="17">
        <v>102100</v>
      </c>
      <c r="L73" s="18">
        <v>28000</v>
      </c>
      <c r="M73" s="8">
        <v>142900</v>
      </c>
      <c r="N73" s="17">
        <v>112900</v>
      </c>
      <c r="O73" s="18">
        <v>30000</v>
      </c>
      <c r="P73" s="8">
        <v>160200</v>
      </c>
      <c r="Q73" s="17">
        <v>130200</v>
      </c>
      <c r="R73" s="18">
        <v>30000</v>
      </c>
      <c r="S73" s="69">
        <v>175800</v>
      </c>
      <c r="T73" s="17">
        <f t="shared" si="5"/>
        <v>145800</v>
      </c>
      <c r="U73" s="18">
        <v>30000</v>
      </c>
    </row>
    <row r="74" spans="1:21" ht="15.75" customHeight="1" x14ac:dyDescent="0.45">
      <c r="A74" s="5">
        <v>2750</v>
      </c>
      <c r="B74" s="20" t="s">
        <v>16</v>
      </c>
      <c r="C74" s="5" t="str">
        <f t="shared" si="4"/>
        <v>2750 Barnwood Xing, Duluth, GA 30097</v>
      </c>
      <c r="D74" s="5">
        <v>3</v>
      </c>
      <c r="E74" s="5">
        <v>2</v>
      </c>
      <c r="F74" s="6">
        <v>0.13</v>
      </c>
      <c r="G74" s="7">
        <v>990</v>
      </c>
      <c r="H74" s="9">
        <v>35720</v>
      </c>
      <c r="I74" s="10">
        <v>104000</v>
      </c>
      <c r="J74" s="8">
        <v>134700</v>
      </c>
      <c r="K74" s="17">
        <v>106700</v>
      </c>
      <c r="L74" s="18">
        <v>28000</v>
      </c>
      <c r="M74" s="8">
        <v>147900</v>
      </c>
      <c r="N74" s="17">
        <v>117900</v>
      </c>
      <c r="O74" s="18">
        <v>30000</v>
      </c>
      <c r="P74" s="8">
        <v>166100</v>
      </c>
      <c r="Q74" s="17">
        <v>136100</v>
      </c>
      <c r="R74" s="18">
        <v>30000</v>
      </c>
      <c r="S74" s="69">
        <v>180300</v>
      </c>
      <c r="T74" s="17">
        <f t="shared" si="5"/>
        <v>150300</v>
      </c>
      <c r="U74" s="18">
        <v>30000</v>
      </c>
    </row>
    <row r="75" spans="1:21" ht="15.75" customHeight="1" x14ac:dyDescent="0.45">
      <c r="A75" s="5">
        <v>2760</v>
      </c>
      <c r="B75" s="20" t="s">
        <v>16</v>
      </c>
      <c r="C75" s="5" t="str">
        <f t="shared" si="4"/>
        <v>2760 Barnwood Xing, Duluth, GA 30097</v>
      </c>
      <c r="D75" s="5">
        <v>3</v>
      </c>
      <c r="E75" s="5">
        <v>2.5</v>
      </c>
      <c r="F75" s="6">
        <v>0.16</v>
      </c>
      <c r="G75" s="7">
        <v>1298</v>
      </c>
      <c r="H75" s="9">
        <v>38691</v>
      </c>
      <c r="I75" s="10">
        <v>153000</v>
      </c>
      <c r="J75" s="8">
        <v>162700</v>
      </c>
      <c r="K75" s="17">
        <v>134700</v>
      </c>
      <c r="L75" s="18">
        <v>28000</v>
      </c>
      <c r="M75" s="8">
        <v>178900</v>
      </c>
      <c r="N75" s="17">
        <v>148900</v>
      </c>
      <c r="O75" s="18">
        <v>30000</v>
      </c>
      <c r="P75" s="8">
        <v>201800</v>
      </c>
      <c r="Q75" s="17">
        <v>171800</v>
      </c>
      <c r="R75" s="18">
        <v>30000</v>
      </c>
      <c r="S75" s="69">
        <v>217700</v>
      </c>
      <c r="T75" s="17">
        <f t="shared" si="5"/>
        <v>187700</v>
      </c>
      <c r="U75" s="18">
        <v>30000</v>
      </c>
    </row>
    <row r="76" spans="1:21" ht="15.75" customHeight="1" x14ac:dyDescent="0.45">
      <c r="A76" s="5">
        <v>2765</v>
      </c>
      <c r="B76" s="20" t="s">
        <v>16</v>
      </c>
      <c r="C76" s="5" t="str">
        <f t="shared" si="4"/>
        <v>2765 Barnwood Xing, Duluth, GA 30097</v>
      </c>
      <c r="D76" s="5">
        <v>3</v>
      </c>
      <c r="E76" s="5">
        <v>2.5</v>
      </c>
      <c r="F76" s="6">
        <v>0.12</v>
      </c>
      <c r="G76" s="7">
        <v>1298</v>
      </c>
      <c r="H76" s="9">
        <v>42247</v>
      </c>
      <c r="I76" s="10">
        <v>135000</v>
      </c>
      <c r="J76" s="8">
        <v>120000</v>
      </c>
      <c r="K76" s="17">
        <v>92000</v>
      </c>
      <c r="L76" s="18">
        <v>28000</v>
      </c>
      <c r="M76" s="8">
        <v>181700</v>
      </c>
      <c r="N76" s="17">
        <v>151700</v>
      </c>
      <c r="O76" s="18">
        <v>30000</v>
      </c>
      <c r="P76" s="8">
        <v>205000</v>
      </c>
      <c r="Q76" s="17">
        <v>175000</v>
      </c>
      <c r="R76" s="18">
        <v>30000</v>
      </c>
      <c r="S76" s="69">
        <v>221200</v>
      </c>
      <c r="T76" s="17">
        <f t="shared" si="5"/>
        <v>191200</v>
      </c>
      <c r="U76" s="18">
        <v>30000</v>
      </c>
    </row>
    <row r="77" spans="1:21" ht="15.75" customHeight="1" x14ac:dyDescent="0.45">
      <c r="A77" s="5">
        <v>2775</v>
      </c>
      <c r="B77" s="20" t="s">
        <v>16</v>
      </c>
      <c r="C77" s="5" t="str">
        <f t="shared" si="4"/>
        <v>2775 Barnwood Xing, Duluth, GA 30097</v>
      </c>
      <c r="D77" s="5">
        <v>3</v>
      </c>
      <c r="E77" s="5">
        <v>2.5</v>
      </c>
      <c r="F77" s="6">
        <v>0.12</v>
      </c>
      <c r="G77" s="7">
        <v>1298</v>
      </c>
      <c r="H77" s="9">
        <v>41820</v>
      </c>
      <c r="I77" s="10">
        <v>134000</v>
      </c>
      <c r="J77" s="8">
        <v>167000</v>
      </c>
      <c r="K77" s="17">
        <v>139000</v>
      </c>
      <c r="L77" s="18">
        <v>28000</v>
      </c>
      <c r="M77" s="8">
        <v>183700</v>
      </c>
      <c r="N77" s="17">
        <v>153700</v>
      </c>
      <c r="O77" s="18">
        <v>30000</v>
      </c>
      <c r="P77" s="8">
        <v>207400</v>
      </c>
      <c r="Q77" s="17">
        <v>177400</v>
      </c>
      <c r="R77" s="18">
        <v>30000</v>
      </c>
      <c r="S77" s="69">
        <v>224800</v>
      </c>
      <c r="T77" s="17">
        <f t="shared" si="5"/>
        <v>194800</v>
      </c>
      <c r="U77" s="18">
        <v>30000</v>
      </c>
    </row>
    <row r="78" spans="1:21" ht="15.75" customHeight="1" x14ac:dyDescent="0.45">
      <c r="A78" s="5">
        <v>2785</v>
      </c>
      <c r="B78" s="20" t="s">
        <v>16</v>
      </c>
      <c r="C78" s="5" t="str">
        <f t="shared" si="4"/>
        <v>2785 Barnwood Xing, Duluth, GA 30097</v>
      </c>
      <c r="D78" s="5">
        <v>3</v>
      </c>
      <c r="E78" s="5">
        <v>2</v>
      </c>
      <c r="F78" s="6">
        <v>0.14000000000000001</v>
      </c>
      <c r="G78" s="7">
        <v>984</v>
      </c>
      <c r="H78" s="9">
        <v>43014</v>
      </c>
      <c r="I78" s="10">
        <v>165000</v>
      </c>
      <c r="J78" s="8">
        <v>129600</v>
      </c>
      <c r="K78" s="17">
        <v>101600</v>
      </c>
      <c r="L78" s="18">
        <v>28000</v>
      </c>
      <c r="M78" s="8">
        <v>142400</v>
      </c>
      <c r="N78" s="17">
        <v>112400</v>
      </c>
      <c r="O78" s="18">
        <v>30000</v>
      </c>
      <c r="P78" s="8">
        <v>159600</v>
      </c>
      <c r="Q78" s="17">
        <v>129600</v>
      </c>
      <c r="R78" s="18">
        <v>30000</v>
      </c>
      <c r="S78" s="69">
        <v>175100</v>
      </c>
      <c r="T78" s="17">
        <f t="shared" si="5"/>
        <v>145100</v>
      </c>
      <c r="U78" s="18">
        <v>30000</v>
      </c>
    </row>
    <row r="79" spans="1:21" ht="15.75" customHeight="1" x14ac:dyDescent="0.45">
      <c r="A79" s="5">
        <v>2790</v>
      </c>
      <c r="B79" s="20" t="s">
        <v>16</v>
      </c>
      <c r="C79" s="5" t="str">
        <f t="shared" si="4"/>
        <v>2790 Barnwood Xing, Duluth, GA 30097</v>
      </c>
      <c r="D79" s="5">
        <v>2</v>
      </c>
      <c r="E79" s="5">
        <v>2</v>
      </c>
      <c r="F79" s="6">
        <v>0.13</v>
      </c>
      <c r="G79" s="7">
        <v>973</v>
      </c>
      <c r="H79" s="9">
        <v>42846</v>
      </c>
      <c r="I79" s="10">
        <v>149500</v>
      </c>
      <c r="J79" s="8">
        <v>123300</v>
      </c>
      <c r="K79" s="17">
        <v>95300</v>
      </c>
      <c r="L79" s="18">
        <v>28000</v>
      </c>
      <c r="M79" s="8">
        <v>135400</v>
      </c>
      <c r="N79" s="17">
        <v>105400</v>
      </c>
      <c r="O79" s="18">
        <v>30000</v>
      </c>
      <c r="P79" s="8">
        <v>149500</v>
      </c>
      <c r="Q79" s="17">
        <v>119500</v>
      </c>
      <c r="R79" s="18">
        <v>30000</v>
      </c>
      <c r="S79" s="69">
        <v>169700</v>
      </c>
      <c r="T79" s="17">
        <f t="shared" si="5"/>
        <v>139700</v>
      </c>
      <c r="U79" s="18">
        <v>30000</v>
      </c>
    </row>
    <row r="80" spans="1:21" ht="15.75" customHeight="1" x14ac:dyDescent="0.45">
      <c r="A80" s="5">
        <v>2795</v>
      </c>
      <c r="B80" s="20" t="s">
        <v>16</v>
      </c>
      <c r="C80" s="5" t="str">
        <f t="shared" si="4"/>
        <v>2795 Barnwood Xing, Duluth, GA 30097</v>
      </c>
      <c r="D80" s="5">
        <v>2</v>
      </c>
      <c r="E80" s="5">
        <v>2</v>
      </c>
      <c r="F80" s="6">
        <v>0.15</v>
      </c>
      <c r="G80" s="7">
        <v>912</v>
      </c>
      <c r="H80" s="9">
        <v>39805</v>
      </c>
      <c r="I80" s="10">
        <v>131000</v>
      </c>
      <c r="J80" s="8">
        <v>125100</v>
      </c>
      <c r="K80" s="17">
        <v>97100</v>
      </c>
      <c r="L80" s="18">
        <v>28000</v>
      </c>
      <c r="M80" s="8">
        <v>137400</v>
      </c>
      <c r="N80" s="17">
        <v>107400</v>
      </c>
      <c r="O80" s="18">
        <v>30000</v>
      </c>
      <c r="P80" s="8">
        <v>153900</v>
      </c>
      <c r="Q80" s="17">
        <v>123900</v>
      </c>
      <c r="R80" s="18">
        <v>30000</v>
      </c>
      <c r="S80" s="69">
        <v>168600</v>
      </c>
      <c r="T80" s="17">
        <f t="shared" si="5"/>
        <v>138600</v>
      </c>
      <c r="U80" s="18">
        <v>30000</v>
      </c>
    </row>
    <row r="81" spans="1:21" ht="15.75" customHeight="1" x14ac:dyDescent="0.45">
      <c r="A81" s="5">
        <v>2800</v>
      </c>
      <c r="B81" s="20" t="s">
        <v>16</v>
      </c>
      <c r="C81" s="5" t="str">
        <f t="shared" si="4"/>
        <v>2800 Barnwood Xing, Duluth, GA 30097</v>
      </c>
      <c r="D81" s="5">
        <v>2</v>
      </c>
      <c r="E81" s="5">
        <v>2</v>
      </c>
      <c r="F81" s="6">
        <v>0.11</v>
      </c>
      <c r="G81" s="7">
        <v>828</v>
      </c>
      <c r="H81" s="9">
        <v>42629</v>
      </c>
      <c r="I81" s="10">
        <v>152500</v>
      </c>
      <c r="J81" s="8">
        <v>117600</v>
      </c>
      <c r="K81" s="17">
        <v>89600</v>
      </c>
      <c r="L81" s="18">
        <v>28000</v>
      </c>
      <c r="M81" s="8">
        <v>129000</v>
      </c>
      <c r="N81" s="17">
        <v>99000</v>
      </c>
      <c r="O81" s="18">
        <v>30000</v>
      </c>
      <c r="P81" s="8">
        <v>144300</v>
      </c>
      <c r="Q81" s="17">
        <v>114300</v>
      </c>
      <c r="R81" s="18">
        <v>30000</v>
      </c>
      <c r="S81" s="69">
        <v>157500</v>
      </c>
      <c r="T81" s="17">
        <f t="shared" si="5"/>
        <v>127500</v>
      </c>
      <c r="U81" s="18">
        <v>30000</v>
      </c>
    </row>
    <row r="82" spans="1:21" ht="15.75" customHeight="1" x14ac:dyDescent="0.45">
      <c r="A82" s="5">
        <v>2810</v>
      </c>
      <c r="B82" s="20" t="s">
        <v>16</v>
      </c>
      <c r="C82" s="5" t="str">
        <f t="shared" si="4"/>
        <v>2810 Barnwood Xing, Duluth, GA 30097</v>
      </c>
      <c r="D82" s="5">
        <v>2</v>
      </c>
      <c r="E82" s="5">
        <v>2</v>
      </c>
      <c r="F82" s="6">
        <v>0.12</v>
      </c>
      <c r="G82" s="7">
        <v>912</v>
      </c>
      <c r="H82" s="9">
        <v>42923</v>
      </c>
      <c r="I82" s="10">
        <v>165900</v>
      </c>
      <c r="J82" s="8">
        <v>128400</v>
      </c>
      <c r="K82" s="17">
        <v>100400</v>
      </c>
      <c r="L82" s="18">
        <v>28000</v>
      </c>
      <c r="M82" s="8">
        <v>141100</v>
      </c>
      <c r="N82" s="17">
        <v>111100</v>
      </c>
      <c r="O82" s="18">
        <v>30000</v>
      </c>
      <c r="P82" s="8">
        <v>158100</v>
      </c>
      <c r="Q82" s="17">
        <v>128100</v>
      </c>
      <c r="R82" s="18">
        <v>30000</v>
      </c>
      <c r="S82" s="69">
        <v>158100</v>
      </c>
      <c r="T82" s="17">
        <f t="shared" si="5"/>
        <v>128100</v>
      </c>
      <c r="U82" s="18">
        <v>30000</v>
      </c>
    </row>
    <row r="83" spans="1:21" ht="15.75" customHeight="1" x14ac:dyDescent="0.45">
      <c r="A83" s="5">
        <v>2815</v>
      </c>
      <c r="B83" s="20" t="s">
        <v>16</v>
      </c>
      <c r="C83" s="5" t="str">
        <f t="shared" si="4"/>
        <v>2815 Barnwood Xing, Duluth, GA 30097</v>
      </c>
      <c r="D83" s="5">
        <v>3</v>
      </c>
      <c r="E83" s="5">
        <v>2</v>
      </c>
      <c r="F83" s="6">
        <v>0.14000000000000001</v>
      </c>
      <c r="G83" s="7">
        <v>1166</v>
      </c>
      <c r="H83" s="9">
        <v>42060</v>
      </c>
      <c r="I83" s="10">
        <v>125500</v>
      </c>
      <c r="J83" s="8">
        <v>125500</v>
      </c>
      <c r="K83" s="17">
        <v>97500</v>
      </c>
      <c r="L83" s="18">
        <v>28000</v>
      </c>
      <c r="M83" s="8">
        <v>157100</v>
      </c>
      <c r="N83" s="17">
        <v>127100</v>
      </c>
      <c r="O83" s="18">
        <v>30000</v>
      </c>
      <c r="P83" s="8">
        <v>157100</v>
      </c>
      <c r="Q83" s="17">
        <v>127100</v>
      </c>
      <c r="R83" s="18">
        <v>30000</v>
      </c>
      <c r="S83" s="69">
        <v>157100</v>
      </c>
      <c r="T83" s="17">
        <f t="shared" si="5"/>
        <v>127100</v>
      </c>
      <c r="U83" s="18">
        <v>30000</v>
      </c>
    </row>
    <row r="84" spans="1:21" ht="15.75" customHeight="1" x14ac:dyDescent="0.45">
      <c r="A84" s="5">
        <v>2820</v>
      </c>
      <c r="B84" s="20" t="s">
        <v>16</v>
      </c>
      <c r="C84" s="5" t="str">
        <f t="shared" si="4"/>
        <v>2820 Barnwood Xing, Duluth, GA 30097</v>
      </c>
      <c r="D84" s="5">
        <v>3</v>
      </c>
      <c r="E84" s="5">
        <v>2</v>
      </c>
      <c r="F84" s="6">
        <v>0.17</v>
      </c>
      <c r="G84" s="7">
        <v>1256</v>
      </c>
      <c r="H84" s="9">
        <v>42606</v>
      </c>
      <c r="I84" s="10">
        <v>153000</v>
      </c>
      <c r="J84" s="8">
        <v>153100</v>
      </c>
      <c r="K84" s="17">
        <v>125100</v>
      </c>
      <c r="L84" s="18">
        <v>28000</v>
      </c>
      <c r="M84" s="8">
        <v>153000</v>
      </c>
      <c r="N84" s="17">
        <v>123000</v>
      </c>
      <c r="O84" s="18">
        <v>30000</v>
      </c>
      <c r="P84" s="8">
        <v>189600</v>
      </c>
      <c r="Q84" s="17">
        <v>159600</v>
      </c>
      <c r="R84" s="18">
        <v>30000</v>
      </c>
      <c r="S84" s="69">
        <v>204100</v>
      </c>
      <c r="T84" s="17">
        <f t="shared" si="5"/>
        <v>174100</v>
      </c>
      <c r="U84" s="18">
        <v>30000</v>
      </c>
    </row>
    <row r="85" spans="1:21" ht="15.75" customHeight="1" x14ac:dyDescent="0.45">
      <c r="A85" s="5">
        <v>2830</v>
      </c>
      <c r="B85" s="20" t="s">
        <v>16</v>
      </c>
      <c r="C85" s="5" t="str">
        <f t="shared" si="4"/>
        <v>2830 Barnwood Xing, Duluth, GA 30097</v>
      </c>
      <c r="D85" s="5">
        <v>3</v>
      </c>
      <c r="E85" s="5">
        <v>2.5</v>
      </c>
      <c r="F85" s="6">
        <v>0.15</v>
      </c>
      <c r="G85" s="7">
        <v>1298</v>
      </c>
      <c r="H85" s="9">
        <v>42577</v>
      </c>
      <c r="I85" s="10">
        <v>167000</v>
      </c>
      <c r="J85" s="8">
        <v>162200</v>
      </c>
      <c r="K85" s="17">
        <v>134200</v>
      </c>
      <c r="L85" s="18">
        <v>28000</v>
      </c>
      <c r="M85" s="8">
        <v>167000</v>
      </c>
      <c r="N85" s="17">
        <v>137000</v>
      </c>
      <c r="O85" s="18">
        <v>30000</v>
      </c>
      <c r="P85" s="8">
        <v>201200</v>
      </c>
      <c r="Q85" s="17">
        <v>171200</v>
      </c>
      <c r="R85" s="18">
        <v>30000</v>
      </c>
      <c r="S85" s="69">
        <v>217000</v>
      </c>
      <c r="T85" s="17">
        <f t="shared" si="5"/>
        <v>187000</v>
      </c>
      <c r="U85" s="18">
        <v>30000</v>
      </c>
    </row>
    <row r="86" spans="1:21" ht="15.75" customHeight="1" x14ac:dyDescent="0.45">
      <c r="A86" s="5">
        <v>2840</v>
      </c>
      <c r="B86" s="20" t="s">
        <v>16</v>
      </c>
      <c r="C86" s="5" t="str">
        <f t="shared" si="4"/>
        <v>2840 Barnwood Xing, Duluth, GA 30097</v>
      </c>
      <c r="D86" s="5">
        <v>3</v>
      </c>
      <c r="E86" s="5">
        <v>2.5</v>
      </c>
      <c r="F86" s="6">
        <v>0.15</v>
      </c>
      <c r="G86" s="7">
        <v>1298</v>
      </c>
      <c r="H86" s="9">
        <v>43032</v>
      </c>
      <c r="I86" s="10">
        <v>177500</v>
      </c>
      <c r="J86" s="8">
        <v>156100</v>
      </c>
      <c r="K86" s="17">
        <v>128100</v>
      </c>
      <c r="L86" s="18">
        <v>28000</v>
      </c>
      <c r="M86" s="8">
        <v>168000</v>
      </c>
      <c r="N86" s="17">
        <v>139800</v>
      </c>
      <c r="O86" s="18">
        <v>30000</v>
      </c>
      <c r="P86" s="8">
        <v>177500</v>
      </c>
      <c r="Q86" s="17">
        <v>147500</v>
      </c>
      <c r="R86" s="18">
        <v>30000</v>
      </c>
      <c r="S86" s="69">
        <v>205900</v>
      </c>
      <c r="T86" s="17">
        <f t="shared" si="5"/>
        <v>175900</v>
      </c>
      <c r="U86" s="18">
        <v>30000</v>
      </c>
    </row>
    <row r="87" spans="1:21" ht="15.75" customHeight="1" x14ac:dyDescent="0.45">
      <c r="A87" s="5">
        <v>2850</v>
      </c>
      <c r="B87" s="20" t="s">
        <v>16</v>
      </c>
      <c r="C87" s="5" t="str">
        <f t="shared" si="4"/>
        <v>2850 Barnwood Xing, Duluth, GA 30097</v>
      </c>
      <c r="D87" s="5">
        <v>2</v>
      </c>
      <c r="E87" s="5">
        <v>2</v>
      </c>
      <c r="F87" s="6">
        <v>0.13</v>
      </c>
      <c r="G87" s="7">
        <v>912</v>
      </c>
      <c r="H87" s="9">
        <v>34164</v>
      </c>
      <c r="I87" s="10">
        <v>84800</v>
      </c>
      <c r="J87" s="8">
        <v>125100</v>
      </c>
      <c r="K87" s="17">
        <v>97100</v>
      </c>
      <c r="L87" s="18">
        <v>28000</v>
      </c>
      <c r="M87" s="8">
        <v>137300</v>
      </c>
      <c r="N87" s="17">
        <v>107300</v>
      </c>
      <c r="O87" s="18">
        <v>30000</v>
      </c>
      <c r="P87" s="8">
        <v>153800</v>
      </c>
      <c r="Q87" s="17">
        <v>123800</v>
      </c>
      <c r="R87" s="18">
        <v>30000</v>
      </c>
      <c r="S87" s="69">
        <v>168500</v>
      </c>
      <c r="T87" s="17">
        <f t="shared" si="5"/>
        <v>138500</v>
      </c>
      <c r="U87" s="18">
        <v>30000</v>
      </c>
    </row>
    <row r="88" spans="1:21" ht="15.75" customHeight="1" x14ac:dyDescent="0.45">
      <c r="A88" s="5">
        <v>2855</v>
      </c>
      <c r="B88" s="20" t="s">
        <v>16</v>
      </c>
      <c r="C88" s="5" t="str">
        <f t="shared" si="4"/>
        <v>2855 Barnwood Xing, Duluth, GA 30097</v>
      </c>
      <c r="D88" s="5">
        <v>3</v>
      </c>
      <c r="E88" s="5">
        <v>2</v>
      </c>
      <c r="F88" s="6">
        <v>0.15</v>
      </c>
      <c r="G88" s="7">
        <v>974</v>
      </c>
      <c r="H88" s="9">
        <v>35549</v>
      </c>
      <c r="I88" s="10">
        <v>97000</v>
      </c>
      <c r="J88" s="8">
        <v>129200</v>
      </c>
      <c r="K88" s="17">
        <v>101200</v>
      </c>
      <c r="L88" s="18">
        <v>28000</v>
      </c>
      <c r="M88" s="8">
        <v>141800</v>
      </c>
      <c r="N88" s="17">
        <v>111800</v>
      </c>
      <c r="O88" s="18">
        <v>30000</v>
      </c>
      <c r="P88" s="8">
        <v>158900</v>
      </c>
      <c r="Q88" s="17">
        <v>128900</v>
      </c>
      <c r="R88" s="18">
        <v>30000</v>
      </c>
      <c r="S88" s="69">
        <v>174500</v>
      </c>
      <c r="T88" s="17">
        <f t="shared" si="5"/>
        <v>144500</v>
      </c>
      <c r="U88" s="18">
        <v>30000</v>
      </c>
    </row>
    <row r="89" spans="1:21" ht="15.75" customHeight="1" x14ac:dyDescent="0.45">
      <c r="A89" s="5">
        <v>2860</v>
      </c>
      <c r="B89" s="20" t="s">
        <v>16</v>
      </c>
      <c r="C89" s="5" t="str">
        <f t="shared" si="4"/>
        <v>2860 Barnwood Xing, Duluth, GA 30097</v>
      </c>
      <c r="D89" s="5">
        <v>3</v>
      </c>
      <c r="E89" s="5">
        <v>2</v>
      </c>
      <c r="F89" s="6">
        <v>0.13</v>
      </c>
      <c r="G89" s="7">
        <v>1002</v>
      </c>
      <c r="H89" s="9">
        <v>34089</v>
      </c>
      <c r="I89" s="10">
        <v>73300</v>
      </c>
      <c r="J89" s="8">
        <v>132200</v>
      </c>
      <c r="K89" s="17">
        <v>104200</v>
      </c>
      <c r="L89" s="18">
        <v>28000</v>
      </c>
      <c r="M89" s="8">
        <v>145300</v>
      </c>
      <c r="N89" s="17">
        <v>115300</v>
      </c>
      <c r="O89" s="18">
        <v>30000</v>
      </c>
      <c r="P89" s="8">
        <v>163000</v>
      </c>
      <c r="Q89" s="17">
        <v>133000</v>
      </c>
      <c r="R89" s="18">
        <v>30000</v>
      </c>
      <c r="S89" s="69">
        <v>178600</v>
      </c>
      <c r="T89" s="17">
        <f t="shared" si="5"/>
        <v>148600</v>
      </c>
      <c r="U89" s="18">
        <v>30000</v>
      </c>
    </row>
    <row r="90" spans="1:21" ht="15.75" customHeight="1" x14ac:dyDescent="0.45">
      <c r="A90" s="5">
        <v>2865</v>
      </c>
      <c r="B90" s="20" t="s">
        <v>16</v>
      </c>
      <c r="C90" s="5" t="str">
        <f t="shared" si="4"/>
        <v>2865 Barnwood Xing, Duluth, GA 30097</v>
      </c>
      <c r="D90" s="5">
        <v>2</v>
      </c>
      <c r="E90" s="5">
        <v>2</v>
      </c>
      <c r="F90" s="6">
        <v>0.16</v>
      </c>
      <c r="G90" s="7">
        <v>1123</v>
      </c>
      <c r="H90" s="9">
        <v>41753</v>
      </c>
      <c r="I90" s="10">
        <v>115000</v>
      </c>
      <c r="J90" s="8">
        <v>137300</v>
      </c>
      <c r="K90" s="17">
        <v>109300</v>
      </c>
      <c r="L90" s="18">
        <v>28000</v>
      </c>
      <c r="M90" s="8">
        <v>150800</v>
      </c>
      <c r="N90" s="17">
        <v>120800</v>
      </c>
      <c r="O90" s="18">
        <v>30000</v>
      </c>
      <c r="P90" s="8">
        <v>169400</v>
      </c>
      <c r="Q90" s="17">
        <v>139400</v>
      </c>
      <c r="R90" s="18">
        <v>30000</v>
      </c>
      <c r="S90" s="69">
        <v>187400</v>
      </c>
      <c r="T90" s="17">
        <f t="shared" si="5"/>
        <v>157400</v>
      </c>
      <c r="U90" s="18">
        <v>30000</v>
      </c>
    </row>
    <row r="91" spans="1:21" ht="15.75" customHeight="1" x14ac:dyDescent="0.45">
      <c r="A91" s="5">
        <v>2870</v>
      </c>
      <c r="B91" s="20" t="s">
        <v>16</v>
      </c>
      <c r="C91" s="5" t="str">
        <f t="shared" si="4"/>
        <v>2870 Barnwood Xing, Duluth, GA 30097</v>
      </c>
      <c r="D91" s="5">
        <v>2</v>
      </c>
      <c r="E91" s="5">
        <v>2</v>
      </c>
      <c r="F91" s="6">
        <v>0.13</v>
      </c>
      <c r="G91" s="7">
        <v>1123</v>
      </c>
      <c r="H91" s="9">
        <v>38289</v>
      </c>
      <c r="I91" s="10">
        <v>142000</v>
      </c>
      <c r="J91" s="8">
        <v>137000</v>
      </c>
      <c r="K91" s="17">
        <v>109000</v>
      </c>
      <c r="L91" s="18">
        <v>28000</v>
      </c>
      <c r="M91" s="8">
        <v>150500</v>
      </c>
      <c r="N91" s="17">
        <v>120500</v>
      </c>
      <c r="O91" s="18">
        <v>30000</v>
      </c>
      <c r="P91" s="8">
        <v>169000</v>
      </c>
      <c r="Q91" s="17">
        <v>139000</v>
      </c>
      <c r="R91" s="18">
        <v>30000</v>
      </c>
      <c r="S91" s="69">
        <v>187300</v>
      </c>
      <c r="T91" s="17">
        <f t="shared" si="5"/>
        <v>157300</v>
      </c>
      <c r="U91" s="18">
        <v>30000</v>
      </c>
    </row>
    <row r="92" spans="1:21" ht="15.75" customHeight="1" x14ac:dyDescent="0.45">
      <c r="A92" s="5">
        <v>2875</v>
      </c>
      <c r="B92" s="20" t="s">
        <v>16</v>
      </c>
      <c r="C92" s="5" t="str">
        <f t="shared" si="4"/>
        <v>2875 Barnwood Xing, Duluth, GA 30097</v>
      </c>
      <c r="D92" s="5">
        <v>3</v>
      </c>
      <c r="E92" s="5">
        <v>2</v>
      </c>
      <c r="F92" s="6">
        <v>0.13</v>
      </c>
      <c r="G92" s="7">
        <v>1123</v>
      </c>
      <c r="H92" s="9">
        <v>43293</v>
      </c>
      <c r="I92" s="10">
        <v>190000</v>
      </c>
      <c r="J92" s="8">
        <v>134400</v>
      </c>
      <c r="K92" s="17">
        <v>106400</v>
      </c>
      <c r="L92" s="18">
        <v>28000</v>
      </c>
      <c r="M92" s="8">
        <v>147600</v>
      </c>
      <c r="N92" s="17">
        <v>117600</v>
      </c>
      <c r="O92" s="18">
        <v>30000</v>
      </c>
      <c r="P92" s="8">
        <v>165700</v>
      </c>
      <c r="Q92" s="17">
        <v>135700</v>
      </c>
      <c r="R92" s="18">
        <v>30000</v>
      </c>
      <c r="S92" s="69">
        <v>183500</v>
      </c>
      <c r="T92" s="17">
        <f t="shared" si="5"/>
        <v>153500</v>
      </c>
      <c r="U92" s="18">
        <v>30000</v>
      </c>
    </row>
    <row r="93" spans="1:21" ht="15.75" customHeight="1" x14ac:dyDescent="0.45">
      <c r="A93" s="5">
        <v>2880</v>
      </c>
      <c r="B93" s="20" t="s">
        <v>16</v>
      </c>
      <c r="C93" s="5" t="str">
        <f t="shared" si="4"/>
        <v>2880 Barnwood Xing, Duluth, GA 30097</v>
      </c>
      <c r="D93" s="5">
        <v>3</v>
      </c>
      <c r="E93" s="5">
        <v>2</v>
      </c>
      <c r="F93" s="6">
        <v>0.13</v>
      </c>
      <c r="G93" s="7">
        <v>988</v>
      </c>
      <c r="H93" s="9">
        <v>42264</v>
      </c>
      <c r="I93" s="10">
        <v>125000</v>
      </c>
      <c r="J93" s="8">
        <v>125000</v>
      </c>
      <c r="K93" s="17">
        <v>97000</v>
      </c>
      <c r="L93" s="18">
        <v>28000</v>
      </c>
      <c r="M93" s="8">
        <v>141300</v>
      </c>
      <c r="N93" s="17">
        <v>111300</v>
      </c>
      <c r="O93" s="18">
        <v>30000</v>
      </c>
      <c r="P93" s="8">
        <v>158400</v>
      </c>
      <c r="Q93" s="17">
        <v>128400</v>
      </c>
      <c r="R93" s="18">
        <v>30000</v>
      </c>
      <c r="S93" s="69">
        <v>173700</v>
      </c>
      <c r="T93" s="17">
        <f t="shared" si="5"/>
        <v>143700</v>
      </c>
      <c r="U93" s="18">
        <v>30000</v>
      </c>
    </row>
    <row r="94" spans="1:21" ht="15.75" customHeight="1" x14ac:dyDescent="0.45">
      <c r="A94" s="5">
        <v>2885</v>
      </c>
      <c r="B94" s="20" t="s">
        <v>16</v>
      </c>
      <c r="C94" s="5" t="str">
        <f t="shared" si="4"/>
        <v>2885 Barnwood Xing, Duluth, GA 30097</v>
      </c>
      <c r="D94" s="5">
        <v>2</v>
      </c>
      <c r="E94" s="5">
        <v>2</v>
      </c>
      <c r="F94" s="6">
        <v>0.11</v>
      </c>
      <c r="G94" s="7">
        <v>912</v>
      </c>
      <c r="H94" s="9">
        <v>42062</v>
      </c>
      <c r="I94" s="10">
        <v>120000</v>
      </c>
      <c r="J94" s="8">
        <v>120000</v>
      </c>
      <c r="K94" s="17">
        <v>92000</v>
      </c>
      <c r="L94" s="18">
        <v>28000</v>
      </c>
      <c r="M94" s="8">
        <v>137900</v>
      </c>
      <c r="N94" s="17">
        <v>107900</v>
      </c>
      <c r="O94" s="18">
        <v>30000</v>
      </c>
      <c r="P94" s="8">
        <v>154500</v>
      </c>
      <c r="Q94" s="17">
        <v>124500</v>
      </c>
      <c r="R94" s="18">
        <v>30000</v>
      </c>
      <c r="S94" s="69">
        <v>169200</v>
      </c>
      <c r="T94" s="17">
        <f t="shared" si="5"/>
        <v>139200</v>
      </c>
      <c r="U94" s="18">
        <v>30000</v>
      </c>
    </row>
    <row r="95" spans="1:21" ht="15.75" customHeight="1" x14ac:dyDescent="0.45">
      <c r="A95" s="5">
        <v>2890</v>
      </c>
      <c r="B95" s="20" t="s">
        <v>16</v>
      </c>
      <c r="C95" s="5" t="str">
        <f t="shared" si="4"/>
        <v>2890 Barnwood Xing, Duluth, GA 30097</v>
      </c>
      <c r="D95" s="5">
        <v>2</v>
      </c>
      <c r="E95" s="5">
        <v>2</v>
      </c>
      <c r="F95" s="6">
        <v>0.18</v>
      </c>
      <c r="G95" s="7">
        <v>1123</v>
      </c>
      <c r="H95" s="9">
        <v>37727</v>
      </c>
      <c r="I95" s="10">
        <v>134500</v>
      </c>
      <c r="J95" s="8">
        <v>135600</v>
      </c>
      <c r="K95" s="17">
        <v>107600</v>
      </c>
      <c r="L95" s="18">
        <v>28000</v>
      </c>
      <c r="M95" s="8">
        <v>147500</v>
      </c>
      <c r="N95" s="17">
        <v>117500</v>
      </c>
      <c r="O95" s="18">
        <v>30000</v>
      </c>
      <c r="P95" s="8">
        <v>167300</v>
      </c>
      <c r="Q95" s="17">
        <v>137300</v>
      </c>
      <c r="R95" s="18">
        <v>30000</v>
      </c>
      <c r="S95" s="69">
        <v>187200</v>
      </c>
      <c r="T95" s="17">
        <f t="shared" si="5"/>
        <v>157200</v>
      </c>
      <c r="U95" s="18">
        <v>30000</v>
      </c>
    </row>
    <row r="96" spans="1:21" ht="15.75" customHeight="1" x14ac:dyDescent="0.45">
      <c r="A96" s="5">
        <v>2895</v>
      </c>
      <c r="B96" s="20" t="s">
        <v>16</v>
      </c>
      <c r="C96" s="5" t="str">
        <f t="shared" si="4"/>
        <v>2895 Barnwood Xing, Duluth, GA 30097</v>
      </c>
      <c r="D96" s="5">
        <v>2</v>
      </c>
      <c r="E96" s="5">
        <v>2</v>
      </c>
      <c r="F96" s="6">
        <v>0.18</v>
      </c>
      <c r="G96" s="7">
        <v>1123</v>
      </c>
      <c r="H96" s="9">
        <v>42459</v>
      </c>
      <c r="I96" s="10">
        <v>130000</v>
      </c>
      <c r="J96" s="8">
        <v>135600</v>
      </c>
      <c r="K96" s="17">
        <v>107600</v>
      </c>
      <c r="L96" s="18">
        <v>28000</v>
      </c>
      <c r="M96" s="8">
        <v>130000</v>
      </c>
      <c r="N96" s="17">
        <v>100000</v>
      </c>
      <c r="O96" s="18">
        <v>30000</v>
      </c>
      <c r="P96" s="8">
        <v>167200</v>
      </c>
      <c r="Q96" s="17">
        <v>137200</v>
      </c>
      <c r="R96" s="18">
        <v>30000</v>
      </c>
      <c r="S96" s="69">
        <v>185100</v>
      </c>
      <c r="T96" s="17">
        <f t="shared" si="5"/>
        <v>155100</v>
      </c>
      <c r="U96" s="18">
        <v>30000</v>
      </c>
    </row>
    <row r="97" spans="1:21" ht="15.75" customHeight="1" x14ac:dyDescent="0.45">
      <c r="A97" s="5">
        <v>2900</v>
      </c>
      <c r="B97" s="20" t="s">
        <v>16</v>
      </c>
      <c r="C97" s="5" t="str">
        <f t="shared" si="4"/>
        <v>2900 Barnwood Xing, Duluth, GA 30097</v>
      </c>
      <c r="D97" s="5">
        <v>3</v>
      </c>
      <c r="E97" s="5">
        <v>2</v>
      </c>
      <c r="F97" s="6">
        <v>0.18</v>
      </c>
      <c r="G97" s="7">
        <v>896</v>
      </c>
      <c r="H97" s="9">
        <v>42019</v>
      </c>
      <c r="I97" s="10">
        <v>139000</v>
      </c>
      <c r="J97" s="8">
        <v>125800</v>
      </c>
      <c r="K97" s="17">
        <v>97800</v>
      </c>
      <c r="L97" s="18">
        <v>28000</v>
      </c>
      <c r="M97" s="8">
        <v>136800</v>
      </c>
      <c r="N97" s="17">
        <v>106800</v>
      </c>
      <c r="O97" s="18">
        <v>30000</v>
      </c>
      <c r="P97" s="8">
        <v>154800</v>
      </c>
      <c r="Q97" s="17">
        <v>124800</v>
      </c>
      <c r="R97" s="18">
        <v>30000</v>
      </c>
      <c r="S97" s="69">
        <v>169100</v>
      </c>
      <c r="T97" s="17">
        <f t="shared" si="5"/>
        <v>139100</v>
      </c>
      <c r="U97" s="18">
        <v>30000</v>
      </c>
    </row>
    <row r="98" spans="1:21" ht="15.75" customHeight="1" x14ac:dyDescent="0.45">
      <c r="A98" s="5">
        <v>2905</v>
      </c>
      <c r="B98" s="20" t="s">
        <v>16</v>
      </c>
      <c r="C98" s="5" t="str">
        <f t="shared" si="4"/>
        <v>2905 Barnwood Xing, Duluth, GA 30097</v>
      </c>
      <c r="D98" s="5">
        <v>3</v>
      </c>
      <c r="E98" s="5">
        <v>2</v>
      </c>
      <c r="F98" s="6">
        <v>0.13</v>
      </c>
      <c r="G98" s="7">
        <v>798</v>
      </c>
      <c r="H98" s="9">
        <v>43196</v>
      </c>
      <c r="I98" s="10">
        <v>163000</v>
      </c>
      <c r="J98" s="8">
        <v>110200</v>
      </c>
      <c r="K98" s="17">
        <v>82200</v>
      </c>
      <c r="L98" s="18">
        <v>28000</v>
      </c>
      <c r="M98" s="8">
        <v>119800</v>
      </c>
      <c r="N98" s="17">
        <v>89800</v>
      </c>
      <c r="O98" s="18">
        <v>30000</v>
      </c>
      <c r="P98" s="8">
        <v>134900</v>
      </c>
      <c r="Q98" s="17">
        <v>104900</v>
      </c>
      <c r="R98" s="18">
        <v>30000</v>
      </c>
      <c r="S98" s="69">
        <v>163000</v>
      </c>
      <c r="T98" s="17">
        <f t="shared" si="5"/>
        <v>133000</v>
      </c>
      <c r="U98" s="18">
        <v>30000</v>
      </c>
    </row>
    <row r="99" spans="1:21" ht="15.75" customHeight="1" x14ac:dyDescent="0.45">
      <c r="A99" s="5">
        <v>2910</v>
      </c>
      <c r="B99" s="20" t="s">
        <v>16</v>
      </c>
      <c r="C99" s="5" t="str">
        <f t="shared" si="4"/>
        <v>2910 Barnwood Xing, Duluth, GA 30097</v>
      </c>
      <c r="D99" s="5">
        <v>2</v>
      </c>
      <c r="E99" s="5">
        <v>2</v>
      </c>
      <c r="F99" s="6">
        <v>0.13</v>
      </c>
      <c r="G99" s="7">
        <v>1176</v>
      </c>
      <c r="H99" s="9">
        <v>42863</v>
      </c>
      <c r="I99" s="10">
        <v>163000</v>
      </c>
      <c r="J99" s="8">
        <v>134300</v>
      </c>
      <c r="K99" s="17">
        <v>106300</v>
      </c>
      <c r="L99" s="18">
        <v>28000</v>
      </c>
      <c r="M99" s="8">
        <v>147500</v>
      </c>
      <c r="N99" s="17">
        <v>117500</v>
      </c>
      <c r="O99" s="18">
        <v>30000</v>
      </c>
      <c r="P99" s="8">
        <v>163000</v>
      </c>
      <c r="Q99" s="17">
        <v>133000</v>
      </c>
      <c r="R99" s="18">
        <v>30000</v>
      </c>
      <c r="S99" s="69">
        <v>194200</v>
      </c>
      <c r="T99" s="17">
        <f t="shared" si="5"/>
        <v>164200</v>
      </c>
      <c r="U99" s="18">
        <v>30000</v>
      </c>
    </row>
    <row r="100" spans="1:21" ht="15.75" customHeight="1" x14ac:dyDescent="0.45">
      <c r="A100" s="5">
        <v>2915</v>
      </c>
      <c r="B100" s="20" t="s">
        <v>16</v>
      </c>
      <c r="C100" s="5" t="str">
        <f t="shared" si="4"/>
        <v>2915 Barnwood Xing, Duluth, GA 30097</v>
      </c>
      <c r="D100" s="5">
        <v>3</v>
      </c>
      <c r="E100" s="5">
        <v>2</v>
      </c>
      <c r="F100" s="6">
        <v>0.11</v>
      </c>
      <c r="G100" s="7">
        <v>1075</v>
      </c>
      <c r="H100" s="9">
        <v>42440</v>
      </c>
      <c r="I100" s="10">
        <v>155000</v>
      </c>
      <c r="J100" s="8">
        <v>122700</v>
      </c>
      <c r="K100" s="17">
        <v>94700</v>
      </c>
      <c r="L100" s="18">
        <v>28000</v>
      </c>
      <c r="M100" s="8">
        <v>152900</v>
      </c>
      <c r="N100" s="17">
        <v>122900</v>
      </c>
      <c r="O100" s="18">
        <v>30000</v>
      </c>
      <c r="P100" s="8">
        <v>171900</v>
      </c>
      <c r="Q100" s="17">
        <v>141900</v>
      </c>
      <c r="R100" s="18">
        <v>30000</v>
      </c>
      <c r="S100" s="69">
        <v>194400</v>
      </c>
      <c r="T100" s="17">
        <f t="shared" si="5"/>
        <v>164400</v>
      </c>
      <c r="U100" s="18">
        <v>30000</v>
      </c>
    </row>
    <row r="101" spans="1:21" ht="15.75" customHeight="1" x14ac:dyDescent="0.45">
      <c r="A101" s="5">
        <v>2920</v>
      </c>
      <c r="B101" s="20" t="s">
        <v>16</v>
      </c>
      <c r="C101" s="5" t="str">
        <f t="shared" ref="C101:C132" si="6">CONCATENATE($A101," ",$B101,", Duluth, GA 30097")</f>
        <v>2920 Barnwood Xing, Duluth, GA 30097</v>
      </c>
      <c r="D101" s="5">
        <v>2</v>
      </c>
      <c r="E101" s="5">
        <v>2</v>
      </c>
      <c r="F101" s="6">
        <v>0.14000000000000001</v>
      </c>
      <c r="G101" s="7">
        <v>1002</v>
      </c>
      <c r="H101" s="9">
        <v>36077</v>
      </c>
      <c r="I101" s="10">
        <v>84400</v>
      </c>
      <c r="J101" s="8">
        <v>129700</v>
      </c>
      <c r="K101" s="17">
        <v>101700</v>
      </c>
      <c r="L101" s="18">
        <v>28000</v>
      </c>
      <c r="M101" s="8">
        <v>142400</v>
      </c>
      <c r="N101" s="17">
        <v>112400</v>
      </c>
      <c r="O101" s="18">
        <v>30000</v>
      </c>
      <c r="P101" s="8">
        <v>159700</v>
      </c>
      <c r="Q101" s="17">
        <v>129700</v>
      </c>
      <c r="R101" s="18">
        <v>30000</v>
      </c>
      <c r="S101" s="69">
        <v>175100</v>
      </c>
      <c r="T101" s="17">
        <f t="shared" ref="T101:T132" si="7">S101-U101</f>
        <v>145100</v>
      </c>
      <c r="U101" s="18">
        <v>30000</v>
      </c>
    </row>
    <row r="102" spans="1:21" ht="15.75" customHeight="1" x14ac:dyDescent="0.45">
      <c r="A102" s="5">
        <v>2930</v>
      </c>
      <c r="B102" s="20" t="s">
        <v>16</v>
      </c>
      <c r="C102" s="5" t="str">
        <f t="shared" si="6"/>
        <v>2930 Barnwood Xing, Duluth, GA 30097</v>
      </c>
      <c r="D102" s="5">
        <v>2</v>
      </c>
      <c r="E102" s="5">
        <v>2</v>
      </c>
      <c r="F102" s="6">
        <v>0.14000000000000001</v>
      </c>
      <c r="G102" s="7">
        <v>826</v>
      </c>
      <c r="H102" s="9">
        <v>39619</v>
      </c>
      <c r="I102" s="10">
        <v>135790</v>
      </c>
      <c r="J102" s="8">
        <v>110300</v>
      </c>
      <c r="K102" s="17">
        <v>82300</v>
      </c>
      <c r="L102" s="18">
        <v>28000</v>
      </c>
      <c r="M102" s="8">
        <v>121000</v>
      </c>
      <c r="N102" s="17">
        <v>91000</v>
      </c>
      <c r="O102" s="18">
        <v>30000</v>
      </c>
      <c r="P102" s="8">
        <v>135000</v>
      </c>
      <c r="Q102" s="17">
        <v>105000</v>
      </c>
      <c r="R102" s="18">
        <v>30000</v>
      </c>
      <c r="S102" s="69">
        <v>146900</v>
      </c>
      <c r="T102" s="17">
        <f t="shared" si="7"/>
        <v>116900</v>
      </c>
      <c r="U102" s="18">
        <v>30000</v>
      </c>
    </row>
    <row r="103" spans="1:21" ht="15.75" customHeight="1" x14ac:dyDescent="0.45">
      <c r="A103" s="5">
        <v>2940</v>
      </c>
      <c r="B103" s="20" t="s">
        <v>16</v>
      </c>
      <c r="C103" s="5" t="str">
        <f t="shared" si="6"/>
        <v>2940 Barnwood Xing, Duluth, GA 30097</v>
      </c>
      <c r="D103" s="5">
        <v>3</v>
      </c>
      <c r="E103" s="5">
        <v>2.5</v>
      </c>
      <c r="F103" s="6">
        <v>0.14000000000000001</v>
      </c>
      <c r="G103" s="7">
        <v>1208</v>
      </c>
      <c r="H103" s="9">
        <v>41934</v>
      </c>
      <c r="I103" s="10">
        <v>139000</v>
      </c>
      <c r="J103" s="8">
        <v>152000</v>
      </c>
      <c r="K103" s="17">
        <v>124000</v>
      </c>
      <c r="L103" s="18">
        <v>28000</v>
      </c>
      <c r="M103" s="8">
        <v>152000</v>
      </c>
      <c r="N103" s="17">
        <v>122000</v>
      </c>
      <c r="O103" s="18">
        <v>30000</v>
      </c>
      <c r="P103" s="8">
        <v>152000</v>
      </c>
      <c r="Q103" s="17">
        <v>122000</v>
      </c>
      <c r="R103" s="18">
        <v>30000</v>
      </c>
      <c r="S103" s="69">
        <v>209000</v>
      </c>
      <c r="T103" s="17">
        <f t="shared" si="7"/>
        <v>179000</v>
      </c>
      <c r="U103" s="18">
        <v>30000</v>
      </c>
    </row>
    <row r="104" spans="1:21" ht="15.75" customHeight="1" x14ac:dyDescent="0.45">
      <c r="A104" s="5">
        <v>2950</v>
      </c>
      <c r="B104" s="20" t="s">
        <v>16</v>
      </c>
      <c r="C104" s="5" t="str">
        <f t="shared" si="6"/>
        <v>2950 Barnwood Xing, Duluth, GA 30097</v>
      </c>
      <c r="D104" s="5">
        <v>2</v>
      </c>
      <c r="E104" s="5">
        <v>2</v>
      </c>
      <c r="F104" s="6">
        <v>0.16</v>
      </c>
      <c r="G104" s="7">
        <v>1090</v>
      </c>
      <c r="H104" s="9">
        <v>42026</v>
      </c>
      <c r="I104" s="10">
        <v>132500</v>
      </c>
      <c r="J104" s="8">
        <v>132500</v>
      </c>
      <c r="K104" s="17">
        <v>104500</v>
      </c>
      <c r="L104" s="18">
        <v>28000</v>
      </c>
      <c r="M104" s="8">
        <v>144800</v>
      </c>
      <c r="N104" s="17">
        <v>114800</v>
      </c>
      <c r="O104" s="18">
        <v>30000</v>
      </c>
      <c r="P104" s="8">
        <v>162400</v>
      </c>
      <c r="Q104" s="17">
        <v>132400</v>
      </c>
      <c r="R104" s="18">
        <v>30000</v>
      </c>
      <c r="S104" s="69">
        <v>181400</v>
      </c>
      <c r="T104" s="17">
        <f t="shared" si="7"/>
        <v>151400</v>
      </c>
      <c r="U104" s="18">
        <v>30000</v>
      </c>
    </row>
    <row r="105" spans="1:21" ht="15.75" customHeight="1" x14ac:dyDescent="0.45">
      <c r="A105" s="5">
        <v>2960</v>
      </c>
      <c r="B105" s="20" t="s">
        <v>16</v>
      </c>
      <c r="C105" s="5" t="str">
        <f t="shared" si="6"/>
        <v>2960 Barnwood Xing, Duluth, GA 30097</v>
      </c>
      <c r="D105" s="5">
        <v>3</v>
      </c>
      <c r="E105" s="5">
        <v>2.5</v>
      </c>
      <c r="F105" s="6">
        <v>0.23</v>
      </c>
      <c r="G105" s="7">
        <v>1236</v>
      </c>
      <c r="H105" s="9">
        <v>36132</v>
      </c>
      <c r="I105" s="10">
        <v>107500</v>
      </c>
      <c r="J105" s="8">
        <v>165500</v>
      </c>
      <c r="K105" s="17">
        <v>137500</v>
      </c>
      <c r="L105" s="18">
        <v>28000</v>
      </c>
      <c r="M105" s="8">
        <v>180100</v>
      </c>
      <c r="N105" s="17">
        <v>150100</v>
      </c>
      <c r="O105" s="18">
        <v>30000</v>
      </c>
      <c r="P105" s="8">
        <v>203100</v>
      </c>
      <c r="Q105" s="17">
        <v>173100</v>
      </c>
      <c r="R105" s="18">
        <v>30000</v>
      </c>
      <c r="S105" s="69">
        <v>175000</v>
      </c>
      <c r="T105" s="17">
        <f t="shared" si="7"/>
        <v>145000</v>
      </c>
      <c r="U105" s="18">
        <v>30000</v>
      </c>
    </row>
    <row r="106" spans="1:21" ht="15.75" customHeight="1" x14ac:dyDescent="0.45">
      <c r="A106" s="5">
        <v>2970</v>
      </c>
      <c r="B106" s="20" t="s">
        <v>16</v>
      </c>
      <c r="C106" s="5" t="str">
        <f t="shared" si="6"/>
        <v>2970 Barnwood Xing, Duluth, GA 30097</v>
      </c>
      <c r="D106" s="5">
        <v>3</v>
      </c>
      <c r="E106" s="5">
        <v>2</v>
      </c>
      <c r="F106" s="6">
        <v>0.17</v>
      </c>
      <c r="G106" s="7">
        <v>1186</v>
      </c>
      <c r="H106" s="9">
        <v>33967</v>
      </c>
      <c r="I106" s="10">
        <v>77200</v>
      </c>
      <c r="J106" s="8">
        <v>134200</v>
      </c>
      <c r="K106" s="17">
        <v>106200</v>
      </c>
      <c r="L106" s="18">
        <v>28000</v>
      </c>
      <c r="M106" s="8">
        <v>146000</v>
      </c>
      <c r="N106" s="17">
        <v>116000</v>
      </c>
      <c r="O106" s="18">
        <v>30000</v>
      </c>
      <c r="P106" s="8">
        <v>163800</v>
      </c>
      <c r="Q106" s="17">
        <v>133800</v>
      </c>
      <c r="R106" s="18">
        <v>30000</v>
      </c>
      <c r="S106" s="69">
        <v>185800</v>
      </c>
      <c r="T106" s="17">
        <f t="shared" si="7"/>
        <v>155800</v>
      </c>
      <c r="U106" s="18">
        <v>30000</v>
      </c>
    </row>
    <row r="107" spans="1:21" ht="15.75" customHeight="1" x14ac:dyDescent="0.45">
      <c r="A107" s="5">
        <v>2980</v>
      </c>
      <c r="B107" s="20" t="s">
        <v>16</v>
      </c>
      <c r="C107" s="5" t="str">
        <f t="shared" si="6"/>
        <v>2980 Barnwood Xing, Duluth, GA 30097</v>
      </c>
      <c r="D107" s="5">
        <v>2</v>
      </c>
      <c r="E107" s="5">
        <v>2</v>
      </c>
      <c r="F107" s="6">
        <v>0.11</v>
      </c>
      <c r="G107" s="7">
        <v>946</v>
      </c>
      <c r="H107" s="9">
        <v>41635</v>
      </c>
      <c r="I107" s="10">
        <v>87000</v>
      </c>
      <c r="J107" s="8">
        <v>125500</v>
      </c>
      <c r="K107" s="17">
        <v>97500</v>
      </c>
      <c r="L107" s="18">
        <v>28000</v>
      </c>
      <c r="M107" s="8">
        <v>136400</v>
      </c>
      <c r="N107" s="17">
        <v>106400</v>
      </c>
      <c r="O107" s="18">
        <v>30000</v>
      </c>
      <c r="P107" s="8">
        <v>152800</v>
      </c>
      <c r="Q107" s="17">
        <v>122800</v>
      </c>
      <c r="R107" s="18">
        <v>30000</v>
      </c>
      <c r="S107" s="69">
        <v>169600</v>
      </c>
      <c r="T107" s="17">
        <f t="shared" si="7"/>
        <v>139600</v>
      </c>
      <c r="U107" s="18">
        <v>30000</v>
      </c>
    </row>
    <row r="108" spans="1:21" ht="15.75" customHeight="1" x14ac:dyDescent="0.45">
      <c r="A108" s="5">
        <v>2990</v>
      </c>
      <c r="B108" s="20" t="s">
        <v>16</v>
      </c>
      <c r="C108" s="5" t="str">
        <f t="shared" si="6"/>
        <v>2990 Barnwood Xing, Duluth, GA 30097</v>
      </c>
      <c r="D108" s="5">
        <v>3</v>
      </c>
      <c r="E108" s="5">
        <v>2.5</v>
      </c>
      <c r="F108" s="6">
        <v>0.1</v>
      </c>
      <c r="G108" s="7">
        <v>1256</v>
      </c>
      <c r="H108" s="9">
        <v>42886</v>
      </c>
      <c r="I108" s="10">
        <v>163000</v>
      </c>
      <c r="J108" s="8">
        <v>159000</v>
      </c>
      <c r="K108" s="17">
        <v>131000</v>
      </c>
      <c r="L108" s="18">
        <v>28000</v>
      </c>
      <c r="M108" s="8">
        <v>173000</v>
      </c>
      <c r="N108" s="17">
        <v>143000</v>
      </c>
      <c r="O108" s="18">
        <v>30000</v>
      </c>
      <c r="P108" s="8">
        <v>163000</v>
      </c>
      <c r="Q108" s="17">
        <v>133000</v>
      </c>
      <c r="R108" s="18">
        <v>30000</v>
      </c>
      <c r="S108" s="69">
        <v>212700</v>
      </c>
      <c r="T108" s="17">
        <f t="shared" si="7"/>
        <v>182700</v>
      </c>
      <c r="U108" s="18">
        <v>30000</v>
      </c>
    </row>
    <row r="109" spans="1:21" ht="15.75" customHeight="1" x14ac:dyDescent="0.45">
      <c r="A109" s="5">
        <v>3000</v>
      </c>
      <c r="B109" s="20" t="s">
        <v>16</v>
      </c>
      <c r="C109" s="5" t="str">
        <f t="shared" si="6"/>
        <v>3000 Barnwood Xing, Duluth, GA 30097</v>
      </c>
      <c r="D109" s="5">
        <v>2</v>
      </c>
      <c r="E109" s="5">
        <v>2</v>
      </c>
      <c r="F109" s="6">
        <v>0.11</v>
      </c>
      <c r="G109" s="7">
        <v>1090</v>
      </c>
      <c r="H109" s="9">
        <v>38992</v>
      </c>
      <c r="I109" s="10">
        <v>147500</v>
      </c>
      <c r="J109" s="8">
        <v>132700</v>
      </c>
      <c r="K109" s="17">
        <v>104700</v>
      </c>
      <c r="L109" s="18">
        <v>28000</v>
      </c>
      <c r="M109" s="8">
        <v>144300</v>
      </c>
      <c r="N109" s="17">
        <v>114300</v>
      </c>
      <c r="O109" s="18">
        <v>30000</v>
      </c>
      <c r="P109" s="8">
        <v>161800</v>
      </c>
      <c r="Q109" s="17">
        <v>131800</v>
      </c>
      <c r="R109" s="18">
        <v>30000</v>
      </c>
      <c r="S109" s="69">
        <v>181100</v>
      </c>
      <c r="T109" s="17">
        <f t="shared" si="7"/>
        <v>151100</v>
      </c>
      <c r="U109" s="18">
        <v>30000</v>
      </c>
    </row>
    <row r="110" spans="1:21" ht="15.75" customHeight="1" x14ac:dyDescent="0.45">
      <c r="A110" s="5">
        <v>3005</v>
      </c>
      <c r="B110" s="20" t="s">
        <v>16</v>
      </c>
      <c r="C110" s="5" t="str">
        <f t="shared" si="6"/>
        <v>3005 Barnwood Xing, Duluth, GA 30097</v>
      </c>
      <c r="D110" s="5">
        <v>3</v>
      </c>
      <c r="E110" s="5">
        <v>2.5</v>
      </c>
      <c r="F110" s="6">
        <v>0.15</v>
      </c>
      <c r="G110" s="7">
        <v>1256</v>
      </c>
      <c r="H110" s="9">
        <v>38166</v>
      </c>
      <c r="I110" s="10">
        <v>147500</v>
      </c>
      <c r="J110" s="8">
        <v>159000</v>
      </c>
      <c r="K110" s="17">
        <v>159000</v>
      </c>
      <c r="L110" s="18">
        <v>28000</v>
      </c>
      <c r="M110" s="8">
        <v>173600</v>
      </c>
      <c r="N110" s="17">
        <v>143600</v>
      </c>
      <c r="O110" s="18">
        <v>30000</v>
      </c>
      <c r="P110" s="8">
        <v>195600</v>
      </c>
      <c r="Q110" s="17">
        <v>165600</v>
      </c>
      <c r="R110" s="18">
        <v>30000</v>
      </c>
      <c r="S110" s="69">
        <v>213300</v>
      </c>
      <c r="T110" s="17">
        <f t="shared" si="7"/>
        <v>183300</v>
      </c>
      <c r="U110" s="18">
        <v>30000</v>
      </c>
    </row>
    <row r="111" spans="1:21" ht="15.75" customHeight="1" x14ac:dyDescent="0.45">
      <c r="A111" s="5">
        <v>3010</v>
      </c>
      <c r="B111" s="20" t="s">
        <v>16</v>
      </c>
      <c r="C111" s="5" t="str">
        <f t="shared" si="6"/>
        <v>3010 Barnwood Xing, Duluth, GA 30097</v>
      </c>
      <c r="D111" s="5">
        <v>3</v>
      </c>
      <c r="E111" s="5">
        <v>2.5</v>
      </c>
      <c r="F111" s="6">
        <v>0.11</v>
      </c>
      <c r="G111" s="7">
        <v>1256</v>
      </c>
      <c r="H111" s="9">
        <v>36719</v>
      </c>
      <c r="I111" s="10">
        <v>122000</v>
      </c>
      <c r="J111" s="8">
        <v>159000</v>
      </c>
      <c r="K111" s="17">
        <v>131000</v>
      </c>
      <c r="L111" s="18">
        <v>28000</v>
      </c>
      <c r="M111" s="8">
        <v>173000</v>
      </c>
      <c r="N111" s="17">
        <v>143000</v>
      </c>
      <c r="O111" s="18">
        <v>30000</v>
      </c>
      <c r="P111" s="8">
        <v>195500</v>
      </c>
      <c r="Q111" s="17">
        <v>165500</v>
      </c>
      <c r="R111" s="18">
        <v>30000</v>
      </c>
      <c r="S111" s="69">
        <v>212700</v>
      </c>
      <c r="T111" s="17">
        <f t="shared" si="7"/>
        <v>182700</v>
      </c>
      <c r="U111" s="18">
        <v>30000</v>
      </c>
    </row>
    <row r="112" spans="1:21" ht="15.75" customHeight="1" x14ac:dyDescent="0.45">
      <c r="A112" s="5">
        <v>3015</v>
      </c>
      <c r="B112" s="20" t="s">
        <v>16</v>
      </c>
      <c r="C112" s="5" t="str">
        <f t="shared" si="6"/>
        <v>3015 Barnwood Xing, Duluth, GA 30097</v>
      </c>
      <c r="D112" s="5">
        <v>2</v>
      </c>
      <c r="E112" s="5">
        <v>2</v>
      </c>
      <c r="F112" s="6">
        <v>0.1</v>
      </c>
      <c r="G112" s="7">
        <v>888</v>
      </c>
      <c r="H112" s="9">
        <v>42636</v>
      </c>
      <c r="I112" s="10">
        <v>149000</v>
      </c>
      <c r="J112" s="8">
        <v>123900</v>
      </c>
      <c r="K112" s="17">
        <v>95900</v>
      </c>
      <c r="L112" s="18">
        <v>28000</v>
      </c>
      <c r="M112" s="8">
        <v>134700</v>
      </c>
      <c r="N112" s="17">
        <v>104700</v>
      </c>
      <c r="O112" s="18">
        <v>30000</v>
      </c>
      <c r="P112" s="8">
        <v>150700</v>
      </c>
      <c r="Q112" s="17">
        <v>120700</v>
      </c>
      <c r="R112" s="18">
        <v>30000</v>
      </c>
      <c r="S112" s="69">
        <v>166800</v>
      </c>
      <c r="T112" s="17">
        <f t="shared" si="7"/>
        <v>136800</v>
      </c>
      <c r="U112" s="18">
        <v>30000</v>
      </c>
    </row>
    <row r="113" spans="1:21" ht="15.75" customHeight="1" x14ac:dyDescent="0.45">
      <c r="A113" s="5">
        <v>3020</v>
      </c>
      <c r="B113" s="20" t="s">
        <v>16</v>
      </c>
      <c r="C113" s="5" t="str">
        <f t="shared" si="6"/>
        <v>3020 Barnwood Xing, Duluth, GA 30097</v>
      </c>
      <c r="D113" s="5">
        <v>3</v>
      </c>
      <c r="E113" s="5">
        <v>2</v>
      </c>
      <c r="F113" s="6">
        <v>0.11</v>
      </c>
      <c r="G113" s="7">
        <v>971</v>
      </c>
      <c r="H113" s="9">
        <v>41592</v>
      </c>
      <c r="I113" s="10">
        <v>115161</v>
      </c>
      <c r="J113" s="8">
        <v>131000</v>
      </c>
      <c r="K113" s="17">
        <v>103000</v>
      </c>
      <c r="L113" s="18">
        <v>28000</v>
      </c>
      <c r="M113" s="8">
        <v>142400</v>
      </c>
      <c r="N113" s="17">
        <v>112400</v>
      </c>
      <c r="O113" s="18">
        <v>30000</v>
      </c>
      <c r="P113" s="8">
        <v>159700</v>
      </c>
      <c r="Q113" s="17">
        <v>129700</v>
      </c>
      <c r="R113" s="18">
        <v>30000</v>
      </c>
      <c r="S113" s="69">
        <v>177700</v>
      </c>
      <c r="T113" s="17">
        <f t="shared" si="7"/>
        <v>147700</v>
      </c>
      <c r="U113" s="18">
        <v>30000</v>
      </c>
    </row>
    <row r="114" spans="1:21" ht="15.75" customHeight="1" x14ac:dyDescent="0.45">
      <c r="A114" s="5">
        <v>3025</v>
      </c>
      <c r="B114" s="20" t="s">
        <v>16</v>
      </c>
      <c r="C114" s="5" t="str">
        <f t="shared" si="6"/>
        <v>3025 Barnwood Xing, Duluth, GA 30097</v>
      </c>
      <c r="D114" s="5">
        <v>3</v>
      </c>
      <c r="E114" s="5">
        <v>1</v>
      </c>
      <c r="F114" s="6">
        <v>0.1</v>
      </c>
      <c r="G114" s="7">
        <v>1298</v>
      </c>
      <c r="H114" s="9">
        <v>38216</v>
      </c>
      <c r="I114" s="10">
        <v>140000</v>
      </c>
      <c r="J114" s="8">
        <v>140100</v>
      </c>
      <c r="K114" s="17">
        <v>115100</v>
      </c>
      <c r="L114" s="18">
        <v>28000</v>
      </c>
      <c r="M114" s="8">
        <v>172100</v>
      </c>
      <c r="N114" s="17">
        <v>142100</v>
      </c>
      <c r="O114" s="18">
        <v>30000</v>
      </c>
      <c r="P114" s="8">
        <v>194000</v>
      </c>
      <c r="Q114" s="17">
        <v>164000</v>
      </c>
      <c r="R114" s="18">
        <v>30000</v>
      </c>
      <c r="S114" s="69">
        <v>206500</v>
      </c>
      <c r="T114" s="17">
        <f t="shared" si="7"/>
        <v>176500</v>
      </c>
      <c r="U114" s="18">
        <v>30000</v>
      </c>
    </row>
    <row r="115" spans="1:21" ht="15.75" customHeight="1" x14ac:dyDescent="0.45">
      <c r="A115" s="5">
        <v>3030</v>
      </c>
      <c r="B115" s="20" t="s">
        <v>16</v>
      </c>
      <c r="C115" s="5" t="str">
        <f t="shared" si="6"/>
        <v>3030 Barnwood Xing, Duluth, GA 30097</v>
      </c>
      <c r="D115" s="5">
        <v>3</v>
      </c>
      <c r="E115" s="5">
        <v>2</v>
      </c>
      <c r="F115" s="6">
        <v>0.11</v>
      </c>
      <c r="G115" s="7">
        <v>1440</v>
      </c>
      <c r="H115" s="9">
        <v>40835</v>
      </c>
      <c r="I115" s="10">
        <v>85000</v>
      </c>
      <c r="J115" s="8">
        <v>170500</v>
      </c>
      <c r="K115" s="17">
        <v>142500</v>
      </c>
      <c r="L115" s="18">
        <v>28000</v>
      </c>
      <c r="M115" s="8">
        <v>187500</v>
      </c>
      <c r="N115" s="17">
        <v>157500</v>
      </c>
      <c r="O115" s="18">
        <v>30000</v>
      </c>
      <c r="P115" s="8">
        <v>211800</v>
      </c>
      <c r="Q115" s="17">
        <v>181800</v>
      </c>
      <c r="R115" s="18">
        <v>30000</v>
      </c>
      <c r="S115" s="69">
        <v>227800</v>
      </c>
      <c r="T115" s="17">
        <f t="shared" si="7"/>
        <v>197800</v>
      </c>
      <c r="U115" s="18">
        <v>30000</v>
      </c>
    </row>
    <row r="116" spans="1:21" ht="15.75" customHeight="1" x14ac:dyDescent="0.45">
      <c r="A116" s="5">
        <v>3035</v>
      </c>
      <c r="B116" s="20" t="s">
        <v>16</v>
      </c>
      <c r="C116" s="5" t="str">
        <f t="shared" si="6"/>
        <v>3035 Barnwood Xing, Duluth, GA 30097</v>
      </c>
      <c r="D116" s="5">
        <v>2</v>
      </c>
      <c r="E116" s="5">
        <v>2</v>
      </c>
      <c r="F116" s="6">
        <v>0.11</v>
      </c>
      <c r="G116" s="7">
        <v>1176</v>
      </c>
      <c r="H116" s="9">
        <v>42123</v>
      </c>
      <c r="I116" s="10">
        <v>123000</v>
      </c>
      <c r="J116" s="8">
        <v>123000</v>
      </c>
      <c r="K116" s="17">
        <v>95000</v>
      </c>
      <c r="L116" s="18">
        <v>28000</v>
      </c>
      <c r="M116" s="8">
        <v>155000</v>
      </c>
      <c r="N116" s="17">
        <v>125000</v>
      </c>
      <c r="O116" s="18">
        <v>30000</v>
      </c>
      <c r="P116" s="8">
        <v>174300</v>
      </c>
      <c r="Q116" s="17">
        <v>144300</v>
      </c>
      <c r="R116" s="18">
        <v>30000</v>
      </c>
      <c r="S116" s="69">
        <v>194200</v>
      </c>
      <c r="T116" s="17">
        <f t="shared" si="7"/>
        <v>164200</v>
      </c>
      <c r="U116" s="18">
        <v>30000</v>
      </c>
    </row>
    <row r="117" spans="1:21" ht="15.75" customHeight="1" x14ac:dyDescent="0.45">
      <c r="A117" s="5">
        <v>3040</v>
      </c>
      <c r="B117" s="20" t="s">
        <v>16</v>
      </c>
      <c r="C117" s="5" t="str">
        <f t="shared" si="6"/>
        <v>3040 Barnwood Xing, Duluth, GA 30097</v>
      </c>
      <c r="D117" s="5">
        <v>2</v>
      </c>
      <c r="E117" s="5">
        <v>2</v>
      </c>
      <c r="F117" s="6">
        <v>0.11</v>
      </c>
      <c r="G117" s="7">
        <v>971</v>
      </c>
      <c r="H117" s="9">
        <v>41365</v>
      </c>
      <c r="I117" s="10">
        <v>75000</v>
      </c>
      <c r="J117" s="8">
        <v>138100</v>
      </c>
      <c r="K117" s="17">
        <v>110100</v>
      </c>
      <c r="L117" s="18">
        <v>28000</v>
      </c>
      <c r="M117" s="8">
        <v>149300</v>
      </c>
      <c r="N117" s="17">
        <v>119300</v>
      </c>
      <c r="O117" s="18">
        <v>30000</v>
      </c>
      <c r="P117" s="8">
        <v>166000</v>
      </c>
      <c r="Q117" s="17">
        <v>136000</v>
      </c>
      <c r="R117" s="18">
        <v>30000</v>
      </c>
      <c r="S117" s="69">
        <v>186800</v>
      </c>
      <c r="T117" s="17">
        <f t="shared" si="7"/>
        <v>156800</v>
      </c>
      <c r="U117" s="18">
        <v>30000</v>
      </c>
    </row>
    <row r="118" spans="1:21" ht="15.75" customHeight="1" x14ac:dyDescent="0.45">
      <c r="A118" s="5">
        <v>3045</v>
      </c>
      <c r="B118" s="20" t="s">
        <v>16</v>
      </c>
      <c r="C118" s="5" t="str">
        <f t="shared" si="6"/>
        <v>3045 Barnwood Xing, Duluth, GA 30097</v>
      </c>
      <c r="D118" s="5">
        <v>3</v>
      </c>
      <c r="E118" s="5">
        <v>1</v>
      </c>
      <c r="F118" s="6">
        <v>0.11</v>
      </c>
      <c r="G118" s="7">
        <v>888</v>
      </c>
      <c r="H118" s="9">
        <v>35811</v>
      </c>
      <c r="I118" s="10">
        <v>83000</v>
      </c>
      <c r="J118" s="8">
        <v>117400</v>
      </c>
      <c r="K118" s="17">
        <v>89400</v>
      </c>
      <c r="L118" s="18">
        <v>28000</v>
      </c>
      <c r="M118" s="8">
        <v>128900</v>
      </c>
      <c r="N118" s="17">
        <v>98900</v>
      </c>
      <c r="O118" s="18">
        <v>30000</v>
      </c>
      <c r="P118" s="8">
        <v>144100</v>
      </c>
      <c r="Q118" s="17">
        <v>114100</v>
      </c>
      <c r="R118" s="18">
        <v>30000</v>
      </c>
      <c r="S118" s="69">
        <v>155500</v>
      </c>
      <c r="T118" s="17">
        <f t="shared" si="7"/>
        <v>125500</v>
      </c>
      <c r="U118" s="18">
        <v>30000</v>
      </c>
    </row>
    <row r="119" spans="1:21" ht="15.75" customHeight="1" x14ac:dyDescent="0.45">
      <c r="A119" s="5">
        <v>3050</v>
      </c>
      <c r="B119" s="20" t="s">
        <v>16</v>
      </c>
      <c r="C119" s="5" t="str">
        <f t="shared" si="6"/>
        <v>3050 Barnwood Xing, Duluth, GA 30097</v>
      </c>
      <c r="D119" s="5">
        <v>3</v>
      </c>
      <c r="E119" s="5">
        <v>2</v>
      </c>
      <c r="F119" s="6">
        <v>0.1</v>
      </c>
      <c r="G119" s="7">
        <v>1123</v>
      </c>
      <c r="H119" s="9">
        <v>43004</v>
      </c>
      <c r="I119" s="10">
        <v>155000</v>
      </c>
      <c r="J119" s="8">
        <v>135300</v>
      </c>
      <c r="K119" s="17">
        <v>107300</v>
      </c>
      <c r="L119" s="18">
        <v>28000</v>
      </c>
      <c r="M119" s="8">
        <v>147200</v>
      </c>
      <c r="N119" s="17">
        <v>117200</v>
      </c>
      <c r="O119" s="18">
        <v>30000</v>
      </c>
      <c r="P119" s="8">
        <v>155000</v>
      </c>
      <c r="Q119" s="17">
        <v>125000</v>
      </c>
      <c r="R119" s="18">
        <v>30000</v>
      </c>
      <c r="S119" s="69">
        <v>185100</v>
      </c>
      <c r="T119" s="17">
        <f t="shared" si="7"/>
        <v>155100</v>
      </c>
      <c r="U119" s="18">
        <v>30000</v>
      </c>
    </row>
    <row r="120" spans="1:21" ht="15.75" customHeight="1" x14ac:dyDescent="0.45">
      <c r="A120" s="5">
        <v>3055</v>
      </c>
      <c r="B120" s="20" t="s">
        <v>16</v>
      </c>
      <c r="C120" s="5" t="str">
        <f t="shared" si="6"/>
        <v>3055 Barnwood Xing, Duluth, GA 30097</v>
      </c>
      <c r="D120" s="5">
        <v>2</v>
      </c>
      <c r="E120" s="5">
        <v>2</v>
      </c>
      <c r="F120" s="6">
        <v>0.11</v>
      </c>
      <c r="G120" s="7">
        <v>1248</v>
      </c>
      <c r="H120" s="9">
        <v>39422</v>
      </c>
      <c r="I120" s="10">
        <v>163000</v>
      </c>
      <c r="J120" s="8">
        <v>159400</v>
      </c>
      <c r="K120" s="17">
        <v>131400</v>
      </c>
      <c r="L120" s="18">
        <v>28000</v>
      </c>
      <c r="M120" s="8">
        <v>175300</v>
      </c>
      <c r="N120" s="17">
        <v>145300</v>
      </c>
      <c r="O120" s="18">
        <v>30000</v>
      </c>
      <c r="P120" s="8">
        <v>197600</v>
      </c>
      <c r="Q120" s="17">
        <v>167600</v>
      </c>
      <c r="R120" s="18">
        <v>30000</v>
      </c>
      <c r="S120" s="69">
        <v>212500</v>
      </c>
      <c r="T120" s="17">
        <f t="shared" si="7"/>
        <v>182500</v>
      </c>
      <c r="U120" s="18">
        <v>30000</v>
      </c>
    </row>
    <row r="121" spans="1:21" ht="15.75" customHeight="1" x14ac:dyDescent="0.45">
      <c r="A121" s="5">
        <v>3060</v>
      </c>
      <c r="B121" s="20" t="s">
        <v>16</v>
      </c>
      <c r="C121" s="5" t="str">
        <f t="shared" si="6"/>
        <v>3060 Barnwood Xing, Duluth, GA 30097</v>
      </c>
      <c r="D121" s="5">
        <v>2</v>
      </c>
      <c r="E121" s="5">
        <v>2</v>
      </c>
      <c r="F121" s="6">
        <v>0.11</v>
      </c>
      <c r="G121" s="7">
        <v>971</v>
      </c>
      <c r="H121" s="9">
        <v>39402</v>
      </c>
      <c r="I121" s="10">
        <v>112000</v>
      </c>
      <c r="J121" s="8">
        <v>128200</v>
      </c>
      <c r="K121" s="17">
        <v>100200</v>
      </c>
      <c r="L121" s="18">
        <v>28000</v>
      </c>
      <c r="M121" s="8">
        <v>139400</v>
      </c>
      <c r="N121" s="17">
        <v>109400</v>
      </c>
      <c r="O121" s="18">
        <v>30000</v>
      </c>
      <c r="P121" s="8">
        <v>156200</v>
      </c>
      <c r="Q121" s="17">
        <v>126200</v>
      </c>
      <c r="R121" s="18">
        <v>30000</v>
      </c>
      <c r="S121" s="69">
        <v>173000</v>
      </c>
      <c r="T121" s="17">
        <f t="shared" si="7"/>
        <v>143000</v>
      </c>
      <c r="U121" s="18">
        <v>30000</v>
      </c>
    </row>
    <row r="122" spans="1:21" ht="15.75" customHeight="1" x14ac:dyDescent="0.45">
      <c r="A122" s="5">
        <v>3065</v>
      </c>
      <c r="B122" s="20" t="s">
        <v>16</v>
      </c>
      <c r="C122" s="5" t="str">
        <f t="shared" si="6"/>
        <v>3065 Barnwood Xing, Duluth, GA 30097</v>
      </c>
      <c r="D122" s="5">
        <v>2</v>
      </c>
      <c r="E122" s="5">
        <v>2</v>
      </c>
      <c r="F122" s="6">
        <v>0.12</v>
      </c>
      <c r="G122" s="7">
        <v>836</v>
      </c>
      <c r="H122" s="9">
        <v>42901</v>
      </c>
      <c r="I122" s="10">
        <v>149000</v>
      </c>
      <c r="J122" s="8">
        <v>117200</v>
      </c>
      <c r="K122" s="17">
        <v>89200</v>
      </c>
      <c r="L122" s="18">
        <v>28000</v>
      </c>
      <c r="M122" s="8">
        <v>128600</v>
      </c>
      <c r="N122" s="17">
        <v>98600</v>
      </c>
      <c r="O122" s="18">
        <v>30000</v>
      </c>
      <c r="P122" s="8">
        <v>143800</v>
      </c>
      <c r="Q122" s="17">
        <v>113800</v>
      </c>
      <c r="R122" s="18">
        <v>30000</v>
      </c>
      <c r="S122" s="69">
        <v>158700</v>
      </c>
      <c r="T122" s="17">
        <f t="shared" si="7"/>
        <v>128700</v>
      </c>
      <c r="U122" s="18">
        <v>30000</v>
      </c>
    </row>
    <row r="123" spans="1:21" ht="15.75" customHeight="1" x14ac:dyDescent="0.45">
      <c r="A123" s="5">
        <v>3070</v>
      </c>
      <c r="B123" s="20" t="s">
        <v>16</v>
      </c>
      <c r="C123" s="5" t="str">
        <f t="shared" si="6"/>
        <v>3070 Barnwood Xing, Duluth, GA 30097</v>
      </c>
      <c r="D123" s="5">
        <v>2</v>
      </c>
      <c r="E123" s="5">
        <v>2</v>
      </c>
      <c r="F123" s="6">
        <v>0.11</v>
      </c>
      <c r="G123" s="7">
        <v>912</v>
      </c>
      <c r="H123" s="9">
        <v>41745</v>
      </c>
      <c r="I123" s="10">
        <v>116500</v>
      </c>
      <c r="J123" s="8">
        <v>125100</v>
      </c>
      <c r="K123" s="17">
        <v>97100</v>
      </c>
      <c r="L123" s="18">
        <v>28000</v>
      </c>
      <c r="M123" s="8">
        <v>137400</v>
      </c>
      <c r="N123" s="17">
        <v>107400</v>
      </c>
      <c r="O123" s="18">
        <v>30000</v>
      </c>
      <c r="P123" s="8">
        <v>153900</v>
      </c>
      <c r="Q123" s="17">
        <v>123900</v>
      </c>
      <c r="R123" s="18">
        <v>30000</v>
      </c>
      <c r="S123" s="69">
        <v>168600</v>
      </c>
      <c r="T123" s="17">
        <f t="shared" si="7"/>
        <v>138600</v>
      </c>
      <c r="U123" s="18">
        <v>30000</v>
      </c>
    </row>
    <row r="124" spans="1:21" ht="15.75" customHeight="1" x14ac:dyDescent="0.45">
      <c r="A124" s="5">
        <v>3075</v>
      </c>
      <c r="B124" s="20" t="s">
        <v>16</v>
      </c>
      <c r="C124" s="5" t="str">
        <f t="shared" si="6"/>
        <v>3075 Barnwood Xing, Duluth, GA 30097</v>
      </c>
      <c r="D124" s="5">
        <v>2</v>
      </c>
      <c r="E124" s="5">
        <v>2</v>
      </c>
      <c r="F124" s="6">
        <v>0.12</v>
      </c>
      <c r="G124" s="7">
        <v>912</v>
      </c>
      <c r="H124" s="9">
        <v>39217</v>
      </c>
      <c r="I124" s="10">
        <v>146470</v>
      </c>
      <c r="J124" s="8">
        <v>126000</v>
      </c>
      <c r="K124" s="17">
        <v>98000</v>
      </c>
      <c r="L124" s="18">
        <v>28000</v>
      </c>
      <c r="M124" s="8">
        <v>137000</v>
      </c>
      <c r="N124" s="17">
        <v>107000</v>
      </c>
      <c r="O124" s="18">
        <v>30000</v>
      </c>
      <c r="P124" s="8">
        <v>153500</v>
      </c>
      <c r="Q124" s="17">
        <v>123500</v>
      </c>
      <c r="R124" s="18">
        <v>30000</v>
      </c>
      <c r="S124" s="69">
        <v>170100</v>
      </c>
      <c r="T124" s="17">
        <f t="shared" si="7"/>
        <v>140100</v>
      </c>
      <c r="U124" s="18">
        <v>30000</v>
      </c>
    </row>
    <row r="125" spans="1:21" ht="15.75" customHeight="1" x14ac:dyDescent="0.45">
      <c r="A125" s="5">
        <v>3080</v>
      </c>
      <c r="B125" s="20" t="s">
        <v>16</v>
      </c>
      <c r="C125" s="5" t="str">
        <f t="shared" si="6"/>
        <v>3080 Barnwood Xing, Duluth, GA 30097</v>
      </c>
      <c r="D125" s="5">
        <v>3</v>
      </c>
      <c r="E125" s="5">
        <v>2.5</v>
      </c>
      <c r="F125" s="6">
        <v>0.11</v>
      </c>
      <c r="G125" s="7">
        <v>1496</v>
      </c>
      <c r="H125" s="9">
        <v>43165</v>
      </c>
      <c r="I125" s="10">
        <v>163000</v>
      </c>
      <c r="J125" s="8">
        <v>174400</v>
      </c>
      <c r="K125" s="17">
        <v>146400</v>
      </c>
      <c r="L125" s="18">
        <v>28000</v>
      </c>
      <c r="M125" s="8">
        <v>189900</v>
      </c>
      <c r="N125" s="17">
        <v>189900</v>
      </c>
      <c r="O125" s="18">
        <v>30000</v>
      </c>
      <c r="P125" s="8">
        <v>214400</v>
      </c>
      <c r="Q125" s="17">
        <v>184400</v>
      </c>
      <c r="R125" s="18">
        <v>30000</v>
      </c>
      <c r="S125" s="69">
        <v>163000</v>
      </c>
      <c r="T125" s="17">
        <f t="shared" si="7"/>
        <v>133000</v>
      </c>
      <c r="U125" s="18">
        <v>30000</v>
      </c>
    </row>
    <row r="126" spans="1:21" ht="15.75" customHeight="1" x14ac:dyDescent="0.45">
      <c r="A126" s="5">
        <v>3085</v>
      </c>
      <c r="B126" s="20" t="s">
        <v>16</v>
      </c>
      <c r="C126" s="5" t="str">
        <f t="shared" si="6"/>
        <v>3085 Barnwood Xing, Duluth, GA 30097</v>
      </c>
      <c r="D126" s="5">
        <v>3</v>
      </c>
      <c r="E126" s="5">
        <v>2</v>
      </c>
      <c r="F126" s="6">
        <v>0.13</v>
      </c>
      <c r="G126" s="7">
        <v>1002</v>
      </c>
      <c r="H126" s="9">
        <v>41530</v>
      </c>
      <c r="I126" s="10">
        <v>123900</v>
      </c>
      <c r="J126" s="8">
        <v>130300</v>
      </c>
      <c r="K126" s="17">
        <v>102300</v>
      </c>
      <c r="L126" s="18">
        <v>28000</v>
      </c>
      <c r="M126" s="8">
        <v>143000</v>
      </c>
      <c r="N126" s="17">
        <v>113000</v>
      </c>
      <c r="O126" s="18">
        <v>30000</v>
      </c>
      <c r="P126" s="8">
        <v>160300</v>
      </c>
      <c r="Q126" s="17">
        <v>130300</v>
      </c>
      <c r="R126" s="18">
        <v>30000</v>
      </c>
      <c r="S126" s="69">
        <v>176100</v>
      </c>
      <c r="T126" s="17">
        <f t="shared" si="7"/>
        <v>146100</v>
      </c>
      <c r="U126" s="18">
        <v>30000</v>
      </c>
    </row>
    <row r="127" spans="1:21" ht="15.75" customHeight="1" x14ac:dyDescent="0.45">
      <c r="A127" s="5">
        <v>3090</v>
      </c>
      <c r="B127" s="20" t="s">
        <v>16</v>
      </c>
      <c r="C127" s="5" t="str">
        <f t="shared" si="6"/>
        <v>3090 Barnwood Xing, Duluth, GA 30097</v>
      </c>
      <c r="D127" s="5">
        <v>2</v>
      </c>
      <c r="E127" s="5">
        <v>2</v>
      </c>
      <c r="F127" s="6">
        <v>0.11</v>
      </c>
      <c r="G127" s="7">
        <v>888</v>
      </c>
      <c r="H127" s="9">
        <v>40007</v>
      </c>
      <c r="I127" s="10">
        <v>102500</v>
      </c>
      <c r="J127" s="8">
        <v>125500</v>
      </c>
      <c r="K127" s="17">
        <v>97500</v>
      </c>
      <c r="L127" s="18">
        <v>28000</v>
      </c>
      <c r="M127" s="8">
        <v>136500</v>
      </c>
      <c r="N127" s="17">
        <v>106500</v>
      </c>
      <c r="O127" s="18">
        <v>30000</v>
      </c>
      <c r="P127" s="8">
        <v>152800</v>
      </c>
      <c r="Q127" s="17">
        <v>122800</v>
      </c>
      <c r="R127" s="18">
        <v>30000</v>
      </c>
      <c r="S127" s="69">
        <v>169100</v>
      </c>
      <c r="T127" s="17">
        <f t="shared" si="7"/>
        <v>139100</v>
      </c>
      <c r="U127" s="18">
        <v>30000</v>
      </c>
    </row>
    <row r="128" spans="1:21" ht="15.75" customHeight="1" x14ac:dyDescent="0.45">
      <c r="A128" s="5">
        <v>3095</v>
      </c>
      <c r="B128" s="20" t="s">
        <v>16</v>
      </c>
      <c r="C128" s="5" t="str">
        <f t="shared" si="6"/>
        <v>3095 Barnwood Xing, Duluth, GA 30097</v>
      </c>
      <c r="D128" s="5">
        <v>2</v>
      </c>
      <c r="E128" s="5">
        <v>2</v>
      </c>
      <c r="F128" s="6">
        <v>0.13</v>
      </c>
      <c r="G128" s="7">
        <v>1226</v>
      </c>
      <c r="H128" s="9">
        <v>42769</v>
      </c>
      <c r="I128" s="10">
        <v>159500</v>
      </c>
      <c r="J128" s="8">
        <v>137500</v>
      </c>
      <c r="K128" s="17">
        <v>109500</v>
      </c>
      <c r="L128" s="18">
        <v>28000</v>
      </c>
      <c r="M128" s="8">
        <v>151000</v>
      </c>
      <c r="N128" s="17">
        <v>121000</v>
      </c>
      <c r="O128" s="18">
        <v>30000</v>
      </c>
      <c r="P128" s="8">
        <v>159500</v>
      </c>
      <c r="Q128" s="17">
        <v>129500</v>
      </c>
      <c r="R128" s="18">
        <v>30000</v>
      </c>
      <c r="S128" s="69">
        <v>189100</v>
      </c>
      <c r="T128" s="17">
        <f t="shared" si="7"/>
        <v>159100</v>
      </c>
      <c r="U128" s="18">
        <v>30000</v>
      </c>
    </row>
    <row r="129" spans="1:21" ht="15.75" customHeight="1" x14ac:dyDescent="0.45">
      <c r="A129" s="5">
        <v>3100</v>
      </c>
      <c r="B129" s="20" t="s">
        <v>16</v>
      </c>
      <c r="C129" s="5" t="str">
        <f t="shared" si="6"/>
        <v>3100 Barnwood Xing, Duluth, GA 30097</v>
      </c>
      <c r="D129" s="5">
        <v>2</v>
      </c>
      <c r="E129" s="5">
        <v>2</v>
      </c>
      <c r="F129" s="6">
        <v>0.09</v>
      </c>
      <c r="G129" s="7">
        <v>836</v>
      </c>
      <c r="H129" s="9">
        <v>34057</v>
      </c>
      <c r="I129" s="10">
        <v>68000</v>
      </c>
      <c r="J129" s="8">
        <v>112100</v>
      </c>
      <c r="K129" s="17">
        <v>84100</v>
      </c>
      <c r="L129" s="18">
        <v>28000</v>
      </c>
      <c r="M129" s="8">
        <v>123000</v>
      </c>
      <c r="N129" s="17">
        <v>93000</v>
      </c>
      <c r="O129" s="18">
        <v>30000</v>
      </c>
      <c r="P129" s="8">
        <v>137300</v>
      </c>
      <c r="Q129" s="17">
        <v>107300</v>
      </c>
      <c r="R129" s="18">
        <v>30000</v>
      </c>
      <c r="S129" s="69">
        <v>149600</v>
      </c>
      <c r="T129" s="17">
        <f t="shared" si="7"/>
        <v>119600</v>
      </c>
      <c r="U129" s="18">
        <v>30000</v>
      </c>
    </row>
    <row r="130" spans="1:21" ht="15.75" customHeight="1" x14ac:dyDescent="0.45">
      <c r="A130" s="5">
        <v>3105</v>
      </c>
      <c r="B130" s="20" t="s">
        <v>16</v>
      </c>
      <c r="C130" s="5" t="str">
        <f t="shared" si="6"/>
        <v>3105 Barnwood Xing, Duluth, GA 30097</v>
      </c>
      <c r="D130" s="5">
        <v>2</v>
      </c>
      <c r="E130" s="5">
        <v>2</v>
      </c>
      <c r="F130" s="6">
        <v>0.22</v>
      </c>
      <c r="G130" s="7">
        <v>1182</v>
      </c>
      <c r="H130" s="9">
        <v>39010</v>
      </c>
      <c r="I130" s="10">
        <v>143000</v>
      </c>
      <c r="J130" s="8">
        <v>137000</v>
      </c>
      <c r="K130" s="17">
        <v>109000</v>
      </c>
      <c r="L130" s="18">
        <v>28000</v>
      </c>
      <c r="M130" s="8">
        <v>148900</v>
      </c>
      <c r="N130" s="17">
        <v>118900</v>
      </c>
      <c r="O130" s="18">
        <v>30000</v>
      </c>
      <c r="P130" s="8">
        <v>167200</v>
      </c>
      <c r="Q130" s="17">
        <v>137200</v>
      </c>
      <c r="R130" s="18">
        <v>30000</v>
      </c>
      <c r="S130" s="69">
        <v>189600</v>
      </c>
      <c r="T130" s="17">
        <f t="shared" si="7"/>
        <v>159600</v>
      </c>
      <c r="U130" s="18">
        <v>30000</v>
      </c>
    </row>
    <row r="131" spans="1:21" ht="15.75" customHeight="1" x14ac:dyDescent="0.45">
      <c r="A131" s="5">
        <v>3110</v>
      </c>
      <c r="B131" s="20" t="s">
        <v>16</v>
      </c>
      <c r="C131" s="5" t="str">
        <f t="shared" si="6"/>
        <v>3110 Barnwood Xing, Duluth, GA 30097</v>
      </c>
      <c r="D131" s="5">
        <v>2</v>
      </c>
      <c r="E131" s="5">
        <v>2</v>
      </c>
      <c r="F131" s="6">
        <v>0.14000000000000001</v>
      </c>
      <c r="G131" s="7">
        <v>966</v>
      </c>
      <c r="H131" s="9">
        <v>42664</v>
      </c>
      <c r="I131" s="10">
        <v>135500</v>
      </c>
      <c r="J131" s="8">
        <v>119900</v>
      </c>
      <c r="K131" s="17">
        <v>91900</v>
      </c>
      <c r="L131" s="18">
        <v>28000</v>
      </c>
      <c r="M131" s="8">
        <v>135500</v>
      </c>
      <c r="N131" s="17">
        <v>105500</v>
      </c>
      <c r="O131" s="18">
        <v>30000</v>
      </c>
      <c r="P131" s="8">
        <v>165100</v>
      </c>
      <c r="Q131" s="17">
        <v>135100</v>
      </c>
      <c r="R131" s="18">
        <v>30000</v>
      </c>
      <c r="S131" s="69">
        <v>183400</v>
      </c>
      <c r="T131" s="17">
        <f t="shared" si="7"/>
        <v>153400</v>
      </c>
      <c r="U131" s="18">
        <v>30000</v>
      </c>
    </row>
    <row r="132" spans="1:21" ht="15.75" customHeight="1" x14ac:dyDescent="0.45">
      <c r="A132" s="5">
        <v>3115</v>
      </c>
      <c r="B132" s="20" t="s">
        <v>16</v>
      </c>
      <c r="C132" s="5" t="str">
        <f t="shared" si="6"/>
        <v>3115 Barnwood Xing, Duluth, GA 30097</v>
      </c>
      <c r="D132" s="5">
        <v>3</v>
      </c>
      <c r="E132" s="5">
        <v>2.5</v>
      </c>
      <c r="F132" s="6">
        <v>0.12</v>
      </c>
      <c r="G132" s="7">
        <v>1208</v>
      </c>
      <c r="H132" s="9">
        <v>41750</v>
      </c>
      <c r="I132" s="10">
        <v>131500</v>
      </c>
      <c r="J132" s="8">
        <v>156300</v>
      </c>
      <c r="K132" s="17">
        <v>128300</v>
      </c>
      <c r="L132" s="18">
        <v>28000</v>
      </c>
      <c r="M132" s="8">
        <v>164300</v>
      </c>
      <c r="N132" s="17">
        <v>134300</v>
      </c>
      <c r="O132" s="18">
        <v>30000</v>
      </c>
      <c r="P132" s="8">
        <v>164300</v>
      </c>
      <c r="Q132" s="17">
        <v>134300</v>
      </c>
      <c r="R132" s="18">
        <v>30000</v>
      </c>
      <c r="S132" s="69">
        <v>164300</v>
      </c>
      <c r="T132" s="17">
        <f t="shared" si="7"/>
        <v>134300</v>
      </c>
      <c r="U132" s="18">
        <v>30000</v>
      </c>
    </row>
    <row r="133" spans="1:21" ht="15.75" customHeight="1" x14ac:dyDescent="0.45">
      <c r="A133" s="5">
        <v>3120</v>
      </c>
      <c r="B133" s="20" t="s">
        <v>16</v>
      </c>
      <c r="C133" s="5" t="str">
        <f t="shared" ref="C133:C164" si="8">CONCATENATE($A133," ",$B133,", Duluth, GA 30097")</f>
        <v>3120 Barnwood Xing, Duluth, GA 30097</v>
      </c>
      <c r="D133" s="5">
        <v>3</v>
      </c>
      <c r="E133" s="5">
        <v>2.5</v>
      </c>
      <c r="F133" s="6">
        <v>0.19</v>
      </c>
      <c r="G133" s="7">
        <v>1256</v>
      </c>
      <c r="H133" s="9">
        <v>34462</v>
      </c>
      <c r="I133" s="10">
        <v>86000</v>
      </c>
      <c r="J133" s="8">
        <v>159000</v>
      </c>
      <c r="K133" s="17">
        <v>131000</v>
      </c>
      <c r="L133" s="18">
        <v>28000</v>
      </c>
      <c r="M133" s="8">
        <v>173000</v>
      </c>
      <c r="N133" s="17">
        <v>143000</v>
      </c>
      <c r="O133" s="18">
        <v>30000</v>
      </c>
      <c r="P133" s="8">
        <v>195000</v>
      </c>
      <c r="Q133" s="17">
        <v>165000</v>
      </c>
      <c r="R133" s="18">
        <v>30000</v>
      </c>
      <c r="S133" s="69">
        <v>212700</v>
      </c>
      <c r="T133" s="17">
        <f t="shared" ref="T133:T164" si="9">S133-U133</f>
        <v>182700</v>
      </c>
      <c r="U133" s="18">
        <v>30000</v>
      </c>
    </row>
    <row r="134" spans="1:21" ht="15.75" customHeight="1" x14ac:dyDescent="0.45">
      <c r="A134" s="5">
        <v>3125</v>
      </c>
      <c r="B134" s="20" t="s">
        <v>16</v>
      </c>
      <c r="C134" s="5" t="str">
        <f t="shared" si="8"/>
        <v>3125 Barnwood Xing, Duluth, GA 30097</v>
      </c>
      <c r="D134" s="5">
        <v>3</v>
      </c>
      <c r="E134" s="5">
        <v>2.5</v>
      </c>
      <c r="F134" s="6">
        <v>0.16</v>
      </c>
      <c r="G134" s="7">
        <v>1232</v>
      </c>
      <c r="H134" s="9">
        <v>43299</v>
      </c>
      <c r="I134" s="10">
        <v>164000</v>
      </c>
      <c r="J134" s="8">
        <v>155100</v>
      </c>
      <c r="K134" s="17">
        <v>127100</v>
      </c>
      <c r="L134" s="18">
        <v>28000</v>
      </c>
      <c r="M134" s="8">
        <v>168500</v>
      </c>
      <c r="N134" s="17">
        <v>138500</v>
      </c>
      <c r="O134" s="18">
        <v>30000</v>
      </c>
      <c r="P134" s="8">
        <v>189400</v>
      </c>
      <c r="Q134" s="17">
        <v>159400</v>
      </c>
      <c r="R134" s="18">
        <v>30000</v>
      </c>
      <c r="S134" s="69">
        <v>164000</v>
      </c>
      <c r="T134" s="17">
        <f t="shared" si="9"/>
        <v>134000</v>
      </c>
      <c r="U134" s="18">
        <v>30000</v>
      </c>
    </row>
    <row r="135" spans="1:21" ht="15.75" customHeight="1" x14ac:dyDescent="0.45">
      <c r="A135" s="5">
        <v>3130</v>
      </c>
      <c r="B135" s="20" t="s">
        <v>16</v>
      </c>
      <c r="C135" s="5" t="str">
        <f t="shared" si="8"/>
        <v>3130 Barnwood Xing, Duluth, GA 30097</v>
      </c>
      <c r="D135" s="5">
        <v>3</v>
      </c>
      <c r="E135" s="5">
        <v>2.5</v>
      </c>
      <c r="F135" s="6">
        <v>0.17</v>
      </c>
      <c r="G135" s="7">
        <v>1256</v>
      </c>
      <c r="H135" s="9">
        <v>36011</v>
      </c>
      <c r="I135" s="10">
        <v>109000</v>
      </c>
      <c r="J135" s="8">
        <v>162400</v>
      </c>
      <c r="K135" s="17">
        <v>134400</v>
      </c>
      <c r="L135" s="18">
        <v>28000</v>
      </c>
      <c r="M135" s="8">
        <v>176700</v>
      </c>
      <c r="N135" s="17">
        <v>146700</v>
      </c>
      <c r="O135" s="18">
        <v>30000</v>
      </c>
      <c r="P135" s="8">
        <v>199200</v>
      </c>
      <c r="Q135" s="17">
        <v>169200</v>
      </c>
      <c r="R135" s="18">
        <v>30000</v>
      </c>
      <c r="S135" s="69">
        <v>217800</v>
      </c>
      <c r="T135" s="17">
        <f t="shared" si="9"/>
        <v>187800</v>
      </c>
      <c r="U135" s="18">
        <v>30000</v>
      </c>
    </row>
    <row r="136" spans="1:21" ht="15.75" customHeight="1" x14ac:dyDescent="0.45">
      <c r="A136" s="5">
        <v>3135</v>
      </c>
      <c r="B136" s="20" t="s">
        <v>16</v>
      </c>
      <c r="C136" s="5" t="str">
        <f t="shared" si="8"/>
        <v>3135 Barnwood Xing, Duluth, GA 30097</v>
      </c>
      <c r="D136" s="5">
        <v>3</v>
      </c>
      <c r="E136" s="5">
        <v>2.5</v>
      </c>
      <c r="F136" s="6">
        <v>0.14000000000000001</v>
      </c>
      <c r="G136" s="7">
        <v>1256</v>
      </c>
      <c r="H136" s="9">
        <v>43179</v>
      </c>
      <c r="I136" s="10">
        <v>198000</v>
      </c>
      <c r="J136" s="8">
        <v>142000</v>
      </c>
      <c r="K136" s="17">
        <v>114000</v>
      </c>
      <c r="L136" s="18">
        <v>28000</v>
      </c>
      <c r="M136" s="8">
        <v>173000</v>
      </c>
      <c r="N136" s="17">
        <v>143000</v>
      </c>
      <c r="O136" s="18">
        <v>30000</v>
      </c>
      <c r="P136" s="8">
        <v>195000</v>
      </c>
      <c r="Q136" s="17">
        <v>165000</v>
      </c>
      <c r="R136" s="18">
        <v>30000</v>
      </c>
      <c r="S136" s="69">
        <v>198000</v>
      </c>
      <c r="T136" s="17">
        <f t="shared" si="9"/>
        <v>168000</v>
      </c>
      <c r="U136" s="18">
        <v>30000</v>
      </c>
    </row>
    <row r="137" spans="1:21" ht="15.75" customHeight="1" x14ac:dyDescent="0.45">
      <c r="A137" s="5">
        <v>4000</v>
      </c>
      <c r="B137" s="20" t="s">
        <v>17</v>
      </c>
      <c r="C137" s="5" t="str">
        <f t="shared" si="8"/>
        <v>4000 Chattahoochee Trce, Duluth, GA 30097</v>
      </c>
      <c r="D137" s="5">
        <v>3</v>
      </c>
      <c r="E137" s="5">
        <v>2</v>
      </c>
      <c r="F137" s="6">
        <v>0.09</v>
      </c>
      <c r="G137" s="7">
        <v>962</v>
      </c>
      <c r="H137" s="9">
        <v>41176</v>
      </c>
      <c r="I137" s="10">
        <v>81000</v>
      </c>
      <c r="J137" s="8">
        <v>120300</v>
      </c>
      <c r="K137" s="17">
        <v>92300</v>
      </c>
      <c r="L137" s="18">
        <v>28000</v>
      </c>
      <c r="M137" s="8">
        <v>130800</v>
      </c>
      <c r="N137" s="17">
        <v>100800</v>
      </c>
      <c r="O137" s="18">
        <v>30000</v>
      </c>
      <c r="P137" s="8">
        <v>146300</v>
      </c>
      <c r="Q137" s="17">
        <v>116300</v>
      </c>
      <c r="R137" s="18">
        <v>30000</v>
      </c>
      <c r="S137" s="69">
        <v>161500</v>
      </c>
      <c r="T137" s="17">
        <f t="shared" si="9"/>
        <v>131500</v>
      </c>
      <c r="U137" s="18">
        <v>30000</v>
      </c>
    </row>
    <row r="138" spans="1:21" ht="15.75" customHeight="1" x14ac:dyDescent="0.45">
      <c r="A138" s="5">
        <v>4010</v>
      </c>
      <c r="B138" s="20" t="s">
        <v>17</v>
      </c>
      <c r="C138" s="5" t="str">
        <f t="shared" si="8"/>
        <v>4010 Chattahoochee Trce, Duluth, GA 30097</v>
      </c>
      <c r="D138" s="5">
        <v>2</v>
      </c>
      <c r="E138" s="5">
        <v>2</v>
      </c>
      <c r="F138" s="6">
        <v>0.1</v>
      </c>
      <c r="G138" s="7">
        <v>1128</v>
      </c>
      <c r="H138" s="9">
        <v>43032</v>
      </c>
      <c r="I138" s="10">
        <v>168000</v>
      </c>
      <c r="J138" s="8">
        <v>117400</v>
      </c>
      <c r="K138" s="17">
        <v>89400</v>
      </c>
      <c r="L138" s="18">
        <v>28000</v>
      </c>
      <c r="M138" s="8">
        <v>144000</v>
      </c>
      <c r="N138" s="17">
        <v>114000</v>
      </c>
      <c r="O138" s="18">
        <v>30000</v>
      </c>
      <c r="P138" s="8">
        <v>168000</v>
      </c>
      <c r="Q138" s="17">
        <v>138000</v>
      </c>
      <c r="R138" s="18">
        <v>30000</v>
      </c>
      <c r="S138" s="69">
        <v>190400</v>
      </c>
      <c r="T138" s="17">
        <f t="shared" si="9"/>
        <v>160400</v>
      </c>
      <c r="U138" s="18">
        <v>30000</v>
      </c>
    </row>
    <row r="139" spans="1:21" ht="15.75" customHeight="1" x14ac:dyDescent="0.45">
      <c r="A139" s="5">
        <v>4020</v>
      </c>
      <c r="B139" s="20" t="s">
        <v>17</v>
      </c>
      <c r="C139" s="5" t="str">
        <f t="shared" si="8"/>
        <v>4020 Chattahoochee Trce, Duluth, GA 30097</v>
      </c>
      <c r="D139" s="5">
        <v>3</v>
      </c>
      <c r="E139" s="5">
        <v>2.5</v>
      </c>
      <c r="F139" s="6">
        <v>0.09</v>
      </c>
      <c r="G139" s="7">
        <v>1496</v>
      </c>
      <c r="H139" s="9">
        <v>40723</v>
      </c>
      <c r="I139" s="10">
        <v>99000</v>
      </c>
      <c r="J139" s="8">
        <v>169600</v>
      </c>
      <c r="K139" s="17">
        <v>141600</v>
      </c>
      <c r="L139" s="18">
        <v>28000</v>
      </c>
      <c r="M139" s="8">
        <v>184600</v>
      </c>
      <c r="N139" s="17">
        <v>154600</v>
      </c>
      <c r="O139" s="18">
        <v>30000</v>
      </c>
      <c r="P139" s="8">
        <v>208300</v>
      </c>
      <c r="Q139" s="17">
        <v>178300</v>
      </c>
      <c r="R139" s="18">
        <v>30000</v>
      </c>
      <c r="S139" s="69">
        <v>226500</v>
      </c>
      <c r="T139" s="17">
        <f t="shared" si="9"/>
        <v>196500</v>
      </c>
      <c r="U139" s="18">
        <v>30000</v>
      </c>
    </row>
    <row r="140" spans="1:21" ht="15.75" customHeight="1" x14ac:dyDescent="0.45">
      <c r="A140" s="5">
        <v>4030</v>
      </c>
      <c r="B140" s="20" t="s">
        <v>17</v>
      </c>
      <c r="C140" s="5" t="str">
        <f t="shared" si="8"/>
        <v>4030 Chattahoochee Trce, Duluth, GA 30097</v>
      </c>
      <c r="D140" s="5">
        <v>2</v>
      </c>
      <c r="E140" s="5">
        <v>2</v>
      </c>
      <c r="F140" s="6">
        <v>0.1</v>
      </c>
      <c r="G140" s="7">
        <v>1080</v>
      </c>
      <c r="H140" s="9">
        <v>40344</v>
      </c>
      <c r="I140" s="10">
        <v>130000</v>
      </c>
      <c r="J140" s="8">
        <v>117700</v>
      </c>
      <c r="K140" s="17">
        <v>89700</v>
      </c>
      <c r="L140" s="18">
        <v>28000</v>
      </c>
      <c r="M140" s="8">
        <v>147700</v>
      </c>
      <c r="N140" s="17">
        <v>117700</v>
      </c>
      <c r="O140" s="18">
        <v>30000</v>
      </c>
      <c r="P140" s="8">
        <v>167500</v>
      </c>
      <c r="Q140" s="17">
        <v>137500</v>
      </c>
      <c r="R140" s="18">
        <v>30000</v>
      </c>
      <c r="S140" s="69">
        <v>186900</v>
      </c>
      <c r="T140" s="17">
        <f t="shared" si="9"/>
        <v>156900</v>
      </c>
      <c r="U140" s="18">
        <v>30000</v>
      </c>
    </row>
    <row r="141" spans="1:21" ht="15.75" customHeight="1" x14ac:dyDescent="0.45">
      <c r="A141" s="5">
        <v>4040</v>
      </c>
      <c r="B141" s="20" t="s">
        <v>17</v>
      </c>
      <c r="C141" s="5" t="str">
        <f t="shared" si="8"/>
        <v>4040 Chattahoochee Trce, Duluth, GA 30097</v>
      </c>
      <c r="D141" s="5">
        <v>2</v>
      </c>
      <c r="E141" s="5">
        <v>2</v>
      </c>
      <c r="F141" s="6">
        <v>0.1</v>
      </c>
      <c r="G141" s="7">
        <v>1104</v>
      </c>
      <c r="H141" s="9">
        <v>42664</v>
      </c>
      <c r="I141" s="10">
        <v>155000</v>
      </c>
      <c r="J141" s="8">
        <v>126400</v>
      </c>
      <c r="K141" s="17">
        <v>98400</v>
      </c>
      <c r="L141" s="18">
        <v>28000</v>
      </c>
      <c r="M141" s="8">
        <v>146700</v>
      </c>
      <c r="N141" s="17">
        <v>116700</v>
      </c>
      <c r="O141" s="18">
        <v>30000</v>
      </c>
      <c r="P141" s="8">
        <v>166300</v>
      </c>
      <c r="Q141" s="17">
        <v>136300</v>
      </c>
      <c r="R141" s="18">
        <v>30000</v>
      </c>
      <c r="S141" s="69">
        <v>185900</v>
      </c>
      <c r="T141" s="17">
        <f t="shared" si="9"/>
        <v>155900</v>
      </c>
      <c r="U141" s="18">
        <v>30000</v>
      </c>
    </row>
    <row r="142" spans="1:21" ht="15.75" customHeight="1" x14ac:dyDescent="0.45">
      <c r="A142" s="5">
        <v>4050</v>
      </c>
      <c r="B142" s="20" t="s">
        <v>17</v>
      </c>
      <c r="C142" s="5" t="str">
        <f t="shared" si="8"/>
        <v>4050 Chattahoochee Trce, Duluth, GA 30097</v>
      </c>
      <c r="D142" s="5">
        <v>3</v>
      </c>
      <c r="E142" s="5">
        <v>2.5</v>
      </c>
      <c r="F142" s="6">
        <v>0.1</v>
      </c>
      <c r="G142" s="7">
        <v>1452</v>
      </c>
      <c r="H142" s="9">
        <v>34449</v>
      </c>
      <c r="I142" s="10">
        <v>96400</v>
      </c>
      <c r="J142" s="8">
        <v>169500</v>
      </c>
      <c r="K142" s="17">
        <v>141500</v>
      </c>
      <c r="L142" s="18">
        <v>28000</v>
      </c>
      <c r="M142" s="8">
        <v>184500</v>
      </c>
      <c r="N142" s="17">
        <v>154500</v>
      </c>
      <c r="O142" s="18">
        <v>30000</v>
      </c>
      <c r="P142" s="8">
        <v>210500</v>
      </c>
      <c r="Q142" s="17">
        <v>180500</v>
      </c>
      <c r="R142" s="18">
        <v>30000</v>
      </c>
      <c r="S142" s="69">
        <v>228700</v>
      </c>
      <c r="T142" s="17">
        <f t="shared" si="9"/>
        <v>198700</v>
      </c>
      <c r="U142" s="18">
        <v>30000</v>
      </c>
    </row>
    <row r="143" spans="1:21" ht="15.75" customHeight="1" x14ac:dyDescent="0.45">
      <c r="A143" s="5">
        <v>4060</v>
      </c>
      <c r="B143" s="20" t="s">
        <v>17</v>
      </c>
      <c r="C143" s="5" t="str">
        <f t="shared" si="8"/>
        <v>4060 Chattahoochee Trce, Duluth, GA 30097</v>
      </c>
      <c r="D143" s="5">
        <v>2</v>
      </c>
      <c r="E143" s="5">
        <v>2</v>
      </c>
      <c r="F143" s="6">
        <v>0.11</v>
      </c>
      <c r="G143" s="7">
        <v>912</v>
      </c>
      <c r="H143" s="9">
        <v>41621</v>
      </c>
      <c r="I143" s="10">
        <v>119000</v>
      </c>
      <c r="J143" s="8">
        <v>125200</v>
      </c>
      <c r="K143" s="17">
        <v>97200</v>
      </c>
      <c r="L143" s="18">
        <v>28000</v>
      </c>
      <c r="M143" s="8">
        <v>137400</v>
      </c>
      <c r="N143" s="17">
        <v>107400</v>
      </c>
      <c r="O143" s="18">
        <v>30000</v>
      </c>
      <c r="P143" s="8">
        <v>153900</v>
      </c>
      <c r="Q143" s="17">
        <v>123900</v>
      </c>
      <c r="R143" s="18">
        <v>30000</v>
      </c>
      <c r="S143" s="69">
        <v>168700</v>
      </c>
      <c r="T143" s="17">
        <f t="shared" si="9"/>
        <v>138700</v>
      </c>
      <c r="U143" s="18">
        <v>30000</v>
      </c>
    </row>
    <row r="144" spans="1:21" ht="15.75" customHeight="1" x14ac:dyDescent="0.45">
      <c r="A144" s="5">
        <v>4070</v>
      </c>
      <c r="B144" s="20" t="s">
        <v>17</v>
      </c>
      <c r="C144" s="5" t="str">
        <f t="shared" si="8"/>
        <v>4070 Chattahoochee Trce, Duluth, GA 30097</v>
      </c>
      <c r="D144" s="5">
        <v>3</v>
      </c>
      <c r="E144" s="5">
        <v>2</v>
      </c>
      <c r="F144" s="6">
        <v>0.11</v>
      </c>
      <c r="G144" s="7">
        <v>1168</v>
      </c>
      <c r="H144" s="9">
        <v>38777</v>
      </c>
      <c r="I144" s="10">
        <v>146500</v>
      </c>
      <c r="J144" s="8">
        <v>144400</v>
      </c>
      <c r="K144" s="17">
        <v>116400</v>
      </c>
      <c r="L144" s="18">
        <v>28000</v>
      </c>
      <c r="M144" s="8">
        <v>158600</v>
      </c>
      <c r="N144" s="17">
        <v>128600</v>
      </c>
      <c r="O144" s="18">
        <v>30000</v>
      </c>
      <c r="P144" s="8">
        <v>178400</v>
      </c>
      <c r="Q144" s="17">
        <v>148400</v>
      </c>
      <c r="R144" s="18">
        <v>30000</v>
      </c>
      <c r="S144" s="69">
        <v>194000</v>
      </c>
      <c r="T144" s="17">
        <f t="shared" si="9"/>
        <v>164000</v>
      </c>
      <c r="U144" s="18">
        <v>30000</v>
      </c>
    </row>
    <row r="145" spans="1:21" ht="15.75" customHeight="1" x14ac:dyDescent="0.45">
      <c r="A145" s="5">
        <v>4080</v>
      </c>
      <c r="B145" s="20" t="s">
        <v>17</v>
      </c>
      <c r="C145" s="5" t="str">
        <f t="shared" si="8"/>
        <v>4080 Chattahoochee Trce, Duluth, GA 30097</v>
      </c>
      <c r="D145" s="5">
        <v>3</v>
      </c>
      <c r="E145" s="5">
        <v>2</v>
      </c>
      <c r="F145" s="6">
        <v>0.16</v>
      </c>
      <c r="G145" s="7">
        <v>892</v>
      </c>
      <c r="H145" s="9">
        <v>34632</v>
      </c>
      <c r="I145" s="10">
        <v>77500</v>
      </c>
      <c r="J145" s="8">
        <v>123000</v>
      </c>
      <c r="K145" s="17">
        <v>95000</v>
      </c>
      <c r="L145" s="18">
        <v>28000</v>
      </c>
      <c r="M145" s="8">
        <v>133700</v>
      </c>
      <c r="N145" s="17">
        <v>103700</v>
      </c>
      <c r="O145" s="18">
        <v>30000</v>
      </c>
      <c r="P145" s="8">
        <v>151200</v>
      </c>
      <c r="Q145" s="17">
        <v>121200</v>
      </c>
      <c r="R145" s="18">
        <v>30000</v>
      </c>
      <c r="S145" s="69">
        <v>166800</v>
      </c>
      <c r="T145" s="17">
        <f t="shared" si="9"/>
        <v>136800</v>
      </c>
      <c r="U145" s="18">
        <v>30000</v>
      </c>
    </row>
    <row r="146" spans="1:21" ht="15.75" customHeight="1" x14ac:dyDescent="0.45">
      <c r="A146" s="5">
        <v>4090</v>
      </c>
      <c r="B146" s="20" t="s">
        <v>17</v>
      </c>
      <c r="C146" s="5" t="str">
        <f t="shared" si="8"/>
        <v>4090 Chattahoochee Trce, Duluth, GA 30097</v>
      </c>
      <c r="D146" s="5">
        <v>3</v>
      </c>
      <c r="E146" s="5">
        <v>2</v>
      </c>
      <c r="F146" s="6">
        <v>0.12</v>
      </c>
      <c r="G146" s="7">
        <v>950</v>
      </c>
      <c r="H146" s="9">
        <v>43174</v>
      </c>
      <c r="I146" s="10">
        <v>165100</v>
      </c>
      <c r="J146" s="8">
        <v>127300</v>
      </c>
      <c r="K146" s="17">
        <v>99300</v>
      </c>
      <c r="L146" s="18">
        <v>28000</v>
      </c>
      <c r="M146" s="8">
        <v>138500</v>
      </c>
      <c r="N146" s="17">
        <v>108500</v>
      </c>
      <c r="O146" s="18">
        <v>30000</v>
      </c>
      <c r="P146" s="8">
        <v>156700</v>
      </c>
      <c r="Q146" s="17">
        <v>126700</v>
      </c>
      <c r="R146" s="18">
        <v>30000</v>
      </c>
      <c r="S146" s="69">
        <v>165100</v>
      </c>
      <c r="T146" s="17">
        <f t="shared" si="9"/>
        <v>135100</v>
      </c>
      <c r="U146" s="18">
        <v>30000</v>
      </c>
    </row>
    <row r="147" spans="1:21" ht="15.75" customHeight="1" x14ac:dyDescent="0.45">
      <c r="A147" s="5">
        <v>4095</v>
      </c>
      <c r="B147" s="20" t="s">
        <v>17</v>
      </c>
      <c r="C147" s="5" t="str">
        <f t="shared" si="8"/>
        <v>4095 Chattahoochee Trce, Duluth, GA 30097</v>
      </c>
      <c r="D147" s="5">
        <v>3</v>
      </c>
      <c r="E147" s="5">
        <v>2</v>
      </c>
      <c r="F147" s="6">
        <v>0.11</v>
      </c>
      <c r="G147" s="7">
        <v>1252</v>
      </c>
      <c r="H147" s="9">
        <v>43083</v>
      </c>
      <c r="I147" s="10">
        <v>192000</v>
      </c>
      <c r="J147" s="8">
        <v>159100</v>
      </c>
      <c r="K147" s="17">
        <v>131100</v>
      </c>
      <c r="L147" s="18">
        <v>28000</v>
      </c>
      <c r="M147" s="8">
        <v>173100</v>
      </c>
      <c r="N147" s="17">
        <v>143100</v>
      </c>
      <c r="O147" s="18">
        <v>30000</v>
      </c>
      <c r="P147" s="8">
        <v>192000</v>
      </c>
      <c r="Q147" s="17">
        <v>162000</v>
      </c>
      <c r="R147" s="18">
        <v>30000</v>
      </c>
      <c r="S147" s="69">
        <v>214000</v>
      </c>
      <c r="T147" s="17">
        <f t="shared" si="9"/>
        <v>184000</v>
      </c>
      <c r="U147" s="18">
        <v>30000</v>
      </c>
    </row>
    <row r="148" spans="1:21" ht="15.75" customHeight="1" x14ac:dyDescent="0.45">
      <c r="A148" s="5">
        <v>4105</v>
      </c>
      <c r="B148" s="20" t="s">
        <v>17</v>
      </c>
      <c r="C148" s="5" t="str">
        <f t="shared" si="8"/>
        <v>4105 Chattahoochee Trce, Duluth, GA 30097</v>
      </c>
      <c r="D148" s="5">
        <v>3</v>
      </c>
      <c r="E148" s="5">
        <v>2</v>
      </c>
      <c r="F148" s="6">
        <v>0.19</v>
      </c>
      <c r="G148" s="7">
        <v>912</v>
      </c>
      <c r="H148" s="9">
        <v>39716</v>
      </c>
      <c r="I148" s="10">
        <v>140000</v>
      </c>
      <c r="J148" s="8">
        <v>125100</v>
      </c>
      <c r="K148" s="17">
        <v>112000</v>
      </c>
      <c r="L148" s="18">
        <v>28000</v>
      </c>
      <c r="M148" s="8">
        <v>137400</v>
      </c>
      <c r="N148" s="17">
        <v>107400</v>
      </c>
      <c r="O148" s="18">
        <v>30000</v>
      </c>
      <c r="P148" s="8">
        <v>153900</v>
      </c>
      <c r="Q148" s="17">
        <v>123900</v>
      </c>
      <c r="R148" s="18">
        <v>30000</v>
      </c>
      <c r="S148" s="69">
        <v>168600</v>
      </c>
      <c r="T148" s="17">
        <f t="shared" si="9"/>
        <v>138600</v>
      </c>
      <c r="U148" s="18">
        <v>30000</v>
      </c>
    </row>
    <row r="149" spans="1:21" ht="15.75" customHeight="1" x14ac:dyDescent="0.45">
      <c r="A149" s="5">
        <v>3933</v>
      </c>
      <c r="B149" s="20" t="s">
        <v>18</v>
      </c>
      <c r="C149" s="5" t="str">
        <f t="shared" si="8"/>
        <v>3933 Hawks Nest Ct, Duluth, GA 30097</v>
      </c>
      <c r="D149" s="5">
        <v>3</v>
      </c>
      <c r="E149" s="5">
        <v>2.5</v>
      </c>
      <c r="F149" s="6">
        <v>0.14000000000000001</v>
      </c>
      <c r="G149" s="7">
        <v>1223</v>
      </c>
      <c r="H149" s="9">
        <v>42205</v>
      </c>
      <c r="I149" s="10">
        <v>156000</v>
      </c>
      <c r="J149" s="8">
        <v>140000</v>
      </c>
      <c r="K149" s="17">
        <v>112000</v>
      </c>
      <c r="L149" s="18">
        <v>28000</v>
      </c>
      <c r="M149" s="8">
        <v>140000</v>
      </c>
      <c r="N149" s="17">
        <v>110000</v>
      </c>
      <c r="O149" s="18">
        <v>30000</v>
      </c>
      <c r="P149" s="8">
        <v>140000</v>
      </c>
      <c r="Q149" s="17">
        <v>110000</v>
      </c>
      <c r="R149" s="18">
        <v>30000</v>
      </c>
      <c r="S149" s="69">
        <v>197000</v>
      </c>
      <c r="T149" s="17">
        <f t="shared" si="9"/>
        <v>167000</v>
      </c>
      <c r="U149" s="18">
        <v>30000</v>
      </c>
    </row>
    <row r="150" spans="1:21" ht="15.75" customHeight="1" x14ac:dyDescent="0.45">
      <c r="A150" s="5">
        <v>3938</v>
      </c>
      <c r="B150" s="20" t="s">
        <v>18</v>
      </c>
      <c r="C150" s="5" t="str">
        <f t="shared" si="8"/>
        <v>3938 Hawks Nest Ct, Duluth, GA 30097</v>
      </c>
      <c r="D150" s="5">
        <v>2</v>
      </c>
      <c r="E150" s="5">
        <v>2</v>
      </c>
      <c r="F150" s="6">
        <v>0.21</v>
      </c>
      <c r="G150" s="7">
        <v>856</v>
      </c>
      <c r="H150" s="42">
        <v>36227</v>
      </c>
      <c r="I150" s="10">
        <v>96000</v>
      </c>
      <c r="J150" s="8">
        <v>120100</v>
      </c>
      <c r="K150" s="17">
        <v>92100</v>
      </c>
      <c r="L150" s="18">
        <v>28000</v>
      </c>
      <c r="M150" s="8">
        <v>131900</v>
      </c>
      <c r="N150" s="17">
        <v>101900</v>
      </c>
      <c r="O150" s="18">
        <v>30000</v>
      </c>
      <c r="P150" s="8">
        <v>147500</v>
      </c>
      <c r="Q150" s="17">
        <v>117500</v>
      </c>
      <c r="R150" s="18">
        <v>30000</v>
      </c>
      <c r="S150" s="69">
        <v>161200</v>
      </c>
      <c r="T150" s="17">
        <f t="shared" si="9"/>
        <v>131200</v>
      </c>
      <c r="U150" s="18">
        <v>30000</v>
      </c>
    </row>
    <row r="151" spans="1:21" ht="15.75" customHeight="1" x14ac:dyDescent="0.45">
      <c r="A151" s="5">
        <v>3943</v>
      </c>
      <c r="B151" s="20" t="s">
        <v>18</v>
      </c>
      <c r="C151" s="5" t="str">
        <f t="shared" si="8"/>
        <v>3943 Hawks Nest Ct, Duluth, GA 30097</v>
      </c>
      <c r="D151" s="5">
        <v>2</v>
      </c>
      <c r="E151" s="5">
        <v>2</v>
      </c>
      <c r="F151" s="6">
        <v>0.11</v>
      </c>
      <c r="G151" s="7">
        <v>792</v>
      </c>
      <c r="H151" s="9">
        <v>39790</v>
      </c>
      <c r="I151" s="10">
        <v>80000</v>
      </c>
      <c r="J151" s="8">
        <v>111300</v>
      </c>
      <c r="K151" s="17">
        <v>83000</v>
      </c>
      <c r="L151" s="18">
        <v>28000</v>
      </c>
      <c r="M151" s="8">
        <v>122000</v>
      </c>
      <c r="N151" s="17">
        <v>92000</v>
      </c>
      <c r="O151" s="18">
        <v>30000</v>
      </c>
      <c r="P151" s="8">
        <v>136100</v>
      </c>
      <c r="Q151" s="17">
        <v>106100</v>
      </c>
      <c r="R151" s="18">
        <v>30000</v>
      </c>
      <c r="S151" s="69">
        <v>148100</v>
      </c>
      <c r="T151" s="17">
        <f t="shared" si="9"/>
        <v>118100</v>
      </c>
      <c r="U151" s="18">
        <v>30000</v>
      </c>
    </row>
    <row r="152" spans="1:21" ht="15.75" customHeight="1" x14ac:dyDescent="0.45">
      <c r="A152" s="5">
        <v>3948</v>
      </c>
      <c r="B152" s="20" t="s">
        <v>18</v>
      </c>
      <c r="C152" s="5" t="str">
        <f t="shared" si="8"/>
        <v>3948 Hawks Nest Ct, Duluth, GA 30097</v>
      </c>
      <c r="D152" s="5">
        <v>2</v>
      </c>
      <c r="E152" s="5">
        <v>2</v>
      </c>
      <c r="F152" s="6">
        <v>0.14000000000000001</v>
      </c>
      <c r="G152" s="7">
        <v>788</v>
      </c>
      <c r="H152" s="9">
        <v>34393</v>
      </c>
      <c r="I152" s="10">
        <v>68000</v>
      </c>
      <c r="J152" s="8">
        <v>107400</v>
      </c>
      <c r="K152" s="17">
        <v>79400</v>
      </c>
      <c r="L152" s="18">
        <v>28000</v>
      </c>
      <c r="M152" s="8">
        <v>117800</v>
      </c>
      <c r="N152" s="17">
        <v>87800</v>
      </c>
      <c r="O152" s="18">
        <v>30000</v>
      </c>
      <c r="P152" s="8">
        <v>131300</v>
      </c>
      <c r="Q152" s="17">
        <v>101300</v>
      </c>
      <c r="R152" s="18">
        <v>30000</v>
      </c>
      <c r="S152" s="69">
        <v>142900</v>
      </c>
      <c r="T152" s="17">
        <f t="shared" si="9"/>
        <v>112900</v>
      </c>
      <c r="U152" s="18">
        <v>30000</v>
      </c>
    </row>
    <row r="153" spans="1:21" ht="15.75" customHeight="1" x14ac:dyDescent="0.45">
      <c r="A153" s="5">
        <v>3953</v>
      </c>
      <c r="B153" s="20" t="s">
        <v>18</v>
      </c>
      <c r="C153" s="5" t="str">
        <f t="shared" si="8"/>
        <v>3953 Hawks Nest Ct, Duluth, GA 30097</v>
      </c>
      <c r="D153" s="5">
        <v>2</v>
      </c>
      <c r="E153" s="5">
        <v>2</v>
      </c>
      <c r="F153" s="6">
        <v>0.11</v>
      </c>
      <c r="G153" s="7">
        <v>990</v>
      </c>
      <c r="H153" s="9">
        <v>41019</v>
      </c>
      <c r="I153" s="10">
        <v>59900</v>
      </c>
      <c r="J153" s="8">
        <v>122200</v>
      </c>
      <c r="K153" s="17">
        <v>94200</v>
      </c>
      <c r="L153" s="18">
        <v>28000</v>
      </c>
      <c r="M153" s="8">
        <v>134200</v>
      </c>
      <c r="N153" s="17">
        <v>104200</v>
      </c>
      <c r="O153" s="18">
        <v>30000</v>
      </c>
      <c r="P153" s="8">
        <v>150200</v>
      </c>
      <c r="Q153" s="17">
        <v>120200</v>
      </c>
      <c r="R153" s="18">
        <v>30000</v>
      </c>
      <c r="S153" s="69">
        <v>164300</v>
      </c>
      <c r="T153" s="17">
        <f t="shared" si="9"/>
        <v>134300</v>
      </c>
      <c r="U153" s="18">
        <v>30000</v>
      </c>
    </row>
    <row r="154" spans="1:21" ht="15.75" customHeight="1" x14ac:dyDescent="0.45">
      <c r="A154" s="5">
        <v>3958</v>
      </c>
      <c r="B154" s="20" t="s">
        <v>18</v>
      </c>
      <c r="C154" s="5" t="str">
        <f t="shared" si="8"/>
        <v>3958 Hawks Nest Ct, Duluth, GA 30097</v>
      </c>
      <c r="D154" s="5">
        <v>3</v>
      </c>
      <c r="E154" s="5">
        <v>2</v>
      </c>
      <c r="F154" s="6">
        <v>0.18</v>
      </c>
      <c r="G154" s="7">
        <v>1030</v>
      </c>
      <c r="H154" s="9">
        <v>38167</v>
      </c>
      <c r="I154" s="10">
        <v>135000</v>
      </c>
      <c r="J154" s="8">
        <v>121000</v>
      </c>
      <c r="K154" s="17">
        <v>93000</v>
      </c>
      <c r="L154" s="18">
        <v>28000</v>
      </c>
      <c r="M154" s="8">
        <v>132800</v>
      </c>
      <c r="N154" s="17">
        <v>102800</v>
      </c>
      <c r="O154" s="18">
        <v>30000</v>
      </c>
      <c r="P154" s="8">
        <v>148600</v>
      </c>
      <c r="Q154" s="17">
        <v>118600</v>
      </c>
      <c r="R154" s="18">
        <v>30000</v>
      </c>
      <c r="S154" s="69">
        <v>164100</v>
      </c>
      <c r="T154" s="17">
        <f t="shared" si="9"/>
        <v>134100</v>
      </c>
      <c r="U154" s="18">
        <v>30000</v>
      </c>
    </row>
    <row r="155" spans="1:21" ht="15.75" customHeight="1" x14ac:dyDescent="0.45">
      <c r="A155" s="5">
        <v>3963</v>
      </c>
      <c r="B155" s="20" t="s">
        <v>18</v>
      </c>
      <c r="C155" s="5" t="str">
        <f t="shared" si="8"/>
        <v>3963 Hawks Nest Ct, Duluth, GA 30097</v>
      </c>
      <c r="D155" s="5">
        <v>3</v>
      </c>
      <c r="E155" s="5">
        <v>2</v>
      </c>
      <c r="F155" s="6">
        <v>0.14000000000000001</v>
      </c>
      <c r="G155" s="7">
        <v>1277</v>
      </c>
      <c r="H155" s="9">
        <v>43014</v>
      </c>
      <c r="I155" s="10">
        <v>168000</v>
      </c>
      <c r="J155" s="8">
        <v>141700</v>
      </c>
      <c r="K155" s="17">
        <v>113700</v>
      </c>
      <c r="L155" s="18">
        <v>28000</v>
      </c>
      <c r="M155" s="8">
        <v>155700</v>
      </c>
      <c r="N155" s="17">
        <v>125700</v>
      </c>
      <c r="O155" s="18">
        <v>30000</v>
      </c>
      <c r="P155" s="8">
        <v>168000</v>
      </c>
      <c r="Q155" s="17">
        <v>138000</v>
      </c>
      <c r="R155" s="18">
        <v>30000</v>
      </c>
      <c r="S155" s="69">
        <v>195000</v>
      </c>
      <c r="T155" s="17">
        <f t="shared" si="9"/>
        <v>165000</v>
      </c>
      <c r="U155" s="18">
        <v>30000</v>
      </c>
    </row>
    <row r="156" spans="1:21" ht="15.75" customHeight="1" x14ac:dyDescent="0.45">
      <c r="A156" s="5">
        <v>3968</v>
      </c>
      <c r="B156" s="20" t="s">
        <v>18</v>
      </c>
      <c r="C156" s="5" t="str">
        <f t="shared" si="8"/>
        <v>3968 Hawks Nest Ct, Duluth, GA 30097</v>
      </c>
      <c r="D156" s="5">
        <v>3</v>
      </c>
      <c r="E156" s="5">
        <v>2</v>
      </c>
      <c r="F156" s="6">
        <v>0.15</v>
      </c>
      <c r="G156" s="7">
        <v>976</v>
      </c>
      <c r="H156" s="9">
        <v>38799</v>
      </c>
      <c r="I156" s="10">
        <v>103000</v>
      </c>
      <c r="J156" s="8">
        <v>132800</v>
      </c>
      <c r="K156" s="17">
        <v>104800</v>
      </c>
      <c r="L156" s="18">
        <v>28000</v>
      </c>
      <c r="M156" s="8">
        <v>145900</v>
      </c>
      <c r="N156" s="17">
        <v>115900</v>
      </c>
      <c r="O156" s="18">
        <v>30000</v>
      </c>
      <c r="P156" s="8">
        <v>163700</v>
      </c>
      <c r="Q156" s="17">
        <v>133700</v>
      </c>
      <c r="R156" s="18">
        <v>30000</v>
      </c>
      <c r="S156" s="69">
        <v>188000</v>
      </c>
      <c r="T156" s="17">
        <f t="shared" si="9"/>
        <v>158000</v>
      </c>
      <c r="U156" s="18">
        <v>30000</v>
      </c>
    </row>
    <row r="157" spans="1:21" ht="15.75" customHeight="1" x14ac:dyDescent="0.45">
      <c r="A157" s="5">
        <v>3973</v>
      </c>
      <c r="B157" s="20" t="s">
        <v>18</v>
      </c>
      <c r="C157" s="5" t="str">
        <f t="shared" si="8"/>
        <v>3973 Hawks Nest Ct, Duluth, GA 30097</v>
      </c>
      <c r="D157" s="5">
        <v>2</v>
      </c>
      <c r="E157" s="5">
        <v>2</v>
      </c>
      <c r="F157" s="6">
        <v>0.09</v>
      </c>
      <c r="G157" s="7">
        <v>1030</v>
      </c>
      <c r="H157" s="9">
        <v>42566</v>
      </c>
      <c r="I157" s="10">
        <v>133000</v>
      </c>
      <c r="J157" s="8">
        <v>123300</v>
      </c>
      <c r="K157" s="17">
        <v>95300</v>
      </c>
      <c r="L157" s="18">
        <v>28000</v>
      </c>
      <c r="M157" s="8">
        <v>133000</v>
      </c>
      <c r="N157" s="17">
        <v>103000</v>
      </c>
      <c r="O157" s="18">
        <v>30000</v>
      </c>
      <c r="P157" s="8">
        <v>151600</v>
      </c>
      <c r="Q157" s="17">
        <v>121600</v>
      </c>
      <c r="R157" s="18">
        <v>30000</v>
      </c>
      <c r="S157" s="69">
        <v>167000</v>
      </c>
      <c r="T157" s="17">
        <f t="shared" si="9"/>
        <v>137000</v>
      </c>
      <c r="U157" s="18">
        <v>30000</v>
      </c>
    </row>
    <row r="158" spans="1:21" ht="15.75" customHeight="1" x14ac:dyDescent="0.45">
      <c r="A158" s="5">
        <v>3983</v>
      </c>
      <c r="B158" s="20" t="s">
        <v>18</v>
      </c>
      <c r="C158" s="5" t="str">
        <f t="shared" si="8"/>
        <v>3983 Hawks Nest Ct, Duluth, GA 30097</v>
      </c>
      <c r="D158" s="5">
        <v>3</v>
      </c>
      <c r="E158" s="5">
        <v>2</v>
      </c>
      <c r="F158" s="6">
        <v>0.1</v>
      </c>
      <c r="G158" s="7">
        <v>988</v>
      </c>
      <c r="H158" s="9">
        <v>38742</v>
      </c>
      <c r="I158" s="10">
        <v>140152</v>
      </c>
      <c r="J158" s="8">
        <v>128700</v>
      </c>
      <c r="K158" s="17">
        <v>100700</v>
      </c>
      <c r="L158" s="18">
        <v>28000</v>
      </c>
      <c r="M158" s="8">
        <v>141300</v>
      </c>
      <c r="N158" s="17">
        <v>111300</v>
      </c>
      <c r="O158" s="18">
        <v>30000</v>
      </c>
      <c r="P158" s="8">
        <v>158400</v>
      </c>
      <c r="Q158" s="17">
        <v>128400</v>
      </c>
      <c r="R158" s="18">
        <v>30000</v>
      </c>
      <c r="S158" s="69">
        <v>173700</v>
      </c>
      <c r="T158" s="17">
        <f t="shared" si="9"/>
        <v>143700</v>
      </c>
      <c r="U158" s="18">
        <v>30000</v>
      </c>
    </row>
    <row r="159" spans="1:21" ht="15.75" customHeight="1" x14ac:dyDescent="0.45">
      <c r="A159" s="5">
        <v>3993</v>
      </c>
      <c r="B159" s="20" t="s">
        <v>18</v>
      </c>
      <c r="C159" s="5" t="str">
        <f t="shared" si="8"/>
        <v>3993 Hawks Nest Ct, Duluth, GA 30097</v>
      </c>
      <c r="D159" s="5">
        <v>3</v>
      </c>
      <c r="E159" s="5">
        <v>2.5</v>
      </c>
      <c r="F159" s="6">
        <v>0.13</v>
      </c>
      <c r="G159" s="7">
        <v>1006</v>
      </c>
      <c r="H159" s="9">
        <v>37372</v>
      </c>
      <c r="I159" s="10">
        <v>124000</v>
      </c>
      <c r="J159" s="8">
        <v>125300</v>
      </c>
      <c r="K159" s="17">
        <v>97300</v>
      </c>
      <c r="L159" s="18">
        <v>28000</v>
      </c>
      <c r="M159" s="8">
        <v>137600</v>
      </c>
      <c r="N159" s="17">
        <v>107600</v>
      </c>
      <c r="O159" s="18">
        <v>30000</v>
      </c>
      <c r="P159" s="8">
        <v>154100</v>
      </c>
      <c r="Q159" s="17">
        <v>124100</v>
      </c>
      <c r="R159" s="18">
        <v>30000</v>
      </c>
      <c r="S159" s="69">
        <v>169300</v>
      </c>
      <c r="T159" s="17">
        <f t="shared" si="9"/>
        <v>139300</v>
      </c>
      <c r="U159" s="18">
        <v>30000</v>
      </c>
    </row>
    <row r="160" spans="1:21" ht="15.75" customHeight="1" x14ac:dyDescent="0.45">
      <c r="A160" s="5">
        <v>3924</v>
      </c>
      <c r="B160" s="5" t="s">
        <v>19</v>
      </c>
      <c r="C160" s="5" t="str">
        <f t="shared" si="8"/>
        <v>3924 White Owl Ct, Duluth, GA 30097</v>
      </c>
      <c r="D160" s="5">
        <v>3</v>
      </c>
      <c r="E160" s="5">
        <v>2</v>
      </c>
      <c r="F160" s="6">
        <v>0.18</v>
      </c>
      <c r="G160" s="7">
        <v>808</v>
      </c>
      <c r="H160" s="9">
        <v>38135</v>
      </c>
      <c r="I160" s="10">
        <v>128000</v>
      </c>
      <c r="J160" s="8">
        <v>117200</v>
      </c>
      <c r="K160" s="17">
        <v>89200</v>
      </c>
      <c r="L160" s="18">
        <v>28000</v>
      </c>
      <c r="M160" s="8">
        <v>127400</v>
      </c>
      <c r="N160" s="17">
        <v>97400</v>
      </c>
      <c r="O160" s="18">
        <v>30000</v>
      </c>
      <c r="P160" s="8">
        <v>143800</v>
      </c>
      <c r="Q160" s="17">
        <v>113800</v>
      </c>
      <c r="R160" s="18">
        <v>30000</v>
      </c>
      <c r="S160" s="69">
        <v>158300</v>
      </c>
      <c r="T160" s="17">
        <f t="shared" si="9"/>
        <v>128300</v>
      </c>
      <c r="U160" s="18">
        <v>30000</v>
      </c>
    </row>
    <row r="161" spans="1:21" ht="15.75" customHeight="1" x14ac:dyDescent="0.45">
      <c r="A161" s="5">
        <v>3929</v>
      </c>
      <c r="B161" s="5" t="s">
        <v>19</v>
      </c>
      <c r="C161" s="5" t="str">
        <f t="shared" si="8"/>
        <v>3929 White Owl Ct, Duluth, GA 30097</v>
      </c>
      <c r="D161" s="5">
        <v>3</v>
      </c>
      <c r="E161" s="5">
        <v>2</v>
      </c>
      <c r="F161" s="6">
        <v>0.25</v>
      </c>
      <c r="G161" s="7">
        <v>912</v>
      </c>
      <c r="H161" s="9">
        <v>43538</v>
      </c>
      <c r="I161" s="10">
        <v>195000</v>
      </c>
      <c r="J161" s="8">
        <v>126600</v>
      </c>
      <c r="K161" s="17">
        <v>98600</v>
      </c>
      <c r="L161" s="18">
        <v>28000</v>
      </c>
      <c r="M161" s="8">
        <v>137600</v>
      </c>
      <c r="N161" s="17">
        <v>107600</v>
      </c>
      <c r="O161" s="18">
        <v>30000</v>
      </c>
      <c r="P161" s="8">
        <v>155800</v>
      </c>
      <c r="Q161" s="17">
        <v>125800</v>
      </c>
      <c r="R161" s="18">
        <v>30000</v>
      </c>
      <c r="S161" s="69">
        <v>172200</v>
      </c>
      <c r="T161" s="17">
        <f t="shared" si="9"/>
        <v>142200</v>
      </c>
      <c r="U161" s="18">
        <v>30000</v>
      </c>
    </row>
    <row r="162" spans="1:21" ht="15.75" customHeight="1" x14ac:dyDescent="0.45">
      <c r="A162" s="5">
        <v>3934</v>
      </c>
      <c r="B162" s="5" t="s">
        <v>19</v>
      </c>
      <c r="C162" s="5" t="str">
        <f t="shared" si="8"/>
        <v>3934 White Owl Ct, Duluth, GA 30097</v>
      </c>
      <c r="D162" s="5">
        <v>3</v>
      </c>
      <c r="E162" s="5">
        <v>2</v>
      </c>
      <c r="F162" s="6">
        <v>0.24</v>
      </c>
      <c r="G162" s="7">
        <v>1277</v>
      </c>
      <c r="H162" s="9">
        <v>41750</v>
      </c>
      <c r="I162" s="10">
        <v>126750</v>
      </c>
      <c r="J162" s="8">
        <v>141300</v>
      </c>
      <c r="K162" s="17">
        <v>113300</v>
      </c>
      <c r="L162" s="18">
        <v>28000</v>
      </c>
      <c r="M162" s="8">
        <v>153700</v>
      </c>
      <c r="N162" s="17">
        <v>123700</v>
      </c>
      <c r="O162" s="18">
        <v>30000</v>
      </c>
      <c r="P162" s="8">
        <v>174500</v>
      </c>
      <c r="Q162" s="17">
        <v>144500</v>
      </c>
      <c r="R162" s="18">
        <v>30000</v>
      </c>
      <c r="S162" s="69">
        <v>196600</v>
      </c>
      <c r="T162" s="17">
        <f t="shared" si="9"/>
        <v>166600</v>
      </c>
      <c r="U162" s="18">
        <v>30000</v>
      </c>
    </row>
    <row r="163" spans="1:21" ht="15.75" customHeight="1" x14ac:dyDescent="0.45">
      <c r="A163" s="5">
        <v>3939</v>
      </c>
      <c r="B163" s="5" t="s">
        <v>19</v>
      </c>
      <c r="C163" s="5" t="str">
        <f t="shared" si="8"/>
        <v>3939 White Owl Ct, Duluth, GA 30097</v>
      </c>
      <c r="D163" s="5">
        <v>3</v>
      </c>
      <c r="E163" s="5">
        <v>2</v>
      </c>
      <c r="F163" s="6">
        <v>0.17</v>
      </c>
      <c r="G163" s="7">
        <v>1104</v>
      </c>
      <c r="H163" s="9">
        <v>37704</v>
      </c>
      <c r="I163" s="10">
        <v>137400</v>
      </c>
      <c r="J163" s="8">
        <v>134900</v>
      </c>
      <c r="K163" s="17">
        <v>106900</v>
      </c>
      <c r="L163" s="18">
        <v>28000</v>
      </c>
      <c r="M163" s="8">
        <v>146700</v>
      </c>
      <c r="N163" s="17">
        <v>116700</v>
      </c>
      <c r="O163" s="18">
        <v>30000</v>
      </c>
      <c r="P163" s="8">
        <v>166300</v>
      </c>
      <c r="Q163" s="17">
        <v>136300</v>
      </c>
      <c r="R163" s="18">
        <v>30000</v>
      </c>
      <c r="S163" s="69">
        <v>185900</v>
      </c>
      <c r="T163" s="17">
        <f t="shared" si="9"/>
        <v>155900</v>
      </c>
      <c r="U163" s="18">
        <v>30000</v>
      </c>
    </row>
    <row r="164" spans="1:21" ht="15.75" customHeight="1" x14ac:dyDescent="0.45">
      <c r="A164" s="5">
        <v>3949</v>
      </c>
      <c r="B164" s="5" t="s">
        <v>19</v>
      </c>
      <c r="C164" s="5" t="str">
        <f t="shared" si="8"/>
        <v>3949 White Owl Ct, Duluth, GA 30097</v>
      </c>
      <c r="D164" s="5">
        <v>3</v>
      </c>
      <c r="E164" s="5">
        <v>2</v>
      </c>
      <c r="F164" s="6">
        <v>0.11</v>
      </c>
      <c r="G164" s="7">
        <v>1032</v>
      </c>
      <c r="H164" s="9">
        <v>37515</v>
      </c>
      <c r="I164" s="10">
        <v>120400</v>
      </c>
      <c r="J164" s="8">
        <v>126500</v>
      </c>
      <c r="K164" s="17">
        <v>98500</v>
      </c>
      <c r="L164" s="18">
        <v>28000</v>
      </c>
      <c r="M164" s="8">
        <v>137500</v>
      </c>
      <c r="N164" s="17">
        <v>107500</v>
      </c>
      <c r="O164" s="18">
        <v>30000</v>
      </c>
      <c r="P164" s="8">
        <v>155600</v>
      </c>
      <c r="Q164" s="17">
        <v>125600</v>
      </c>
      <c r="R164" s="18">
        <v>30000</v>
      </c>
      <c r="S164" s="69">
        <v>171900</v>
      </c>
      <c r="T164" s="17">
        <f t="shared" si="9"/>
        <v>141900</v>
      </c>
      <c r="U164" s="18">
        <v>30000</v>
      </c>
    </row>
    <row r="165" spans="1:21" ht="15.75" customHeight="1" x14ac:dyDescent="0.45">
      <c r="A165" s="5">
        <v>3954</v>
      </c>
      <c r="B165" s="5" t="s">
        <v>19</v>
      </c>
      <c r="C165" s="5" t="str">
        <f t="shared" ref="C165:C185" si="10">CONCATENATE($A165," ",$B165,", Duluth, GA 30097")</f>
        <v>3954 White Owl Ct, Duluth, GA 30097</v>
      </c>
      <c r="D165" s="5">
        <v>3</v>
      </c>
      <c r="E165" s="5">
        <v>2</v>
      </c>
      <c r="F165" s="6">
        <v>0.18</v>
      </c>
      <c r="G165" s="7">
        <v>976</v>
      </c>
      <c r="H165" s="9">
        <v>43546</v>
      </c>
      <c r="I165" s="10">
        <v>189900</v>
      </c>
      <c r="J165" s="8">
        <v>131700</v>
      </c>
      <c r="K165" s="17">
        <v>103700</v>
      </c>
      <c r="L165" s="18">
        <v>28000</v>
      </c>
      <c r="M165" s="8">
        <v>143200</v>
      </c>
      <c r="N165" s="17">
        <v>113200</v>
      </c>
      <c r="O165" s="18">
        <v>30000</v>
      </c>
      <c r="P165" s="8">
        <v>162300</v>
      </c>
      <c r="Q165" s="17">
        <v>132300</v>
      </c>
      <c r="R165" s="18">
        <v>30000</v>
      </c>
      <c r="S165" s="69">
        <v>179400</v>
      </c>
      <c r="T165" s="17">
        <f t="shared" ref="T165:T185" si="11">S165-U165</f>
        <v>149400</v>
      </c>
      <c r="U165" s="18">
        <v>30000</v>
      </c>
    </row>
    <row r="166" spans="1:21" ht="15.75" customHeight="1" x14ac:dyDescent="0.45">
      <c r="A166" s="5">
        <v>3959</v>
      </c>
      <c r="B166" s="5" t="s">
        <v>19</v>
      </c>
      <c r="C166" s="5" t="str">
        <f t="shared" si="10"/>
        <v>3959 White Owl Ct, Duluth, GA 30097</v>
      </c>
      <c r="D166" s="5">
        <v>3</v>
      </c>
      <c r="E166" s="5">
        <v>2</v>
      </c>
      <c r="F166" s="6">
        <v>0.09</v>
      </c>
      <c r="G166" s="7">
        <v>1052</v>
      </c>
      <c r="H166" s="9">
        <v>43537</v>
      </c>
      <c r="I166" s="10">
        <v>107000</v>
      </c>
      <c r="J166" s="8">
        <v>127900</v>
      </c>
      <c r="K166" s="17">
        <v>99900</v>
      </c>
      <c r="L166" s="18">
        <v>28000</v>
      </c>
      <c r="M166" s="8">
        <v>139100</v>
      </c>
      <c r="N166" s="17">
        <v>109100</v>
      </c>
      <c r="O166" s="18">
        <v>30000</v>
      </c>
      <c r="P166" s="8">
        <v>157500</v>
      </c>
      <c r="Q166" s="17">
        <v>127500</v>
      </c>
      <c r="R166" s="18">
        <v>30000</v>
      </c>
      <c r="S166" s="69">
        <v>174000</v>
      </c>
      <c r="T166" s="17">
        <f t="shared" si="11"/>
        <v>144000</v>
      </c>
      <c r="U166" s="18">
        <v>30000</v>
      </c>
    </row>
    <row r="167" spans="1:21" ht="15.75" customHeight="1" x14ac:dyDescent="0.45">
      <c r="A167" s="5">
        <v>3964</v>
      </c>
      <c r="B167" s="5" t="s">
        <v>19</v>
      </c>
      <c r="C167" s="5" t="str">
        <f t="shared" si="10"/>
        <v>3964 White Owl Ct, Duluth, GA 30097</v>
      </c>
      <c r="D167" s="5">
        <v>3</v>
      </c>
      <c r="E167" s="5">
        <v>2</v>
      </c>
      <c r="F167" s="6">
        <v>0.11</v>
      </c>
      <c r="G167" s="7">
        <v>1104</v>
      </c>
      <c r="H167" s="9">
        <v>39430</v>
      </c>
      <c r="I167" s="10">
        <v>147000</v>
      </c>
      <c r="J167" s="8">
        <v>134800</v>
      </c>
      <c r="K167" s="17">
        <v>106800</v>
      </c>
      <c r="L167" s="18">
        <v>28000</v>
      </c>
      <c r="M167" s="8">
        <v>146600</v>
      </c>
      <c r="N167" s="17">
        <v>116600</v>
      </c>
      <c r="O167" s="18">
        <v>30000</v>
      </c>
      <c r="P167" s="8">
        <v>166200</v>
      </c>
      <c r="Q167" s="17">
        <v>136200</v>
      </c>
      <c r="R167" s="18">
        <v>30000</v>
      </c>
      <c r="S167" s="69">
        <v>185800</v>
      </c>
      <c r="T167" s="17">
        <f t="shared" si="11"/>
        <v>155800</v>
      </c>
      <c r="U167" s="18">
        <v>30000</v>
      </c>
    </row>
    <row r="168" spans="1:21" ht="15.75" customHeight="1" x14ac:dyDescent="0.45">
      <c r="A168" s="5">
        <v>3969</v>
      </c>
      <c r="B168" s="5" t="s">
        <v>19</v>
      </c>
      <c r="C168" s="5" t="str">
        <f t="shared" si="10"/>
        <v>3969 White Owl Ct, Duluth, GA 30097</v>
      </c>
      <c r="D168" s="5">
        <v>2</v>
      </c>
      <c r="E168" s="5">
        <v>2</v>
      </c>
      <c r="F168" s="6">
        <v>0.1</v>
      </c>
      <c r="G168" s="7">
        <v>912</v>
      </c>
      <c r="H168" s="9">
        <v>40947</v>
      </c>
      <c r="I168" s="10">
        <v>75100</v>
      </c>
      <c r="J168" s="8">
        <v>126400</v>
      </c>
      <c r="K168" s="17">
        <v>98400</v>
      </c>
      <c r="L168" s="18">
        <v>28000</v>
      </c>
      <c r="M168" s="8">
        <v>137400</v>
      </c>
      <c r="N168" s="17">
        <v>107400</v>
      </c>
      <c r="O168" s="18">
        <v>30000</v>
      </c>
      <c r="P168" s="8">
        <v>155500</v>
      </c>
      <c r="Q168" s="17">
        <v>125500</v>
      </c>
      <c r="R168" s="18">
        <v>30000</v>
      </c>
      <c r="S168" s="69">
        <v>172000</v>
      </c>
      <c r="T168" s="17">
        <f t="shared" si="11"/>
        <v>142000</v>
      </c>
      <c r="U168" s="18">
        <v>30000</v>
      </c>
    </row>
    <row r="169" spans="1:21" ht="15.75" customHeight="1" x14ac:dyDescent="0.45">
      <c r="A169" s="5">
        <v>3974</v>
      </c>
      <c r="B169" s="5" t="s">
        <v>19</v>
      </c>
      <c r="C169" s="5" t="str">
        <f t="shared" si="10"/>
        <v>3974 White Owl Ct, Duluth, GA 30097</v>
      </c>
      <c r="D169" s="5">
        <v>2</v>
      </c>
      <c r="E169" s="5">
        <v>2</v>
      </c>
      <c r="F169" s="6">
        <v>0.11</v>
      </c>
      <c r="G169" s="7">
        <v>1104</v>
      </c>
      <c r="H169" s="9">
        <v>38439</v>
      </c>
      <c r="I169" s="10">
        <v>145000</v>
      </c>
      <c r="J169" s="8">
        <v>136300</v>
      </c>
      <c r="K169" s="17">
        <v>108300</v>
      </c>
      <c r="L169" s="18">
        <v>28000</v>
      </c>
      <c r="M169" s="8">
        <v>148100</v>
      </c>
      <c r="N169" s="17">
        <v>118100</v>
      </c>
      <c r="O169" s="18">
        <v>30000</v>
      </c>
      <c r="P169" s="8">
        <v>167700</v>
      </c>
      <c r="Q169" s="17">
        <v>137700</v>
      </c>
      <c r="R169" s="18">
        <v>30000</v>
      </c>
      <c r="S169" s="69">
        <v>187300</v>
      </c>
      <c r="T169" s="17">
        <f t="shared" si="11"/>
        <v>157300</v>
      </c>
      <c r="U169" s="18">
        <v>30000</v>
      </c>
    </row>
    <row r="170" spans="1:21" ht="15.75" customHeight="1" x14ac:dyDescent="0.45">
      <c r="A170" s="5">
        <v>3979</v>
      </c>
      <c r="B170" s="5" t="s">
        <v>19</v>
      </c>
      <c r="C170" s="5" t="str">
        <f t="shared" si="10"/>
        <v>3979 White Owl Ct, Duluth, GA 30097</v>
      </c>
      <c r="D170" s="5">
        <v>3</v>
      </c>
      <c r="E170" s="5">
        <v>2</v>
      </c>
      <c r="F170" s="6">
        <v>0.11</v>
      </c>
      <c r="G170" s="7">
        <v>1094</v>
      </c>
      <c r="H170" s="9">
        <v>41107</v>
      </c>
      <c r="I170" s="10">
        <v>84900</v>
      </c>
      <c r="J170" s="8">
        <v>138900</v>
      </c>
      <c r="K170" s="17">
        <v>110900</v>
      </c>
      <c r="L170" s="18">
        <v>28000</v>
      </c>
      <c r="M170" s="8">
        <v>151000</v>
      </c>
      <c r="N170" s="17">
        <v>121000</v>
      </c>
      <c r="O170" s="18">
        <v>30000</v>
      </c>
      <c r="P170" s="8">
        <v>171400</v>
      </c>
      <c r="Q170" s="17">
        <v>141400</v>
      </c>
      <c r="R170" s="18">
        <v>30000</v>
      </c>
      <c r="S170" s="69">
        <v>185600</v>
      </c>
      <c r="T170" s="17">
        <f t="shared" si="11"/>
        <v>155600</v>
      </c>
      <c r="U170" s="18">
        <v>30000</v>
      </c>
    </row>
    <row r="171" spans="1:21" ht="15.75" customHeight="1" x14ac:dyDescent="0.45">
      <c r="A171" s="5">
        <v>3984</v>
      </c>
      <c r="B171" s="5" t="s">
        <v>19</v>
      </c>
      <c r="C171" s="5" t="str">
        <f t="shared" si="10"/>
        <v>3984 White Owl Ct, Duluth, GA 30097</v>
      </c>
      <c r="D171" s="5">
        <v>3</v>
      </c>
      <c r="E171" s="5">
        <v>2</v>
      </c>
      <c r="F171" s="6">
        <v>0.1</v>
      </c>
      <c r="G171" s="7">
        <v>1188</v>
      </c>
      <c r="H171" s="9">
        <v>42223</v>
      </c>
      <c r="I171" s="10">
        <v>145000</v>
      </c>
      <c r="J171" s="8">
        <v>135900</v>
      </c>
      <c r="K171" s="17">
        <v>107900</v>
      </c>
      <c r="L171" s="18">
        <v>28000</v>
      </c>
      <c r="M171" s="8">
        <v>147800</v>
      </c>
      <c r="N171" s="17">
        <v>117800</v>
      </c>
      <c r="O171" s="18">
        <v>30000</v>
      </c>
      <c r="P171" s="8">
        <v>167700</v>
      </c>
      <c r="Q171" s="17">
        <v>137700</v>
      </c>
      <c r="R171" s="18">
        <v>30000</v>
      </c>
      <c r="S171" s="69">
        <v>190000</v>
      </c>
      <c r="T171" s="17">
        <f t="shared" si="11"/>
        <v>160000</v>
      </c>
      <c r="U171" s="18">
        <v>30000</v>
      </c>
    </row>
    <row r="172" spans="1:21" ht="15.75" customHeight="1" x14ac:dyDescent="0.45">
      <c r="A172" s="5">
        <v>3989</v>
      </c>
      <c r="B172" s="5" t="s">
        <v>19</v>
      </c>
      <c r="C172" s="5" t="str">
        <f t="shared" si="10"/>
        <v>3989 White Owl Ct, Duluth, GA 30097</v>
      </c>
      <c r="D172" s="5">
        <v>2</v>
      </c>
      <c r="E172" s="5">
        <v>1</v>
      </c>
      <c r="F172" s="6">
        <v>0.1</v>
      </c>
      <c r="G172" s="7">
        <v>888</v>
      </c>
      <c r="H172" s="9">
        <v>37946</v>
      </c>
      <c r="I172" s="10">
        <v>112800</v>
      </c>
      <c r="J172" s="8">
        <v>113100</v>
      </c>
      <c r="K172" s="17">
        <v>85100</v>
      </c>
      <c r="L172" s="18">
        <v>28000</v>
      </c>
      <c r="M172" s="8">
        <v>122900</v>
      </c>
      <c r="N172" s="17">
        <v>92900</v>
      </c>
      <c r="O172" s="18">
        <v>30000</v>
      </c>
      <c r="P172" s="8">
        <v>138600</v>
      </c>
      <c r="Q172" s="17">
        <v>108600</v>
      </c>
      <c r="R172" s="18">
        <v>30000</v>
      </c>
      <c r="S172" s="69">
        <v>151000</v>
      </c>
      <c r="T172" s="17">
        <f t="shared" si="11"/>
        <v>121000</v>
      </c>
      <c r="U172" s="18">
        <v>30000</v>
      </c>
    </row>
    <row r="173" spans="1:21" ht="15.75" customHeight="1" x14ac:dyDescent="0.45">
      <c r="A173" s="5">
        <v>3994</v>
      </c>
      <c r="B173" s="5" t="s">
        <v>19</v>
      </c>
      <c r="C173" s="5" t="str">
        <f t="shared" si="10"/>
        <v>3994 White Owl Ct, Duluth, GA 30097</v>
      </c>
      <c r="D173" s="5">
        <v>3</v>
      </c>
      <c r="E173" s="5">
        <v>2</v>
      </c>
      <c r="F173" s="6">
        <v>0.1</v>
      </c>
      <c r="G173" s="7">
        <v>1182</v>
      </c>
      <c r="H173" s="9">
        <v>42024</v>
      </c>
      <c r="I173" s="10">
        <v>135000</v>
      </c>
      <c r="J173" s="8">
        <v>135000</v>
      </c>
      <c r="K173" s="17">
        <v>107000</v>
      </c>
      <c r="L173" s="18">
        <v>28000</v>
      </c>
      <c r="M173" s="8">
        <v>149200</v>
      </c>
      <c r="N173" s="17">
        <v>119200</v>
      </c>
      <c r="O173" s="18">
        <v>30000</v>
      </c>
      <c r="P173" s="8">
        <v>169300</v>
      </c>
      <c r="Q173" s="17">
        <v>139300</v>
      </c>
      <c r="R173" s="18">
        <v>30000</v>
      </c>
      <c r="S173" s="69">
        <v>187100</v>
      </c>
      <c r="T173" s="17">
        <f t="shared" si="11"/>
        <v>157100</v>
      </c>
      <c r="U173" s="18">
        <v>30000</v>
      </c>
    </row>
    <row r="174" spans="1:21" ht="15.75" customHeight="1" x14ac:dyDescent="0.45">
      <c r="A174" s="5">
        <v>3999</v>
      </c>
      <c r="B174" s="5" t="s">
        <v>19</v>
      </c>
      <c r="C174" s="5" t="str">
        <f t="shared" si="10"/>
        <v>3999 White Owl Ct, Duluth, GA 30097</v>
      </c>
      <c r="D174" s="5">
        <v>3</v>
      </c>
      <c r="E174" s="5">
        <v>1</v>
      </c>
      <c r="F174" s="6">
        <v>0.1</v>
      </c>
      <c r="G174" s="7">
        <v>1026</v>
      </c>
      <c r="H174" s="9">
        <v>34508</v>
      </c>
      <c r="I174" s="10">
        <v>87500</v>
      </c>
      <c r="J174" s="8">
        <v>132800</v>
      </c>
      <c r="K174" s="17">
        <v>104800</v>
      </c>
      <c r="L174" s="18">
        <v>28000</v>
      </c>
      <c r="M174" s="8">
        <v>144400</v>
      </c>
      <c r="N174" s="17">
        <v>114400</v>
      </c>
      <c r="O174" s="18">
        <v>30000</v>
      </c>
      <c r="P174" s="8">
        <v>163700</v>
      </c>
      <c r="Q174" s="17">
        <v>133700</v>
      </c>
      <c r="R174" s="18">
        <v>30000</v>
      </c>
      <c r="S174" s="69">
        <v>181200</v>
      </c>
      <c r="T174" s="17">
        <f t="shared" si="11"/>
        <v>151200</v>
      </c>
      <c r="U174" s="18">
        <v>30000</v>
      </c>
    </row>
    <row r="175" spans="1:21" ht="15.75" customHeight="1" x14ac:dyDescent="0.45">
      <c r="A175" s="5">
        <v>4004</v>
      </c>
      <c r="B175" s="5" t="s">
        <v>19</v>
      </c>
      <c r="C175" s="5" t="str">
        <f t="shared" si="10"/>
        <v>4004 White Owl Ct, Duluth, GA 30097</v>
      </c>
      <c r="D175" s="5">
        <v>3</v>
      </c>
      <c r="E175" s="5">
        <v>2</v>
      </c>
      <c r="F175" s="6">
        <v>0.1</v>
      </c>
      <c r="G175" s="7">
        <v>1004</v>
      </c>
      <c r="H175" s="9">
        <v>37596</v>
      </c>
      <c r="I175" s="10">
        <v>125000</v>
      </c>
      <c r="J175" s="8">
        <v>131200</v>
      </c>
      <c r="K175" s="17">
        <v>103200</v>
      </c>
      <c r="L175" s="18">
        <v>28000</v>
      </c>
      <c r="M175" s="8">
        <v>142700</v>
      </c>
      <c r="N175" s="17">
        <v>112700</v>
      </c>
      <c r="O175" s="18">
        <v>30000</v>
      </c>
      <c r="P175" s="8">
        <v>161700</v>
      </c>
      <c r="Q175" s="17">
        <v>131700</v>
      </c>
      <c r="R175" s="18">
        <v>30000</v>
      </c>
      <c r="S175" s="69">
        <v>178900</v>
      </c>
      <c r="T175" s="17">
        <f t="shared" si="11"/>
        <v>148900</v>
      </c>
      <c r="U175" s="18">
        <v>30000</v>
      </c>
    </row>
    <row r="176" spans="1:21" ht="15.75" customHeight="1" x14ac:dyDescent="0.45">
      <c r="A176" s="5">
        <v>4014</v>
      </c>
      <c r="B176" s="5" t="s">
        <v>19</v>
      </c>
      <c r="C176" s="5" t="str">
        <f t="shared" si="10"/>
        <v>4014 White Owl Ct, Duluth, GA 30097</v>
      </c>
      <c r="D176" s="5">
        <v>3</v>
      </c>
      <c r="E176" s="5">
        <v>2</v>
      </c>
      <c r="F176" s="6">
        <v>0.1</v>
      </c>
      <c r="G176" s="7">
        <v>962</v>
      </c>
      <c r="H176" s="9">
        <v>41768</v>
      </c>
      <c r="I176" s="10">
        <v>122500</v>
      </c>
      <c r="J176" s="8">
        <v>123000</v>
      </c>
      <c r="K176" s="17">
        <v>95000</v>
      </c>
      <c r="L176" s="18">
        <v>28000</v>
      </c>
      <c r="M176" s="8">
        <v>133700</v>
      </c>
      <c r="N176" s="17">
        <v>103700</v>
      </c>
      <c r="O176" s="18">
        <v>30000</v>
      </c>
      <c r="P176" s="8">
        <v>151200</v>
      </c>
      <c r="Q176" s="17">
        <v>121200</v>
      </c>
      <c r="R176" s="18">
        <v>30000</v>
      </c>
      <c r="S176" s="69">
        <v>166400</v>
      </c>
      <c r="T176" s="17">
        <f t="shared" si="11"/>
        <v>136400</v>
      </c>
      <c r="U176" s="18">
        <v>30000</v>
      </c>
    </row>
    <row r="177" spans="1:21" ht="15.75" customHeight="1" x14ac:dyDescent="0.45">
      <c r="A177" s="5">
        <v>4019</v>
      </c>
      <c r="B177" s="5" t="s">
        <v>19</v>
      </c>
      <c r="C177" s="5" t="str">
        <f t="shared" si="10"/>
        <v>4019 White Owl Ct, Duluth, GA 30097</v>
      </c>
      <c r="D177" s="5">
        <v>3</v>
      </c>
      <c r="E177" s="5">
        <v>2</v>
      </c>
      <c r="F177" s="6">
        <v>0.11</v>
      </c>
      <c r="G177" s="7">
        <v>1076</v>
      </c>
      <c r="H177" s="9">
        <v>42688</v>
      </c>
      <c r="I177" s="10">
        <v>159000</v>
      </c>
      <c r="J177" s="8">
        <v>140200</v>
      </c>
      <c r="K177" s="17">
        <v>112200</v>
      </c>
      <c r="L177" s="18">
        <v>28000</v>
      </c>
      <c r="M177" s="8">
        <v>159900</v>
      </c>
      <c r="N177" s="17">
        <v>129900</v>
      </c>
      <c r="O177" s="18">
        <v>30000</v>
      </c>
      <c r="P177" s="8">
        <v>180300</v>
      </c>
      <c r="Q177" s="17">
        <v>150300</v>
      </c>
      <c r="R177" s="18">
        <v>30000</v>
      </c>
      <c r="S177" s="69">
        <v>198100</v>
      </c>
      <c r="T177" s="17">
        <f t="shared" si="11"/>
        <v>168100</v>
      </c>
      <c r="U177" s="18">
        <v>30000</v>
      </c>
    </row>
    <row r="178" spans="1:21" ht="15.75" customHeight="1" x14ac:dyDescent="0.45">
      <c r="A178" s="5">
        <v>4024</v>
      </c>
      <c r="B178" s="5" t="s">
        <v>19</v>
      </c>
      <c r="C178" s="5" t="str">
        <f t="shared" si="10"/>
        <v>4024 White Owl Ct, Duluth, GA 30097</v>
      </c>
      <c r="D178" s="5">
        <v>2</v>
      </c>
      <c r="E178" s="5">
        <v>2</v>
      </c>
      <c r="F178" s="6">
        <v>0.11</v>
      </c>
      <c r="G178" s="7">
        <v>788</v>
      </c>
      <c r="H178" s="9">
        <v>39983</v>
      </c>
      <c r="I178" s="10">
        <v>96000</v>
      </c>
      <c r="J178" s="8">
        <v>109000</v>
      </c>
      <c r="K178" s="17">
        <v>81000</v>
      </c>
      <c r="L178" s="18">
        <v>28000</v>
      </c>
      <c r="M178" s="8">
        <v>118400</v>
      </c>
      <c r="N178" s="17">
        <v>88400</v>
      </c>
      <c r="O178" s="18">
        <v>30000</v>
      </c>
      <c r="P178" s="8">
        <v>133300</v>
      </c>
      <c r="Q178" s="17">
        <v>103300</v>
      </c>
      <c r="R178" s="18">
        <v>30000</v>
      </c>
      <c r="S178" s="69">
        <v>146400</v>
      </c>
      <c r="T178" s="17">
        <f t="shared" si="11"/>
        <v>116400</v>
      </c>
      <c r="U178" s="18">
        <v>30000</v>
      </c>
    </row>
    <row r="179" spans="1:21" ht="15.75" customHeight="1" x14ac:dyDescent="0.45">
      <c r="A179" s="5">
        <v>4034</v>
      </c>
      <c r="B179" s="5" t="s">
        <v>19</v>
      </c>
      <c r="C179" s="5" t="str">
        <f t="shared" si="10"/>
        <v>4034 White Owl Ct, Duluth, GA 30097</v>
      </c>
      <c r="D179" s="5">
        <v>3</v>
      </c>
      <c r="E179" s="5">
        <v>2</v>
      </c>
      <c r="F179" s="6">
        <v>0.12</v>
      </c>
      <c r="G179" s="7">
        <v>1080</v>
      </c>
      <c r="H179" s="9">
        <v>41939</v>
      </c>
      <c r="I179" s="10">
        <v>139000</v>
      </c>
      <c r="J179" s="8">
        <v>133200</v>
      </c>
      <c r="K179" s="17">
        <v>105200</v>
      </c>
      <c r="L179" s="18">
        <v>28000</v>
      </c>
      <c r="M179" s="8">
        <v>144800</v>
      </c>
      <c r="N179" s="17">
        <v>114800</v>
      </c>
      <c r="O179" s="18">
        <v>30000</v>
      </c>
      <c r="P179" s="8">
        <v>164200</v>
      </c>
      <c r="Q179" s="17">
        <v>134200</v>
      </c>
      <c r="R179" s="18">
        <v>30000</v>
      </c>
      <c r="S179" s="69">
        <v>185300</v>
      </c>
      <c r="T179" s="17">
        <f t="shared" si="11"/>
        <v>155300</v>
      </c>
      <c r="U179" s="18">
        <v>30000</v>
      </c>
    </row>
    <row r="180" spans="1:21" ht="15.75" customHeight="1" x14ac:dyDescent="0.45">
      <c r="A180" s="5">
        <v>4039</v>
      </c>
      <c r="B180" s="5" t="s">
        <v>19</v>
      </c>
      <c r="C180" s="5" t="str">
        <f t="shared" si="10"/>
        <v>4039 White Owl Ct, Duluth, GA 30097</v>
      </c>
      <c r="D180" s="5">
        <v>3</v>
      </c>
      <c r="E180" s="5">
        <v>2</v>
      </c>
      <c r="F180" s="6">
        <v>0.1</v>
      </c>
      <c r="G180" s="7">
        <v>1028</v>
      </c>
      <c r="H180" s="9">
        <v>37606</v>
      </c>
      <c r="I180" s="10">
        <v>131500</v>
      </c>
      <c r="J180" s="8">
        <v>134300</v>
      </c>
      <c r="K180" s="17">
        <v>106300</v>
      </c>
      <c r="L180" s="18">
        <v>28000</v>
      </c>
      <c r="M180" s="8">
        <v>146100</v>
      </c>
      <c r="N180" s="17">
        <v>116100</v>
      </c>
      <c r="O180" s="18">
        <v>30000</v>
      </c>
      <c r="P180" s="8">
        <v>165700</v>
      </c>
      <c r="Q180" s="17">
        <v>135700</v>
      </c>
      <c r="R180" s="18">
        <v>30000</v>
      </c>
      <c r="S180" s="69">
        <v>183400</v>
      </c>
      <c r="T180" s="17">
        <f t="shared" si="11"/>
        <v>153400</v>
      </c>
      <c r="U180" s="18">
        <v>30000</v>
      </c>
    </row>
    <row r="181" spans="1:21" ht="15.75" customHeight="1" x14ac:dyDescent="0.45">
      <c r="A181" s="5">
        <v>4044</v>
      </c>
      <c r="B181" s="5" t="s">
        <v>19</v>
      </c>
      <c r="C181" s="5" t="str">
        <f t="shared" si="10"/>
        <v>4044 White Owl Ct, Duluth, GA 30097</v>
      </c>
      <c r="D181" s="5">
        <v>2</v>
      </c>
      <c r="E181" s="5">
        <v>2</v>
      </c>
      <c r="F181" s="6">
        <v>0.11</v>
      </c>
      <c r="G181" s="7">
        <v>912</v>
      </c>
      <c r="H181" s="9">
        <v>43005</v>
      </c>
      <c r="I181" s="10">
        <v>160000</v>
      </c>
      <c r="J181" s="8">
        <v>131400</v>
      </c>
      <c r="K181" s="17">
        <v>103400</v>
      </c>
      <c r="L181" s="18">
        <v>28000</v>
      </c>
      <c r="M181" s="8">
        <v>142900</v>
      </c>
      <c r="N181" s="17">
        <v>112900</v>
      </c>
      <c r="O181" s="18">
        <v>30000</v>
      </c>
      <c r="P181" s="8">
        <v>160000</v>
      </c>
      <c r="Q181" s="17">
        <v>130000</v>
      </c>
      <c r="R181" s="18">
        <v>30000</v>
      </c>
      <c r="S181" s="69">
        <v>179100</v>
      </c>
      <c r="T181" s="17">
        <f t="shared" si="11"/>
        <v>149100</v>
      </c>
      <c r="U181" s="18">
        <v>30000</v>
      </c>
    </row>
    <row r="182" spans="1:21" ht="15.75" customHeight="1" x14ac:dyDescent="0.45">
      <c r="A182" s="5">
        <v>4049</v>
      </c>
      <c r="B182" s="5" t="s">
        <v>19</v>
      </c>
      <c r="C182" s="5" t="str">
        <f t="shared" si="10"/>
        <v>4049 White Owl Ct, Duluth, GA 30097</v>
      </c>
      <c r="D182" s="5">
        <v>3</v>
      </c>
      <c r="E182" s="5">
        <v>1</v>
      </c>
      <c r="F182" s="6">
        <v>0.1</v>
      </c>
      <c r="G182" s="7">
        <v>1320</v>
      </c>
      <c r="H182" s="9">
        <v>40675</v>
      </c>
      <c r="I182" s="10">
        <v>125000</v>
      </c>
      <c r="J182" s="8">
        <v>157200</v>
      </c>
      <c r="K182" s="17">
        <v>129200</v>
      </c>
      <c r="L182" s="18">
        <v>28000</v>
      </c>
      <c r="M182" s="8">
        <v>171000</v>
      </c>
      <c r="N182" s="17">
        <v>141000</v>
      </c>
      <c r="O182" s="18">
        <v>30000</v>
      </c>
      <c r="P182" s="8">
        <v>194800</v>
      </c>
      <c r="Q182" s="17">
        <v>164800</v>
      </c>
      <c r="R182" s="18">
        <v>30000</v>
      </c>
      <c r="S182" s="69">
        <v>209200</v>
      </c>
      <c r="T182" s="17">
        <f t="shared" si="11"/>
        <v>179200</v>
      </c>
      <c r="U182" s="18">
        <v>30000</v>
      </c>
    </row>
    <row r="183" spans="1:21" ht="15.75" customHeight="1" x14ac:dyDescent="0.45">
      <c r="A183" s="5">
        <v>4054</v>
      </c>
      <c r="B183" s="5" t="s">
        <v>19</v>
      </c>
      <c r="C183" s="5" t="str">
        <f t="shared" si="10"/>
        <v>4054 White Owl Ct, Duluth, GA 30097</v>
      </c>
      <c r="D183" s="5">
        <v>3</v>
      </c>
      <c r="E183" s="5">
        <v>2</v>
      </c>
      <c r="F183" s="6">
        <v>0.11</v>
      </c>
      <c r="G183" s="7">
        <v>868</v>
      </c>
      <c r="H183" s="9">
        <v>41376</v>
      </c>
      <c r="I183" s="10">
        <v>110000</v>
      </c>
      <c r="J183" s="8">
        <v>121700</v>
      </c>
      <c r="K183" s="17">
        <v>93700</v>
      </c>
      <c r="L183" s="18">
        <v>28000</v>
      </c>
      <c r="M183" s="8">
        <v>132300</v>
      </c>
      <c r="N183" s="17">
        <v>102300</v>
      </c>
      <c r="O183" s="18">
        <v>30000</v>
      </c>
      <c r="P183" s="8">
        <v>149500</v>
      </c>
      <c r="Q183" s="17">
        <v>119500</v>
      </c>
      <c r="R183" s="18">
        <v>30000</v>
      </c>
      <c r="S183" s="69">
        <v>164900</v>
      </c>
      <c r="T183" s="17">
        <f t="shared" si="11"/>
        <v>134900</v>
      </c>
      <c r="U183" s="18">
        <v>30000</v>
      </c>
    </row>
    <row r="184" spans="1:21" ht="15.75" customHeight="1" x14ac:dyDescent="0.45">
      <c r="A184" s="5">
        <v>4059</v>
      </c>
      <c r="B184" s="5" t="s">
        <v>19</v>
      </c>
      <c r="C184" s="5" t="str">
        <f t="shared" si="10"/>
        <v>4059 White Owl Ct, Duluth, GA 30097</v>
      </c>
      <c r="D184" s="5">
        <v>2</v>
      </c>
      <c r="E184" s="5">
        <v>1</v>
      </c>
      <c r="F184" s="6">
        <v>0.2</v>
      </c>
      <c r="G184" s="7">
        <v>1110</v>
      </c>
      <c r="H184" s="9">
        <v>38043</v>
      </c>
      <c r="I184" s="10">
        <v>134500</v>
      </c>
      <c r="J184" s="8">
        <v>132700</v>
      </c>
      <c r="K184" s="17">
        <v>104700</v>
      </c>
      <c r="L184" s="18">
        <v>28000</v>
      </c>
      <c r="M184" s="8">
        <v>144300</v>
      </c>
      <c r="N184" s="17">
        <v>114300</v>
      </c>
      <c r="O184" s="18">
        <v>30000</v>
      </c>
      <c r="P184" s="8">
        <v>163500</v>
      </c>
      <c r="Q184" s="17">
        <v>133500</v>
      </c>
      <c r="R184" s="18">
        <v>30000</v>
      </c>
      <c r="S184" s="69">
        <v>181900</v>
      </c>
      <c r="T184" s="17">
        <f t="shared" si="11"/>
        <v>151900</v>
      </c>
      <c r="U184" s="18">
        <v>30000</v>
      </c>
    </row>
    <row r="185" spans="1:21" ht="15.75" customHeight="1" x14ac:dyDescent="0.45">
      <c r="A185" s="5">
        <v>4064</v>
      </c>
      <c r="B185" s="5" t="s">
        <v>19</v>
      </c>
      <c r="C185" s="5" t="str">
        <f t="shared" si="10"/>
        <v>4064 White Owl Ct, Duluth, GA 30097</v>
      </c>
      <c r="D185" s="5">
        <v>3</v>
      </c>
      <c r="E185" s="5">
        <v>2.5</v>
      </c>
      <c r="F185" s="6">
        <v>0.17</v>
      </c>
      <c r="G185" s="7">
        <v>1246</v>
      </c>
      <c r="H185" s="9">
        <v>42062</v>
      </c>
      <c r="I185" s="10">
        <v>132000</v>
      </c>
      <c r="J185" s="8">
        <v>132000</v>
      </c>
      <c r="K185" s="17">
        <v>104000</v>
      </c>
      <c r="L185" s="18">
        <v>28000</v>
      </c>
      <c r="M185" s="8">
        <v>174400</v>
      </c>
      <c r="N185" s="17">
        <v>144400</v>
      </c>
      <c r="O185" s="18">
        <v>30000</v>
      </c>
      <c r="P185" s="8">
        <v>198800</v>
      </c>
      <c r="Q185" s="17">
        <v>168800</v>
      </c>
      <c r="R185" s="18">
        <v>30000</v>
      </c>
      <c r="S185" s="69">
        <v>216400</v>
      </c>
      <c r="T185" s="17">
        <f t="shared" si="11"/>
        <v>186400</v>
      </c>
      <c r="U185" s="18">
        <v>30000</v>
      </c>
    </row>
    <row r="186" spans="1:21" ht="15.75" customHeight="1" x14ac:dyDescent="0.45"/>
    <row r="187" spans="1:21" ht="15.75" customHeight="1" x14ac:dyDescent="0.45"/>
    <row r="188" spans="1:21" ht="15.75" customHeight="1" x14ac:dyDescent="0.45"/>
    <row r="189" spans="1:21" ht="15.75" customHeight="1" x14ac:dyDescent="0.45"/>
    <row r="190" spans="1:21" ht="15.75" customHeight="1" x14ac:dyDescent="0.45"/>
    <row r="191" spans="1:21" ht="15.75" customHeight="1" x14ac:dyDescent="0.45"/>
    <row r="192" spans="1:21"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row r="1001" ht="15.75" customHeight="1" x14ac:dyDescent="0.45"/>
    <row r="1002" ht="15.75" customHeight="1" x14ac:dyDescent="0.45"/>
    <row r="1003" ht="15.75" customHeight="1" x14ac:dyDescent="0.45"/>
  </sheetData>
  <sortState xmlns:xlrd2="http://schemas.microsoft.com/office/spreadsheetml/2017/richdata2" ref="A3:U184">
    <sortCondition ref="B3:B184"/>
    <sortCondition ref="A3:A184"/>
  </sortState>
  <mergeCells count="8">
    <mergeCell ref="A1:I2"/>
    <mergeCell ref="J2:L2"/>
    <mergeCell ref="M2:O2"/>
    <mergeCell ref="P2:R2"/>
    <mergeCell ref="S2:U2"/>
    <mergeCell ref="M1:O1"/>
    <mergeCell ref="P1:R1"/>
    <mergeCell ref="S1:U1"/>
  </mergeCells>
  <conditionalFormatting sqref="A186:A1048576 A3:A4">
    <cfRule type="duplicateValues" dxfId="2" priority="3"/>
  </conditionalFormatting>
  <conditionalFormatting sqref="A5:A184">
    <cfRule type="duplicateValues" dxfId="1" priority="2"/>
  </conditionalFormatting>
  <conditionalFormatting sqref="A185">
    <cfRule type="duplicateValues" dxfId="0" priority="1"/>
  </conditionalFormatting>
  <hyperlinks>
    <hyperlink ref="A1" r:id="rId1" xr:uid="{00000000-0004-0000-0400-000000000000}"/>
  </hyperlinks>
  <pageMargins left="0.7" right="0.7" top="0.75" bottom="0.75" header="0" footer="0"/>
  <pageSetup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185"/>
  <sheetViews>
    <sheetView showGridLines="0" zoomScale="90" zoomScaleNormal="90" workbookViewId="0">
      <selection activeCell="A5" sqref="A5"/>
    </sheetView>
  </sheetViews>
  <sheetFormatPr defaultRowHeight="14.25" x14ac:dyDescent="0.45"/>
  <cols>
    <col min="1" max="1" width="36.265625" customWidth="1"/>
    <col min="2" max="2" width="9" hidden="1" customWidth="1"/>
    <col min="3" max="3" width="11.265625" bestFit="1" customWidth="1"/>
    <col min="5" max="5" width="13.06640625" customWidth="1"/>
    <col min="6" max="6" width="14.46484375" customWidth="1"/>
    <col min="7" max="7" width="13.796875" customWidth="1"/>
    <col min="8" max="8" width="13.1328125" customWidth="1"/>
    <col min="9" max="9" width="13.46484375" customWidth="1"/>
    <col min="10" max="10" width="13.265625" bestFit="1" customWidth="1"/>
    <col min="11" max="11" width="13.06640625" customWidth="1"/>
    <col min="12" max="12" width="13.265625" bestFit="1" customWidth="1"/>
  </cols>
  <sheetData>
    <row r="1" spans="1:13" x14ac:dyDescent="0.45">
      <c r="A1" s="121" t="s">
        <v>7</v>
      </c>
      <c r="B1" s="121"/>
      <c r="C1" s="121"/>
      <c r="D1" s="121"/>
      <c r="E1" s="121" t="s">
        <v>22</v>
      </c>
      <c r="F1" s="122"/>
      <c r="G1" s="121" t="s">
        <v>22</v>
      </c>
      <c r="H1" s="122"/>
      <c r="I1" s="121" t="s">
        <v>22</v>
      </c>
      <c r="J1" s="122"/>
      <c r="K1" s="121" t="s">
        <v>22</v>
      </c>
      <c r="L1" s="122"/>
    </row>
    <row r="2" spans="1:13" x14ac:dyDescent="0.45">
      <c r="A2" s="11"/>
      <c r="B2" s="11"/>
      <c r="C2" s="11" t="s">
        <v>45</v>
      </c>
      <c r="D2" t="s">
        <v>44</v>
      </c>
      <c r="E2" s="121">
        <v>2016</v>
      </c>
      <c r="F2" s="121"/>
      <c r="G2" s="121">
        <f>E2+1</f>
        <v>2017</v>
      </c>
      <c r="H2" s="121"/>
      <c r="I2" s="121">
        <f>G2+1</f>
        <v>2018</v>
      </c>
      <c r="J2" s="121"/>
      <c r="K2" s="121">
        <f>I2+1</f>
        <v>2019</v>
      </c>
      <c r="L2" s="121"/>
    </row>
    <row r="3" spans="1:13" ht="26.25" customHeight="1" x14ac:dyDescent="0.45">
      <c r="A3" s="12" t="str">
        <f>Data!C3</f>
        <v>Address</v>
      </c>
      <c r="B3" s="3" t="s">
        <v>14</v>
      </c>
      <c r="C3" s="3" t="s">
        <v>34</v>
      </c>
      <c r="D3" s="15" t="s">
        <v>9</v>
      </c>
      <c r="E3" s="14" t="str">
        <f>CONCATENATE(E2," Appraised $/sqft")</f>
        <v>2016 Appraised $/sqft</v>
      </c>
      <c r="F3" s="14" t="str">
        <f>CONCATENATE(E2," Appraised $/acre")</f>
        <v>2016 Appraised $/acre</v>
      </c>
      <c r="G3" s="49" t="str">
        <f>CONCATENATE(G2," Appraised $/sqft")</f>
        <v>2017 Appraised $/sqft</v>
      </c>
      <c r="H3" s="99" t="str">
        <f>CONCATENATE(G2," Appraised $/acre")</f>
        <v>2017 Appraised $/acre</v>
      </c>
      <c r="I3" s="14" t="str">
        <f>CONCATENATE(I2," Appraised $/sqft")</f>
        <v>2018 Appraised $/sqft</v>
      </c>
      <c r="J3" s="99" t="str">
        <f>CONCATENATE(I2," Appraised $/acre")</f>
        <v>2018 Appraised $/acre</v>
      </c>
      <c r="K3" s="14" t="str">
        <f>CONCATENATE(K2," Appraised $/sqft")</f>
        <v>2019 Appraised $/sqft</v>
      </c>
      <c r="L3" s="14" t="str">
        <f>CONCATENATE(K2," Appraised $/acre")</f>
        <v>2019 Appraised $/acre</v>
      </c>
    </row>
    <row r="4" spans="1:13" ht="26.25" customHeight="1" x14ac:dyDescent="0.45">
      <c r="A4" s="12"/>
      <c r="B4" s="3"/>
      <c r="C4" s="3"/>
      <c r="D4" s="15"/>
      <c r="E4" s="14"/>
      <c r="F4" s="14"/>
      <c r="G4" s="68"/>
      <c r="H4" s="67"/>
      <c r="I4" s="14"/>
      <c r="J4" s="67"/>
      <c r="K4" s="14"/>
      <c r="L4" s="14"/>
    </row>
    <row r="5" spans="1:13" x14ac:dyDescent="0.45">
      <c r="A5" s="50" t="str">
        <f>IF(ISBLANK(Data!C5),"",Data!C5)</f>
        <v>2462 Albion Farm Way, Duluth, GA 30097</v>
      </c>
      <c r="B5" s="50">
        <f>IFERROR(MATCH($A5,Data!$C:$C,0),"")</f>
        <v>5</v>
      </c>
      <c r="C5" s="82">
        <f ca="1">IFERROR(INDIRECT(CONCATENATE("Data!",SUBSTITUTE(ADDRESS(1,MATCH("Last Sold Date",INDIRECT("Data!3:3"),0),4),1,""))&amp;$B5),"")</f>
        <v>38315</v>
      </c>
      <c r="D5" s="51">
        <f t="shared" ref="D5:D36" ca="1" si="0">IFERROR(INDIRECT("Data!$I"&amp;$B5)/INDIRECT("Data!$G"&amp;$B5),"")</f>
        <v>118.40277777777777</v>
      </c>
      <c r="E5" s="52">
        <f ca="1">IFERROR(INDIRECT(CONCATENATE("Data!",SUBSTITUTE(ADDRESS(1,MATCH(CONCATENATE(E$2," Appraised Building Value"),INDIRECT("Data!3:3"),0),4),1,""))&amp;$B5)/INDIRECT("Data!G"&amp;$B5),"")</f>
        <v>102.60416666666667</v>
      </c>
      <c r="F5" s="53">
        <f ca="1">IFERROR(INDIRECT(CONCATENATE("Data!",SUBSTITUTE(ADDRESS(1,MATCH(CONCATENATE(E$2," Appraised Land Value"),INDIRECT("Data!3:3"),0),4),1,""))&amp;$B5)/INDIRECT("Data!F"&amp;$B5),"")</f>
        <v>199999.99999999997</v>
      </c>
      <c r="G5" s="52">
        <f ca="1">IFERROR(INDIRECT(CONCATENATE("Data!",SUBSTITUTE(ADDRESS(1,MATCH(CONCATENATE(G$2," Appraised Building Value"),INDIRECT("Data!3:3"),0),4),1,""))&amp;$B5)/INDIRECT("Data!G"&amp;$B5),"")</f>
        <v>112.06597222222223</v>
      </c>
      <c r="H5" s="53">
        <f ca="1">IFERROR(INDIRECT(CONCATENATE("Data!",SUBSTITUTE(ADDRESS(1,MATCH(CONCATENATE(G$2," Appraised Land Value"),INDIRECT("Data!3:3"),0),4),1,""))&amp;$B5)/INDIRECT("Data!F"&amp;$B5),"")</f>
        <v>214285.71428571426</v>
      </c>
      <c r="I5" s="52">
        <f ca="1">IFERROR(INDIRECT(CONCATENATE("Data!",SUBSTITUTE(ADDRESS(1,MATCH(CONCATENATE(I$2," Appraised Building Value"),INDIRECT("Data!3:3"),0),4),1,""))&amp;$B5)/INDIRECT("Data!G"&amp;$B5),"")</f>
        <v>130.90277777777777</v>
      </c>
      <c r="J5" s="53">
        <f ca="1">IFERROR(INDIRECT(CONCATENATE("Data!",SUBSTITUTE(ADDRESS(1,MATCH(CONCATENATE(I$2," Appraised Land Value"),INDIRECT("Data!3:3"),0),4),1,""))&amp;$B5)/INDIRECT("Data!F"&amp;$B5),"")</f>
        <v>214285.71428571426</v>
      </c>
      <c r="K5" s="52">
        <f ca="1">IFERROR(INDIRECT(CONCATENATE("Data!",SUBSTITUTE(ADDRESS(1,MATCH(CONCATENATE(K$2," Appraised Building Value"),INDIRECT("Data!3:3"),0),4),1,""))&amp;$B5)/INDIRECT("Data!G"&amp;$B5),"")</f>
        <v>144.44444444444446</v>
      </c>
      <c r="L5" s="53">
        <f ca="1">IFERROR(INDIRECT(CONCATENATE("Data!",SUBSTITUTE(ADDRESS(1,MATCH(CONCATENATE(K$2," Appraised Land Value"),INDIRECT("Data!3:3"),0),4),1,""))&amp;$B5)/INDIRECT("Data!F"&amp;$B5),"")</f>
        <v>214285.71428571426</v>
      </c>
      <c r="M5" s="96"/>
    </row>
    <row r="6" spans="1:13" x14ac:dyDescent="0.45">
      <c r="A6" s="50" t="str">
        <f>IF(ISBLANK(Data!C6),"",Data!C6)</f>
        <v>2467 Albion Farm Way, Duluth, GA 30097</v>
      </c>
      <c r="B6" s="50">
        <f>IFERROR(MATCH($A6,Data!$C:$C,0),"")</f>
        <v>6</v>
      </c>
      <c r="C6" s="82">
        <f t="shared" ref="C6:C69" ca="1" si="1">IFERROR(INDIRECT(CONCATENATE("Data!",SUBSTITUTE(ADDRESS(1,MATCH("Last Sold Date",INDIRECT("Data!3:3"),0),4),1,""))&amp;$B6),"")</f>
        <v>39514</v>
      </c>
      <c r="D6" s="51">
        <f t="shared" ca="1" si="0"/>
        <v>125.82101806239737</v>
      </c>
      <c r="E6" s="52">
        <f t="shared" ref="E6:E69" ca="1" si="2">IFERROR(INDIRECT(CONCATENATE("Data!",SUBSTITUTE(ADDRESS(1,MATCH(CONCATENATE(E$2," Appraised Building Value"),INDIRECT("Data!3:3"),0),4),1,""))&amp;$B6)/INDIRECT("Data!G"&amp;$B6),"")</f>
        <v>90.558292282430216</v>
      </c>
      <c r="F6" s="53">
        <f t="shared" ref="F6:F69" ca="1" si="3">IFERROR(INDIRECT(CONCATENATE("Data!",SUBSTITUTE(ADDRESS(1,MATCH(CONCATENATE(E$2," Appraised Land Value"),INDIRECT("Data!3:3"),0),4),1,""))&amp;$B6)/INDIRECT("Data!F"&amp;$B6),"")</f>
        <v>164705.88235294117</v>
      </c>
      <c r="G6" s="52">
        <f t="shared" ref="G6:G69" ca="1" si="4">IFERROR(INDIRECT(CONCATENATE("Data!",SUBSTITUTE(ADDRESS(1,MATCH(CONCATENATE(G$2," Appraised Building Value"),INDIRECT("Data!3:3"),0),4),1,""))&amp;$B6)/INDIRECT("Data!G"&amp;$B6),"")</f>
        <v>98.850574712643677</v>
      </c>
      <c r="H6" s="53">
        <f t="shared" ref="H6:H69" ca="1" si="5">IFERROR(INDIRECT(CONCATENATE("Data!",SUBSTITUTE(ADDRESS(1,MATCH(CONCATENATE(G$2," Appraised Land Value"),INDIRECT("Data!3:3"),0),4),1,""))&amp;$B6)/INDIRECT("Data!F"&amp;$B6),"")</f>
        <v>176470.5882352941</v>
      </c>
      <c r="I6" s="52">
        <f t="shared" ref="I6:I69" ca="1" si="6">IFERROR(INDIRECT(CONCATENATE("Data!",SUBSTITUTE(ADDRESS(1,MATCH(CONCATENATE(I$2," Appraised Building Value"),INDIRECT("Data!3:3"),0),4),1,""))&amp;$B6)/INDIRECT("Data!G"&amp;$B6),"")</f>
        <v>115.51724137931035</v>
      </c>
      <c r="J6" s="53">
        <f t="shared" ref="J6:J69" ca="1" si="7">IFERROR(INDIRECT(CONCATENATE("Data!",SUBSTITUTE(ADDRESS(1,MATCH(CONCATENATE(I$2," Appraised Land Value"),INDIRECT("Data!3:3"),0),4),1,""))&amp;$B6)/INDIRECT("Data!F"&amp;$B6),"")</f>
        <v>176470.5882352941</v>
      </c>
      <c r="K6" s="52">
        <f t="shared" ref="K6:K69" ca="1" si="8">IFERROR(INDIRECT(CONCATENATE("Data!",SUBSTITUTE(ADDRESS(1,MATCH(CONCATENATE(K$2," Appraised Building Value"),INDIRECT("Data!3:3"),0),4),1,""))&amp;$B6)/INDIRECT("Data!G"&amp;$B6),"")</f>
        <v>134.15435139573071</v>
      </c>
      <c r="L6" s="53">
        <f t="shared" ref="L6:L69" ca="1" si="9">IFERROR(INDIRECT(CONCATENATE("Data!",SUBSTITUTE(ADDRESS(1,MATCH(CONCATENATE(K$2," Appraised Land Value"),INDIRECT("Data!3:3"),0),4),1,""))&amp;$B6)/INDIRECT("Data!F"&amp;$B6),"")</f>
        <v>176470.5882352941</v>
      </c>
    </row>
    <row r="7" spans="1:13" x14ac:dyDescent="0.45">
      <c r="A7" s="50" t="str">
        <f>IF(ISBLANK(Data!C7),"",Data!C7)</f>
        <v>2472 Albion Farm Way, Duluth, GA 30097</v>
      </c>
      <c r="B7" s="50">
        <f>IFERROR(MATCH($A7,Data!$C:$C,0),"")</f>
        <v>7</v>
      </c>
      <c r="C7" s="82">
        <f t="shared" ca="1" si="1"/>
        <v>39611</v>
      </c>
      <c r="D7" s="51">
        <f t="shared" ca="1" si="0"/>
        <v>127.71739130434783</v>
      </c>
      <c r="E7" s="52">
        <f t="shared" ca="1" si="2"/>
        <v>94.021739130434781</v>
      </c>
      <c r="F7" s="53">
        <f t="shared" ca="1" si="3"/>
        <v>164705.88235294117</v>
      </c>
      <c r="G7" s="52">
        <f t="shared" ca="1" si="4"/>
        <v>102.62681159420291</v>
      </c>
      <c r="H7" s="53">
        <f t="shared" ca="1" si="5"/>
        <v>176470.5882352941</v>
      </c>
      <c r="I7" s="52">
        <f t="shared" ca="1" si="6"/>
        <v>119.92753623188406</v>
      </c>
      <c r="J7" s="53">
        <f t="shared" ca="1" si="7"/>
        <v>176470.5882352941</v>
      </c>
      <c r="K7" s="52">
        <f t="shared" ca="1" si="8"/>
        <v>136.41304347826087</v>
      </c>
      <c r="L7" s="53">
        <f t="shared" ca="1" si="9"/>
        <v>176470.5882352941</v>
      </c>
    </row>
    <row r="8" spans="1:13" x14ac:dyDescent="0.45">
      <c r="A8" s="50" t="str">
        <f>IF(ISBLANK(Data!C8),"",Data!C8)</f>
        <v>2477 Albion Farm Way, Duluth, GA 30097</v>
      </c>
      <c r="B8" s="50">
        <f>IFERROR(MATCH($A8,Data!$C:$C,0),"")</f>
        <v>8</v>
      </c>
      <c r="C8" s="82">
        <f t="shared" ca="1" si="1"/>
        <v>42258</v>
      </c>
      <c r="D8" s="51">
        <f t="shared" ca="1" si="0"/>
        <v>158.11965811965811</v>
      </c>
      <c r="E8" s="52">
        <f t="shared" ca="1" si="2"/>
        <v>111.11111111111111</v>
      </c>
      <c r="F8" s="53">
        <f t="shared" ca="1" si="3"/>
        <v>107692.30769230769</v>
      </c>
      <c r="G8" s="52">
        <f t="shared" ca="1" si="4"/>
        <v>121.58119658119658</v>
      </c>
      <c r="H8" s="53">
        <f t="shared" ca="1" si="5"/>
        <v>115384.61538461538</v>
      </c>
      <c r="I8" s="52">
        <f t="shared" ca="1" si="6"/>
        <v>142.09401709401709</v>
      </c>
      <c r="J8" s="53">
        <f t="shared" ca="1" si="7"/>
        <v>115384.61538461538</v>
      </c>
      <c r="K8" s="52">
        <f t="shared" ca="1" si="8"/>
        <v>159.2948717948718</v>
      </c>
      <c r="L8" s="53">
        <f t="shared" ca="1" si="9"/>
        <v>115384.61538461538</v>
      </c>
    </row>
    <row r="9" spans="1:13" x14ac:dyDescent="0.45">
      <c r="A9" s="50" t="str">
        <f>IF(ISBLANK(Data!C9),"",Data!C9)</f>
        <v>2482 Albion Farm Way, Duluth, GA 30097</v>
      </c>
      <c r="B9" s="50">
        <f>IFERROR(MATCH($A9,Data!$C:$C,0),"")</f>
        <v>9</v>
      </c>
      <c r="C9" s="82">
        <f t="shared" ca="1" si="1"/>
        <v>42150</v>
      </c>
      <c r="D9" s="51">
        <f t="shared" ca="1" si="0"/>
        <v>162.06896551724137</v>
      </c>
      <c r="E9" s="52">
        <f t="shared" ca="1" si="2"/>
        <v>109.77011494252874</v>
      </c>
      <c r="F9" s="53">
        <f t="shared" ca="1" si="3"/>
        <v>164705.88235294117</v>
      </c>
      <c r="G9" s="52">
        <f t="shared" ca="1" si="4"/>
        <v>119.88505747126437</v>
      </c>
      <c r="H9" s="53">
        <f t="shared" ca="1" si="5"/>
        <v>176470.5882352941</v>
      </c>
      <c r="I9" s="52">
        <f t="shared" ca="1" si="6"/>
        <v>140.11494252873564</v>
      </c>
      <c r="J9" s="53">
        <f t="shared" ca="1" si="7"/>
        <v>176470.5882352941</v>
      </c>
      <c r="K9" s="52">
        <f t="shared" ca="1" si="8"/>
        <v>158.50574712643677</v>
      </c>
      <c r="L9" s="53">
        <f t="shared" ca="1" si="9"/>
        <v>176470.5882352941</v>
      </c>
    </row>
    <row r="10" spans="1:13" x14ac:dyDescent="0.45">
      <c r="A10" s="50" t="str">
        <f>IF(ISBLANK(Data!C10),"",Data!C10)</f>
        <v>2487 Albion Farm Way, Duluth, GA 30097</v>
      </c>
      <c r="B10" s="50">
        <f>IFERROR(MATCH($A10,Data!$C:$C,0),"")</f>
        <v>10</v>
      </c>
      <c r="C10" s="82">
        <f t="shared" ca="1" si="1"/>
        <v>42145</v>
      </c>
      <c r="D10" s="51">
        <f t="shared" ca="1" si="0"/>
        <v>139.25438596491227</v>
      </c>
      <c r="E10" s="52">
        <f t="shared" ca="1" si="2"/>
        <v>108.55263157894737</v>
      </c>
      <c r="F10" s="53">
        <f t="shared" ca="1" si="3"/>
        <v>155555.55555555556</v>
      </c>
      <c r="G10" s="52">
        <f t="shared" ca="1" si="4"/>
        <v>120.17543859649123</v>
      </c>
      <c r="H10" s="53">
        <f t="shared" ca="1" si="5"/>
        <v>166666.66666666669</v>
      </c>
      <c r="I10" s="52">
        <f t="shared" ca="1" si="6"/>
        <v>140.46052631578948</v>
      </c>
      <c r="J10" s="53">
        <f t="shared" ca="1" si="7"/>
        <v>166666.66666666669</v>
      </c>
      <c r="K10" s="52">
        <f t="shared" ca="1" si="8"/>
        <v>157.78508771929825</v>
      </c>
      <c r="L10" s="53">
        <f t="shared" ca="1" si="9"/>
        <v>166666.66666666669</v>
      </c>
    </row>
    <row r="11" spans="1:13" x14ac:dyDescent="0.45">
      <c r="A11" s="50" t="str">
        <f>IF(ISBLANK(Data!C11),"",Data!C11)</f>
        <v>2492 Albion Farm Way, Duluth, GA 30097</v>
      </c>
      <c r="B11" s="50">
        <f>IFERROR(MATCH($A11,Data!$C:$C,0),"")</f>
        <v>11</v>
      </c>
      <c r="C11" s="82">
        <f t="shared" ca="1" si="1"/>
        <v>38083</v>
      </c>
      <c r="D11" s="51">
        <f t="shared" ca="1" si="0"/>
        <v>126.61210317460318</v>
      </c>
      <c r="E11" s="52">
        <f t="shared" ca="1" si="2"/>
        <v>98.710317460317455</v>
      </c>
      <c r="F11" s="53">
        <f t="shared" ca="1" si="3"/>
        <v>254545.45454545456</v>
      </c>
      <c r="G11" s="52">
        <f t="shared" ca="1" si="4"/>
        <v>107.73809523809524</v>
      </c>
      <c r="H11" s="53">
        <f t="shared" ca="1" si="5"/>
        <v>272727.27272727271</v>
      </c>
      <c r="I11" s="52">
        <f t="shared" ca="1" si="6"/>
        <v>125.89285714285714</v>
      </c>
      <c r="J11" s="53">
        <f t="shared" ca="1" si="7"/>
        <v>272727.27272727271</v>
      </c>
      <c r="K11" s="52">
        <f t="shared" ca="1" si="8"/>
        <v>140.27777777777777</v>
      </c>
      <c r="L11" s="53">
        <f t="shared" ca="1" si="9"/>
        <v>272727.27272727271</v>
      </c>
    </row>
    <row r="12" spans="1:13" x14ac:dyDescent="0.45">
      <c r="A12" s="50" t="str">
        <f>IF(ISBLANK(Data!C12),"",Data!C12)</f>
        <v>2497 Albion Farm Way, Duluth, GA 30097</v>
      </c>
      <c r="B12" s="50">
        <f>IFERROR(MATCH($A12,Data!$C:$C,0),"")</f>
        <v>12</v>
      </c>
      <c r="C12" s="82">
        <f t="shared" ca="1" si="1"/>
        <v>42160</v>
      </c>
      <c r="D12" s="51">
        <f t="shared" ca="1" si="0"/>
        <v>114.86486486486487</v>
      </c>
      <c r="E12" s="52">
        <f t="shared" ca="1" si="2"/>
        <v>93.843843843843842</v>
      </c>
      <c r="F12" s="53">
        <f t="shared" ca="1" si="3"/>
        <v>233333.33333333334</v>
      </c>
      <c r="G12" s="52">
        <f t="shared" ca="1" si="4"/>
        <v>106.53153153153153</v>
      </c>
      <c r="H12" s="53">
        <f t="shared" ca="1" si="5"/>
        <v>250000</v>
      </c>
      <c r="I12" s="52">
        <f t="shared" ca="1" si="6"/>
        <v>124.47447447447448</v>
      </c>
      <c r="J12" s="53">
        <f t="shared" ca="1" si="7"/>
        <v>250000</v>
      </c>
      <c r="K12" s="52">
        <f t="shared" ca="1" si="8"/>
        <v>135.36036036036037</v>
      </c>
      <c r="L12" s="53">
        <f t="shared" ca="1" si="9"/>
        <v>250000</v>
      </c>
    </row>
    <row r="13" spans="1:13" x14ac:dyDescent="0.45">
      <c r="A13" s="50" t="str">
        <f>IF(ISBLANK(Data!C13),"",Data!C13)</f>
        <v>2507 Albion Farm Way, Duluth, GA 30097</v>
      </c>
      <c r="B13" s="50">
        <f>IFERROR(MATCH($A13,Data!$C:$C,0),"")</f>
        <v>13</v>
      </c>
      <c r="C13" s="82">
        <f t="shared" ca="1" si="1"/>
        <v>38713</v>
      </c>
      <c r="D13" s="51">
        <f t="shared" ca="1" si="0"/>
        <v>128.62318840579709</v>
      </c>
      <c r="E13" s="52">
        <f t="shared" ca="1" si="2"/>
        <v>96.739130434782609</v>
      </c>
      <c r="F13" s="53">
        <f t="shared" ca="1" si="3"/>
        <v>280000</v>
      </c>
      <c r="G13" s="52">
        <f t="shared" ca="1" si="4"/>
        <v>105.6159420289855</v>
      </c>
      <c r="H13" s="53">
        <f t="shared" ca="1" si="5"/>
        <v>300000</v>
      </c>
      <c r="I13" s="52">
        <f t="shared" ca="1" si="6"/>
        <v>123.3695652173913</v>
      </c>
      <c r="J13" s="53">
        <f t="shared" ca="1" si="7"/>
        <v>300000</v>
      </c>
      <c r="K13" s="52">
        <f t="shared" ca="1" si="8"/>
        <v>141.12318840579709</v>
      </c>
      <c r="L13" s="53">
        <f t="shared" ca="1" si="9"/>
        <v>300000</v>
      </c>
    </row>
    <row r="14" spans="1:13" x14ac:dyDescent="0.45">
      <c r="A14" s="50" t="str">
        <f>IF(ISBLANK(Data!C14),"",Data!C14)</f>
        <v>2512 Albion Farm Way, Duluth, GA 30097</v>
      </c>
      <c r="B14" s="50">
        <f>IFERROR(MATCH($A14,Data!$C:$C,0),"")</f>
        <v>14</v>
      </c>
      <c r="C14" s="82">
        <f t="shared" ca="1" si="1"/>
        <v>37078</v>
      </c>
      <c r="D14" s="51">
        <f t="shared" ca="1" si="0"/>
        <v>114.86486486486487</v>
      </c>
      <c r="E14" s="52">
        <f t="shared" ca="1" si="2"/>
        <v>94.324324324324323</v>
      </c>
      <c r="F14" s="53">
        <f t="shared" ca="1" si="3"/>
        <v>280000</v>
      </c>
      <c r="G14" s="52">
        <f t="shared" ca="1" si="4"/>
        <v>102.97297297297297</v>
      </c>
      <c r="H14" s="53">
        <f t="shared" ca="1" si="5"/>
        <v>300000</v>
      </c>
      <c r="I14" s="52">
        <f t="shared" ca="1" si="6"/>
        <v>120.27027027027027</v>
      </c>
      <c r="J14" s="53">
        <f t="shared" ca="1" si="7"/>
        <v>300000</v>
      </c>
      <c r="K14" s="52">
        <f t="shared" ca="1" si="8"/>
        <v>136.84684684684686</v>
      </c>
      <c r="L14" s="53">
        <f t="shared" ca="1" si="9"/>
        <v>300000</v>
      </c>
    </row>
    <row r="15" spans="1:13" x14ac:dyDescent="0.45">
      <c r="A15" s="50" t="str">
        <f>IF(ISBLANK(Data!C15),"",Data!C15)</f>
        <v>2517 Albion Farm Way, Duluth, GA 30097</v>
      </c>
      <c r="B15" s="50">
        <f>IFERROR(MATCH($A15,Data!$C:$C,0),"")</f>
        <v>15</v>
      </c>
      <c r="C15" s="82">
        <f t="shared" ca="1" si="1"/>
        <v>35877</v>
      </c>
      <c r="D15" s="51">
        <f t="shared" ca="1" si="0"/>
        <v>85.20900321543408</v>
      </c>
      <c r="E15" s="52">
        <f t="shared" ca="1" si="2"/>
        <v>91.639871382636656</v>
      </c>
      <c r="F15" s="53">
        <f t="shared" ca="1" si="3"/>
        <v>233333.33333333334</v>
      </c>
      <c r="G15" s="52">
        <f t="shared" ca="1" si="4"/>
        <v>111.89710610932475</v>
      </c>
      <c r="H15" s="53">
        <f t="shared" ca="1" si="5"/>
        <v>250000</v>
      </c>
      <c r="I15" s="52">
        <f t="shared" ca="1" si="6"/>
        <v>111.89710610932475</v>
      </c>
      <c r="J15" s="53">
        <f t="shared" ca="1" si="7"/>
        <v>250000</v>
      </c>
      <c r="K15" s="52">
        <f t="shared" ca="1" si="8"/>
        <v>111.89710610932475</v>
      </c>
      <c r="L15" s="53">
        <f t="shared" ca="1" si="9"/>
        <v>250000</v>
      </c>
    </row>
    <row r="16" spans="1:13" x14ac:dyDescent="0.45">
      <c r="A16" s="50" t="str">
        <f>IF(ISBLANK(Data!C16),"",Data!C16)</f>
        <v>2522 Albion Farm Way, Duluth, GA 30097</v>
      </c>
      <c r="B16" s="50">
        <f>IFERROR(MATCH($A16,Data!$C:$C,0),"")</f>
        <v>16</v>
      </c>
      <c r="C16" s="82">
        <f t="shared" ca="1" si="1"/>
        <v>37011</v>
      </c>
      <c r="D16" s="51">
        <f t="shared" ca="1" si="0"/>
        <v>115.97472924187726</v>
      </c>
      <c r="E16" s="52">
        <f t="shared" ca="1" si="2"/>
        <v>107.76173285198556</v>
      </c>
      <c r="F16" s="53">
        <f t="shared" ca="1" si="3"/>
        <v>280000</v>
      </c>
      <c r="G16" s="52">
        <f t="shared" ca="1" si="4"/>
        <v>117.68953068592057</v>
      </c>
      <c r="H16" s="53">
        <f t="shared" ca="1" si="5"/>
        <v>300000</v>
      </c>
      <c r="I16" s="52">
        <f t="shared" ca="1" si="6"/>
        <v>137.45487364620939</v>
      </c>
      <c r="J16" s="53">
        <f t="shared" ca="1" si="7"/>
        <v>300000</v>
      </c>
      <c r="K16" s="52">
        <f t="shared" ca="1" si="8"/>
        <v>151.80505415162455</v>
      </c>
      <c r="L16" s="53">
        <f t="shared" ca="1" si="9"/>
        <v>300000</v>
      </c>
    </row>
    <row r="17" spans="1:12" x14ac:dyDescent="0.45">
      <c r="A17" s="50" t="str">
        <f>IF(ISBLANK(Data!C17),"",Data!C17)</f>
        <v>2527 Albion Farm Way, Duluth, GA 30097</v>
      </c>
      <c r="B17" s="50">
        <f>IFERROR(MATCH($A17,Data!$C:$C,0),"")</f>
        <v>17</v>
      </c>
      <c r="C17" s="82">
        <f t="shared" ca="1" si="1"/>
        <v>37894</v>
      </c>
      <c r="D17" s="51">
        <f t="shared" ca="1" si="0"/>
        <v>108.37070254110613</v>
      </c>
      <c r="E17" s="52">
        <f t="shared" ca="1" si="2"/>
        <v>96.263079222720478</v>
      </c>
      <c r="F17" s="53">
        <f t="shared" ca="1" si="3"/>
        <v>233333.33333333334</v>
      </c>
      <c r="G17" s="52">
        <f t="shared" ca="1" si="4"/>
        <v>105.15695067264573</v>
      </c>
      <c r="H17" s="53">
        <f t="shared" ca="1" si="5"/>
        <v>250000</v>
      </c>
      <c r="I17" s="52">
        <f t="shared" ca="1" si="6"/>
        <v>122.86995515695067</v>
      </c>
      <c r="J17" s="53">
        <f t="shared" ca="1" si="7"/>
        <v>250000</v>
      </c>
      <c r="K17" s="52">
        <f t="shared" ca="1" si="8"/>
        <v>138.93871449925263</v>
      </c>
      <c r="L17" s="53">
        <f t="shared" ca="1" si="9"/>
        <v>250000</v>
      </c>
    </row>
    <row r="18" spans="1:12" x14ac:dyDescent="0.45">
      <c r="A18" s="50" t="str">
        <f>IF(ISBLANK(Data!C18),"",Data!C18)</f>
        <v>2532 Albion Farm Way, Duluth, GA 30097</v>
      </c>
      <c r="B18" s="50">
        <f>IFERROR(MATCH($A18,Data!$C:$C,0),"")</f>
        <v>18</v>
      </c>
      <c r="C18" s="82">
        <f t="shared" ca="1" si="1"/>
        <v>40121</v>
      </c>
      <c r="D18" s="51">
        <f t="shared" ca="1" si="0"/>
        <v>144.29530201342283</v>
      </c>
      <c r="E18" s="52">
        <f t="shared" ca="1" si="2"/>
        <v>111.29753914988814</v>
      </c>
      <c r="F18" s="53">
        <f t="shared" ca="1" si="3"/>
        <v>280000</v>
      </c>
      <c r="G18" s="52">
        <f t="shared" ca="1" si="4"/>
        <v>121.47651006711409</v>
      </c>
      <c r="H18" s="53">
        <f t="shared" ca="1" si="5"/>
        <v>300000</v>
      </c>
      <c r="I18" s="52">
        <f t="shared" ca="1" si="6"/>
        <v>141.94630872483222</v>
      </c>
      <c r="J18" s="53">
        <f t="shared" ca="1" si="7"/>
        <v>300000</v>
      </c>
      <c r="K18" s="52">
        <f t="shared" ca="1" si="8"/>
        <v>159.39597315436242</v>
      </c>
      <c r="L18" s="53">
        <f t="shared" ca="1" si="9"/>
        <v>300000</v>
      </c>
    </row>
    <row r="19" spans="1:12" x14ac:dyDescent="0.45">
      <c r="A19" s="50" t="str">
        <f>IF(ISBLANK(Data!C19),"",Data!C19)</f>
        <v>2537 Albion Farm Way, Duluth, GA 30097</v>
      </c>
      <c r="B19" s="50">
        <f>IFERROR(MATCH($A19,Data!$C:$C,0),"")</f>
        <v>19</v>
      </c>
      <c r="C19" s="82">
        <f t="shared" ca="1" si="1"/>
        <v>41821</v>
      </c>
      <c r="D19" s="51">
        <f t="shared" ca="1" si="0"/>
        <v>116.17100371747212</v>
      </c>
      <c r="E19" s="52">
        <f t="shared" ca="1" si="2"/>
        <v>101.95167286245353</v>
      </c>
      <c r="F19" s="53">
        <f t="shared" ca="1" si="3"/>
        <v>233333.33333333334</v>
      </c>
      <c r="G19" s="52">
        <f t="shared" ca="1" si="4"/>
        <v>111.33828996282529</v>
      </c>
      <c r="H19" s="53">
        <f t="shared" ca="1" si="5"/>
        <v>250000</v>
      </c>
      <c r="I19" s="52">
        <f t="shared" ca="1" si="6"/>
        <v>130.01858736059481</v>
      </c>
      <c r="J19" s="53">
        <f t="shared" ca="1" si="7"/>
        <v>250000</v>
      </c>
      <c r="K19" s="52">
        <f t="shared" ca="1" si="8"/>
        <v>143.02973977695169</v>
      </c>
      <c r="L19" s="53">
        <f t="shared" ca="1" si="9"/>
        <v>250000</v>
      </c>
    </row>
    <row r="20" spans="1:12" x14ac:dyDescent="0.45">
      <c r="A20" s="50" t="str">
        <f>IF(ISBLANK(Data!C20),"",Data!C20)</f>
        <v>2542 Albion Farm Way, Duluth, GA 30097</v>
      </c>
      <c r="B20" s="50">
        <f>IFERROR(MATCH($A20,Data!$C:$C,0),"")</f>
        <v>20</v>
      </c>
      <c r="C20" s="82">
        <f t="shared" ca="1" si="1"/>
        <v>38692</v>
      </c>
      <c r="D20" s="51">
        <f t="shared" ca="1" si="0"/>
        <v>113.36336336336336</v>
      </c>
      <c r="E20" s="52">
        <f t="shared" ca="1" si="2"/>
        <v>99.3993993993994</v>
      </c>
      <c r="F20" s="53">
        <f t="shared" ca="1" si="3"/>
        <v>280000</v>
      </c>
      <c r="G20" s="52">
        <f t="shared" ca="1" si="4"/>
        <v>108.48348348348348</v>
      </c>
      <c r="H20" s="53">
        <f t="shared" ca="1" si="5"/>
        <v>300000</v>
      </c>
      <c r="I20" s="52">
        <f t="shared" ca="1" si="6"/>
        <v>126.8018018018018</v>
      </c>
      <c r="J20" s="53">
        <f t="shared" ca="1" si="7"/>
        <v>300000</v>
      </c>
      <c r="K20" s="52">
        <f t="shared" ca="1" si="8"/>
        <v>138.51351351351352</v>
      </c>
      <c r="L20" s="53">
        <f t="shared" ca="1" si="9"/>
        <v>300000</v>
      </c>
    </row>
    <row r="21" spans="1:12" x14ac:dyDescent="0.45">
      <c r="A21" s="50" t="str">
        <f>IF(ISBLANK(Data!C21),"",Data!C21)</f>
        <v>2547 Albion Farm Way, Duluth, GA 30097</v>
      </c>
      <c r="B21" s="50">
        <f>IFERROR(MATCH($A21,Data!$C:$C,0),"")</f>
        <v>21</v>
      </c>
      <c r="C21" s="82">
        <f t="shared" ca="1" si="1"/>
        <v>42713</v>
      </c>
      <c r="D21" s="51">
        <f t="shared" ca="1" si="0"/>
        <v>143.50180505415162</v>
      </c>
      <c r="E21" s="52">
        <f t="shared" ca="1" si="2"/>
        <v>88.628158844765338</v>
      </c>
      <c r="F21" s="53">
        <f t="shared" ca="1" si="3"/>
        <v>233333.33333333334</v>
      </c>
      <c r="G21" s="52">
        <f t="shared" ca="1" si="4"/>
        <v>114.35018050541517</v>
      </c>
      <c r="H21" s="53">
        <f t="shared" ca="1" si="5"/>
        <v>250000</v>
      </c>
      <c r="I21" s="52">
        <f t="shared" ca="1" si="6"/>
        <v>133.66425992779784</v>
      </c>
      <c r="J21" s="53">
        <f t="shared" ca="1" si="7"/>
        <v>250000</v>
      </c>
      <c r="K21" s="52">
        <f t="shared" ca="1" si="8"/>
        <v>154.24187725631768</v>
      </c>
      <c r="L21" s="53">
        <f t="shared" ca="1" si="9"/>
        <v>250000</v>
      </c>
    </row>
    <row r="22" spans="1:12" x14ac:dyDescent="0.45">
      <c r="A22" s="50" t="str">
        <f>IF(ISBLANK(Data!C22),"",Data!C22)</f>
        <v>2552 Albion Farm Way, Duluth, GA 30097</v>
      </c>
      <c r="B22" s="50">
        <f>IFERROR(MATCH($A22,Data!$C:$C,0),"")</f>
        <v>22</v>
      </c>
      <c r="C22" s="82">
        <f t="shared" ca="1" si="1"/>
        <v>42214</v>
      </c>
      <c r="D22" s="51">
        <f t="shared" ca="1" si="0"/>
        <v>110.61946902654867</v>
      </c>
      <c r="E22" s="52">
        <f t="shared" ca="1" si="2"/>
        <v>89.970501474926252</v>
      </c>
      <c r="F22" s="53">
        <f t="shared" ca="1" si="3"/>
        <v>280000</v>
      </c>
      <c r="G22" s="52">
        <f t="shared" ca="1" si="4"/>
        <v>111.4306784660767</v>
      </c>
      <c r="H22" s="53">
        <f t="shared" ca="1" si="5"/>
        <v>300000</v>
      </c>
      <c r="I22" s="52">
        <f t="shared" ca="1" si="6"/>
        <v>130.23598820058996</v>
      </c>
      <c r="J22" s="53">
        <f t="shared" ca="1" si="7"/>
        <v>300000</v>
      </c>
      <c r="K22" s="52">
        <f t="shared" ca="1" si="8"/>
        <v>143.58407079646017</v>
      </c>
      <c r="L22" s="53">
        <f t="shared" ca="1" si="9"/>
        <v>300000</v>
      </c>
    </row>
    <row r="23" spans="1:12" x14ac:dyDescent="0.45">
      <c r="A23" s="50" t="str">
        <f>IF(ISBLANK(Data!C23),"",Data!C23)</f>
        <v>2557 Albion Farm Way, Duluth, GA 30097</v>
      </c>
      <c r="B23" s="50">
        <f>IFERROR(MATCH($A23,Data!$C:$C,0),"")</f>
        <v>23</v>
      </c>
      <c r="C23" s="82">
        <f t="shared" ca="1" si="1"/>
        <v>38799</v>
      </c>
      <c r="D23" s="51">
        <f t="shared" ca="1" si="0"/>
        <v>149.76958525345623</v>
      </c>
      <c r="E23" s="52">
        <f t="shared" ca="1" si="2"/>
        <v>108.17972350230414</v>
      </c>
      <c r="F23" s="53">
        <f t="shared" ca="1" si="3"/>
        <v>233333.33333333334</v>
      </c>
      <c r="G23" s="52">
        <f t="shared" ca="1" si="4"/>
        <v>118.08755760368663</v>
      </c>
      <c r="H23" s="53">
        <f t="shared" ca="1" si="5"/>
        <v>250000</v>
      </c>
      <c r="I23" s="52">
        <f t="shared" ca="1" si="6"/>
        <v>138.0184331797235</v>
      </c>
      <c r="J23" s="53">
        <f t="shared" ca="1" si="7"/>
        <v>250000</v>
      </c>
      <c r="K23" s="52">
        <f t="shared" ca="1" si="8"/>
        <v>155.76036866359448</v>
      </c>
      <c r="L23" s="53">
        <f t="shared" ca="1" si="9"/>
        <v>250000</v>
      </c>
    </row>
    <row r="24" spans="1:12" x14ac:dyDescent="0.45">
      <c r="A24" s="50" t="str">
        <f>IF(ISBLANK(Data!C24),"",Data!C24)</f>
        <v>2562 Albion Farm Way, Duluth, GA 30097</v>
      </c>
      <c r="B24" s="50">
        <f>IFERROR(MATCH($A24,Data!$C:$C,0),"")</f>
        <v>24</v>
      </c>
      <c r="C24" s="82">
        <f t="shared" ca="1" si="1"/>
        <v>34593</v>
      </c>
      <c r="D24" s="51">
        <f t="shared" ca="1" si="0"/>
        <v>89.821029082774047</v>
      </c>
      <c r="E24" s="52">
        <f t="shared" ca="1" si="2"/>
        <v>111.07382550335571</v>
      </c>
      <c r="F24" s="53">
        <f t="shared" ca="1" si="3"/>
        <v>254545.45454545456</v>
      </c>
      <c r="G24" s="52">
        <f t="shared" ca="1" si="4"/>
        <v>121.25279642058166</v>
      </c>
      <c r="H24" s="53">
        <f t="shared" ca="1" si="5"/>
        <v>272727.27272727271</v>
      </c>
      <c r="I24" s="52">
        <f t="shared" ca="1" si="6"/>
        <v>141.72259507829978</v>
      </c>
      <c r="J24" s="53">
        <f t="shared" ca="1" si="7"/>
        <v>272727.27272727271</v>
      </c>
      <c r="K24" s="52">
        <f t="shared" ca="1" si="8"/>
        <v>158.83668903803132</v>
      </c>
      <c r="L24" s="53">
        <f t="shared" ca="1" si="9"/>
        <v>272727.27272727271</v>
      </c>
    </row>
    <row r="25" spans="1:12" x14ac:dyDescent="0.45">
      <c r="A25" s="50" t="str">
        <f>IF(ISBLANK(Data!C25),"",Data!C25)</f>
        <v>2567 Albion Farm Way, Duluth, GA 30097</v>
      </c>
      <c r="B25" s="50">
        <f>IFERROR(MATCH($A25,Data!$C:$C,0),"")</f>
        <v>25</v>
      </c>
      <c r="C25" s="82">
        <f t="shared" ca="1" si="1"/>
        <v>42986</v>
      </c>
      <c r="D25" s="51">
        <f t="shared" ca="1" si="0"/>
        <v>181.4720812182741</v>
      </c>
      <c r="E25" s="52">
        <f t="shared" ca="1" si="2"/>
        <v>102.15736040609137</v>
      </c>
      <c r="F25" s="53">
        <f t="shared" ca="1" si="3"/>
        <v>233333.33333333334</v>
      </c>
      <c r="G25" s="52">
        <f t="shared" ca="1" si="4"/>
        <v>111.42131979695432</v>
      </c>
      <c r="H25" s="53">
        <f t="shared" ca="1" si="5"/>
        <v>250000</v>
      </c>
      <c r="I25" s="52">
        <f t="shared" ca="1" si="6"/>
        <v>130.20304568527919</v>
      </c>
      <c r="J25" s="53">
        <f t="shared" ca="1" si="7"/>
        <v>250000</v>
      </c>
      <c r="K25" s="52">
        <f t="shared" ca="1" si="8"/>
        <v>146.70050761421319</v>
      </c>
      <c r="L25" s="53">
        <f t="shared" ca="1" si="9"/>
        <v>250000</v>
      </c>
    </row>
    <row r="26" spans="1:12" x14ac:dyDescent="0.45">
      <c r="A26" s="50" t="str">
        <f>IF(ISBLANK(Data!C26),"",Data!C26)</f>
        <v>2577 Albion Farm Way, Duluth, GA 30097</v>
      </c>
      <c r="B26" s="50">
        <f>IFERROR(MATCH($A26,Data!$C:$C,0),"")</f>
        <v>26</v>
      </c>
      <c r="C26" s="82">
        <f t="shared" ca="1" si="1"/>
        <v>41683</v>
      </c>
      <c r="D26" s="51">
        <f t="shared" ca="1" si="0"/>
        <v>107.17821782178218</v>
      </c>
      <c r="E26" s="52">
        <f t="shared" ca="1" si="2"/>
        <v>102.64026402640265</v>
      </c>
      <c r="F26" s="53">
        <f t="shared" ca="1" si="3"/>
        <v>199999.99999999997</v>
      </c>
      <c r="G26" s="52">
        <f t="shared" ca="1" si="4"/>
        <v>112.04620462046205</v>
      </c>
      <c r="H26" s="53">
        <f t="shared" ca="1" si="5"/>
        <v>214285.71428571426</v>
      </c>
      <c r="I26" s="52">
        <f t="shared" ca="1" si="6"/>
        <v>130.94059405940595</v>
      </c>
      <c r="J26" s="53">
        <f t="shared" ca="1" si="7"/>
        <v>214285.71428571426</v>
      </c>
      <c r="K26" s="52">
        <f t="shared" ca="1" si="8"/>
        <v>142.57425742574259</v>
      </c>
      <c r="L26" s="53">
        <f t="shared" ca="1" si="9"/>
        <v>214285.71428571426</v>
      </c>
    </row>
    <row r="27" spans="1:12" x14ac:dyDescent="0.45">
      <c r="A27" s="50" t="str">
        <f>IF(ISBLANK(Data!C27),"",Data!C27)</f>
        <v>2582 Albion Farm Way, Duluth, GA 30097</v>
      </c>
      <c r="B27" s="50">
        <f>IFERROR(MATCH($A27,Data!$C:$C,0),"")</f>
        <v>27</v>
      </c>
      <c r="C27" s="82">
        <f t="shared" ca="1" si="1"/>
        <v>42053</v>
      </c>
      <c r="D27" s="51">
        <f t="shared" ca="1" si="0"/>
        <v>129.0035587188612</v>
      </c>
      <c r="E27" s="52">
        <f t="shared" ca="1" si="2"/>
        <v>101.15658362989323</v>
      </c>
      <c r="F27" s="53">
        <f t="shared" ca="1" si="3"/>
        <v>140000</v>
      </c>
      <c r="G27" s="52">
        <f t="shared" ca="1" si="4"/>
        <v>110.4982206405694</v>
      </c>
      <c r="H27" s="53">
        <f t="shared" ca="1" si="5"/>
        <v>150000</v>
      </c>
      <c r="I27" s="52">
        <f t="shared" ca="1" si="6"/>
        <v>129.09252669039145</v>
      </c>
      <c r="J27" s="53">
        <f t="shared" ca="1" si="7"/>
        <v>150000</v>
      </c>
      <c r="K27" s="52">
        <f t="shared" ca="1" si="8"/>
        <v>141.90391459074732</v>
      </c>
      <c r="L27" s="53">
        <f t="shared" ca="1" si="9"/>
        <v>150000</v>
      </c>
    </row>
    <row r="28" spans="1:12" x14ac:dyDescent="0.45">
      <c r="A28" s="50" t="str">
        <f>IF(ISBLANK(Data!C28),"",Data!C28)</f>
        <v>2587 Albion Farm Way, Duluth, GA 30097</v>
      </c>
      <c r="B28" s="50">
        <f>IFERROR(MATCH($A28,Data!$C:$C,0),"")</f>
        <v>28</v>
      </c>
      <c r="C28" s="82">
        <f t="shared" ca="1" si="1"/>
        <v>36672</v>
      </c>
      <c r="D28" s="51">
        <f t="shared" ca="1" si="0"/>
        <v>101.38648180242635</v>
      </c>
      <c r="E28" s="52">
        <f t="shared" ca="1" si="2"/>
        <v>103.7261698440208</v>
      </c>
      <c r="F28" s="53">
        <f t="shared" ca="1" si="3"/>
        <v>233333.33333333334</v>
      </c>
      <c r="G28" s="52">
        <f t="shared" ca="1" si="4"/>
        <v>113.25823223570191</v>
      </c>
      <c r="H28" s="53">
        <f t="shared" ca="1" si="5"/>
        <v>250000</v>
      </c>
      <c r="I28" s="52">
        <f t="shared" ca="1" si="6"/>
        <v>132.40901213171577</v>
      </c>
      <c r="J28" s="53">
        <f t="shared" ca="1" si="7"/>
        <v>250000</v>
      </c>
      <c r="K28" s="52">
        <f t="shared" ca="1" si="8"/>
        <v>147.14038128249567</v>
      </c>
      <c r="L28" s="53">
        <f t="shared" ca="1" si="9"/>
        <v>250000</v>
      </c>
    </row>
    <row r="29" spans="1:12" x14ac:dyDescent="0.45">
      <c r="A29" s="50" t="str">
        <f>IF(ISBLANK(Data!C29),"",Data!C29)</f>
        <v>2597 Albion Farm Way, Duluth, GA 30097</v>
      </c>
      <c r="B29" s="50">
        <f>IFERROR(MATCH($A29,Data!$C:$C,0),"")</f>
        <v>29</v>
      </c>
      <c r="C29" s="82">
        <f t="shared" ca="1" si="1"/>
        <v>39167</v>
      </c>
      <c r="D29" s="51">
        <f t="shared" ca="1" si="0"/>
        <v>132.90513833992094</v>
      </c>
      <c r="E29" s="52">
        <f t="shared" ca="1" si="2"/>
        <v>91.897233201581031</v>
      </c>
      <c r="F29" s="53">
        <f t="shared" ca="1" si="3"/>
        <v>233333.33333333334</v>
      </c>
      <c r="G29" s="52">
        <f t="shared" ca="1" si="4"/>
        <v>100.39525691699605</v>
      </c>
      <c r="H29" s="53">
        <f t="shared" ca="1" si="5"/>
        <v>250000</v>
      </c>
      <c r="I29" s="52">
        <f t="shared" ca="1" si="6"/>
        <v>117.29249011857708</v>
      </c>
      <c r="J29" s="53">
        <f t="shared" ca="1" si="7"/>
        <v>250000</v>
      </c>
      <c r="K29" s="52">
        <f t="shared" ca="1" si="8"/>
        <v>133.89328063241106</v>
      </c>
      <c r="L29" s="53">
        <f t="shared" ca="1" si="9"/>
        <v>250000</v>
      </c>
    </row>
    <row r="30" spans="1:12" x14ac:dyDescent="0.45">
      <c r="A30" s="50" t="str">
        <f>IF(ISBLANK(Data!C30),"",Data!C30)</f>
        <v>2607 Albion Farm Way, Duluth, GA 30097</v>
      </c>
      <c r="B30" s="50">
        <f>IFERROR(MATCH($A30,Data!$C:$C,0),"")</f>
        <v>30</v>
      </c>
      <c r="C30" s="82">
        <f t="shared" ca="1" si="1"/>
        <v>42892</v>
      </c>
      <c r="D30" s="51">
        <f t="shared" ca="1" si="0"/>
        <v>181.45161290322579</v>
      </c>
      <c r="E30" s="52">
        <f t="shared" ca="1" si="2"/>
        <v>110.94470046082949</v>
      </c>
      <c r="F30" s="53">
        <f t="shared" ca="1" si="3"/>
        <v>254545.45454545456</v>
      </c>
      <c r="G30" s="52">
        <f t="shared" ca="1" si="4"/>
        <v>121.08294930875576</v>
      </c>
      <c r="H30" s="53">
        <f t="shared" ca="1" si="5"/>
        <v>272727.27272727271</v>
      </c>
      <c r="I30" s="52">
        <f t="shared" ca="1" si="6"/>
        <v>141.47465437788017</v>
      </c>
      <c r="J30" s="53">
        <f t="shared" ca="1" si="7"/>
        <v>272727.27272727271</v>
      </c>
      <c r="K30" s="52">
        <f t="shared" ca="1" si="8"/>
        <v>160.02304147465438</v>
      </c>
      <c r="L30" s="53">
        <f t="shared" ca="1" si="9"/>
        <v>272727.27272727271</v>
      </c>
    </row>
    <row r="31" spans="1:12" x14ac:dyDescent="0.45">
      <c r="A31" s="50" t="str">
        <f>IF(ISBLANK(Data!C31),"",Data!C31)</f>
        <v>2617 Albion Farm Way, Duluth, GA 30097</v>
      </c>
      <c r="B31" s="50">
        <f>IFERROR(MATCH($A31,Data!$C:$C,0),"")</f>
        <v>31</v>
      </c>
      <c r="C31" s="82">
        <f t="shared" ca="1" si="1"/>
        <v>42459</v>
      </c>
      <c r="D31" s="51">
        <f t="shared" ca="1" si="0"/>
        <v>148.65537848605578</v>
      </c>
      <c r="E31" s="52">
        <f t="shared" ca="1" si="2"/>
        <v>99.103585657370516</v>
      </c>
      <c r="F31" s="53">
        <f t="shared" ca="1" si="3"/>
        <v>233333.33333333334</v>
      </c>
      <c r="G31" s="52">
        <f t="shared" ca="1" si="4"/>
        <v>112.25099601593625</v>
      </c>
      <c r="H31" s="53">
        <f t="shared" ca="1" si="5"/>
        <v>250000</v>
      </c>
      <c r="I31" s="52">
        <f t="shared" ca="1" si="6"/>
        <v>131.17529880478088</v>
      </c>
      <c r="J31" s="53">
        <f t="shared" ca="1" si="7"/>
        <v>250000</v>
      </c>
      <c r="K31" s="52">
        <f t="shared" ca="1" si="8"/>
        <v>148.30677290836653</v>
      </c>
      <c r="L31" s="53">
        <f t="shared" ca="1" si="9"/>
        <v>250000</v>
      </c>
    </row>
    <row r="32" spans="1:12" x14ac:dyDescent="0.45">
      <c r="A32" s="50" t="str">
        <f>IF(ISBLANK(Data!C32),"",Data!C32)</f>
        <v>2627 Albion Farm Way, Duluth, GA 30097</v>
      </c>
      <c r="B32" s="50">
        <f>IFERROR(MATCH($A32,Data!$C:$C,0),"")</f>
        <v>32</v>
      </c>
      <c r="C32" s="82">
        <f t="shared" ca="1" si="1"/>
        <v>42870</v>
      </c>
      <c r="D32" s="51">
        <f t="shared" ca="1" si="0"/>
        <v>153.40909090909091</v>
      </c>
      <c r="E32" s="52">
        <f t="shared" ca="1" si="2"/>
        <v>102.46212121212122</v>
      </c>
      <c r="F32" s="53">
        <f t="shared" ca="1" si="3"/>
        <v>254545.45454545456</v>
      </c>
      <c r="G32" s="52">
        <f t="shared" ca="1" si="4"/>
        <v>111.83712121212122</v>
      </c>
      <c r="H32" s="53">
        <f t="shared" ca="1" si="5"/>
        <v>272727.27272727271</v>
      </c>
      <c r="I32" s="52">
        <f t="shared" ca="1" si="6"/>
        <v>125</v>
      </c>
      <c r="J32" s="53">
        <f t="shared" ca="1" si="7"/>
        <v>272727.27272727271</v>
      </c>
      <c r="K32" s="52">
        <f t="shared" ca="1" si="8"/>
        <v>149.24242424242425</v>
      </c>
      <c r="L32" s="53">
        <f t="shared" ca="1" si="9"/>
        <v>272727.27272727271</v>
      </c>
    </row>
    <row r="33" spans="1:12" x14ac:dyDescent="0.45">
      <c r="A33" s="50" t="str">
        <f>IF(ISBLANK(Data!C33),"",Data!C33)</f>
        <v>2637 Albion Farm Way, Duluth, GA 30097</v>
      </c>
      <c r="B33" s="50">
        <f>IFERROR(MATCH($A33,Data!$C:$C,0),"")</f>
        <v>33</v>
      </c>
      <c r="C33" s="82">
        <f t="shared" ca="1" si="1"/>
        <v>43510</v>
      </c>
      <c r="D33" s="51">
        <f t="shared" ca="1" si="0"/>
        <v>187.20855614973263</v>
      </c>
      <c r="E33" s="52">
        <f t="shared" ca="1" si="2"/>
        <v>103.475935828877</v>
      </c>
      <c r="F33" s="53">
        <f t="shared" ca="1" si="3"/>
        <v>254545.45454545456</v>
      </c>
      <c r="G33" s="52">
        <f t="shared" ca="1" si="4"/>
        <v>104.27807486631016</v>
      </c>
      <c r="H33" s="53">
        <f t="shared" ca="1" si="5"/>
        <v>272727.27272727271</v>
      </c>
      <c r="I33" s="52">
        <f t="shared" ca="1" si="6"/>
        <v>131.99643493761141</v>
      </c>
      <c r="J33" s="53">
        <f t="shared" ca="1" si="7"/>
        <v>272727.27272727271</v>
      </c>
      <c r="K33" s="52">
        <f t="shared" ca="1" si="8"/>
        <v>146.2566844919786</v>
      </c>
      <c r="L33" s="53">
        <f t="shared" ca="1" si="9"/>
        <v>272727.27272727271</v>
      </c>
    </row>
    <row r="34" spans="1:12" x14ac:dyDescent="0.45">
      <c r="A34" s="50" t="str">
        <f>IF(ISBLANK(Data!C34),"",Data!C34)</f>
        <v>2647 Albion Farm Way, Duluth, GA 30097</v>
      </c>
      <c r="B34" s="50">
        <f>IFERROR(MATCH($A34,Data!$C:$C,0),"")</f>
        <v>34</v>
      </c>
      <c r="C34" s="82">
        <f t="shared" ca="1" si="1"/>
        <v>34478</v>
      </c>
      <c r="D34" s="51">
        <f t="shared" ca="1" si="0"/>
        <v>82.669322709163353</v>
      </c>
      <c r="E34" s="52">
        <f t="shared" ca="1" si="2"/>
        <v>93.525896414342625</v>
      </c>
      <c r="F34" s="53">
        <f t="shared" ca="1" si="3"/>
        <v>254545.45454545456</v>
      </c>
      <c r="G34" s="52">
        <f t="shared" ca="1" si="4"/>
        <v>102.09163346613546</v>
      </c>
      <c r="H34" s="53">
        <f t="shared" ca="1" si="5"/>
        <v>272727.27272727271</v>
      </c>
      <c r="I34" s="52">
        <f t="shared" ca="1" si="6"/>
        <v>119.32270916334662</v>
      </c>
      <c r="J34" s="53">
        <f t="shared" ca="1" si="7"/>
        <v>272727.27272727271</v>
      </c>
      <c r="K34" s="52">
        <f t="shared" ca="1" si="8"/>
        <v>135.65737051792829</v>
      </c>
      <c r="L34" s="53">
        <f t="shared" ca="1" si="9"/>
        <v>272727.27272727271</v>
      </c>
    </row>
    <row r="35" spans="1:12" x14ac:dyDescent="0.45">
      <c r="A35" s="50" t="str">
        <f>IF(ISBLANK(Data!C35),"",Data!C35)</f>
        <v>2657 Albion Farm Way, Duluth, GA 30097</v>
      </c>
      <c r="B35" s="50">
        <f>IFERROR(MATCH($A35,Data!$C:$C,0),"")</f>
        <v>35</v>
      </c>
      <c r="C35" s="82">
        <f t="shared" ca="1" si="1"/>
        <v>34621</v>
      </c>
      <c r="D35" s="51">
        <f t="shared" ca="1" si="0"/>
        <v>81.624758220502898</v>
      </c>
      <c r="E35" s="52">
        <f t="shared" ca="1" si="2"/>
        <v>101.45067698259187</v>
      </c>
      <c r="F35" s="53">
        <f t="shared" ca="1" si="3"/>
        <v>233333.33333333334</v>
      </c>
      <c r="G35" s="52">
        <f t="shared" ca="1" si="4"/>
        <v>110.73500967117988</v>
      </c>
      <c r="H35" s="53">
        <f t="shared" ca="1" si="5"/>
        <v>250000</v>
      </c>
      <c r="I35" s="52">
        <f t="shared" ca="1" si="6"/>
        <v>129.40038684719536</v>
      </c>
      <c r="J35" s="53">
        <f t="shared" ca="1" si="7"/>
        <v>250000</v>
      </c>
      <c r="K35" s="52">
        <f t="shared" ca="1" si="8"/>
        <v>146.22823984526113</v>
      </c>
      <c r="L35" s="53">
        <f t="shared" ca="1" si="9"/>
        <v>250000</v>
      </c>
    </row>
    <row r="36" spans="1:12" x14ac:dyDescent="0.45">
      <c r="A36" s="50" t="str">
        <f>IF(ISBLANK(Data!C36),"",Data!C36)</f>
        <v>2667 Albion Farm Way, Duluth, GA 30097</v>
      </c>
      <c r="B36" s="50">
        <f>IFERROR(MATCH($A36,Data!$C:$C,0),"")</f>
        <v>36</v>
      </c>
      <c r="C36" s="82">
        <f t="shared" ca="1" si="1"/>
        <v>42822</v>
      </c>
      <c r="D36" s="51">
        <f t="shared" ca="1" si="0"/>
        <v>172.64573991031389</v>
      </c>
      <c r="E36" s="52">
        <f t="shared" ca="1" si="2"/>
        <v>106.50224215246637</v>
      </c>
      <c r="F36" s="53">
        <f t="shared" ca="1" si="3"/>
        <v>233333.33333333334</v>
      </c>
      <c r="G36" s="52">
        <f t="shared" ca="1" si="4"/>
        <v>116.25560538116592</v>
      </c>
      <c r="H36" s="53">
        <f t="shared" ca="1" si="5"/>
        <v>250000</v>
      </c>
      <c r="I36" s="52">
        <f t="shared" ca="1" si="6"/>
        <v>135.87443946188341</v>
      </c>
      <c r="J36" s="53">
        <f t="shared" ca="1" si="7"/>
        <v>250000</v>
      </c>
      <c r="K36" s="52">
        <f t="shared" ca="1" si="8"/>
        <v>153.36322869955157</v>
      </c>
      <c r="L36" s="53">
        <f t="shared" ca="1" si="9"/>
        <v>250000</v>
      </c>
    </row>
    <row r="37" spans="1:12" x14ac:dyDescent="0.45">
      <c r="A37" s="50" t="str">
        <f>IF(ISBLANK(Data!C37),"",Data!C37)</f>
        <v>2677 Albion Farm Way, Duluth, GA 30097</v>
      </c>
      <c r="B37" s="50">
        <f>IFERROR(MATCH($A37,Data!$C:$C,0),"")</f>
        <v>37</v>
      </c>
      <c r="C37" s="82">
        <f t="shared" ca="1" si="1"/>
        <v>42608</v>
      </c>
      <c r="D37" s="51">
        <f t="shared" ref="D37:D68" ca="1" si="10">IFERROR(INDIRECT("Data!$I"&amp;$B37)/INDIRECT("Data!$G"&amp;$B37),"")</f>
        <v>165.52511415525115</v>
      </c>
      <c r="E37" s="52">
        <f t="shared" ca="1" si="2"/>
        <v>103.65296803652969</v>
      </c>
      <c r="F37" s="53">
        <f t="shared" ca="1" si="3"/>
        <v>254545.45454545456</v>
      </c>
      <c r="G37" s="52">
        <f t="shared" ca="1" si="4"/>
        <v>113.24200913242009</v>
      </c>
      <c r="H37" s="53">
        <f t="shared" ca="1" si="5"/>
        <v>272727.27272727271</v>
      </c>
      <c r="I37" s="52">
        <f t="shared" ca="1" si="6"/>
        <v>132.30593607305937</v>
      </c>
      <c r="J37" s="53">
        <f t="shared" ca="1" si="7"/>
        <v>272727.27272727271</v>
      </c>
      <c r="K37" s="52">
        <f t="shared" ca="1" si="8"/>
        <v>148.17351598173516</v>
      </c>
      <c r="L37" s="53">
        <f t="shared" ca="1" si="9"/>
        <v>272727.27272727271</v>
      </c>
    </row>
    <row r="38" spans="1:12" x14ac:dyDescent="0.45">
      <c r="A38" s="50" t="str">
        <f>IF(ISBLANK(Data!C38),"",Data!C38)</f>
        <v>2687 Albion Farm Way, Duluth, GA 30097</v>
      </c>
      <c r="B38" s="50">
        <f>IFERROR(MATCH($A38,Data!$C:$C,0),"")</f>
        <v>38</v>
      </c>
      <c r="C38" s="82">
        <f t="shared" ca="1" si="1"/>
        <v>41929</v>
      </c>
      <c r="D38" s="51">
        <f t="shared" ca="1" si="10"/>
        <v>115.87436332767402</v>
      </c>
      <c r="E38" s="52">
        <f t="shared" ca="1" si="2"/>
        <v>106.28183361629881</v>
      </c>
      <c r="F38" s="53">
        <f t="shared" ca="1" si="3"/>
        <v>254545.45454545456</v>
      </c>
      <c r="G38" s="52">
        <f t="shared" ca="1" si="4"/>
        <v>116.04414261460101</v>
      </c>
      <c r="H38" s="53">
        <f t="shared" ca="1" si="5"/>
        <v>272727.27272727271</v>
      </c>
      <c r="I38" s="52">
        <f t="shared" ca="1" si="6"/>
        <v>135.65365025466892</v>
      </c>
      <c r="J38" s="53">
        <f t="shared" ca="1" si="7"/>
        <v>272727.27272727271</v>
      </c>
      <c r="K38" s="52">
        <f t="shared" ca="1" si="8"/>
        <v>149.49066213921901</v>
      </c>
      <c r="L38" s="53">
        <f t="shared" ca="1" si="9"/>
        <v>272727.27272727271</v>
      </c>
    </row>
    <row r="39" spans="1:12" x14ac:dyDescent="0.45">
      <c r="A39" s="50" t="str">
        <f>IF(ISBLANK(Data!C39),"",Data!C39)</f>
        <v>2697 Albion Farm Way, Duluth, GA 30097</v>
      </c>
      <c r="B39" s="50">
        <f>IFERROR(MATCH($A39,Data!$C:$C,0),"")</f>
        <v>39</v>
      </c>
      <c r="C39" s="82">
        <f t="shared" ca="1" si="1"/>
        <v>34485</v>
      </c>
      <c r="D39" s="51">
        <f t="shared" ca="1" si="10"/>
        <v>80.211726384364823</v>
      </c>
      <c r="E39" s="52">
        <f t="shared" ca="1" si="2"/>
        <v>105.29315960912052</v>
      </c>
      <c r="F39" s="53">
        <f t="shared" ca="1" si="3"/>
        <v>233333.33333333334</v>
      </c>
      <c r="G39" s="52">
        <f t="shared" ca="1" si="4"/>
        <v>114.90228013029316</v>
      </c>
      <c r="H39" s="53">
        <f t="shared" ca="1" si="5"/>
        <v>250000</v>
      </c>
      <c r="I39" s="52">
        <f t="shared" ca="1" si="6"/>
        <v>134.28338762214983</v>
      </c>
      <c r="J39" s="53">
        <f t="shared" ca="1" si="7"/>
        <v>250000</v>
      </c>
      <c r="K39" s="52">
        <f t="shared" ca="1" si="8"/>
        <v>147.8827361563518</v>
      </c>
      <c r="L39" s="53">
        <f t="shared" ca="1" si="9"/>
        <v>250000</v>
      </c>
    </row>
    <row r="40" spans="1:12" x14ac:dyDescent="0.45">
      <c r="A40" s="50" t="str">
        <f>IF(ISBLANK(Data!C40),"",Data!C40)</f>
        <v>2707 Albion Farm Way, Duluth, GA 30097</v>
      </c>
      <c r="B40" s="50">
        <f>IFERROR(MATCH($A40,Data!$C:$C,0),"")</f>
        <v>40</v>
      </c>
      <c r="C40" s="82">
        <f t="shared" ca="1" si="1"/>
        <v>34502</v>
      </c>
      <c r="D40" s="51">
        <f t="shared" ca="1" si="10"/>
        <v>91.056910569105696</v>
      </c>
      <c r="E40" s="52">
        <f t="shared" ca="1" si="2"/>
        <v>108.24622531939605</v>
      </c>
      <c r="F40" s="53">
        <f t="shared" ca="1" si="3"/>
        <v>254545.45454545456</v>
      </c>
      <c r="G40" s="52">
        <f t="shared" ca="1" si="4"/>
        <v>118.23461091753775</v>
      </c>
      <c r="H40" s="53">
        <f t="shared" ca="1" si="5"/>
        <v>272727.27272727271</v>
      </c>
      <c r="I40" s="52">
        <f t="shared" ca="1" si="6"/>
        <v>138.21138211382114</v>
      </c>
      <c r="J40" s="53">
        <f t="shared" ca="1" si="7"/>
        <v>272727.27272727271</v>
      </c>
      <c r="K40" s="52">
        <f t="shared" ca="1" si="8"/>
        <v>155.86527293844367</v>
      </c>
      <c r="L40" s="53">
        <f t="shared" ca="1" si="9"/>
        <v>272727.27272727271</v>
      </c>
    </row>
    <row r="41" spans="1:12" x14ac:dyDescent="0.45">
      <c r="A41" s="50" t="str">
        <f>IF(ISBLANK(Data!C41),"",Data!C41)</f>
        <v>2717 Albion Farm Way, Duluth, GA 30097</v>
      </c>
      <c r="B41" s="50">
        <f>IFERROR(MATCH($A41,Data!$C:$C,0),"")</f>
        <v>41</v>
      </c>
      <c r="C41" s="82">
        <f t="shared" ca="1" si="1"/>
        <v>41843</v>
      </c>
      <c r="D41" s="51">
        <f t="shared" ca="1" si="10"/>
        <v>107.70416024653312</v>
      </c>
      <c r="E41" s="52">
        <f t="shared" ca="1" si="2"/>
        <v>105.77812018489985</v>
      </c>
      <c r="F41" s="53">
        <f t="shared" ca="1" si="3"/>
        <v>254545.45454545456</v>
      </c>
      <c r="G41" s="52">
        <f t="shared" ca="1" si="4"/>
        <v>112.86594761171033</v>
      </c>
      <c r="H41" s="53">
        <f t="shared" ca="1" si="5"/>
        <v>272727.27272727271</v>
      </c>
      <c r="I41" s="52">
        <f t="shared" ca="1" si="6"/>
        <v>112.86594761171033</v>
      </c>
      <c r="J41" s="53">
        <f t="shared" ca="1" si="7"/>
        <v>272727.27272727271</v>
      </c>
      <c r="K41" s="52">
        <f t="shared" ca="1" si="8"/>
        <v>112.86594761171033</v>
      </c>
      <c r="L41" s="53">
        <f t="shared" ca="1" si="9"/>
        <v>272727.27272727271</v>
      </c>
    </row>
    <row r="42" spans="1:12" x14ac:dyDescent="0.45">
      <c r="A42" s="50" t="str">
        <f>IF(ISBLANK(Data!C42),"",Data!C42)</f>
        <v>2722 Albion Farm Way, Duluth, GA 30097</v>
      </c>
      <c r="B42" s="50">
        <f>IFERROR(MATCH($A42,Data!$C:$C,0),"")</f>
        <v>42</v>
      </c>
      <c r="C42" s="82">
        <f t="shared" ca="1" si="1"/>
        <v>40112</v>
      </c>
      <c r="D42" s="51">
        <f t="shared" ca="1" si="10"/>
        <v>125.1101321585903</v>
      </c>
      <c r="E42" s="52">
        <f t="shared" ca="1" si="2"/>
        <v>102.02643171806167</v>
      </c>
      <c r="F42" s="53">
        <f t="shared" ca="1" si="3"/>
        <v>311111.11111111112</v>
      </c>
      <c r="G42" s="52">
        <f t="shared" ca="1" si="4"/>
        <v>112.86343612334802</v>
      </c>
      <c r="H42" s="53">
        <f t="shared" ca="1" si="5"/>
        <v>333333.33333333337</v>
      </c>
      <c r="I42" s="52">
        <f t="shared" ca="1" si="6"/>
        <v>130.22026431718061</v>
      </c>
      <c r="J42" s="53">
        <f t="shared" ca="1" si="7"/>
        <v>333333.33333333337</v>
      </c>
      <c r="K42" s="52">
        <f t="shared" ca="1" si="8"/>
        <v>147.22466960352423</v>
      </c>
      <c r="L42" s="53">
        <f t="shared" ca="1" si="9"/>
        <v>333333.33333333337</v>
      </c>
    </row>
    <row r="43" spans="1:12" x14ac:dyDescent="0.45">
      <c r="A43" s="50" t="str">
        <f>IF(ISBLANK(Data!C43),"",Data!C43)</f>
        <v>2727 Albion Farm Way, Duluth, GA 30097</v>
      </c>
      <c r="B43" s="50">
        <f>IFERROR(MATCH($A43,Data!$C:$C,0),"")</f>
        <v>43</v>
      </c>
      <c r="C43" s="82">
        <f t="shared" ca="1" si="1"/>
        <v>42915</v>
      </c>
      <c r="D43" s="51">
        <f t="shared" ca="1" si="10"/>
        <v>159.76331360946745</v>
      </c>
      <c r="E43" s="52">
        <f t="shared" ca="1" si="2"/>
        <v>104.53648915187377</v>
      </c>
      <c r="F43" s="53">
        <f t="shared" ca="1" si="3"/>
        <v>254545.45454545456</v>
      </c>
      <c r="G43" s="52">
        <f t="shared" ca="1" si="4"/>
        <v>115.58185404339251</v>
      </c>
      <c r="H43" s="53">
        <f t="shared" ca="1" si="5"/>
        <v>272727.27272727271</v>
      </c>
      <c r="I43" s="52">
        <f t="shared" ca="1" si="6"/>
        <v>130.17751479289942</v>
      </c>
      <c r="J43" s="53">
        <f t="shared" ca="1" si="7"/>
        <v>272727.27272727271</v>
      </c>
      <c r="K43" s="52">
        <f t="shared" ca="1" si="8"/>
        <v>150.78895463510847</v>
      </c>
      <c r="L43" s="53">
        <f t="shared" ca="1" si="9"/>
        <v>272727.27272727271</v>
      </c>
    </row>
    <row r="44" spans="1:12" x14ac:dyDescent="0.45">
      <c r="A44" s="50" t="str">
        <f>IF(ISBLANK(Data!C44),"",Data!C44)</f>
        <v>2732 Albion Farm Way, Duluth, GA 30097</v>
      </c>
      <c r="B44" s="50">
        <f>IFERROR(MATCH($A44,Data!$C:$C,0),"")</f>
        <v>44</v>
      </c>
      <c r="C44" s="82">
        <f t="shared" ca="1" si="1"/>
        <v>36061</v>
      </c>
      <c r="D44" s="51">
        <f t="shared" ca="1" si="10"/>
        <v>85.516178736517716</v>
      </c>
      <c r="E44" s="52">
        <f t="shared" ca="1" si="2"/>
        <v>103.77503852080123</v>
      </c>
      <c r="F44" s="53">
        <f t="shared" ca="1" si="3"/>
        <v>280000</v>
      </c>
      <c r="G44" s="52">
        <f t="shared" ca="1" si="4"/>
        <v>114.71494607087827</v>
      </c>
      <c r="H44" s="53">
        <f t="shared" ca="1" si="5"/>
        <v>300000</v>
      </c>
      <c r="I44" s="52">
        <f t="shared" ca="1" si="6"/>
        <v>132.35747303543914</v>
      </c>
      <c r="J44" s="53">
        <f t="shared" ca="1" si="7"/>
        <v>300000</v>
      </c>
      <c r="K44" s="52">
        <f t="shared" ca="1" si="8"/>
        <v>144.60708782742682</v>
      </c>
      <c r="L44" s="53">
        <f t="shared" ca="1" si="9"/>
        <v>300000</v>
      </c>
    </row>
    <row r="45" spans="1:12" x14ac:dyDescent="0.45">
      <c r="A45" s="50" t="str">
        <f>IF(ISBLANK(Data!C45),"",Data!C45)</f>
        <v>2737 Albion Farm Way, Duluth, GA 30097</v>
      </c>
      <c r="B45" s="50">
        <f>IFERROR(MATCH($A45,Data!$C:$C,0),"")</f>
        <v>45</v>
      </c>
      <c r="C45" s="82">
        <f t="shared" ca="1" si="1"/>
        <v>34211</v>
      </c>
      <c r="D45" s="51">
        <f t="shared" ca="1" si="10"/>
        <v>82.149901380670613</v>
      </c>
      <c r="E45" s="52">
        <f t="shared" ca="1" si="2"/>
        <v>104.04339250493096</v>
      </c>
      <c r="F45" s="53">
        <f t="shared" ca="1" si="3"/>
        <v>254545.45454545456</v>
      </c>
      <c r="G45" s="52">
        <f t="shared" ca="1" si="4"/>
        <v>114.99013806706114</v>
      </c>
      <c r="H45" s="53">
        <f t="shared" ca="1" si="5"/>
        <v>272727.27272727271</v>
      </c>
      <c r="I45" s="52">
        <f t="shared" ca="1" si="6"/>
        <v>132.6429980276134</v>
      </c>
      <c r="J45" s="53">
        <f t="shared" ca="1" si="7"/>
        <v>272727.27272727271</v>
      </c>
      <c r="K45" s="52">
        <f t="shared" ca="1" si="8"/>
        <v>146.05522682445761</v>
      </c>
      <c r="L45" s="53">
        <f t="shared" ca="1" si="9"/>
        <v>272727.27272727271</v>
      </c>
    </row>
    <row r="46" spans="1:12" x14ac:dyDescent="0.45">
      <c r="A46" s="50" t="str">
        <f>IF(ISBLANK(Data!C46),"",Data!C46)</f>
        <v>2742 Albion Farm Way, Duluth, GA 30097</v>
      </c>
      <c r="B46" s="50">
        <f>IFERROR(MATCH($A46,Data!$C:$C,0),"")</f>
        <v>46</v>
      </c>
      <c r="C46" s="82">
        <f t="shared" ca="1" si="1"/>
        <v>42898</v>
      </c>
      <c r="D46" s="51">
        <f t="shared" ca="1" si="10"/>
        <v>130.89368258859784</v>
      </c>
      <c r="E46" s="52">
        <f t="shared" ca="1" si="2"/>
        <v>102.2342064714946</v>
      </c>
      <c r="F46" s="53">
        <f t="shared" ca="1" si="3"/>
        <v>199999.99999999997</v>
      </c>
      <c r="G46" s="52">
        <f t="shared" ca="1" si="4"/>
        <v>113.02003081664098</v>
      </c>
      <c r="H46" s="53">
        <f t="shared" ca="1" si="5"/>
        <v>214285.71428571426</v>
      </c>
      <c r="I46" s="52">
        <f t="shared" ca="1" si="6"/>
        <v>107.78120184899846</v>
      </c>
      <c r="J46" s="53">
        <f t="shared" ca="1" si="7"/>
        <v>214285.71428571426</v>
      </c>
      <c r="K46" s="52">
        <f t="shared" ca="1" si="8"/>
        <v>141.98767334360554</v>
      </c>
      <c r="L46" s="53">
        <f t="shared" ca="1" si="9"/>
        <v>214285.71428571426</v>
      </c>
    </row>
    <row r="47" spans="1:12" x14ac:dyDescent="0.45">
      <c r="A47" s="50" t="str">
        <f>IF(ISBLANK(Data!C47),"",Data!C47)</f>
        <v>2747 Albion Farm Way, Duluth, GA 30097</v>
      </c>
      <c r="B47" s="50">
        <f>IFERROR(MATCH($A47,Data!$C:$C,0),"")</f>
        <v>47</v>
      </c>
      <c r="C47" s="82">
        <f t="shared" ca="1" si="1"/>
        <v>38092</v>
      </c>
      <c r="D47" s="51">
        <f t="shared" ca="1" si="10"/>
        <v>118.02536231884058</v>
      </c>
      <c r="E47" s="52">
        <f t="shared" ca="1" si="2"/>
        <v>106.15942028985508</v>
      </c>
      <c r="F47" s="53">
        <f t="shared" ca="1" si="3"/>
        <v>254545.45454545456</v>
      </c>
      <c r="G47" s="52">
        <f t="shared" ca="1" si="4"/>
        <v>106.15942028985508</v>
      </c>
      <c r="H47" s="53">
        <f t="shared" ca="1" si="5"/>
        <v>272727.27272727271</v>
      </c>
      <c r="I47" s="52">
        <f t="shared" ca="1" si="6"/>
        <v>122.46376811594203</v>
      </c>
      <c r="J47" s="53">
        <f t="shared" ca="1" si="7"/>
        <v>272727.27272727271</v>
      </c>
      <c r="K47" s="52">
        <f t="shared" ca="1" si="8"/>
        <v>138.49637681159419</v>
      </c>
      <c r="L47" s="53">
        <f t="shared" ca="1" si="9"/>
        <v>272727.27272727271</v>
      </c>
    </row>
    <row r="48" spans="1:12" x14ac:dyDescent="0.45">
      <c r="A48" s="50" t="str">
        <f>IF(ISBLANK(Data!C48),"",Data!C48)</f>
        <v>2757 Albion Farm Way, Duluth, GA 30097</v>
      </c>
      <c r="B48" s="50">
        <f>IFERROR(MATCH($A48,Data!$C:$C,0),"")</f>
        <v>48</v>
      </c>
      <c r="C48" s="82">
        <f t="shared" ca="1" si="1"/>
        <v>37736</v>
      </c>
      <c r="D48" s="51">
        <f t="shared" ca="1" si="10"/>
        <v>122</v>
      </c>
      <c r="E48" s="52">
        <f t="shared" ca="1" si="2"/>
        <v>103.5</v>
      </c>
      <c r="F48" s="53">
        <f t="shared" ca="1" si="3"/>
        <v>254545.45454545456</v>
      </c>
      <c r="G48" s="52">
        <f t="shared" ca="1" si="4"/>
        <v>114.5</v>
      </c>
      <c r="H48" s="53">
        <f t="shared" ca="1" si="5"/>
        <v>272727.27272727271</v>
      </c>
      <c r="I48" s="52">
        <f t="shared" ca="1" si="6"/>
        <v>132</v>
      </c>
      <c r="J48" s="53">
        <f t="shared" ca="1" si="7"/>
        <v>272727.27272727271</v>
      </c>
      <c r="K48" s="52">
        <f t="shared" ca="1" si="8"/>
        <v>147.4</v>
      </c>
      <c r="L48" s="53">
        <f t="shared" ca="1" si="9"/>
        <v>272727.27272727271</v>
      </c>
    </row>
    <row r="49" spans="1:12" x14ac:dyDescent="0.45">
      <c r="A49" s="50" t="str">
        <f>IF(ISBLANK(Data!C49),"",Data!C49)</f>
        <v>2767 Albion Farm Way, Duluth, GA 30097</v>
      </c>
      <c r="B49" s="50">
        <f>IFERROR(MATCH($A49,Data!$C:$C,0),"")</f>
        <v>49</v>
      </c>
      <c r="C49" s="82">
        <f t="shared" ca="1" si="1"/>
        <v>38156</v>
      </c>
      <c r="D49" s="51">
        <f t="shared" ca="1" si="10"/>
        <v>113.01084236864054</v>
      </c>
      <c r="E49" s="52">
        <f t="shared" ca="1" si="2"/>
        <v>94.578815679733111</v>
      </c>
      <c r="F49" s="53">
        <f t="shared" ca="1" si="3"/>
        <v>254545.45454545456</v>
      </c>
      <c r="G49" s="52">
        <f t="shared" ca="1" si="4"/>
        <v>104.58715596330275</v>
      </c>
      <c r="H49" s="53">
        <f t="shared" ca="1" si="5"/>
        <v>272727.27272727271</v>
      </c>
      <c r="I49" s="52">
        <f t="shared" ca="1" si="6"/>
        <v>120.68390325271059</v>
      </c>
      <c r="J49" s="53">
        <f t="shared" ca="1" si="7"/>
        <v>272727.27272727271</v>
      </c>
      <c r="K49" s="52">
        <f t="shared" ca="1" si="8"/>
        <v>134.27856547122602</v>
      </c>
      <c r="L49" s="53">
        <f t="shared" ca="1" si="9"/>
        <v>272727.27272727271</v>
      </c>
    </row>
    <row r="50" spans="1:12" x14ac:dyDescent="0.45">
      <c r="A50" s="50" t="str">
        <f>IF(ISBLANK(Data!C50),"",Data!C50)</f>
        <v>2777 Albion Farm Way, Duluth, GA 30097</v>
      </c>
      <c r="B50" s="50">
        <f>IFERROR(MATCH($A50,Data!$C:$C,0),"")</f>
        <v>50</v>
      </c>
      <c r="C50" s="82">
        <f t="shared" ca="1" si="1"/>
        <v>41551</v>
      </c>
      <c r="D50" s="51">
        <f t="shared" ca="1" si="10"/>
        <v>125.54824561403508</v>
      </c>
      <c r="E50" s="52">
        <f t="shared" ca="1" si="2"/>
        <v>107.01754385964912</v>
      </c>
      <c r="F50" s="53">
        <f t="shared" ca="1" si="3"/>
        <v>254545.45454545456</v>
      </c>
      <c r="G50" s="52">
        <f t="shared" ca="1" si="4"/>
        <v>118.42105263157895</v>
      </c>
      <c r="H50" s="53">
        <f t="shared" ca="1" si="5"/>
        <v>272727.27272727271</v>
      </c>
      <c r="I50" s="52">
        <f t="shared" ca="1" si="6"/>
        <v>136.62280701754386</v>
      </c>
      <c r="J50" s="53">
        <f t="shared" ca="1" si="7"/>
        <v>272727.27272727271</v>
      </c>
      <c r="K50" s="52">
        <f t="shared" ca="1" si="8"/>
        <v>152.85087719298247</v>
      </c>
      <c r="L50" s="53">
        <f t="shared" ca="1" si="9"/>
        <v>272727.27272727271</v>
      </c>
    </row>
    <row r="51" spans="1:12" x14ac:dyDescent="0.45">
      <c r="A51" s="50" t="str">
        <f>IF(ISBLANK(Data!C51),"",Data!C51)</f>
        <v>2787 Albion Farm Way, Duluth, GA 30097</v>
      </c>
      <c r="B51" s="50">
        <f>IFERROR(MATCH($A51,Data!$C:$C,0),"")</f>
        <v>51</v>
      </c>
      <c r="C51" s="82">
        <f t="shared" ca="1" si="1"/>
        <v>43217</v>
      </c>
      <c r="D51" s="51">
        <f t="shared" ca="1" si="10"/>
        <v>152.54237288135593</v>
      </c>
      <c r="E51" s="52">
        <f t="shared" ca="1" si="2"/>
        <v>104.39137134052389</v>
      </c>
      <c r="F51" s="53">
        <f t="shared" ca="1" si="3"/>
        <v>254545.45454545456</v>
      </c>
      <c r="G51" s="52">
        <f t="shared" ca="1" si="4"/>
        <v>115.40832049306626</v>
      </c>
      <c r="H51" s="53">
        <f t="shared" ca="1" si="5"/>
        <v>272727.27272727271</v>
      </c>
      <c r="I51" s="52">
        <f t="shared" ca="1" si="6"/>
        <v>133.12788906009246</v>
      </c>
      <c r="J51" s="53">
        <f t="shared" ca="1" si="7"/>
        <v>272727.27272727271</v>
      </c>
      <c r="K51" s="52">
        <f t="shared" ca="1" si="8"/>
        <v>129.42989214175654</v>
      </c>
      <c r="L51" s="53">
        <f t="shared" ca="1" si="9"/>
        <v>272727.27272727271</v>
      </c>
    </row>
    <row r="52" spans="1:12" x14ac:dyDescent="0.45">
      <c r="A52" s="50" t="str">
        <f>IF(ISBLANK(Data!C52),"",Data!C52)</f>
        <v>2797 Albion Farm Way, Duluth, GA 30097</v>
      </c>
      <c r="B52" s="50">
        <f>IFERROR(MATCH($A52,Data!$C:$C,0),"")</f>
        <v>52</v>
      </c>
      <c r="C52" s="82">
        <f t="shared" ca="1" si="1"/>
        <v>41856</v>
      </c>
      <c r="D52" s="51">
        <f t="shared" ca="1" si="10"/>
        <v>128.2051282051282</v>
      </c>
      <c r="E52" s="52">
        <f t="shared" ca="1" si="2"/>
        <v>105.4240631163708</v>
      </c>
      <c r="F52" s="53">
        <f t="shared" ca="1" si="3"/>
        <v>233333.33333333334</v>
      </c>
      <c r="G52" s="52">
        <f t="shared" ca="1" si="4"/>
        <v>116.5680473372781</v>
      </c>
      <c r="H52" s="53">
        <f t="shared" ca="1" si="5"/>
        <v>250000</v>
      </c>
      <c r="I52" s="52">
        <f t="shared" ca="1" si="6"/>
        <v>134.51676528599606</v>
      </c>
      <c r="J52" s="53">
        <f t="shared" ca="1" si="7"/>
        <v>250000</v>
      </c>
      <c r="K52" s="52">
        <f t="shared" ca="1" si="8"/>
        <v>147.92899408284023</v>
      </c>
      <c r="L52" s="53">
        <f t="shared" ca="1" si="9"/>
        <v>250000</v>
      </c>
    </row>
    <row r="53" spans="1:12" x14ac:dyDescent="0.45">
      <c r="A53" s="50" t="str">
        <f>IF(ISBLANK(Data!C53),"",Data!C53)</f>
        <v>2807 Albion Farm Way, Duluth, GA 30097</v>
      </c>
      <c r="B53" s="50">
        <f>IFERROR(MATCH($A53,Data!$C:$C,0),"")</f>
        <v>53</v>
      </c>
      <c r="C53" s="82">
        <f t="shared" ca="1" si="1"/>
        <v>42867</v>
      </c>
      <c r="D53" s="51">
        <f t="shared" ca="1" si="10"/>
        <v>157.05765407554671</v>
      </c>
      <c r="E53" s="52">
        <f t="shared" ca="1" si="2"/>
        <v>94.831013916500993</v>
      </c>
      <c r="F53" s="53">
        <f t="shared" ca="1" si="3"/>
        <v>215384.61538461538</v>
      </c>
      <c r="G53" s="52">
        <f t="shared" ca="1" si="4"/>
        <v>104.37375745526839</v>
      </c>
      <c r="H53" s="53">
        <f t="shared" ca="1" si="5"/>
        <v>230769.23076923075</v>
      </c>
      <c r="I53" s="52">
        <f t="shared" ca="1" si="6"/>
        <v>120.97415506958251</v>
      </c>
      <c r="J53" s="53">
        <f t="shared" ca="1" si="7"/>
        <v>230769.23076923075</v>
      </c>
      <c r="K53" s="52">
        <f t="shared" ca="1" si="8"/>
        <v>135.18886679920476</v>
      </c>
      <c r="L53" s="53">
        <f t="shared" ca="1" si="9"/>
        <v>230769.23076923075</v>
      </c>
    </row>
    <row r="54" spans="1:12" x14ac:dyDescent="0.45">
      <c r="A54" s="50" t="str">
        <f>IF(ISBLANK(Data!C54),"",Data!C54)</f>
        <v>2817 Albion Farm Way, Duluth, GA 30097</v>
      </c>
      <c r="B54" s="50">
        <f>IFERROR(MATCH($A54,Data!$C:$C,0),"")</f>
        <v>54</v>
      </c>
      <c r="C54" s="82">
        <f t="shared" ca="1" si="1"/>
        <v>42132</v>
      </c>
      <c r="D54" s="51">
        <f t="shared" ca="1" si="10"/>
        <v>117.7536231884058</v>
      </c>
      <c r="E54" s="52">
        <f t="shared" ca="1" si="2"/>
        <v>92.391304347826093</v>
      </c>
      <c r="F54" s="53">
        <f t="shared" ca="1" si="3"/>
        <v>175000</v>
      </c>
      <c r="G54" s="52">
        <f t="shared" ca="1" si="4"/>
        <v>106.06884057971014</v>
      </c>
      <c r="H54" s="53">
        <f t="shared" ca="1" si="5"/>
        <v>187500</v>
      </c>
      <c r="I54" s="52">
        <f t="shared" ca="1" si="6"/>
        <v>122.37318840579709</v>
      </c>
      <c r="J54" s="53">
        <f t="shared" ca="1" si="7"/>
        <v>187500</v>
      </c>
      <c r="K54" s="52">
        <f t="shared" ca="1" si="8"/>
        <v>138.49637681159419</v>
      </c>
      <c r="L54" s="53">
        <f t="shared" ca="1" si="9"/>
        <v>187500</v>
      </c>
    </row>
    <row r="55" spans="1:12" x14ac:dyDescent="0.45">
      <c r="A55" s="50" t="str">
        <f>IF(ISBLANK(Data!C55),"",Data!C55)</f>
        <v>2822 Albion Farm Way, Duluth, GA 30097</v>
      </c>
      <c r="B55" s="50">
        <f>IFERROR(MATCH($A55,Data!$C:$C,0),"")</f>
        <v>55</v>
      </c>
      <c r="C55" s="82">
        <f t="shared" ca="1" si="1"/>
        <v>40904</v>
      </c>
      <c r="D55" s="51">
        <f t="shared" ca="1" si="10"/>
        <v>62.531120331950206</v>
      </c>
      <c r="E55" s="52">
        <f t="shared" ca="1" si="2"/>
        <v>97.261410788381738</v>
      </c>
      <c r="F55" s="53">
        <f t="shared" ca="1" si="3"/>
        <v>186666.66666666669</v>
      </c>
      <c r="G55" s="52">
        <f t="shared" ca="1" si="4"/>
        <v>107.46887966804979</v>
      </c>
      <c r="H55" s="53">
        <f t="shared" ca="1" si="5"/>
        <v>200000</v>
      </c>
      <c r="I55" s="52">
        <f t="shared" ca="1" si="6"/>
        <v>123.98340248962656</v>
      </c>
      <c r="J55" s="53">
        <f t="shared" ca="1" si="7"/>
        <v>200000</v>
      </c>
      <c r="K55" s="52">
        <f t="shared" ca="1" si="8"/>
        <v>137.26141078838174</v>
      </c>
      <c r="L55" s="53">
        <f t="shared" ca="1" si="9"/>
        <v>200000</v>
      </c>
    </row>
    <row r="56" spans="1:12" x14ac:dyDescent="0.45">
      <c r="A56" s="50" t="str">
        <f>IF(ISBLANK(Data!C56),"",Data!C56)</f>
        <v>2827 Albion Farm Way, Duluth, GA 30097</v>
      </c>
      <c r="B56" s="50">
        <f>IFERROR(MATCH($A56,Data!$C:$C,0),"")</f>
        <v>56</v>
      </c>
      <c r="C56" s="82">
        <f t="shared" ca="1" si="1"/>
        <v>38498</v>
      </c>
      <c r="D56" s="51">
        <f t="shared" ca="1" si="10"/>
        <v>138</v>
      </c>
      <c r="E56" s="52">
        <f t="shared" ca="1" si="2"/>
        <v>102.1</v>
      </c>
      <c r="F56" s="53">
        <f t="shared" ca="1" si="3"/>
        <v>199999.99999999997</v>
      </c>
      <c r="G56" s="52">
        <f t="shared" ca="1" si="4"/>
        <v>112.8</v>
      </c>
      <c r="H56" s="53">
        <f t="shared" ca="1" si="5"/>
        <v>214285.71428571426</v>
      </c>
      <c r="I56" s="52">
        <f t="shared" ca="1" si="6"/>
        <v>130.19999999999999</v>
      </c>
      <c r="J56" s="53">
        <f t="shared" ca="1" si="7"/>
        <v>214285.71428571426</v>
      </c>
      <c r="K56" s="52">
        <f t="shared" ca="1" si="8"/>
        <v>145.6</v>
      </c>
      <c r="L56" s="53">
        <f t="shared" ca="1" si="9"/>
        <v>214285.71428571426</v>
      </c>
    </row>
    <row r="57" spans="1:12" x14ac:dyDescent="0.45">
      <c r="A57" s="50" t="str">
        <f>IF(ISBLANK(Data!C57),"",Data!C57)</f>
        <v>2832 Albion Farm Way, Duluth, GA 30097</v>
      </c>
      <c r="B57" s="50">
        <f>IFERROR(MATCH($A57,Data!$C:$C,0),"")</f>
        <v>57</v>
      </c>
      <c r="C57" s="82">
        <f t="shared" ca="1" si="1"/>
        <v>42891</v>
      </c>
      <c r="D57" s="51">
        <f t="shared" ca="1" si="10"/>
        <v>145.14692787177205</v>
      </c>
      <c r="E57" s="52">
        <f t="shared" ca="1" si="2"/>
        <v>94.657168299198574</v>
      </c>
      <c r="F57" s="53">
        <f t="shared" ca="1" si="3"/>
        <v>215384.61538461538</v>
      </c>
      <c r="G57" s="52">
        <f t="shared" ca="1" si="4"/>
        <v>104.63045414069457</v>
      </c>
      <c r="H57" s="53">
        <f t="shared" ca="1" si="5"/>
        <v>230769.23076923075</v>
      </c>
      <c r="I57" s="52">
        <f t="shared" ca="1" si="6"/>
        <v>118.43276936776492</v>
      </c>
      <c r="J57" s="53">
        <f t="shared" ca="1" si="7"/>
        <v>230769.23076923075</v>
      </c>
      <c r="K57" s="52">
        <f t="shared" ca="1" si="8"/>
        <v>136.68744434550311</v>
      </c>
      <c r="L57" s="53">
        <f t="shared" ca="1" si="9"/>
        <v>230769.23076923075</v>
      </c>
    </row>
    <row r="58" spans="1:12" x14ac:dyDescent="0.45">
      <c r="A58" s="50" t="str">
        <f>IF(ISBLANK(Data!C58),"",Data!C58)</f>
        <v>2842 Albion Farm Way, Duluth, GA 30097</v>
      </c>
      <c r="B58" s="50">
        <f>IFERROR(MATCH($A58,Data!$C:$C,0),"")</f>
        <v>58</v>
      </c>
      <c r="C58" s="82">
        <f t="shared" ca="1" si="1"/>
        <v>40212</v>
      </c>
      <c r="D58" s="51">
        <f t="shared" ca="1" si="10"/>
        <v>135.92479674796749</v>
      </c>
      <c r="E58" s="52">
        <f t="shared" ca="1" si="2"/>
        <v>102.54065040650407</v>
      </c>
      <c r="F58" s="53">
        <f t="shared" ca="1" si="3"/>
        <v>164705.88235294117</v>
      </c>
      <c r="G58" s="52">
        <f t="shared" ca="1" si="4"/>
        <v>113.41463414634147</v>
      </c>
      <c r="H58" s="53">
        <f t="shared" ca="1" si="5"/>
        <v>176470.5882352941</v>
      </c>
      <c r="I58" s="52">
        <f t="shared" ca="1" si="6"/>
        <v>130.89430894308944</v>
      </c>
      <c r="J58" s="53">
        <f t="shared" ca="1" si="7"/>
        <v>176470.5882352941</v>
      </c>
      <c r="K58" s="52">
        <f t="shared" ca="1" si="8"/>
        <v>146.34146341463415</v>
      </c>
      <c r="L58" s="53">
        <f t="shared" ca="1" si="9"/>
        <v>176470.5882352941</v>
      </c>
    </row>
    <row r="59" spans="1:12" x14ac:dyDescent="0.45">
      <c r="A59" s="50" t="str">
        <f>IF(ISBLANK(Data!C59),"",Data!C59)</f>
        <v>2847 Albion Farm Way, Duluth, GA 30097</v>
      </c>
      <c r="B59" s="50">
        <f>IFERROR(MATCH($A59,Data!$C:$C,0),"")</f>
        <v>59</v>
      </c>
      <c r="C59" s="82">
        <f t="shared" ca="1" si="1"/>
        <v>34333</v>
      </c>
      <c r="D59" s="51">
        <f t="shared" ca="1" si="10"/>
        <v>73.343605546995377</v>
      </c>
      <c r="E59" s="52">
        <f t="shared" ca="1" si="2"/>
        <v>103.77503852080123</v>
      </c>
      <c r="F59" s="53">
        <f t="shared" ca="1" si="3"/>
        <v>233333.33333333334</v>
      </c>
      <c r="G59" s="52">
        <f t="shared" ca="1" si="4"/>
        <v>114.71494607087827</v>
      </c>
      <c r="H59" s="53">
        <f t="shared" ca="1" si="5"/>
        <v>250000</v>
      </c>
      <c r="I59" s="52">
        <f t="shared" ca="1" si="6"/>
        <v>132.35747303543914</v>
      </c>
      <c r="J59" s="53">
        <f t="shared" ca="1" si="7"/>
        <v>250000</v>
      </c>
      <c r="K59" s="52">
        <f t="shared" ca="1" si="8"/>
        <v>144.60708782742682</v>
      </c>
      <c r="L59" s="53">
        <f t="shared" ca="1" si="9"/>
        <v>250000</v>
      </c>
    </row>
    <row r="60" spans="1:12" x14ac:dyDescent="0.45">
      <c r="A60" s="50" t="str">
        <f>IF(ISBLANK(Data!C60),"",Data!C60)</f>
        <v>2852 Albion Farm Way, Duluth, GA 30097</v>
      </c>
      <c r="B60" s="50">
        <f>IFERROR(MATCH($A60,Data!$C:$C,0),"")</f>
        <v>60</v>
      </c>
      <c r="C60" s="82">
        <f t="shared" ca="1" si="1"/>
        <v>34323</v>
      </c>
      <c r="D60" s="51">
        <f t="shared" ca="1" si="10"/>
        <v>67.815191855912289</v>
      </c>
      <c r="E60" s="52">
        <f t="shared" ca="1" si="2"/>
        <v>72.983555207517625</v>
      </c>
      <c r="F60" s="53">
        <f t="shared" ca="1" si="3"/>
        <v>164705.88235294117</v>
      </c>
      <c r="G60" s="52">
        <f t="shared" ca="1" si="4"/>
        <v>96.94596711041504</v>
      </c>
      <c r="H60" s="53">
        <f t="shared" ca="1" si="5"/>
        <v>176470.5882352941</v>
      </c>
      <c r="I60" s="52">
        <f t="shared" ca="1" si="6"/>
        <v>111.82458888018795</v>
      </c>
      <c r="J60" s="53">
        <f t="shared" ca="1" si="7"/>
        <v>176470.5882352941</v>
      </c>
      <c r="K60" s="52">
        <f t="shared" ca="1" si="8"/>
        <v>127.48629600626468</v>
      </c>
      <c r="L60" s="53">
        <f t="shared" ca="1" si="9"/>
        <v>176470.5882352941</v>
      </c>
    </row>
    <row r="61" spans="1:12" x14ac:dyDescent="0.45">
      <c r="A61" s="50" t="str">
        <f>IF(ISBLANK(Data!C61),"",Data!C61)</f>
        <v>2862 Albion Farm Way, Duluth, GA 30097</v>
      </c>
      <c r="B61" s="50">
        <f>IFERROR(MATCH($A61,Data!$C:$C,0),"")</f>
        <v>61</v>
      </c>
      <c r="C61" s="82">
        <f t="shared" ca="1" si="1"/>
        <v>42502</v>
      </c>
      <c r="D61" s="51">
        <f t="shared" ca="1" si="10"/>
        <v>114.59802538787024</v>
      </c>
      <c r="E61" s="52">
        <f t="shared" ca="1" si="2"/>
        <v>102.82087447108604</v>
      </c>
      <c r="F61" s="53">
        <f t="shared" ca="1" si="3"/>
        <v>164705.88235294117</v>
      </c>
      <c r="G61" s="52">
        <f t="shared" ca="1" si="4"/>
        <v>93.441466854724965</v>
      </c>
      <c r="H61" s="53">
        <f t="shared" ca="1" si="5"/>
        <v>176470.5882352941</v>
      </c>
      <c r="I61" s="52">
        <f t="shared" ca="1" si="6"/>
        <v>131.17066290550071</v>
      </c>
      <c r="J61" s="53">
        <f t="shared" ca="1" si="7"/>
        <v>176470.5882352941</v>
      </c>
      <c r="K61" s="52">
        <f t="shared" ca="1" si="8"/>
        <v>125.38787023977433</v>
      </c>
      <c r="L61" s="53">
        <f t="shared" ca="1" si="9"/>
        <v>176470.5882352941</v>
      </c>
    </row>
    <row r="62" spans="1:12" x14ac:dyDescent="0.45">
      <c r="A62" s="50" t="str">
        <f>IF(ISBLANK(Data!C62),"",Data!C62)</f>
        <v>2867 Albion Farm Way, Duluth, GA 30097</v>
      </c>
      <c r="B62" s="50">
        <f>IFERROR(MATCH($A62,Data!$C:$C,0),"")</f>
        <v>62</v>
      </c>
      <c r="C62" s="82">
        <f t="shared" ca="1" si="1"/>
        <v>42056</v>
      </c>
      <c r="D62" s="51">
        <f t="shared" ca="1" si="10"/>
        <v>112.09677419354838</v>
      </c>
      <c r="E62" s="52">
        <f t="shared" ca="1" si="2"/>
        <v>112.09677419354838</v>
      </c>
      <c r="F62" s="53">
        <f t="shared" ca="1" si="3"/>
        <v>233333.33333333334</v>
      </c>
      <c r="G62" s="52">
        <f t="shared" ca="1" si="4"/>
        <v>114.83870967741936</v>
      </c>
      <c r="H62" s="53">
        <f t="shared" ca="1" si="5"/>
        <v>250000</v>
      </c>
      <c r="I62" s="52">
        <f t="shared" ca="1" si="6"/>
        <v>132.5</v>
      </c>
      <c r="J62" s="53">
        <f t="shared" ca="1" si="7"/>
        <v>250000</v>
      </c>
      <c r="K62" s="52">
        <f t="shared" ca="1" si="8"/>
        <v>144.2741935483871</v>
      </c>
      <c r="L62" s="53">
        <f t="shared" ca="1" si="9"/>
        <v>250000</v>
      </c>
    </row>
    <row r="63" spans="1:12" x14ac:dyDescent="0.45">
      <c r="A63" s="50" t="str">
        <f>IF(ISBLANK(Data!C63),"",Data!C63)</f>
        <v>2872 Albion Farm Way, Duluth, GA 30097</v>
      </c>
      <c r="B63" s="50">
        <f>IFERROR(MATCH($A63,Data!$C:$C,0),"")</f>
        <v>63</v>
      </c>
      <c r="C63" s="82">
        <f t="shared" ca="1" si="1"/>
        <v>34297</v>
      </c>
      <c r="D63" s="51">
        <f t="shared" ca="1" si="10"/>
        <v>85.964912280701753</v>
      </c>
      <c r="E63" s="52">
        <f t="shared" ca="1" si="2"/>
        <v>106.46929824561404</v>
      </c>
      <c r="F63" s="53">
        <f t="shared" ca="1" si="3"/>
        <v>199999.99999999997</v>
      </c>
      <c r="G63" s="52">
        <f t="shared" ca="1" si="4"/>
        <v>117.65350877192982</v>
      </c>
      <c r="H63" s="53">
        <f t="shared" ca="1" si="5"/>
        <v>214285.71428571426</v>
      </c>
      <c r="I63" s="52">
        <f t="shared" ca="1" si="6"/>
        <v>135.74561403508773</v>
      </c>
      <c r="J63" s="53">
        <f t="shared" ca="1" si="7"/>
        <v>214285.71428571426</v>
      </c>
      <c r="K63" s="52">
        <f t="shared" ca="1" si="8"/>
        <v>151.86403508771929</v>
      </c>
      <c r="L63" s="53">
        <f t="shared" ca="1" si="9"/>
        <v>214285.71428571426</v>
      </c>
    </row>
    <row r="64" spans="1:12" x14ac:dyDescent="0.45">
      <c r="A64" s="50" t="str">
        <f>IF(ISBLANK(Data!C64),"",Data!C64)</f>
        <v>2882 Albion Farm Way, Duluth, GA 30097</v>
      </c>
      <c r="B64" s="50">
        <f>IFERROR(MATCH($A64,Data!$C:$C,0),"")</f>
        <v>64</v>
      </c>
      <c r="C64" s="82">
        <f t="shared" ca="1" si="1"/>
        <v>42377</v>
      </c>
      <c r="D64" s="51">
        <f t="shared" ca="1" si="10"/>
        <v>140</v>
      </c>
      <c r="E64" s="52">
        <f t="shared" ca="1" si="2"/>
        <v>102</v>
      </c>
      <c r="F64" s="53">
        <f t="shared" ca="1" si="3"/>
        <v>254545.45454545456</v>
      </c>
      <c r="G64" s="52">
        <f t="shared" ca="1" si="4"/>
        <v>110</v>
      </c>
      <c r="H64" s="53">
        <f t="shared" ca="1" si="5"/>
        <v>272727.27272727271</v>
      </c>
      <c r="I64" s="52">
        <f t="shared" ca="1" si="6"/>
        <v>130.1</v>
      </c>
      <c r="J64" s="53">
        <f t="shared" ca="1" si="7"/>
        <v>272727.27272727271</v>
      </c>
      <c r="K64" s="52">
        <f t="shared" ca="1" si="8"/>
        <v>145.6</v>
      </c>
      <c r="L64" s="53">
        <f t="shared" ca="1" si="9"/>
        <v>272727.27272727271</v>
      </c>
    </row>
    <row r="65" spans="1:12" x14ac:dyDescent="0.45">
      <c r="A65" s="50" t="str">
        <f>IF(ISBLANK(Data!C65),"",Data!C65)</f>
        <v>2887 Albion Farm Way, Duluth, GA 30097</v>
      </c>
      <c r="B65" s="50">
        <f>IFERROR(MATCH($A65,Data!$C:$C,0),"")</f>
        <v>65</v>
      </c>
      <c r="C65" s="82">
        <f t="shared" ca="1" si="1"/>
        <v>42993</v>
      </c>
      <c r="D65" s="51">
        <f t="shared" ca="1" si="10"/>
        <v>149.36131386861314</v>
      </c>
      <c r="E65" s="52">
        <f t="shared" ca="1" si="2"/>
        <v>93.704379562043798</v>
      </c>
      <c r="F65" s="53">
        <f t="shared" ca="1" si="3"/>
        <v>254545.45454545456</v>
      </c>
      <c r="G65" s="52">
        <f t="shared" ca="1" si="4"/>
        <v>103.55839416058394</v>
      </c>
      <c r="H65" s="53">
        <f t="shared" ca="1" si="5"/>
        <v>272727.27272727271</v>
      </c>
      <c r="I65" s="52">
        <f t="shared" ca="1" si="6"/>
        <v>119.52554744525547</v>
      </c>
      <c r="J65" s="53">
        <f t="shared" ca="1" si="7"/>
        <v>272727.27272727271</v>
      </c>
      <c r="K65" s="52">
        <f t="shared" ca="1" si="8"/>
        <v>135.21897810218979</v>
      </c>
      <c r="L65" s="53">
        <f t="shared" ca="1" si="9"/>
        <v>272727.27272727271</v>
      </c>
    </row>
    <row r="66" spans="1:12" x14ac:dyDescent="0.45">
      <c r="A66" s="50" t="str">
        <f>IF(ISBLANK(Data!C66),"",Data!C66)</f>
        <v>2892 Albion Farm Way, Duluth, GA 30097</v>
      </c>
      <c r="B66" s="50">
        <f>IFERROR(MATCH($A66,Data!$C:$C,0),"")</f>
        <v>66</v>
      </c>
      <c r="C66" s="82">
        <f t="shared" ca="1" si="1"/>
        <v>34318</v>
      </c>
      <c r="D66" s="51">
        <f t="shared" ca="1" si="10"/>
        <v>77.382012466607307</v>
      </c>
      <c r="E66" s="52">
        <f t="shared" ca="1" si="2"/>
        <v>94.746215494211938</v>
      </c>
      <c r="F66" s="53">
        <f t="shared" ca="1" si="3"/>
        <v>186666.66666666669</v>
      </c>
      <c r="G66" s="52">
        <f t="shared" ca="1" si="4"/>
        <v>104.71950133570793</v>
      </c>
      <c r="H66" s="53">
        <f t="shared" ca="1" si="5"/>
        <v>200000</v>
      </c>
      <c r="I66" s="52">
        <f t="shared" ca="1" si="6"/>
        <v>120.83704363312556</v>
      </c>
      <c r="J66" s="53">
        <f t="shared" ca="1" si="7"/>
        <v>200000</v>
      </c>
      <c r="K66" s="52">
        <f t="shared" ca="1" si="8"/>
        <v>136.68744434550311</v>
      </c>
      <c r="L66" s="53">
        <f t="shared" ca="1" si="9"/>
        <v>200000</v>
      </c>
    </row>
    <row r="67" spans="1:12" x14ac:dyDescent="0.45">
      <c r="A67" s="50" t="str">
        <f>IF(ISBLANK(Data!C67),"",Data!C67)</f>
        <v>2897 Albion Farm Way, Duluth, GA 30097</v>
      </c>
      <c r="B67" s="50">
        <f>IFERROR(MATCH($A67,Data!$C:$C,0),"")</f>
        <v>67</v>
      </c>
      <c r="C67" s="82">
        <f t="shared" ca="1" si="1"/>
        <v>34333</v>
      </c>
      <c r="D67" s="51">
        <f t="shared" ca="1" si="10"/>
        <v>81.099999999999994</v>
      </c>
      <c r="E67" s="52">
        <f t="shared" ca="1" si="2"/>
        <v>103.3</v>
      </c>
      <c r="F67" s="53">
        <f t="shared" ca="1" si="3"/>
        <v>186666.66666666669</v>
      </c>
      <c r="G67" s="52">
        <f t="shared" ca="1" si="4"/>
        <v>114.3</v>
      </c>
      <c r="H67" s="53">
        <f t="shared" ca="1" si="5"/>
        <v>200000</v>
      </c>
      <c r="I67" s="52">
        <f t="shared" ca="1" si="6"/>
        <v>131.80000000000001</v>
      </c>
      <c r="J67" s="53">
        <f t="shared" ca="1" si="7"/>
        <v>200000</v>
      </c>
      <c r="K67" s="52">
        <f t="shared" ca="1" si="8"/>
        <v>147.30000000000001</v>
      </c>
      <c r="L67" s="53">
        <f t="shared" ca="1" si="9"/>
        <v>200000</v>
      </c>
    </row>
    <row r="68" spans="1:12" x14ac:dyDescent="0.45">
      <c r="A68" s="50" t="str">
        <f>IF(ISBLANK(Data!C68),"",Data!C68)</f>
        <v>2715 Barnwood Xing, Duluth, GA 30097</v>
      </c>
      <c r="B68" s="50">
        <f>IFERROR(MATCH($A68,Data!$C:$C,0),"")</f>
        <v>68</v>
      </c>
      <c r="C68" s="82">
        <f t="shared" ca="1" si="1"/>
        <v>37698</v>
      </c>
      <c r="D68" s="51">
        <f t="shared" ca="1" si="10"/>
        <v>87.057010785824346</v>
      </c>
      <c r="E68" s="52">
        <f t="shared" ca="1" si="2"/>
        <v>103.77503852080123</v>
      </c>
      <c r="F68" s="53">
        <f t="shared" ca="1" si="3"/>
        <v>175000</v>
      </c>
      <c r="G68" s="52">
        <f t="shared" ca="1" si="4"/>
        <v>114.71494607087827</v>
      </c>
      <c r="H68" s="53">
        <f t="shared" ca="1" si="5"/>
        <v>187500</v>
      </c>
      <c r="I68" s="52">
        <f t="shared" ca="1" si="6"/>
        <v>132.35747303543914</v>
      </c>
      <c r="J68" s="53">
        <f t="shared" ca="1" si="7"/>
        <v>187500</v>
      </c>
      <c r="K68" s="52">
        <f t="shared" ca="1" si="8"/>
        <v>144.60708782742682</v>
      </c>
      <c r="L68" s="53">
        <f t="shared" ca="1" si="9"/>
        <v>187500</v>
      </c>
    </row>
    <row r="69" spans="1:12" x14ac:dyDescent="0.45">
      <c r="A69" s="50" t="str">
        <f>IF(ISBLANK(Data!C69),"",Data!C69)</f>
        <v>2725 Barnwood Xing, Duluth, GA 30097</v>
      </c>
      <c r="B69" s="50">
        <f>IFERROR(MATCH($A69,Data!$C:$C,0),"")</f>
        <v>69</v>
      </c>
      <c r="C69" s="82">
        <f t="shared" ca="1" si="1"/>
        <v>41712</v>
      </c>
      <c r="D69" s="51">
        <f t="shared" ref="D69:D100" ca="1" si="11">IFERROR(INDIRECT("Data!$I"&amp;$B69)/INDIRECT("Data!$G"&amp;$B69),"")</f>
        <v>120</v>
      </c>
      <c r="E69" s="52">
        <f t="shared" ca="1" si="2"/>
        <v>102</v>
      </c>
      <c r="F69" s="53">
        <f t="shared" ca="1" si="3"/>
        <v>254545.45454545456</v>
      </c>
      <c r="G69" s="52">
        <f t="shared" ca="1" si="4"/>
        <v>116</v>
      </c>
      <c r="H69" s="53">
        <f t="shared" ca="1" si="5"/>
        <v>272727.27272727271</v>
      </c>
      <c r="I69" s="52">
        <f t="shared" ca="1" si="6"/>
        <v>133.9</v>
      </c>
      <c r="J69" s="53">
        <f t="shared" ca="1" si="7"/>
        <v>272727.27272727271</v>
      </c>
      <c r="K69" s="52">
        <f t="shared" ca="1" si="8"/>
        <v>150.6</v>
      </c>
      <c r="L69" s="53">
        <f t="shared" ca="1" si="9"/>
        <v>272727.27272727271</v>
      </c>
    </row>
    <row r="70" spans="1:12" x14ac:dyDescent="0.45">
      <c r="A70" s="50" t="str">
        <f>IF(ISBLANK(Data!C70),"",Data!C70)</f>
        <v>2730 Barnwood Xing, Duluth, GA 30097</v>
      </c>
      <c r="B70" s="50">
        <f>IFERROR(MATCH($A70,Data!$C:$C,0),"")</f>
        <v>70</v>
      </c>
      <c r="C70" s="82">
        <f t="shared" ref="C70:C133" ca="1" si="12">IFERROR(INDIRECT(CONCATENATE("Data!",SUBSTITUTE(ADDRESS(1,MATCH("Last Sold Date",INDIRECT("Data!3:3"),0),4),1,""))&amp;$B70),"")</f>
        <v>42788</v>
      </c>
      <c r="D70" s="51">
        <f t="shared" ca="1" si="11"/>
        <v>147</v>
      </c>
      <c r="E70" s="52">
        <f t="shared" ref="E70:E133" ca="1" si="13">IFERROR(INDIRECT(CONCATENATE("Data!",SUBSTITUTE(ADDRESS(1,MATCH(CONCATENATE(E$2," Appraised Building Value"),INDIRECT("Data!3:3"),0),4),1,""))&amp;$B70)/INDIRECT("Data!G"&amp;$B70),"")</f>
        <v>102.1</v>
      </c>
      <c r="F70" s="53">
        <f t="shared" ref="F70:F133" ca="1" si="14">IFERROR(INDIRECT(CONCATENATE("Data!",SUBSTITUTE(ADDRESS(1,MATCH(CONCATENATE(E$2," Appraised Land Value"),INDIRECT("Data!3:3"),0),4),1,""))&amp;$B70)/INDIRECT("Data!F"&amp;$B70),"")</f>
        <v>254545.45454545456</v>
      </c>
      <c r="G70" s="52">
        <f t="shared" ref="G70:G133" ca="1" si="15">IFERROR(INDIRECT(CONCATENATE("Data!",SUBSTITUTE(ADDRESS(1,MATCH(CONCATENATE(G$2," Appraised Building Value"),INDIRECT("Data!3:3"),0),4),1,""))&amp;$B70)/INDIRECT("Data!G"&amp;$B70),"")</f>
        <v>112.8</v>
      </c>
      <c r="H70" s="53">
        <f t="shared" ref="H70:H133" ca="1" si="16">IFERROR(INDIRECT(CONCATENATE("Data!",SUBSTITUTE(ADDRESS(1,MATCH(CONCATENATE(G$2," Appraised Land Value"),INDIRECT("Data!3:3"),0),4),1,""))&amp;$B70)/INDIRECT("Data!F"&amp;$B70),"")</f>
        <v>272727.27272727271</v>
      </c>
      <c r="I70" s="52">
        <f t="shared" ref="I70:I133" ca="1" si="17">IFERROR(INDIRECT(CONCATENATE("Data!",SUBSTITUTE(ADDRESS(1,MATCH(CONCATENATE(I$2," Appraised Building Value"),INDIRECT("Data!3:3"),0),4),1,""))&amp;$B70)/INDIRECT("Data!G"&amp;$B70),"")</f>
        <v>130.19999999999999</v>
      </c>
      <c r="J70" s="53">
        <f t="shared" ref="J70:J133" ca="1" si="18">IFERROR(INDIRECT(CONCATENATE("Data!",SUBSTITUTE(ADDRESS(1,MATCH(CONCATENATE(I$2," Appraised Land Value"),INDIRECT("Data!3:3"),0),4),1,""))&amp;$B70)/INDIRECT("Data!F"&amp;$B70),"")</f>
        <v>272727.27272727271</v>
      </c>
      <c r="K70" s="52">
        <f t="shared" ref="K70:K133" ca="1" si="19">IFERROR(INDIRECT(CONCATENATE("Data!",SUBSTITUTE(ADDRESS(1,MATCH(CONCATENATE(K$2," Appraised Building Value"),INDIRECT("Data!3:3"),0),4),1,""))&amp;$B70)/INDIRECT("Data!G"&amp;$B70),"")</f>
        <v>120</v>
      </c>
      <c r="L70" s="53">
        <f t="shared" ref="L70:L133" ca="1" si="20">IFERROR(INDIRECT(CONCATENATE("Data!",SUBSTITUTE(ADDRESS(1,MATCH(CONCATENATE(K$2," Appraised Land Value"),INDIRECT("Data!3:3"),0),4),1,""))&amp;$B70)/INDIRECT("Data!F"&amp;$B70),"")</f>
        <v>272727.27272727271</v>
      </c>
    </row>
    <row r="71" spans="1:12" x14ac:dyDescent="0.45">
      <c r="A71" s="50" t="str">
        <f>IF(ISBLANK(Data!C71),"",Data!C71)</f>
        <v>2735 Barnwood Xing, Duluth, GA 30097</v>
      </c>
      <c r="B71" s="50">
        <f>IFERROR(MATCH($A71,Data!$C:$C,0),"")</f>
        <v>71</v>
      </c>
      <c r="C71" s="82">
        <f t="shared" ca="1" si="12"/>
        <v>42566</v>
      </c>
      <c r="D71" s="51">
        <f t="shared" ca="1" si="11"/>
        <v>164.36403508771929</v>
      </c>
      <c r="E71" s="52">
        <f t="shared" ca="1" si="13"/>
        <v>106.46929824561404</v>
      </c>
      <c r="F71" s="53">
        <f t="shared" ca="1" si="14"/>
        <v>254545.45454545456</v>
      </c>
      <c r="G71" s="52">
        <f t="shared" ca="1" si="15"/>
        <v>117.65350877192982</v>
      </c>
      <c r="H71" s="53">
        <f t="shared" ca="1" si="16"/>
        <v>272727.27272727271</v>
      </c>
      <c r="I71" s="52">
        <f t="shared" ca="1" si="17"/>
        <v>135.74561403508773</v>
      </c>
      <c r="J71" s="53">
        <f t="shared" ca="1" si="18"/>
        <v>272727.27272727271</v>
      </c>
      <c r="K71" s="52">
        <f t="shared" ca="1" si="19"/>
        <v>151.86403508771929</v>
      </c>
      <c r="L71" s="53">
        <f t="shared" ca="1" si="20"/>
        <v>272727.27272727271</v>
      </c>
    </row>
    <row r="72" spans="1:12" x14ac:dyDescent="0.45">
      <c r="A72" s="50" t="str">
        <f>IF(ISBLANK(Data!C72),"",Data!C72)</f>
        <v>2740 Barnwood Xing, Duluth, GA 30097</v>
      </c>
      <c r="B72" s="50">
        <f>IFERROR(MATCH($A72,Data!$C:$C,0),"")</f>
        <v>72</v>
      </c>
      <c r="C72" s="82">
        <f t="shared" ca="1" si="12"/>
        <v>39658</v>
      </c>
      <c r="D72" s="51">
        <f t="shared" ca="1" si="11"/>
        <v>84.169491525423723</v>
      </c>
      <c r="E72" s="52">
        <f t="shared" ca="1" si="13"/>
        <v>103.77503852080123</v>
      </c>
      <c r="F72" s="53">
        <f t="shared" ca="1" si="14"/>
        <v>254545.45454545456</v>
      </c>
      <c r="G72" s="52">
        <f t="shared" ca="1" si="15"/>
        <v>114.71494607087827</v>
      </c>
      <c r="H72" s="53">
        <f t="shared" ca="1" si="16"/>
        <v>272727.27272727271</v>
      </c>
      <c r="I72" s="52">
        <f t="shared" ca="1" si="17"/>
        <v>132.35747303543914</v>
      </c>
      <c r="J72" s="53">
        <f t="shared" ca="1" si="18"/>
        <v>272727.27272727271</v>
      </c>
      <c r="K72" s="52">
        <f t="shared" ca="1" si="19"/>
        <v>115.56240369799691</v>
      </c>
      <c r="L72" s="53">
        <f t="shared" ca="1" si="20"/>
        <v>272727.27272727271</v>
      </c>
    </row>
    <row r="73" spans="1:12" x14ac:dyDescent="0.45">
      <c r="A73" s="50" t="str">
        <f>IF(ISBLANK(Data!C73),"",Data!C73)</f>
        <v>2745 Barnwood Xing, Duluth, GA 30097</v>
      </c>
      <c r="B73" s="50">
        <f>IFERROR(MATCH($A73,Data!$C:$C,0),"")</f>
        <v>73</v>
      </c>
      <c r="C73" s="82">
        <f t="shared" ca="1" si="12"/>
        <v>43341</v>
      </c>
      <c r="D73" s="51">
        <f t="shared" ca="1" si="11"/>
        <v>192.58130081300814</v>
      </c>
      <c r="E73" s="52">
        <f t="shared" ca="1" si="13"/>
        <v>103.76016260162602</v>
      </c>
      <c r="F73" s="53">
        <f t="shared" ca="1" si="14"/>
        <v>215384.61538461538</v>
      </c>
      <c r="G73" s="52">
        <f t="shared" ca="1" si="15"/>
        <v>114.73577235772358</v>
      </c>
      <c r="H73" s="53">
        <f t="shared" ca="1" si="16"/>
        <v>230769.23076923075</v>
      </c>
      <c r="I73" s="52">
        <f t="shared" ca="1" si="17"/>
        <v>132.3170731707317</v>
      </c>
      <c r="J73" s="53">
        <f t="shared" ca="1" si="18"/>
        <v>230769.23076923075</v>
      </c>
      <c r="K73" s="52">
        <f t="shared" ca="1" si="19"/>
        <v>148.17073170731706</v>
      </c>
      <c r="L73" s="53">
        <f t="shared" ca="1" si="20"/>
        <v>230769.23076923075</v>
      </c>
    </row>
    <row r="74" spans="1:12" x14ac:dyDescent="0.45">
      <c r="A74" s="50" t="str">
        <f>IF(ISBLANK(Data!C74),"",Data!C74)</f>
        <v>2750 Barnwood Xing, Duluth, GA 30097</v>
      </c>
      <c r="B74" s="50">
        <f>IFERROR(MATCH($A74,Data!$C:$C,0),"")</f>
        <v>74</v>
      </c>
      <c r="C74" s="82">
        <f t="shared" ca="1" si="12"/>
        <v>35720</v>
      </c>
      <c r="D74" s="51">
        <f t="shared" ca="1" si="11"/>
        <v>105.05050505050505</v>
      </c>
      <c r="E74" s="52">
        <f t="shared" ca="1" si="13"/>
        <v>107.77777777777777</v>
      </c>
      <c r="F74" s="53">
        <f t="shared" ca="1" si="14"/>
        <v>215384.61538461538</v>
      </c>
      <c r="G74" s="52">
        <f t="shared" ca="1" si="15"/>
        <v>119.09090909090909</v>
      </c>
      <c r="H74" s="53">
        <f t="shared" ca="1" si="16"/>
        <v>230769.23076923075</v>
      </c>
      <c r="I74" s="52">
        <f t="shared" ca="1" si="17"/>
        <v>137.47474747474749</v>
      </c>
      <c r="J74" s="53">
        <f t="shared" ca="1" si="18"/>
        <v>230769.23076923075</v>
      </c>
      <c r="K74" s="52">
        <f t="shared" ca="1" si="19"/>
        <v>151.81818181818181</v>
      </c>
      <c r="L74" s="53">
        <f t="shared" ca="1" si="20"/>
        <v>230769.23076923075</v>
      </c>
    </row>
    <row r="75" spans="1:12" x14ac:dyDescent="0.45">
      <c r="A75" s="50" t="str">
        <f>IF(ISBLANK(Data!C75),"",Data!C75)</f>
        <v>2760 Barnwood Xing, Duluth, GA 30097</v>
      </c>
      <c r="B75" s="50">
        <f>IFERROR(MATCH($A75,Data!$C:$C,0),"")</f>
        <v>75</v>
      </c>
      <c r="C75" s="82">
        <f t="shared" ca="1" si="12"/>
        <v>38691</v>
      </c>
      <c r="D75" s="51">
        <f t="shared" ca="1" si="11"/>
        <v>117.87365177195686</v>
      </c>
      <c r="E75" s="52">
        <f t="shared" ca="1" si="13"/>
        <v>103.77503852080123</v>
      </c>
      <c r="F75" s="53">
        <f t="shared" ca="1" si="14"/>
        <v>175000</v>
      </c>
      <c r="G75" s="52">
        <f t="shared" ca="1" si="15"/>
        <v>114.71494607087827</v>
      </c>
      <c r="H75" s="53">
        <f t="shared" ca="1" si="16"/>
        <v>187500</v>
      </c>
      <c r="I75" s="52">
        <f t="shared" ca="1" si="17"/>
        <v>132.35747303543914</v>
      </c>
      <c r="J75" s="53">
        <f t="shared" ca="1" si="18"/>
        <v>187500</v>
      </c>
      <c r="K75" s="52">
        <f t="shared" ca="1" si="19"/>
        <v>144.60708782742682</v>
      </c>
      <c r="L75" s="53">
        <f t="shared" ca="1" si="20"/>
        <v>187500</v>
      </c>
    </row>
    <row r="76" spans="1:12" x14ac:dyDescent="0.45">
      <c r="A76" s="50" t="str">
        <f>IF(ISBLANK(Data!C76),"",Data!C76)</f>
        <v>2765 Barnwood Xing, Duluth, GA 30097</v>
      </c>
      <c r="B76" s="50">
        <f>IFERROR(MATCH($A76,Data!$C:$C,0),"")</f>
        <v>76</v>
      </c>
      <c r="C76" s="82">
        <f t="shared" ca="1" si="12"/>
        <v>42247</v>
      </c>
      <c r="D76" s="51">
        <f t="shared" ca="1" si="11"/>
        <v>104.00616332819723</v>
      </c>
      <c r="E76" s="52">
        <f t="shared" ca="1" si="13"/>
        <v>70.878274268104775</v>
      </c>
      <c r="F76" s="53">
        <f t="shared" ca="1" si="14"/>
        <v>233333.33333333334</v>
      </c>
      <c r="G76" s="52">
        <f t="shared" ca="1" si="15"/>
        <v>116.87211093990754</v>
      </c>
      <c r="H76" s="53">
        <f t="shared" ca="1" si="16"/>
        <v>250000</v>
      </c>
      <c r="I76" s="52">
        <f t="shared" ca="1" si="17"/>
        <v>134.82280431432974</v>
      </c>
      <c r="J76" s="53">
        <f t="shared" ca="1" si="18"/>
        <v>250000</v>
      </c>
      <c r="K76" s="52">
        <f t="shared" ca="1" si="19"/>
        <v>147.30354391371341</v>
      </c>
      <c r="L76" s="53">
        <f t="shared" ca="1" si="20"/>
        <v>250000</v>
      </c>
    </row>
    <row r="77" spans="1:12" x14ac:dyDescent="0.45">
      <c r="A77" s="50" t="str">
        <f>IF(ISBLANK(Data!C77),"",Data!C77)</f>
        <v>2775 Barnwood Xing, Duluth, GA 30097</v>
      </c>
      <c r="B77" s="50">
        <f>IFERROR(MATCH($A77,Data!$C:$C,0),"")</f>
        <v>77</v>
      </c>
      <c r="C77" s="82">
        <f t="shared" ca="1" si="12"/>
        <v>41820</v>
      </c>
      <c r="D77" s="51">
        <f t="shared" ca="1" si="11"/>
        <v>103.23574730354392</v>
      </c>
      <c r="E77" s="52">
        <f t="shared" ca="1" si="13"/>
        <v>107.08782742681048</v>
      </c>
      <c r="F77" s="53">
        <f t="shared" ca="1" si="14"/>
        <v>233333.33333333334</v>
      </c>
      <c r="G77" s="52">
        <f t="shared" ca="1" si="15"/>
        <v>118.41294298921417</v>
      </c>
      <c r="H77" s="53">
        <f t="shared" ca="1" si="16"/>
        <v>250000</v>
      </c>
      <c r="I77" s="52">
        <f t="shared" ca="1" si="17"/>
        <v>136.67180277349769</v>
      </c>
      <c r="J77" s="53">
        <f t="shared" ca="1" si="18"/>
        <v>250000</v>
      </c>
      <c r="K77" s="52">
        <f t="shared" ca="1" si="19"/>
        <v>150.07704160246533</v>
      </c>
      <c r="L77" s="53">
        <f t="shared" ca="1" si="20"/>
        <v>250000</v>
      </c>
    </row>
    <row r="78" spans="1:12" x14ac:dyDescent="0.45">
      <c r="A78" s="50" t="str">
        <f>IF(ISBLANK(Data!C78),"",Data!C78)</f>
        <v>2785 Barnwood Xing, Duluth, GA 30097</v>
      </c>
      <c r="B78" s="50">
        <f>IFERROR(MATCH($A78,Data!$C:$C,0),"")</f>
        <v>78</v>
      </c>
      <c r="C78" s="82">
        <f t="shared" ca="1" si="12"/>
        <v>43014</v>
      </c>
      <c r="D78" s="51">
        <f t="shared" ca="1" si="11"/>
        <v>167.6829268292683</v>
      </c>
      <c r="E78" s="52">
        <f t="shared" ca="1" si="13"/>
        <v>103.2520325203252</v>
      </c>
      <c r="F78" s="53">
        <f t="shared" ca="1" si="14"/>
        <v>199999.99999999997</v>
      </c>
      <c r="G78" s="52">
        <f t="shared" ca="1" si="15"/>
        <v>114.22764227642277</v>
      </c>
      <c r="H78" s="53">
        <f t="shared" ca="1" si="16"/>
        <v>214285.71428571426</v>
      </c>
      <c r="I78" s="52">
        <f t="shared" ca="1" si="17"/>
        <v>131.70731707317074</v>
      </c>
      <c r="J78" s="53">
        <f t="shared" ca="1" si="18"/>
        <v>214285.71428571426</v>
      </c>
      <c r="K78" s="52">
        <f t="shared" ca="1" si="19"/>
        <v>147.45934959349594</v>
      </c>
      <c r="L78" s="53">
        <f t="shared" ca="1" si="20"/>
        <v>214285.71428571426</v>
      </c>
    </row>
    <row r="79" spans="1:12" x14ac:dyDescent="0.45">
      <c r="A79" s="50" t="str">
        <f>IF(ISBLANK(Data!C79),"",Data!C79)</f>
        <v>2790 Barnwood Xing, Duluth, GA 30097</v>
      </c>
      <c r="B79" s="50">
        <f>IFERROR(MATCH($A79,Data!$C:$C,0),"")</f>
        <v>79</v>
      </c>
      <c r="C79" s="82">
        <f t="shared" ca="1" si="12"/>
        <v>42846</v>
      </c>
      <c r="D79" s="51">
        <f t="shared" ca="1" si="11"/>
        <v>153.64850976361768</v>
      </c>
      <c r="E79" s="52">
        <f t="shared" ca="1" si="13"/>
        <v>97.94450154162385</v>
      </c>
      <c r="F79" s="53">
        <f t="shared" ca="1" si="14"/>
        <v>215384.61538461538</v>
      </c>
      <c r="G79" s="52">
        <f t="shared" ca="1" si="15"/>
        <v>108.32476875642344</v>
      </c>
      <c r="H79" s="53">
        <f t="shared" ca="1" si="16"/>
        <v>230769.23076923075</v>
      </c>
      <c r="I79" s="52">
        <f t="shared" ca="1" si="17"/>
        <v>122.81603288797534</v>
      </c>
      <c r="J79" s="53">
        <f t="shared" ca="1" si="18"/>
        <v>230769.23076923075</v>
      </c>
      <c r="K79" s="52">
        <f t="shared" ca="1" si="19"/>
        <v>143.5765673175745</v>
      </c>
      <c r="L79" s="53">
        <f t="shared" ca="1" si="20"/>
        <v>230769.23076923075</v>
      </c>
    </row>
    <row r="80" spans="1:12" x14ac:dyDescent="0.45">
      <c r="A80" s="50" t="str">
        <f>IF(ISBLANK(Data!C80),"",Data!C80)</f>
        <v>2795 Barnwood Xing, Duluth, GA 30097</v>
      </c>
      <c r="B80" s="50">
        <f>IFERROR(MATCH($A80,Data!$C:$C,0),"")</f>
        <v>80</v>
      </c>
      <c r="C80" s="82">
        <f t="shared" ca="1" si="12"/>
        <v>39805</v>
      </c>
      <c r="D80" s="51">
        <f t="shared" ca="1" si="11"/>
        <v>143.64035087719299</v>
      </c>
      <c r="E80" s="52">
        <f t="shared" ca="1" si="13"/>
        <v>106.46929824561404</v>
      </c>
      <c r="F80" s="53">
        <f t="shared" ca="1" si="14"/>
        <v>186666.66666666669</v>
      </c>
      <c r="G80" s="52">
        <f t="shared" ca="1" si="15"/>
        <v>117.76315789473684</v>
      </c>
      <c r="H80" s="53">
        <f t="shared" ca="1" si="16"/>
        <v>200000</v>
      </c>
      <c r="I80" s="52">
        <f t="shared" ca="1" si="17"/>
        <v>135.85526315789474</v>
      </c>
      <c r="J80" s="53">
        <f t="shared" ca="1" si="18"/>
        <v>200000</v>
      </c>
      <c r="K80" s="52">
        <f t="shared" ca="1" si="19"/>
        <v>151.97368421052633</v>
      </c>
      <c r="L80" s="53">
        <f t="shared" ca="1" si="20"/>
        <v>200000</v>
      </c>
    </row>
    <row r="81" spans="1:12" x14ac:dyDescent="0.45">
      <c r="A81" s="50" t="str">
        <f>IF(ISBLANK(Data!C81),"",Data!C81)</f>
        <v>2800 Barnwood Xing, Duluth, GA 30097</v>
      </c>
      <c r="B81" s="50">
        <f>IFERROR(MATCH($A81,Data!$C:$C,0),"")</f>
        <v>81</v>
      </c>
      <c r="C81" s="82">
        <f t="shared" ca="1" si="12"/>
        <v>42629</v>
      </c>
      <c r="D81" s="51">
        <f t="shared" ca="1" si="11"/>
        <v>184.17874396135267</v>
      </c>
      <c r="E81" s="52">
        <f t="shared" ca="1" si="13"/>
        <v>108.21256038647343</v>
      </c>
      <c r="F81" s="53">
        <f t="shared" ca="1" si="14"/>
        <v>254545.45454545456</v>
      </c>
      <c r="G81" s="52">
        <f t="shared" ca="1" si="15"/>
        <v>119.56521739130434</v>
      </c>
      <c r="H81" s="53">
        <f t="shared" ca="1" si="16"/>
        <v>272727.27272727271</v>
      </c>
      <c r="I81" s="52">
        <f t="shared" ca="1" si="17"/>
        <v>138.04347826086956</v>
      </c>
      <c r="J81" s="53">
        <f t="shared" ca="1" si="18"/>
        <v>272727.27272727271</v>
      </c>
      <c r="K81" s="52">
        <f t="shared" ca="1" si="19"/>
        <v>153.98550724637681</v>
      </c>
      <c r="L81" s="53">
        <f t="shared" ca="1" si="20"/>
        <v>272727.27272727271</v>
      </c>
    </row>
    <row r="82" spans="1:12" x14ac:dyDescent="0.45">
      <c r="A82" s="50" t="str">
        <f>IF(ISBLANK(Data!C82),"",Data!C82)</f>
        <v>2810 Barnwood Xing, Duluth, GA 30097</v>
      </c>
      <c r="B82" s="50">
        <f>IFERROR(MATCH($A82,Data!$C:$C,0),"")</f>
        <v>82</v>
      </c>
      <c r="C82" s="82">
        <f t="shared" ca="1" si="12"/>
        <v>42923</v>
      </c>
      <c r="D82" s="51">
        <f t="shared" ca="1" si="11"/>
        <v>181.90789473684211</v>
      </c>
      <c r="E82" s="52">
        <f t="shared" ca="1" si="13"/>
        <v>110.08771929824562</v>
      </c>
      <c r="F82" s="53">
        <f t="shared" ca="1" si="14"/>
        <v>233333.33333333334</v>
      </c>
      <c r="G82" s="52">
        <f t="shared" ca="1" si="15"/>
        <v>121.82017543859649</v>
      </c>
      <c r="H82" s="53">
        <f t="shared" ca="1" si="16"/>
        <v>250000</v>
      </c>
      <c r="I82" s="52">
        <f t="shared" ca="1" si="17"/>
        <v>140.46052631578948</v>
      </c>
      <c r="J82" s="53">
        <f t="shared" ca="1" si="18"/>
        <v>250000</v>
      </c>
      <c r="K82" s="52">
        <f t="shared" ca="1" si="19"/>
        <v>140.46052631578948</v>
      </c>
      <c r="L82" s="53">
        <f t="shared" ca="1" si="20"/>
        <v>250000</v>
      </c>
    </row>
    <row r="83" spans="1:12" x14ac:dyDescent="0.45">
      <c r="A83" s="50" t="str">
        <f>IF(ISBLANK(Data!C83),"",Data!C83)</f>
        <v>2815 Barnwood Xing, Duluth, GA 30097</v>
      </c>
      <c r="B83" s="50">
        <f>IFERROR(MATCH($A83,Data!$C:$C,0),"")</f>
        <v>83</v>
      </c>
      <c r="C83" s="82">
        <f t="shared" ca="1" si="12"/>
        <v>42060</v>
      </c>
      <c r="D83" s="51">
        <f t="shared" ca="1" si="11"/>
        <v>107.63293310463122</v>
      </c>
      <c r="E83" s="52">
        <f t="shared" ca="1" si="13"/>
        <v>83.619210977701542</v>
      </c>
      <c r="F83" s="53">
        <f t="shared" ca="1" si="14"/>
        <v>199999.99999999997</v>
      </c>
      <c r="G83" s="52">
        <f t="shared" ca="1" si="15"/>
        <v>109.00514579759863</v>
      </c>
      <c r="H83" s="53">
        <f t="shared" ca="1" si="16"/>
        <v>214285.71428571426</v>
      </c>
      <c r="I83" s="52">
        <f t="shared" ca="1" si="17"/>
        <v>109.00514579759863</v>
      </c>
      <c r="J83" s="53">
        <f t="shared" ca="1" si="18"/>
        <v>214285.71428571426</v>
      </c>
      <c r="K83" s="52">
        <f t="shared" ca="1" si="19"/>
        <v>109.00514579759863</v>
      </c>
      <c r="L83" s="53">
        <f t="shared" ca="1" si="20"/>
        <v>214285.71428571426</v>
      </c>
    </row>
    <row r="84" spans="1:12" x14ac:dyDescent="0.45">
      <c r="A84" s="50" t="str">
        <f>IF(ISBLANK(Data!C84),"",Data!C84)</f>
        <v>2820 Barnwood Xing, Duluth, GA 30097</v>
      </c>
      <c r="B84" s="50">
        <f>IFERROR(MATCH($A84,Data!$C:$C,0),"")</f>
        <v>84</v>
      </c>
      <c r="C84" s="82">
        <f t="shared" ca="1" si="12"/>
        <v>42606</v>
      </c>
      <c r="D84" s="51">
        <f t="shared" ca="1" si="11"/>
        <v>121.81528662420382</v>
      </c>
      <c r="E84" s="52">
        <f t="shared" ca="1" si="13"/>
        <v>99.601910828025481</v>
      </c>
      <c r="F84" s="53">
        <f t="shared" ca="1" si="14"/>
        <v>164705.88235294117</v>
      </c>
      <c r="G84" s="52">
        <f t="shared" ca="1" si="15"/>
        <v>97.929936305732483</v>
      </c>
      <c r="H84" s="53">
        <f t="shared" ca="1" si="16"/>
        <v>176470.5882352941</v>
      </c>
      <c r="I84" s="52">
        <f t="shared" ca="1" si="17"/>
        <v>127.07006369426752</v>
      </c>
      <c r="J84" s="53">
        <f t="shared" ca="1" si="18"/>
        <v>176470.5882352941</v>
      </c>
      <c r="K84" s="52">
        <f t="shared" ca="1" si="19"/>
        <v>138.61464968152868</v>
      </c>
      <c r="L84" s="53">
        <f t="shared" ca="1" si="20"/>
        <v>176470.5882352941</v>
      </c>
    </row>
    <row r="85" spans="1:12" x14ac:dyDescent="0.45">
      <c r="A85" s="50" t="str">
        <f>IF(ISBLANK(Data!C85),"",Data!C85)</f>
        <v>2830 Barnwood Xing, Duluth, GA 30097</v>
      </c>
      <c r="B85" s="50">
        <f>IFERROR(MATCH($A85,Data!$C:$C,0),"")</f>
        <v>85</v>
      </c>
      <c r="C85" s="82">
        <f t="shared" ca="1" si="12"/>
        <v>42577</v>
      </c>
      <c r="D85" s="51">
        <f t="shared" ca="1" si="11"/>
        <v>128.65947611710322</v>
      </c>
      <c r="E85" s="52">
        <f t="shared" ca="1" si="13"/>
        <v>103.38983050847457</v>
      </c>
      <c r="F85" s="53">
        <f t="shared" ca="1" si="14"/>
        <v>186666.66666666669</v>
      </c>
      <c r="G85" s="52">
        <f t="shared" ca="1" si="15"/>
        <v>105.54699537750385</v>
      </c>
      <c r="H85" s="53">
        <f t="shared" ca="1" si="16"/>
        <v>200000</v>
      </c>
      <c r="I85" s="52">
        <f t="shared" ca="1" si="17"/>
        <v>131.89522342064714</v>
      </c>
      <c r="J85" s="53">
        <f t="shared" ca="1" si="18"/>
        <v>200000</v>
      </c>
      <c r="K85" s="52">
        <f t="shared" ca="1" si="19"/>
        <v>144.06779661016949</v>
      </c>
      <c r="L85" s="53">
        <f t="shared" ca="1" si="20"/>
        <v>200000</v>
      </c>
    </row>
    <row r="86" spans="1:12" x14ac:dyDescent="0.45">
      <c r="A86" s="50" t="str">
        <f>IF(ISBLANK(Data!C86),"",Data!C86)</f>
        <v>2840 Barnwood Xing, Duluth, GA 30097</v>
      </c>
      <c r="B86" s="50">
        <f>IFERROR(MATCH($A86,Data!$C:$C,0),"")</f>
        <v>86</v>
      </c>
      <c r="C86" s="82">
        <f t="shared" ca="1" si="12"/>
        <v>43032</v>
      </c>
      <c r="D86" s="51">
        <f t="shared" ca="1" si="11"/>
        <v>136.74884437596302</v>
      </c>
      <c r="E86" s="52">
        <f t="shared" ca="1" si="13"/>
        <v>98.69029275808937</v>
      </c>
      <c r="F86" s="53">
        <f t="shared" ca="1" si="14"/>
        <v>186666.66666666669</v>
      </c>
      <c r="G86" s="52">
        <f t="shared" ca="1" si="15"/>
        <v>107.70416024653312</v>
      </c>
      <c r="H86" s="53">
        <f t="shared" ca="1" si="16"/>
        <v>200000</v>
      </c>
      <c r="I86" s="52">
        <f t="shared" ca="1" si="17"/>
        <v>113.63636363636364</v>
      </c>
      <c r="J86" s="53">
        <f t="shared" ca="1" si="18"/>
        <v>200000</v>
      </c>
      <c r="K86" s="52">
        <f t="shared" ca="1" si="19"/>
        <v>135.51617873651773</v>
      </c>
      <c r="L86" s="53">
        <f t="shared" ca="1" si="20"/>
        <v>200000</v>
      </c>
    </row>
    <row r="87" spans="1:12" x14ac:dyDescent="0.45">
      <c r="A87" s="50" t="str">
        <f>IF(ISBLANK(Data!C87),"",Data!C87)</f>
        <v>2850 Barnwood Xing, Duluth, GA 30097</v>
      </c>
      <c r="B87" s="50">
        <f>IFERROR(MATCH($A87,Data!$C:$C,0),"")</f>
        <v>87</v>
      </c>
      <c r="C87" s="82">
        <f t="shared" ca="1" si="12"/>
        <v>34164</v>
      </c>
      <c r="D87" s="51">
        <f t="shared" ca="1" si="11"/>
        <v>92.982456140350877</v>
      </c>
      <c r="E87" s="52">
        <f t="shared" ca="1" si="13"/>
        <v>106.46929824561404</v>
      </c>
      <c r="F87" s="53">
        <f t="shared" ca="1" si="14"/>
        <v>215384.61538461538</v>
      </c>
      <c r="G87" s="52">
        <f t="shared" ca="1" si="15"/>
        <v>117.65350877192982</v>
      </c>
      <c r="H87" s="53">
        <f t="shared" ca="1" si="16"/>
        <v>230769.23076923075</v>
      </c>
      <c r="I87" s="52">
        <f t="shared" ca="1" si="17"/>
        <v>135.74561403508773</v>
      </c>
      <c r="J87" s="53">
        <f t="shared" ca="1" si="18"/>
        <v>230769.23076923075</v>
      </c>
      <c r="K87" s="52">
        <f t="shared" ca="1" si="19"/>
        <v>151.86403508771929</v>
      </c>
      <c r="L87" s="53">
        <f t="shared" ca="1" si="20"/>
        <v>230769.23076923075</v>
      </c>
    </row>
    <row r="88" spans="1:12" x14ac:dyDescent="0.45">
      <c r="A88" s="50" t="str">
        <f>IF(ISBLANK(Data!C88),"",Data!C88)</f>
        <v>2855 Barnwood Xing, Duluth, GA 30097</v>
      </c>
      <c r="B88" s="50">
        <f>IFERROR(MATCH($A88,Data!$C:$C,0),"")</f>
        <v>88</v>
      </c>
      <c r="C88" s="82">
        <f t="shared" ca="1" si="12"/>
        <v>35549</v>
      </c>
      <c r="D88" s="51">
        <f t="shared" ca="1" si="11"/>
        <v>99.589322381930188</v>
      </c>
      <c r="E88" s="52">
        <f t="shared" ca="1" si="13"/>
        <v>103.90143737166325</v>
      </c>
      <c r="F88" s="53">
        <f t="shared" ca="1" si="14"/>
        <v>186666.66666666669</v>
      </c>
      <c r="G88" s="52">
        <f t="shared" ca="1" si="15"/>
        <v>114.78439425051334</v>
      </c>
      <c r="H88" s="53">
        <f t="shared" ca="1" si="16"/>
        <v>200000</v>
      </c>
      <c r="I88" s="52">
        <f t="shared" ca="1" si="17"/>
        <v>132.34086242299796</v>
      </c>
      <c r="J88" s="53">
        <f t="shared" ca="1" si="18"/>
        <v>200000</v>
      </c>
      <c r="K88" s="52">
        <f t="shared" ca="1" si="19"/>
        <v>148.35728952772075</v>
      </c>
      <c r="L88" s="53">
        <f t="shared" ca="1" si="20"/>
        <v>200000</v>
      </c>
    </row>
    <row r="89" spans="1:12" x14ac:dyDescent="0.45">
      <c r="A89" s="50" t="str">
        <f>IF(ISBLANK(Data!C89),"",Data!C89)</f>
        <v>2860 Barnwood Xing, Duluth, GA 30097</v>
      </c>
      <c r="B89" s="50">
        <f>IFERROR(MATCH($A89,Data!$C:$C,0),"")</f>
        <v>89</v>
      </c>
      <c r="C89" s="82">
        <f t="shared" ca="1" si="12"/>
        <v>34089</v>
      </c>
      <c r="D89" s="51">
        <f t="shared" ca="1" si="11"/>
        <v>73.153692614770463</v>
      </c>
      <c r="E89" s="52">
        <f t="shared" ca="1" si="13"/>
        <v>103.99201596806387</v>
      </c>
      <c r="F89" s="53">
        <f t="shared" ca="1" si="14"/>
        <v>215384.61538461538</v>
      </c>
      <c r="G89" s="52">
        <f t="shared" ca="1" si="15"/>
        <v>115.06986027944112</v>
      </c>
      <c r="H89" s="53">
        <f t="shared" ca="1" si="16"/>
        <v>230769.23076923075</v>
      </c>
      <c r="I89" s="52">
        <f t="shared" ca="1" si="17"/>
        <v>132.73453093812375</v>
      </c>
      <c r="J89" s="53">
        <f t="shared" ca="1" si="18"/>
        <v>230769.23076923075</v>
      </c>
      <c r="K89" s="52">
        <f t="shared" ca="1" si="19"/>
        <v>148.30339321357286</v>
      </c>
      <c r="L89" s="53">
        <f t="shared" ca="1" si="20"/>
        <v>230769.23076923075</v>
      </c>
    </row>
    <row r="90" spans="1:12" x14ac:dyDescent="0.45">
      <c r="A90" s="50" t="str">
        <f>IF(ISBLANK(Data!C90),"",Data!C90)</f>
        <v>2865 Barnwood Xing, Duluth, GA 30097</v>
      </c>
      <c r="B90" s="50">
        <f>IFERROR(MATCH($A90,Data!$C:$C,0),"")</f>
        <v>90</v>
      </c>
      <c r="C90" s="82">
        <f t="shared" ca="1" si="12"/>
        <v>41753</v>
      </c>
      <c r="D90" s="51">
        <f t="shared" ca="1" si="11"/>
        <v>102.40427426536064</v>
      </c>
      <c r="E90" s="52">
        <f t="shared" ca="1" si="13"/>
        <v>97.328584149599294</v>
      </c>
      <c r="F90" s="53">
        <f t="shared" ca="1" si="14"/>
        <v>175000</v>
      </c>
      <c r="G90" s="52">
        <f t="shared" ca="1" si="15"/>
        <v>107.56901157613535</v>
      </c>
      <c r="H90" s="53">
        <f t="shared" ca="1" si="16"/>
        <v>187500</v>
      </c>
      <c r="I90" s="52">
        <f t="shared" ca="1" si="17"/>
        <v>124.13178984861977</v>
      </c>
      <c r="J90" s="53">
        <f t="shared" ca="1" si="18"/>
        <v>187500</v>
      </c>
      <c r="K90" s="52">
        <f t="shared" ca="1" si="19"/>
        <v>140.16028495102404</v>
      </c>
      <c r="L90" s="53">
        <f t="shared" ca="1" si="20"/>
        <v>187500</v>
      </c>
    </row>
    <row r="91" spans="1:12" x14ac:dyDescent="0.45">
      <c r="A91" s="50" t="str">
        <f>IF(ISBLANK(Data!C91),"",Data!C91)</f>
        <v>2870 Barnwood Xing, Duluth, GA 30097</v>
      </c>
      <c r="B91" s="50">
        <f>IFERROR(MATCH($A91,Data!$C:$C,0),"")</f>
        <v>91</v>
      </c>
      <c r="C91" s="82">
        <f t="shared" ca="1" si="12"/>
        <v>38289</v>
      </c>
      <c r="D91" s="51">
        <f t="shared" ca="1" si="11"/>
        <v>126.44701691896705</v>
      </c>
      <c r="E91" s="52">
        <f t="shared" ca="1" si="13"/>
        <v>97.061442564559215</v>
      </c>
      <c r="F91" s="53">
        <f t="shared" ca="1" si="14"/>
        <v>215384.61538461538</v>
      </c>
      <c r="G91" s="52">
        <f t="shared" ca="1" si="15"/>
        <v>107.30186999109529</v>
      </c>
      <c r="H91" s="53">
        <f t="shared" ca="1" si="16"/>
        <v>230769.23076923075</v>
      </c>
      <c r="I91" s="52">
        <f t="shared" ca="1" si="17"/>
        <v>123.77560106856635</v>
      </c>
      <c r="J91" s="53">
        <f t="shared" ca="1" si="18"/>
        <v>230769.23076923075</v>
      </c>
      <c r="K91" s="52">
        <f t="shared" ca="1" si="19"/>
        <v>140.07123775601067</v>
      </c>
      <c r="L91" s="53">
        <f t="shared" ca="1" si="20"/>
        <v>230769.23076923075</v>
      </c>
    </row>
    <row r="92" spans="1:12" x14ac:dyDescent="0.45">
      <c r="A92" s="50" t="str">
        <f>IF(ISBLANK(Data!C92),"",Data!C92)</f>
        <v>2875 Barnwood Xing, Duluth, GA 30097</v>
      </c>
      <c r="B92" s="50">
        <f>IFERROR(MATCH($A92,Data!$C:$C,0),"")</f>
        <v>92</v>
      </c>
      <c r="C92" s="82">
        <f t="shared" ca="1" si="12"/>
        <v>43293</v>
      </c>
      <c r="D92" s="51">
        <f t="shared" ca="1" si="11"/>
        <v>169.18967052537846</v>
      </c>
      <c r="E92" s="52">
        <f t="shared" ca="1" si="13"/>
        <v>94.746215494211938</v>
      </c>
      <c r="F92" s="53">
        <f t="shared" ca="1" si="14"/>
        <v>215384.61538461538</v>
      </c>
      <c r="G92" s="52">
        <f t="shared" ca="1" si="15"/>
        <v>104.71950133570793</v>
      </c>
      <c r="H92" s="53">
        <f t="shared" ca="1" si="16"/>
        <v>230769.23076923075</v>
      </c>
      <c r="I92" s="52">
        <f t="shared" ca="1" si="17"/>
        <v>120.83704363312556</v>
      </c>
      <c r="J92" s="53">
        <f t="shared" ca="1" si="18"/>
        <v>230769.23076923075</v>
      </c>
      <c r="K92" s="52">
        <f t="shared" ca="1" si="19"/>
        <v>136.68744434550311</v>
      </c>
      <c r="L92" s="53">
        <f t="shared" ca="1" si="20"/>
        <v>230769.23076923075</v>
      </c>
    </row>
    <row r="93" spans="1:12" x14ac:dyDescent="0.45">
      <c r="A93" s="50" t="str">
        <f>IF(ISBLANK(Data!C93),"",Data!C93)</f>
        <v>2880 Barnwood Xing, Duluth, GA 30097</v>
      </c>
      <c r="B93" s="50">
        <f>IFERROR(MATCH($A93,Data!$C:$C,0),"")</f>
        <v>93</v>
      </c>
      <c r="C93" s="82">
        <f t="shared" ca="1" si="12"/>
        <v>42264</v>
      </c>
      <c r="D93" s="51">
        <f t="shared" ca="1" si="11"/>
        <v>126.51821862348179</v>
      </c>
      <c r="E93" s="52">
        <f t="shared" ca="1" si="13"/>
        <v>98.178137651821856</v>
      </c>
      <c r="F93" s="53">
        <f t="shared" ca="1" si="14"/>
        <v>215384.61538461538</v>
      </c>
      <c r="G93" s="52">
        <f t="shared" ca="1" si="15"/>
        <v>112.65182186234817</v>
      </c>
      <c r="H93" s="53">
        <f t="shared" ca="1" si="16"/>
        <v>230769.23076923075</v>
      </c>
      <c r="I93" s="52">
        <f t="shared" ca="1" si="17"/>
        <v>129.95951417004048</v>
      </c>
      <c r="J93" s="53">
        <f t="shared" ca="1" si="18"/>
        <v>230769.23076923075</v>
      </c>
      <c r="K93" s="52">
        <f t="shared" ca="1" si="19"/>
        <v>145.44534412955466</v>
      </c>
      <c r="L93" s="53">
        <f t="shared" ca="1" si="20"/>
        <v>230769.23076923075</v>
      </c>
    </row>
    <row r="94" spans="1:12" x14ac:dyDescent="0.45">
      <c r="A94" s="50" t="str">
        <f>IF(ISBLANK(Data!C94),"",Data!C94)</f>
        <v>2885 Barnwood Xing, Duluth, GA 30097</v>
      </c>
      <c r="B94" s="50">
        <f>IFERROR(MATCH($A94,Data!$C:$C,0),"")</f>
        <v>94</v>
      </c>
      <c r="C94" s="82">
        <f t="shared" ca="1" si="12"/>
        <v>42062</v>
      </c>
      <c r="D94" s="51">
        <f t="shared" ca="1" si="11"/>
        <v>131.57894736842104</v>
      </c>
      <c r="E94" s="52">
        <f t="shared" ca="1" si="13"/>
        <v>100.87719298245614</v>
      </c>
      <c r="F94" s="53">
        <f t="shared" ca="1" si="14"/>
        <v>254545.45454545456</v>
      </c>
      <c r="G94" s="52">
        <f t="shared" ca="1" si="15"/>
        <v>118.31140350877193</v>
      </c>
      <c r="H94" s="53">
        <f t="shared" ca="1" si="16"/>
        <v>272727.27272727271</v>
      </c>
      <c r="I94" s="52">
        <f t="shared" ca="1" si="17"/>
        <v>136.51315789473685</v>
      </c>
      <c r="J94" s="53">
        <f t="shared" ca="1" si="18"/>
        <v>272727.27272727271</v>
      </c>
      <c r="K94" s="52">
        <f t="shared" ca="1" si="19"/>
        <v>152.63157894736841</v>
      </c>
      <c r="L94" s="53">
        <f t="shared" ca="1" si="20"/>
        <v>272727.27272727271</v>
      </c>
    </row>
    <row r="95" spans="1:12" x14ac:dyDescent="0.45">
      <c r="A95" s="50" t="str">
        <f>IF(ISBLANK(Data!C95),"",Data!C95)</f>
        <v>2890 Barnwood Xing, Duluth, GA 30097</v>
      </c>
      <c r="B95" s="50">
        <f>IFERROR(MATCH($A95,Data!$C:$C,0),"")</f>
        <v>95</v>
      </c>
      <c r="C95" s="82">
        <f t="shared" ca="1" si="12"/>
        <v>37727</v>
      </c>
      <c r="D95" s="51">
        <f t="shared" ca="1" si="11"/>
        <v>119.76847729296527</v>
      </c>
      <c r="E95" s="52">
        <f t="shared" ca="1" si="13"/>
        <v>95.814781834372212</v>
      </c>
      <c r="F95" s="53">
        <f t="shared" ca="1" si="14"/>
        <v>155555.55555555556</v>
      </c>
      <c r="G95" s="52">
        <f t="shared" ca="1" si="15"/>
        <v>104.63045414069457</v>
      </c>
      <c r="H95" s="53">
        <f t="shared" ca="1" si="16"/>
        <v>166666.66666666669</v>
      </c>
      <c r="I95" s="52">
        <f t="shared" ca="1" si="17"/>
        <v>122.26179875333926</v>
      </c>
      <c r="J95" s="53">
        <f t="shared" ca="1" si="18"/>
        <v>166666.66666666669</v>
      </c>
      <c r="K95" s="52">
        <f t="shared" ca="1" si="19"/>
        <v>139.98219056099734</v>
      </c>
      <c r="L95" s="53">
        <f t="shared" ca="1" si="20"/>
        <v>166666.66666666669</v>
      </c>
    </row>
    <row r="96" spans="1:12" x14ac:dyDescent="0.45">
      <c r="A96" s="50" t="str">
        <f>IF(ISBLANK(Data!C96),"",Data!C96)</f>
        <v>2895 Barnwood Xing, Duluth, GA 30097</v>
      </c>
      <c r="B96" s="50">
        <f>IFERROR(MATCH($A96,Data!$C:$C,0),"")</f>
        <v>96</v>
      </c>
      <c r="C96" s="82">
        <f t="shared" ca="1" si="12"/>
        <v>42459</v>
      </c>
      <c r="D96" s="51">
        <f t="shared" ca="1" si="11"/>
        <v>115.7613535173642</v>
      </c>
      <c r="E96" s="52">
        <f t="shared" ca="1" si="13"/>
        <v>95.814781834372212</v>
      </c>
      <c r="F96" s="53">
        <f t="shared" ca="1" si="14"/>
        <v>155555.55555555556</v>
      </c>
      <c r="G96" s="52">
        <f t="shared" ca="1" si="15"/>
        <v>89.047195013357083</v>
      </c>
      <c r="H96" s="53">
        <f t="shared" ca="1" si="16"/>
        <v>166666.66666666669</v>
      </c>
      <c r="I96" s="52">
        <f t="shared" ca="1" si="17"/>
        <v>122.17275155832591</v>
      </c>
      <c r="J96" s="53">
        <f t="shared" ca="1" si="18"/>
        <v>166666.66666666669</v>
      </c>
      <c r="K96" s="52">
        <f t="shared" ca="1" si="19"/>
        <v>138.11219946571683</v>
      </c>
      <c r="L96" s="53">
        <f t="shared" ca="1" si="20"/>
        <v>166666.66666666669</v>
      </c>
    </row>
    <row r="97" spans="1:12" x14ac:dyDescent="0.45">
      <c r="A97" s="50" t="str">
        <f>IF(ISBLANK(Data!C97),"",Data!C97)</f>
        <v>2900 Barnwood Xing, Duluth, GA 30097</v>
      </c>
      <c r="B97" s="50">
        <f>IFERROR(MATCH($A97,Data!$C:$C,0),"")</f>
        <v>97</v>
      </c>
      <c r="C97" s="82">
        <f t="shared" ca="1" si="12"/>
        <v>42019</v>
      </c>
      <c r="D97" s="51">
        <f t="shared" ca="1" si="11"/>
        <v>155.13392857142858</v>
      </c>
      <c r="E97" s="52">
        <f t="shared" ca="1" si="13"/>
        <v>109.15178571428571</v>
      </c>
      <c r="F97" s="53">
        <f t="shared" ca="1" si="14"/>
        <v>155555.55555555556</v>
      </c>
      <c r="G97" s="52">
        <f t="shared" ca="1" si="15"/>
        <v>119.19642857142857</v>
      </c>
      <c r="H97" s="53">
        <f t="shared" ca="1" si="16"/>
        <v>166666.66666666669</v>
      </c>
      <c r="I97" s="52">
        <f t="shared" ca="1" si="17"/>
        <v>139.28571428571428</v>
      </c>
      <c r="J97" s="53">
        <f t="shared" ca="1" si="18"/>
        <v>166666.66666666669</v>
      </c>
      <c r="K97" s="52">
        <f t="shared" ca="1" si="19"/>
        <v>155.24553571428572</v>
      </c>
      <c r="L97" s="53">
        <f t="shared" ca="1" si="20"/>
        <v>166666.66666666669</v>
      </c>
    </row>
    <row r="98" spans="1:12" x14ac:dyDescent="0.45">
      <c r="A98" s="50" t="str">
        <f>IF(ISBLANK(Data!C98),"",Data!C98)</f>
        <v>2905 Barnwood Xing, Duluth, GA 30097</v>
      </c>
      <c r="B98" s="50">
        <f>IFERROR(MATCH($A98,Data!$C:$C,0),"")</f>
        <v>98</v>
      </c>
      <c r="C98" s="82">
        <f t="shared" ca="1" si="12"/>
        <v>43196</v>
      </c>
      <c r="D98" s="51">
        <f t="shared" ca="1" si="11"/>
        <v>204.26065162907267</v>
      </c>
      <c r="E98" s="52">
        <f t="shared" ca="1" si="13"/>
        <v>103.00751879699249</v>
      </c>
      <c r="F98" s="53">
        <f t="shared" ca="1" si="14"/>
        <v>215384.61538461538</v>
      </c>
      <c r="G98" s="52">
        <f t="shared" ca="1" si="15"/>
        <v>112.531328320802</v>
      </c>
      <c r="H98" s="53">
        <f t="shared" ca="1" si="16"/>
        <v>230769.23076923075</v>
      </c>
      <c r="I98" s="52">
        <f t="shared" ca="1" si="17"/>
        <v>131.45363408521303</v>
      </c>
      <c r="J98" s="53">
        <f t="shared" ca="1" si="18"/>
        <v>230769.23076923075</v>
      </c>
      <c r="K98" s="52">
        <f t="shared" ca="1" si="19"/>
        <v>166.66666666666666</v>
      </c>
      <c r="L98" s="53">
        <f t="shared" ca="1" si="20"/>
        <v>230769.23076923075</v>
      </c>
    </row>
    <row r="99" spans="1:12" x14ac:dyDescent="0.45">
      <c r="A99" s="50" t="str">
        <f>IF(ISBLANK(Data!C99),"",Data!C99)</f>
        <v>2910 Barnwood Xing, Duluth, GA 30097</v>
      </c>
      <c r="B99" s="50">
        <f>IFERROR(MATCH($A99,Data!$C:$C,0),"")</f>
        <v>99</v>
      </c>
      <c r="C99" s="82">
        <f t="shared" ca="1" si="12"/>
        <v>42863</v>
      </c>
      <c r="D99" s="51">
        <f t="shared" ca="1" si="11"/>
        <v>138.60544217687075</v>
      </c>
      <c r="E99" s="52">
        <f t="shared" ca="1" si="13"/>
        <v>90.39115646258503</v>
      </c>
      <c r="F99" s="53">
        <f t="shared" ca="1" si="14"/>
        <v>215384.61538461538</v>
      </c>
      <c r="G99" s="52">
        <f t="shared" ca="1" si="15"/>
        <v>99.914965986394563</v>
      </c>
      <c r="H99" s="53">
        <f t="shared" ca="1" si="16"/>
        <v>230769.23076923075</v>
      </c>
      <c r="I99" s="52">
        <f t="shared" ca="1" si="17"/>
        <v>113.0952380952381</v>
      </c>
      <c r="J99" s="53">
        <f t="shared" ca="1" si="18"/>
        <v>230769.23076923075</v>
      </c>
      <c r="K99" s="52">
        <f t="shared" ca="1" si="19"/>
        <v>139.62585034013605</v>
      </c>
      <c r="L99" s="53">
        <f t="shared" ca="1" si="20"/>
        <v>230769.23076923075</v>
      </c>
    </row>
    <row r="100" spans="1:12" x14ac:dyDescent="0.45">
      <c r="A100" s="50" t="str">
        <f>IF(ISBLANK(Data!C100),"",Data!C100)</f>
        <v>2915 Barnwood Xing, Duluth, GA 30097</v>
      </c>
      <c r="B100" s="50">
        <f>IFERROR(MATCH($A100,Data!$C:$C,0),"")</f>
        <v>100</v>
      </c>
      <c r="C100" s="82">
        <f t="shared" ca="1" si="12"/>
        <v>42440</v>
      </c>
      <c r="D100" s="51">
        <f t="shared" ca="1" si="11"/>
        <v>144.18604651162789</v>
      </c>
      <c r="E100" s="52">
        <f t="shared" ca="1" si="13"/>
        <v>88.093023255813947</v>
      </c>
      <c r="F100" s="53">
        <f t="shared" ca="1" si="14"/>
        <v>254545.45454545456</v>
      </c>
      <c r="G100" s="52">
        <f t="shared" ca="1" si="15"/>
        <v>114.32558139534883</v>
      </c>
      <c r="H100" s="53">
        <f t="shared" ca="1" si="16"/>
        <v>272727.27272727271</v>
      </c>
      <c r="I100" s="52">
        <f t="shared" ca="1" si="17"/>
        <v>132</v>
      </c>
      <c r="J100" s="53">
        <f t="shared" ca="1" si="18"/>
        <v>272727.27272727271</v>
      </c>
      <c r="K100" s="52">
        <f t="shared" ca="1" si="19"/>
        <v>152.93023255813952</v>
      </c>
      <c r="L100" s="53">
        <f t="shared" ca="1" si="20"/>
        <v>272727.27272727271</v>
      </c>
    </row>
    <row r="101" spans="1:12" x14ac:dyDescent="0.45">
      <c r="A101" s="50" t="str">
        <f>IF(ISBLANK(Data!C101),"",Data!C101)</f>
        <v>2920 Barnwood Xing, Duluth, GA 30097</v>
      </c>
      <c r="B101" s="50">
        <f>IFERROR(MATCH($A101,Data!$C:$C,0),"")</f>
        <v>101</v>
      </c>
      <c r="C101" s="82">
        <f t="shared" ca="1" si="12"/>
        <v>36077</v>
      </c>
      <c r="D101" s="51">
        <f t="shared" ref="D101:D132" ca="1" si="21">IFERROR(INDIRECT("Data!$I"&amp;$B101)/INDIRECT("Data!$G"&amp;$B101),"")</f>
        <v>84.231536926147712</v>
      </c>
      <c r="E101" s="52">
        <f t="shared" ca="1" si="13"/>
        <v>101.49700598802396</v>
      </c>
      <c r="F101" s="53">
        <f t="shared" ca="1" si="14"/>
        <v>199999.99999999997</v>
      </c>
      <c r="G101" s="52">
        <f t="shared" ca="1" si="15"/>
        <v>112.17564870259481</v>
      </c>
      <c r="H101" s="53">
        <f t="shared" ca="1" si="16"/>
        <v>214285.71428571426</v>
      </c>
      <c r="I101" s="52">
        <f t="shared" ca="1" si="17"/>
        <v>129.44111776447104</v>
      </c>
      <c r="J101" s="53">
        <f t="shared" ca="1" si="18"/>
        <v>214285.71428571426</v>
      </c>
      <c r="K101" s="52">
        <f t="shared" ca="1" si="19"/>
        <v>144.81037924151696</v>
      </c>
      <c r="L101" s="53">
        <f t="shared" ca="1" si="20"/>
        <v>214285.71428571426</v>
      </c>
    </row>
    <row r="102" spans="1:12" x14ac:dyDescent="0.45">
      <c r="A102" s="50" t="str">
        <f>IF(ISBLANK(Data!C102),"",Data!C102)</f>
        <v>2930 Barnwood Xing, Duluth, GA 30097</v>
      </c>
      <c r="B102" s="50">
        <f>IFERROR(MATCH($A102,Data!$C:$C,0),"")</f>
        <v>102</v>
      </c>
      <c r="C102" s="82">
        <f t="shared" ca="1" si="12"/>
        <v>39619</v>
      </c>
      <c r="D102" s="51">
        <f t="shared" ca="1" si="21"/>
        <v>164.39467312348668</v>
      </c>
      <c r="E102" s="52">
        <f t="shared" ca="1" si="13"/>
        <v>99.63680387409201</v>
      </c>
      <c r="F102" s="53">
        <f t="shared" ca="1" si="14"/>
        <v>199999.99999999997</v>
      </c>
      <c r="G102" s="52">
        <f t="shared" ca="1" si="15"/>
        <v>110.16949152542372</v>
      </c>
      <c r="H102" s="53">
        <f t="shared" ca="1" si="16"/>
        <v>214285.71428571426</v>
      </c>
      <c r="I102" s="52">
        <f t="shared" ca="1" si="17"/>
        <v>127.11864406779661</v>
      </c>
      <c r="J102" s="53">
        <f t="shared" ca="1" si="18"/>
        <v>214285.71428571426</v>
      </c>
      <c r="K102" s="52">
        <f t="shared" ca="1" si="19"/>
        <v>141.52542372881356</v>
      </c>
      <c r="L102" s="53">
        <f t="shared" ca="1" si="20"/>
        <v>214285.71428571426</v>
      </c>
    </row>
    <row r="103" spans="1:12" x14ac:dyDescent="0.45">
      <c r="A103" s="50" t="str">
        <f>IF(ISBLANK(Data!C103),"",Data!C103)</f>
        <v>2940 Barnwood Xing, Duluth, GA 30097</v>
      </c>
      <c r="B103" s="50">
        <f>IFERROR(MATCH($A103,Data!$C:$C,0),"")</f>
        <v>103</v>
      </c>
      <c r="C103" s="82">
        <f t="shared" ca="1" si="12"/>
        <v>41934</v>
      </c>
      <c r="D103" s="51">
        <f t="shared" ca="1" si="21"/>
        <v>115.06622516556291</v>
      </c>
      <c r="E103" s="52">
        <f t="shared" ca="1" si="13"/>
        <v>102.64900662251655</v>
      </c>
      <c r="F103" s="53">
        <f t="shared" ca="1" si="14"/>
        <v>199999.99999999997</v>
      </c>
      <c r="G103" s="52">
        <f t="shared" ca="1" si="15"/>
        <v>100.99337748344371</v>
      </c>
      <c r="H103" s="53">
        <f t="shared" ca="1" si="16"/>
        <v>214285.71428571426</v>
      </c>
      <c r="I103" s="52">
        <f t="shared" ca="1" si="17"/>
        <v>100.99337748344371</v>
      </c>
      <c r="J103" s="53">
        <f t="shared" ca="1" si="18"/>
        <v>214285.71428571426</v>
      </c>
      <c r="K103" s="52">
        <f t="shared" ca="1" si="19"/>
        <v>148.17880794701986</v>
      </c>
      <c r="L103" s="53">
        <f t="shared" ca="1" si="20"/>
        <v>214285.71428571426</v>
      </c>
    </row>
    <row r="104" spans="1:12" x14ac:dyDescent="0.45">
      <c r="A104" s="50" t="str">
        <f>IF(ISBLANK(Data!C104),"",Data!C104)</f>
        <v>2950 Barnwood Xing, Duluth, GA 30097</v>
      </c>
      <c r="B104" s="50">
        <f>IFERROR(MATCH($A104,Data!$C:$C,0),"")</f>
        <v>104</v>
      </c>
      <c r="C104" s="82">
        <f t="shared" ca="1" si="12"/>
        <v>42026</v>
      </c>
      <c r="D104" s="51">
        <f t="shared" ca="1" si="21"/>
        <v>121.55963302752293</v>
      </c>
      <c r="E104" s="52">
        <f t="shared" ca="1" si="13"/>
        <v>95.871559633027516</v>
      </c>
      <c r="F104" s="53">
        <f t="shared" ca="1" si="14"/>
        <v>175000</v>
      </c>
      <c r="G104" s="52">
        <f t="shared" ca="1" si="15"/>
        <v>105.3211009174312</v>
      </c>
      <c r="H104" s="53">
        <f t="shared" ca="1" si="16"/>
        <v>187500</v>
      </c>
      <c r="I104" s="52">
        <f t="shared" ca="1" si="17"/>
        <v>121.46788990825688</v>
      </c>
      <c r="J104" s="53">
        <f t="shared" ca="1" si="18"/>
        <v>187500</v>
      </c>
      <c r="K104" s="52">
        <f t="shared" ca="1" si="19"/>
        <v>138.89908256880733</v>
      </c>
      <c r="L104" s="53">
        <f t="shared" ca="1" si="20"/>
        <v>187500</v>
      </c>
    </row>
    <row r="105" spans="1:12" x14ac:dyDescent="0.45">
      <c r="A105" s="50" t="str">
        <f>IF(ISBLANK(Data!C105),"",Data!C105)</f>
        <v>2960 Barnwood Xing, Duluth, GA 30097</v>
      </c>
      <c r="B105" s="50">
        <f>IFERROR(MATCH($A105,Data!$C:$C,0),"")</f>
        <v>105</v>
      </c>
      <c r="C105" s="82">
        <f t="shared" ca="1" si="12"/>
        <v>36132</v>
      </c>
      <c r="D105" s="51">
        <f t="shared" ca="1" si="21"/>
        <v>86.974110032362461</v>
      </c>
      <c r="E105" s="52">
        <f t="shared" ca="1" si="13"/>
        <v>111.24595469255664</v>
      </c>
      <c r="F105" s="53">
        <f t="shared" ca="1" si="14"/>
        <v>121739.13043478261</v>
      </c>
      <c r="G105" s="52">
        <f t="shared" ca="1" si="15"/>
        <v>121.44012944983818</v>
      </c>
      <c r="H105" s="53">
        <f t="shared" ca="1" si="16"/>
        <v>130434.78260869565</v>
      </c>
      <c r="I105" s="52">
        <f t="shared" ca="1" si="17"/>
        <v>140.04854368932038</v>
      </c>
      <c r="J105" s="53">
        <f t="shared" ca="1" si="18"/>
        <v>130434.78260869565</v>
      </c>
      <c r="K105" s="52">
        <f t="shared" ca="1" si="19"/>
        <v>117.31391585760518</v>
      </c>
      <c r="L105" s="53">
        <f t="shared" ca="1" si="20"/>
        <v>130434.78260869565</v>
      </c>
    </row>
    <row r="106" spans="1:12" x14ac:dyDescent="0.45">
      <c r="A106" s="50" t="str">
        <f>IF(ISBLANK(Data!C106),"",Data!C106)</f>
        <v>2970 Barnwood Xing, Duluth, GA 30097</v>
      </c>
      <c r="B106" s="50">
        <f>IFERROR(MATCH($A106,Data!$C:$C,0),"")</f>
        <v>106</v>
      </c>
      <c r="C106" s="82">
        <f t="shared" ca="1" si="12"/>
        <v>33967</v>
      </c>
      <c r="D106" s="51">
        <f t="shared" ca="1" si="21"/>
        <v>65.092748735244513</v>
      </c>
      <c r="E106" s="52">
        <f t="shared" ca="1" si="13"/>
        <v>89.544688026981447</v>
      </c>
      <c r="F106" s="53">
        <f t="shared" ca="1" si="14"/>
        <v>164705.88235294117</v>
      </c>
      <c r="G106" s="52">
        <f t="shared" ca="1" si="15"/>
        <v>97.807757166947724</v>
      </c>
      <c r="H106" s="53">
        <f t="shared" ca="1" si="16"/>
        <v>176470.5882352941</v>
      </c>
      <c r="I106" s="52">
        <f t="shared" ca="1" si="17"/>
        <v>112.81618887015178</v>
      </c>
      <c r="J106" s="53">
        <f t="shared" ca="1" si="18"/>
        <v>176470.5882352941</v>
      </c>
      <c r="K106" s="52">
        <f t="shared" ca="1" si="19"/>
        <v>131.36593591905566</v>
      </c>
      <c r="L106" s="53">
        <f t="shared" ca="1" si="20"/>
        <v>176470.5882352941</v>
      </c>
    </row>
    <row r="107" spans="1:12" x14ac:dyDescent="0.45">
      <c r="A107" s="50" t="str">
        <f>IF(ISBLANK(Data!C107),"",Data!C107)</f>
        <v>2980 Barnwood Xing, Duluth, GA 30097</v>
      </c>
      <c r="B107" s="50">
        <f>IFERROR(MATCH($A107,Data!$C:$C,0),"")</f>
        <v>107</v>
      </c>
      <c r="C107" s="82">
        <f t="shared" ca="1" si="12"/>
        <v>41635</v>
      </c>
      <c r="D107" s="51">
        <f t="shared" ca="1" si="21"/>
        <v>91.966173361522195</v>
      </c>
      <c r="E107" s="52">
        <f t="shared" ca="1" si="13"/>
        <v>103.06553911205074</v>
      </c>
      <c r="F107" s="53">
        <f t="shared" ca="1" si="14"/>
        <v>254545.45454545456</v>
      </c>
      <c r="G107" s="52">
        <f t="shared" ca="1" si="15"/>
        <v>112.47357293868922</v>
      </c>
      <c r="H107" s="53">
        <f t="shared" ca="1" si="16"/>
        <v>272727.27272727271</v>
      </c>
      <c r="I107" s="52">
        <f t="shared" ca="1" si="17"/>
        <v>129.80972515856237</v>
      </c>
      <c r="J107" s="53">
        <f t="shared" ca="1" si="18"/>
        <v>272727.27272727271</v>
      </c>
      <c r="K107" s="52">
        <f t="shared" ca="1" si="19"/>
        <v>147.56871035940804</v>
      </c>
      <c r="L107" s="53">
        <f t="shared" ca="1" si="20"/>
        <v>272727.27272727271</v>
      </c>
    </row>
    <row r="108" spans="1:12" x14ac:dyDescent="0.45">
      <c r="A108" s="50" t="str">
        <f>IF(ISBLANK(Data!C108),"",Data!C108)</f>
        <v>2990 Barnwood Xing, Duluth, GA 30097</v>
      </c>
      <c r="B108" s="50">
        <f>IFERROR(MATCH($A108,Data!$C:$C,0),"")</f>
        <v>108</v>
      </c>
      <c r="C108" s="82">
        <f t="shared" ca="1" si="12"/>
        <v>42886</v>
      </c>
      <c r="D108" s="51">
        <f t="shared" ca="1" si="21"/>
        <v>129.77707006369425</v>
      </c>
      <c r="E108" s="52">
        <f t="shared" ca="1" si="13"/>
        <v>104.29936305732484</v>
      </c>
      <c r="F108" s="53">
        <f t="shared" ca="1" si="14"/>
        <v>280000</v>
      </c>
      <c r="G108" s="52">
        <f t="shared" ca="1" si="15"/>
        <v>113.85350318471338</v>
      </c>
      <c r="H108" s="53">
        <f t="shared" ca="1" si="16"/>
        <v>300000</v>
      </c>
      <c r="I108" s="52">
        <f t="shared" ca="1" si="17"/>
        <v>105.89171974522293</v>
      </c>
      <c r="J108" s="53">
        <f t="shared" ca="1" si="18"/>
        <v>300000</v>
      </c>
      <c r="K108" s="52">
        <f t="shared" ca="1" si="19"/>
        <v>145.46178343949043</v>
      </c>
      <c r="L108" s="53">
        <f t="shared" ca="1" si="20"/>
        <v>300000</v>
      </c>
    </row>
    <row r="109" spans="1:12" x14ac:dyDescent="0.45">
      <c r="A109" s="50" t="str">
        <f>IF(ISBLANK(Data!C109),"",Data!C109)</f>
        <v>3000 Barnwood Xing, Duluth, GA 30097</v>
      </c>
      <c r="B109" s="50">
        <f>IFERROR(MATCH($A109,Data!$C:$C,0),"")</f>
        <v>109</v>
      </c>
      <c r="C109" s="82">
        <f t="shared" ca="1" si="12"/>
        <v>38992</v>
      </c>
      <c r="D109" s="51">
        <f t="shared" ca="1" si="21"/>
        <v>135.32110091743118</v>
      </c>
      <c r="E109" s="52">
        <f t="shared" ca="1" si="13"/>
        <v>96.055045871559628</v>
      </c>
      <c r="F109" s="53">
        <f t="shared" ca="1" si="14"/>
        <v>254545.45454545456</v>
      </c>
      <c r="G109" s="52">
        <f t="shared" ca="1" si="15"/>
        <v>104.86238532110092</v>
      </c>
      <c r="H109" s="53">
        <f t="shared" ca="1" si="16"/>
        <v>272727.27272727271</v>
      </c>
      <c r="I109" s="52">
        <f t="shared" ca="1" si="17"/>
        <v>120.91743119266054</v>
      </c>
      <c r="J109" s="53">
        <f t="shared" ca="1" si="18"/>
        <v>272727.27272727271</v>
      </c>
      <c r="K109" s="52">
        <f t="shared" ca="1" si="19"/>
        <v>138.62385321100916</v>
      </c>
      <c r="L109" s="53">
        <f t="shared" ca="1" si="20"/>
        <v>272727.27272727271</v>
      </c>
    </row>
    <row r="110" spans="1:12" x14ac:dyDescent="0.45">
      <c r="A110" s="50" t="str">
        <f>IF(ISBLANK(Data!C110),"",Data!C110)</f>
        <v>3005 Barnwood Xing, Duluth, GA 30097</v>
      </c>
      <c r="B110" s="50">
        <f>IFERROR(MATCH($A110,Data!$C:$C,0),"")</f>
        <v>110</v>
      </c>
      <c r="C110" s="82">
        <f t="shared" ca="1" si="12"/>
        <v>38166</v>
      </c>
      <c r="D110" s="51">
        <f t="shared" ca="1" si="21"/>
        <v>117.43630573248407</v>
      </c>
      <c r="E110" s="52">
        <f t="shared" ca="1" si="13"/>
        <v>126.59235668789809</v>
      </c>
      <c r="F110" s="53">
        <f t="shared" ca="1" si="14"/>
        <v>186666.66666666669</v>
      </c>
      <c r="G110" s="52">
        <f t="shared" ca="1" si="15"/>
        <v>114.3312101910828</v>
      </c>
      <c r="H110" s="53">
        <f t="shared" ca="1" si="16"/>
        <v>200000</v>
      </c>
      <c r="I110" s="52">
        <f t="shared" ca="1" si="17"/>
        <v>131.84713375796179</v>
      </c>
      <c r="J110" s="53">
        <f t="shared" ca="1" si="18"/>
        <v>200000</v>
      </c>
      <c r="K110" s="52">
        <f t="shared" ca="1" si="19"/>
        <v>145.93949044585986</v>
      </c>
      <c r="L110" s="53">
        <f t="shared" ca="1" si="20"/>
        <v>200000</v>
      </c>
    </row>
    <row r="111" spans="1:12" x14ac:dyDescent="0.45">
      <c r="A111" s="50" t="str">
        <f>IF(ISBLANK(Data!C111),"",Data!C111)</f>
        <v>3010 Barnwood Xing, Duluth, GA 30097</v>
      </c>
      <c r="B111" s="50">
        <f>IFERROR(MATCH($A111,Data!$C:$C,0),"")</f>
        <v>111</v>
      </c>
      <c r="C111" s="82">
        <f t="shared" ca="1" si="12"/>
        <v>36719</v>
      </c>
      <c r="D111" s="51">
        <f t="shared" ca="1" si="21"/>
        <v>97.133757961783445</v>
      </c>
      <c r="E111" s="52">
        <f t="shared" ca="1" si="13"/>
        <v>104.29936305732484</v>
      </c>
      <c r="F111" s="53">
        <f t="shared" ca="1" si="14"/>
        <v>254545.45454545456</v>
      </c>
      <c r="G111" s="52">
        <f t="shared" ca="1" si="15"/>
        <v>113.85350318471338</v>
      </c>
      <c r="H111" s="53">
        <f t="shared" ca="1" si="16"/>
        <v>272727.27272727271</v>
      </c>
      <c r="I111" s="52">
        <f t="shared" ca="1" si="17"/>
        <v>131.76751592356689</v>
      </c>
      <c r="J111" s="53">
        <f t="shared" ca="1" si="18"/>
        <v>272727.27272727271</v>
      </c>
      <c r="K111" s="52">
        <f t="shared" ca="1" si="19"/>
        <v>145.46178343949043</v>
      </c>
      <c r="L111" s="53">
        <f t="shared" ca="1" si="20"/>
        <v>272727.27272727271</v>
      </c>
    </row>
    <row r="112" spans="1:12" x14ac:dyDescent="0.45">
      <c r="A112" s="50" t="str">
        <f>IF(ISBLANK(Data!C112),"",Data!C112)</f>
        <v>3015 Barnwood Xing, Duluth, GA 30097</v>
      </c>
      <c r="B112" s="50">
        <f>IFERROR(MATCH($A112,Data!$C:$C,0),"")</f>
        <v>112</v>
      </c>
      <c r="C112" s="82">
        <f t="shared" ca="1" si="12"/>
        <v>42636</v>
      </c>
      <c r="D112" s="51">
        <f t="shared" ca="1" si="21"/>
        <v>167.7927927927928</v>
      </c>
      <c r="E112" s="52">
        <f t="shared" ca="1" si="13"/>
        <v>107.99549549549549</v>
      </c>
      <c r="F112" s="53">
        <f t="shared" ca="1" si="14"/>
        <v>280000</v>
      </c>
      <c r="G112" s="52">
        <f t="shared" ca="1" si="15"/>
        <v>117.9054054054054</v>
      </c>
      <c r="H112" s="53">
        <f t="shared" ca="1" si="16"/>
        <v>300000</v>
      </c>
      <c r="I112" s="52">
        <f t="shared" ca="1" si="17"/>
        <v>135.92342342342343</v>
      </c>
      <c r="J112" s="53">
        <f t="shared" ca="1" si="18"/>
        <v>300000</v>
      </c>
      <c r="K112" s="52">
        <f t="shared" ca="1" si="19"/>
        <v>154.05405405405406</v>
      </c>
      <c r="L112" s="53">
        <f t="shared" ca="1" si="20"/>
        <v>300000</v>
      </c>
    </row>
    <row r="113" spans="1:12" x14ac:dyDescent="0.45">
      <c r="A113" s="50" t="str">
        <f>IF(ISBLANK(Data!C113),"",Data!C113)</f>
        <v>3020 Barnwood Xing, Duluth, GA 30097</v>
      </c>
      <c r="B113" s="50">
        <f>IFERROR(MATCH($A113,Data!$C:$C,0),"")</f>
        <v>113</v>
      </c>
      <c r="C113" s="82">
        <f t="shared" ca="1" si="12"/>
        <v>41592</v>
      </c>
      <c r="D113" s="51">
        <f t="shared" ca="1" si="21"/>
        <v>118.60041194644697</v>
      </c>
      <c r="E113" s="52">
        <f t="shared" ca="1" si="13"/>
        <v>106.07621009268794</v>
      </c>
      <c r="F113" s="53">
        <f t="shared" ca="1" si="14"/>
        <v>254545.45454545456</v>
      </c>
      <c r="G113" s="52">
        <f t="shared" ca="1" si="15"/>
        <v>115.75695159629248</v>
      </c>
      <c r="H113" s="53">
        <f t="shared" ca="1" si="16"/>
        <v>272727.27272727271</v>
      </c>
      <c r="I113" s="52">
        <f t="shared" ca="1" si="17"/>
        <v>133.57363542739444</v>
      </c>
      <c r="J113" s="53">
        <f t="shared" ca="1" si="18"/>
        <v>272727.27272727271</v>
      </c>
      <c r="K113" s="52">
        <f t="shared" ca="1" si="19"/>
        <v>152.1112255406797</v>
      </c>
      <c r="L113" s="53">
        <f t="shared" ca="1" si="20"/>
        <v>272727.27272727271</v>
      </c>
    </row>
    <row r="114" spans="1:12" x14ac:dyDescent="0.45">
      <c r="A114" s="50" t="str">
        <f>IF(ISBLANK(Data!C114),"",Data!C114)</f>
        <v>3025 Barnwood Xing, Duluth, GA 30097</v>
      </c>
      <c r="B114" s="50">
        <f>IFERROR(MATCH($A114,Data!$C:$C,0),"")</f>
        <v>114</v>
      </c>
      <c r="C114" s="82">
        <f t="shared" ca="1" si="12"/>
        <v>38216</v>
      </c>
      <c r="D114" s="51">
        <f t="shared" ca="1" si="21"/>
        <v>107.85824345146379</v>
      </c>
      <c r="E114" s="52">
        <f t="shared" ca="1" si="13"/>
        <v>88.674884437596305</v>
      </c>
      <c r="F114" s="53">
        <f t="shared" ca="1" si="14"/>
        <v>280000</v>
      </c>
      <c r="G114" s="52">
        <f t="shared" ca="1" si="15"/>
        <v>109.47611710323575</v>
      </c>
      <c r="H114" s="53">
        <f t="shared" ca="1" si="16"/>
        <v>300000</v>
      </c>
      <c r="I114" s="52">
        <f t="shared" ca="1" si="17"/>
        <v>126.34822804314329</v>
      </c>
      <c r="J114" s="53">
        <f t="shared" ca="1" si="18"/>
        <v>300000</v>
      </c>
      <c r="K114" s="52">
        <f t="shared" ca="1" si="19"/>
        <v>135.9784283513097</v>
      </c>
      <c r="L114" s="53">
        <f t="shared" ca="1" si="20"/>
        <v>300000</v>
      </c>
    </row>
    <row r="115" spans="1:12" x14ac:dyDescent="0.45">
      <c r="A115" s="50" t="str">
        <f>IF(ISBLANK(Data!C115),"",Data!C115)</f>
        <v>3030 Barnwood Xing, Duluth, GA 30097</v>
      </c>
      <c r="B115" s="50">
        <f>IFERROR(MATCH($A115,Data!$C:$C,0),"")</f>
        <v>115</v>
      </c>
      <c r="C115" s="82">
        <f t="shared" ca="1" si="12"/>
        <v>40835</v>
      </c>
      <c r="D115" s="51">
        <f t="shared" ca="1" si="21"/>
        <v>59.027777777777779</v>
      </c>
      <c r="E115" s="52">
        <f t="shared" ca="1" si="13"/>
        <v>98.958333333333329</v>
      </c>
      <c r="F115" s="53">
        <f t="shared" ca="1" si="14"/>
        <v>254545.45454545456</v>
      </c>
      <c r="G115" s="52">
        <f t="shared" ca="1" si="15"/>
        <v>109.375</v>
      </c>
      <c r="H115" s="53">
        <f t="shared" ca="1" si="16"/>
        <v>272727.27272727271</v>
      </c>
      <c r="I115" s="52">
        <f t="shared" ca="1" si="17"/>
        <v>126.25</v>
      </c>
      <c r="J115" s="53">
        <f t="shared" ca="1" si="18"/>
        <v>272727.27272727271</v>
      </c>
      <c r="K115" s="52">
        <f t="shared" ca="1" si="19"/>
        <v>137.36111111111111</v>
      </c>
      <c r="L115" s="53">
        <f t="shared" ca="1" si="20"/>
        <v>272727.27272727271</v>
      </c>
    </row>
    <row r="116" spans="1:12" x14ac:dyDescent="0.45">
      <c r="A116" s="50" t="str">
        <f>IF(ISBLANK(Data!C116),"",Data!C116)</f>
        <v>3035 Barnwood Xing, Duluth, GA 30097</v>
      </c>
      <c r="B116" s="50">
        <f>IFERROR(MATCH($A116,Data!$C:$C,0),"")</f>
        <v>116</v>
      </c>
      <c r="C116" s="82">
        <f t="shared" ca="1" si="12"/>
        <v>42123</v>
      </c>
      <c r="D116" s="51">
        <f t="shared" ca="1" si="21"/>
        <v>104.59183673469387</v>
      </c>
      <c r="E116" s="52">
        <f t="shared" ca="1" si="13"/>
        <v>80.782312925170075</v>
      </c>
      <c r="F116" s="53">
        <f t="shared" ca="1" si="14"/>
        <v>254545.45454545456</v>
      </c>
      <c r="G116" s="52">
        <f t="shared" ca="1" si="15"/>
        <v>106.29251700680273</v>
      </c>
      <c r="H116" s="53">
        <f t="shared" ca="1" si="16"/>
        <v>272727.27272727271</v>
      </c>
      <c r="I116" s="52">
        <f t="shared" ca="1" si="17"/>
        <v>122.70408163265306</v>
      </c>
      <c r="J116" s="53">
        <f t="shared" ca="1" si="18"/>
        <v>272727.27272727271</v>
      </c>
      <c r="K116" s="52">
        <f t="shared" ca="1" si="19"/>
        <v>139.62585034013605</v>
      </c>
      <c r="L116" s="53">
        <f t="shared" ca="1" si="20"/>
        <v>272727.27272727271</v>
      </c>
    </row>
    <row r="117" spans="1:12" x14ac:dyDescent="0.45">
      <c r="A117" s="50" t="str">
        <f>IF(ISBLANK(Data!C117),"",Data!C117)</f>
        <v>3040 Barnwood Xing, Duluth, GA 30097</v>
      </c>
      <c r="B117" s="50">
        <f>IFERROR(MATCH($A117,Data!$C:$C,0),"")</f>
        <v>117</v>
      </c>
      <c r="C117" s="82">
        <f t="shared" ca="1" si="12"/>
        <v>41365</v>
      </c>
      <c r="D117" s="51">
        <f t="shared" ca="1" si="21"/>
        <v>77.2399588053553</v>
      </c>
      <c r="E117" s="52">
        <f t="shared" ca="1" si="13"/>
        <v>113.38825952626159</v>
      </c>
      <c r="F117" s="53">
        <f t="shared" ca="1" si="14"/>
        <v>254545.45454545456</v>
      </c>
      <c r="G117" s="52">
        <f t="shared" ca="1" si="15"/>
        <v>122.86302780638518</v>
      </c>
      <c r="H117" s="53">
        <f t="shared" ca="1" si="16"/>
        <v>272727.27272727271</v>
      </c>
      <c r="I117" s="52">
        <f t="shared" ca="1" si="17"/>
        <v>140.06179196704429</v>
      </c>
      <c r="J117" s="53">
        <f t="shared" ca="1" si="18"/>
        <v>272727.27272727271</v>
      </c>
      <c r="K117" s="52">
        <f t="shared" ca="1" si="19"/>
        <v>161.48300720906283</v>
      </c>
      <c r="L117" s="53">
        <f t="shared" ca="1" si="20"/>
        <v>272727.27272727271</v>
      </c>
    </row>
    <row r="118" spans="1:12" x14ac:dyDescent="0.45">
      <c r="A118" s="50" t="str">
        <f>IF(ISBLANK(Data!C118),"",Data!C118)</f>
        <v>3045 Barnwood Xing, Duluth, GA 30097</v>
      </c>
      <c r="B118" s="50">
        <f>IFERROR(MATCH($A118,Data!$C:$C,0),"")</f>
        <v>118</v>
      </c>
      <c r="C118" s="82">
        <f t="shared" ca="1" si="12"/>
        <v>35811</v>
      </c>
      <c r="D118" s="51">
        <f t="shared" ca="1" si="21"/>
        <v>93.468468468468473</v>
      </c>
      <c r="E118" s="52">
        <f t="shared" ca="1" si="13"/>
        <v>100.67567567567568</v>
      </c>
      <c r="F118" s="53">
        <f t="shared" ca="1" si="14"/>
        <v>254545.45454545456</v>
      </c>
      <c r="G118" s="52">
        <f t="shared" ca="1" si="15"/>
        <v>111.37387387387388</v>
      </c>
      <c r="H118" s="53">
        <f t="shared" ca="1" si="16"/>
        <v>272727.27272727271</v>
      </c>
      <c r="I118" s="52">
        <f t="shared" ca="1" si="17"/>
        <v>128.49099099099098</v>
      </c>
      <c r="J118" s="53">
        <f t="shared" ca="1" si="18"/>
        <v>272727.27272727271</v>
      </c>
      <c r="K118" s="52">
        <f t="shared" ca="1" si="19"/>
        <v>141.32882882882882</v>
      </c>
      <c r="L118" s="53">
        <f t="shared" ca="1" si="20"/>
        <v>272727.27272727271</v>
      </c>
    </row>
    <row r="119" spans="1:12" x14ac:dyDescent="0.45">
      <c r="A119" s="50" t="str">
        <f>IF(ISBLANK(Data!C119),"",Data!C119)</f>
        <v>3050 Barnwood Xing, Duluth, GA 30097</v>
      </c>
      <c r="B119" s="50">
        <f>IFERROR(MATCH($A119,Data!$C:$C,0),"")</f>
        <v>119</v>
      </c>
      <c r="C119" s="82">
        <f t="shared" ca="1" si="12"/>
        <v>43004</v>
      </c>
      <c r="D119" s="51">
        <f t="shared" ca="1" si="21"/>
        <v>138.02315227070346</v>
      </c>
      <c r="E119" s="52">
        <f t="shared" ca="1" si="13"/>
        <v>95.547640249332147</v>
      </c>
      <c r="F119" s="53">
        <f t="shared" ca="1" si="14"/>
        <v>280000</v>
      </c>
      <c r="G119" s="52">
        <f t="shared" ca="1" si="15"/>
        <v>104.3633125556545</v>
      </c>
      <c r="H119" s="53">
        <f t="shared" ca="1" si="16"/>
        <v>300000</v>
      </c>
      <c r="I119" s="52">
        <f t="shared" ca="1" si="17"/>
        <v>111.30899376669635</v>
      </c>
      <c r="J119" s="53">
        <f t="shared" ca="1" si="18"/>
        <v>300000</v>
      </c>
      <c r="K119" s="52">
        <f t="shared" ca="1" si="19"/>
        <v>138.11219946571683</v>
      </c>
      <c r="L119" s="53">
        <f t="shared" ca="1" si="20"/>
        <v>300000</v>
      </c>
    </row>
    <row r="120" spans="1:12" x14ac:dyDescent="0.45">
      <c r="A120" s="50" t="str">
        <f>IF(ISBLANK(Data!C120),"",Data!C120)</f>
        <v>3055 Barnwood Xing, Duluth, GA 30097</v>
      </c>
      <c r="B120" s="50">
        <f>IFERROR(MATCH($A120,Data!$C:$C,0),"")</f>
        <v>120</v>
      </c>
      <c r="C120" s="82">
        <f t="shared" ca="1" si="12"/>
        <v>39422</v>
      </c>
      <c r="D120" s="51">
        <f t="shared" ca="1" si="21"/>
        <v>130.60897435897436</v>
      </c>
      <c r="E120" s="52">
        <f t="shared" ca="1" si="13"/>
        <v>105.28846153846153</v>
      </c>
      <c r="F120" s="53">
        <f t="shared" ca="1" si="14"/>
        <v>254545.45454545456</v>
      </c>
      <c r="G120" s="52">
        <f t="shared" ca="1" si="15"/>
        <v>116.42628205128206</v>
      </c>
      <c r="H120" s="53">
        <f t="shared" ca="1" si="16"/>
        <v>272727.27272727271</v>
      </c>
      <c r="I120" s="52">
        <f t="shared" ca="1" si="17"/>
        <v>134.2948717948718</v>
      </c>
      <c r="J120" s="53">
        <f t="shared" ca="1" si="18"/>
        <v>272727.27272727271</v>
      </c>
      <c r="K120" s="52">
        <f t="shared" ca="1" si="19"/>
        <v>146.23397435897436</v>
      </c>
      <c r="L120" s="53">
        <f t="shared" ca="1" si="20"/>
        <v>272727.27272727271</v>
      </c>
    </row>
    <row r="121" spans="1:12" x14ac:dyDescent="0.45">
      <c r="A121" s="50" t="str">
        <f>IF(ISBLANK(Data!C121),"",Data!C121)</f>
        <v>3060 Barnwood Xing, Duluth, GA 30097</v>
      </c>
      <c r="B121" s="50">
        <f>IFERROR(MATCH($A121,Data!$C:$C,0),"")</f>
        <v>121</v>
      </c>
      <c r="C121" s="82">
        <f t="shared" ca="1" si="12"/>
        <v>39402</v>
      </c>
      <c r="D121" s="51">
        <f t="shared" ca="1" si="21"/>
        <v>115.34500514933059</v>
      </c>
      <c r="E121" s="52">
        <f t="shared" ca="1" si="13"/>
        <v>103.19258496395469</v>
      </c>
      <c r="F121" s="53">
        <f t="shared" ca="1" si="14"/>
        <v>254545.45454545456</v>
      </c>
      <c r="G121" s="52">
        <f t="shared" ca="1" si="15"/>
        <v>112.66735324407827</v>
      </c>
      <c r="H121" s="53">
        <f t="shared" ca="1" si="16"/>
        <v>272727.27272727271</v>
      </c>
      <c r="I121" s="52">
        <f t="shared" ca="1" si="17"/>
        <v>129.96910401647787</v>
      </c>
      <c r="J121" s="53">
        <f t="shared" ca="1" si="18"/>
        <v>272727.27272727271</v>
      </c>
      <c r="K121" s="52">
        <f t="shared" ca="1" si="19"/>
        <v>147.27085478887744</v>
      </c>
      <c r="L121" s="53">
        <f t="shared" ca="1" si="20"/>
        <v>272727.27272727271</v>
      </c>
    </row>
    <row r="122" spans="1:12" x14ac:dyDescent="0.45">
      <c r="A122" s="50" t="str">
        <f>IF(ISBLANK(Data!C122),"",Data!C122)</f>
        <v>3065 Barnwood Xing, Duluth, GA 30097</v>
      </c>
      <c r="B122" s="50">
        <f>IFERROR(MATCH($A122,Data!$C:$C,0),"")</f>
        <v>122</v>
      </c>
      <c r="C122" s="82">
        <f t="shared" ca="1" si="12"/>
        <v>42901</v>
      </c>
      <c r="D122" s="51">
        <f t="shared" ca="1" si="21"/>
        <v>178.22966507177034</v>
      </c>
      <c r="E122" s="52">
        <f t="shared" ca="1" si="13"/>
        <v>106.69856459330144</v>
      </c>
      <c r="F122" s="53">
        <f t="shared" ca="1" si="14"/>
        <v>233333.33333333334</v>
      </c>
      <c r="G122" s="52">
        <f t="shared" ca="1" si="15"/>
        <v>117.94258373205741</v>
      </c>
      <c r="H122" s="53">
        <f t="shared" ca="1" si="16"/>
        <v>250000</v>
      </c>
      <c r="I122" s="52">
        <f t="shared" ca="1" si="17"/>
        <v>136.1244019138756</v>
      </c>
      <c r="J122" s="53">
        <f t="shared" ca="1" si="18"/>
        <v>250000</v>
      </c>
      <c r="K122" s="52">
        <f t="shared" ca="1" si="19"/>
        <v>153.94736842105263</v>
      </c>
      <c r="L122" s="53">
        <f t="shared" ca="1" si="20"/>
        <v>250000</v>
      </c>
    </row>
    <row r="123" spans="1:12" x14ac:dyDescent="0.45">
      <c r="A123" s="50" t="str">
        <f>IF(ISBLANK(Data!C123),"",Data!C123)</f>
        <v>3070 Barnwood Xing, Duluth, GA 30097</v>
      </c>
      <c r="B123" s="50">
        <f>IFERROR(MATCH($A123,Data!$C:$C,0),"")</f>
        <v>123</v>
      </c>
      <c r="C123" s="82">
        <f t="shared" ca="1" si="12"/>
        <v>41745</v>
      </c>
      <c r="D123" s="51">
        <f t="shared" ca="1" si="21"/>
        <v>127.74122807017544</v>
      </c>
      <c r="E123" s="52">
        <f t="shared" ca="1" si="13"/>
        <v>106.46929824561404</v>
      </c>
      <c r="F123" s="53">
        <f t="shared" ca="1" si="14"/>
        <v>254545.45454545456</v>
      </c>
      <c r="G123" s="52">
        <f t="shared" ca="1" si="15"/>
        <v>117.76315789473684</v>
      </c>
      <c r="H123" s="53">
        <f t="shared" ca="1" si="16"/>
        <v>272727.27272727271</v>
      </c>
      <c r="I123" s="52">
        <f t="shared" ca="1" si="17"/>
        <v>135.85526315789474</v>
      </c>
      <c r="J123" s="53">
        <f t="shared" ca="1" si="18"/>
        <v>272727.27272727271</v>
      </c>
      <c r="K123" s="52">
        <f t="shared" ca="1" si="19"/>
        <v>151.97368421052633</v>
      </c>
      <c r="L123" s="53">
        <f t="shared" ca="1" si="20"/>
        <v>272727.27272727271</v>
      </c>
    </row>
    <row r="124" spans="1:12" x14ac:dyDescent="0.45">
      <c r="A124" s="50" t="str">
        <f>IF(ISBLANK(Data!C124),"",Data!C124)</f>
        <v>3075 Barnwood Xing, Duluth, GA 30097</v>
      </c>
      <c r="B124" s="50">
        <f>IFERROR(MATCH($A124,Data!$C:$C,0),"")</f>
        <v>124</v>
      </c>
      <c r="C124" s="82">
        <f t="shared" ca="1" si="12"/>
        <v>39217</v>
      </c>
      <c r="D124" s="51">
        <f t="shared" ca="1" si="21"/>
        <v>160.6030701754386</v>
      </c>
      <c r="E124" s="52">
        <f t="shared" ca="1" si="13"/>
        <v>107.45614035087719</v>
      </c>
      <c r="F124" s="53">
        <f t="shared" ca="1" si="14"/>
        <v>233333.33333333334</v>
      </c>
      <c r="G124" s="52">
        <f t="shared" ca="1" si="15"/>
        <v>117.32456140350877</v>
      </c>
      <c r="H124" s="53">
        <f t="shared" ca="1" si="16"/>
        <v>250000</v>
      </c>
      <c r="I124" s="52">
        <f t="shared" ca="1" si="17"/>
        <v>135.41666666666666</v>
      </c>
      <c r="J124" s="53">
        <f t="shared" ca="1" si="18"/>
        <v>250000</v>
      </c>
      <c r="K124" s="52">
        <f t="shared" ca="1" si="19"/>
        <v>153.61842105263159</v>
      </c>
      <c r="L124" s="53">
        <f t="shared" ca="1" si="20"/>
        <v>250000</v>
      </c>
    </row>
    <row r="125" spans="1:12" x14ac:dyDescent="0.45">
      <c r="A125" s="50" t="str">
        <f>IF(ISBLANK(Data!C125),"",Data!C125)</f>
        <v>3080 Barnwood Xing, Duluth, GA 30097</v>
      </c>
      <c r="B125" s="50">
        <f>IFERROR(MATCH($A125,Data!$C:$C,0),"")</f>
        <v>125</v>
      </c>
      <c r="C125" s="82">
        <f t="shared" ca="1" si="12"/>
        <v>43165</v>
      </c>
      <c r="D125" s="51">
        <f t="shared" ca="1" si="21"/>
        <v>108.95721925133689</v>
      </c>
      <c r="E125" s="52">
        <f t="shared" ca="1" si="13"/>
        <v>97.860962566844918</v>
      </c>
      <c r="F125" s="53">
        <f t="shared" ca="1" si="14"/>
        <v>254545.45454545456</v>
      </c>
      <c r="G125" s="52">
        <f t="shared" ca="1" si="15"/>
        <v>126.93850267379679</v>
      </c>
      <c r="H125" s="53">
        <f t="shared" ca="1" si="16"/>
        <v>272727.27272727271</v>
      </c>
      <c r="I125" s="52">
        <f t="shared" ca="1" si="17"/>
        <v>123.2620320855615</v>
      </c>
      <c r="J125" s="53">
        <f t="shared" ca="1" si="18"/>
        <v>272727.27272727271</v>
      </c>
      <c r="K125" s="52">
        <f t="shared" ca="1" si="19"/>
        <v>88.903743315508024</v>
      </c>
      <c r="L125" s="53">
        <f t="shared" ca="1" si="20"/>
        <v>272727.27272727271</v>
      </c>
    </row>
    <row r="126" spans="1:12" x14ac:dyDescent="0.45">
      <c r="A126" s="50" t="str">
        <f>IF(ISBLANK(Data!C126),"",Data!C126)</f>
        <v>3085 Barnwood Xing, Duluth, GA 30097</v>
      </c>
      <c r="B126" s="50">
        <f>IFERROR(MATCH($A126,Data!$C:$C,0),"")</f>
        <v>126</v>
      </c>
      <c r="C126" s="82">
        <f t="shared" ca="1" si="12"/>
        <v>41530</v>
      </c>
      <c r="D126" s="51">
        <f t="shared" ca="1" si="21"/>
        <v>123.65269461077844</v>
      </c>
      <c r="E126" s="52">
        <f t="shared" ca="1" si="13"/>
        <v>102.09580838323353</v>
      </c>
      <c r="F126" s="53">
        <f t="shared" ca="1" si="14"/>
        <v>215384.61538461538</v>
      </c>
      <c r="G126" s="52">
        <f t="shared" ca="1" si="15"/>
        <v>112.77445109780439</v>
      </c>
      <c r="H126" s="53">
        <f t="shared" ca="1" si="16"/>
        <v>230769.23076923075</v>
      </c>
      <c r="I126" s="52">
        <f t="shared" ca="1" si="17"/>
        <v>130.03992015968063</v>
      </c>
      <c r="J126" s="53">
        <f t="shared" ca="1" si="18"/>
        <v>230769.23076923075</v>
      </c>
      <c r="K126" s="52">
        <f t="shared" ca="1" si="19"/>
        <v>145.80838323353294</v>
      </c>
      <c r="L126" s="53">
        <f t="shared" ca="1" si="20"/>
        <v>230769.23076923075</v>
      </c>
    </row>
    <row r="127" spans="1:12" x14ac:dyDescent="0.45">
      <c r="A127" s="50" t="str">
        <f>IF(ISBLANK(Data!C127),"",Data!C127)</f>
        <v>3090 Barnwood Xing, Duluth, GA 30097</v>
      </c>
      <c r="B127" s="50">
        <f>IFERROR(MATCH($A127,Data!$C:$C,0),"")</f>
        <v>127</v>
      </c>
      <c r="C127" s="82">
        <f t="shared" ca="1" si="12"/>
        <v>40007</v>
      </c>
      <c r="D127" s="51">
        <f t="shared" ca="1" si="21"/>
        <v>115.42792792792793</v>
      </c>
      <c r="E127" s="52">
        <f t="shared" ca="1" si="13"/>
        <v>109.79729729729729</v>
      </c>
      <c r="F127" s="53">
        <f t="shared" ca="1" si="14"/>
        <v>254545.45454545456</v>
      </c>
      <c r="G127" s="52">
        <f t="shared" ca="1" si="15"/>
        <v>119.93243243243244</v>
      </c>
      <c r="H127" s="53">
        <f t="shared" ca="1" si="16"/>
        <v>272727.27272727271</v>
      </c>
      <c r="I127" s="52">
        <f t="shared" ca="1" si="17"/>
        <v>138.2882882882883</v>
      </c>
      <c r="J127" s="53">
        <f t="shared" ca="1" si="18"/>
        <v>272727.27272727271</v>
      </c>
      <c r="K127" s="52">
        <f t="shared" ca="1" si="19"/>
        <v>156.64414414414415</v>
      </c>
      <c r="L127" s="53">
        <f t="shared" ca="1" si="20"/>
        <v>272727.27272727271</v>
      </c>
    </row>
    <row r="128" spans="1:12" x14ac:dyDescent="0.45">
      <c r="A128" s="50" t="str">
        <f>IF(ISBLANK(Data!C128),"",Data!C128)</f>
        <v>3095 Barnwood Xing, Duluth, GA 30097</v>
      </c>
      <c r="B128" s="50">
        <f>IFERROR(MATCH($A128,Data!$C:$C,0),"")</f>
        <v>128</v>
      </c>
      <c r="C128" s="82">
        <f t="shared" ca="1" si="12"/>
        <v>42769</v>
      </c>
      <c r="D128" s="51">
        <f t="shared" ca="1" si="21"/>
        <v>130.0978792822186</v>
      </c>
      <c r="E128" s="52">
        <f t="shared" ca="1" si="13"/>
        <v>89.314845024469818</v>
      </c>
      <c r="F128" s="53">
        <f t="shared" ca="1" si="14"/>
        <v>215384.61538461538</v>
      </c>
      <c r="G128" s="52">
        <f t="shared" ca="1" si="15"/>
        <v>98.694942903752036</v>
      </c>
      <c r="H128" s="53">
        <f t="shared" ca="1" si="16"/>
        <v>230769.23076923075</v>
      </c>
      <c r="I128" s="52">
        <f t="shared" ca="1" si="17"/>
        <v>105.62805872756933</v>
      </c>
      <c r="J128" s="53">
        <f t="shared" ca="1" si="18"/>
        <v>230769.23076923075</v>
      </c>
      <c r="K128" s="52">
        <f t="shared" ca="1" si="19"/>
        <v>129.7716150081566</v>
      </c>
      <c r="L128" s="53">
        <f t="shared" ca="1" si="20"/>
        <v>230769.23076923075</v>
      </c>
    </row>
    <row r="129" spans="1:12" x14ac:dyDescent="0.45">
      <c r="A129" s="50" t="str">
        <f>IF(ISBLANK(Data!C129),"",Data!C129)</f>
        <v>3100 Barnwood Xing, Duluth, GA 30097</v>
      </c>
      <c r="B129" s="50">
        <f>IFERROR(MATCH($A129,Data!$C:$C,0),"")</f>
        <v>129</v>
      </c>
      <c r="C129" s="82">
        <f t="shared" ca="1" si="12"/>
        <v>34057</v>
      </c>
      <c r="D129" s="51">
        <f t="shared" ca="1" si="21"/>
        <v>81.339712918660283</v>
      </c>
      <c r="E129" s="52">
        <f t="shared" ca="1" si="13"/>
        <v>100.59808612440192</v>
      </c>
      <c r="F129" s="53">
        <f t="shared" ca="1" si="14"/>
        <v>311111.11111111112</v>
      </c>
      <c r="G129" s="52">
        <f t="shared" ca="1" si="15"/>
        <v>111.24401913875599</v>
      </c>
      <c r="H129" s="53">
        <f t="shared" ca="1" si="16"/>
        <v>333333.33333333337</v>
      </c>
      <c r="I129" s="52">
        <f t="shared" ca="1" si="17"/>
        <v>128.34928229665073</v>
      </c>
      <c r="J129" s="53">
        <f t="shared" ca="1" si="18"/>
        <v>333333.33333333337</v>
      </c>
      <c r="K129" s="52">
        <f t="shared" ca="1" si="19"/>
        <v>143.0622009569378</v>
      </c>
      <c r="L129" s="53">
        <f t="shared" ca="1" si="20"/>
        <v>333333.33333333337</v>
      </c>
    </row>
    <row r="130" spans="1:12" x14ac:dyDescent="0.45">
      <c r="A130" s="50" t="str">
        <f>IF(ISBLANK(Data!C130),"",Data!C130)</f>
        <v>3105 Barnwood Xing, Duluth, GA 30097</v>
      </c>
      <c r="B130" s="50">
        <f>IFERROR(MATCH($A130,Data!$C:$C,0),"")</f>
        <v>130</v>
      </c>
      <c r="C130" s="82">
        <f t="shared" ca="1" si="12"/>
        <v>39010</v>
      </c>
      <c r="D130" s="51">
        <f t="shared" ca="1" si="21"/>
        <v>120.98138747884941</v>
      </c>
      <c r="E130" s="52">
        <f t="shared" ca="1" si="13"/>
        <v>92.216582064297796</v>
      </c>
      <c r="F130" s="53">
        <f t="shared" ca="1" si="14"/>
        <v>127272.72727272728</v>
      </c>
      <c r="G130" s="52">
        <f t="shared" ca="1" si="15"/>
        <v>100.5922165820643</v>
      </c>
      <c r="H130" s="53">
        <f t="shared" ca="1" si="16"/>
        <v>136363.63636363635</v>
      </c>
      <c r="I130" s="52">
        <f t="shared" ca="1" si="17"/>
        <v>116.07445008460238</v>
      </c>
      <c r="J130" s="53">
        <f t="shared" ca="1" si="18"/>
        <v>136363.63636363635</v>
      </c>
      <c r="K130" s="52">
        <f t="shared" ca="1" si="19"/>
        <v>135.0253807106599</v>
      </c>
      <c r="L130" s="53">
        <f t="shared" ca="1" si="20"/>
        <v>136363.63636363635</v>
      </c>
    </row>
    <row r="131" spans="1:12" x14ac:dyDescent="0.45">
      <c r="A131" s="50" t="str">
        <f>IF(ISBLANK(Data!C131),"",Data!C131)</f>
        <v>3110 Barnwood Xing, Duluth, GA 30097</v>
      </c>
      <c r="B131" s="50">
        <f>IFERROR(MATCH($A131,Data!$C:$C,0),"")</f>
        <v>131</v>
      </c>
      <c r="C131" s="82">
        <f t="shared" ca="1" si="12"/>
        <v>42664</v>
      </c>
      <c r="D131" s="51">
        <f t="shared" ca="1" si="21"/>
        <v>140.26915113871635</v>
      </c>
      <c r="E131" s="52">
        <f t="shared" ca="1" si="13"/>
        <v>95.134575569358176</v>
      </c>
      <c r="F131" s="53">
        <f t="shared" ca="1" si="14"/>
        <v>199999.99999999997</v>
      </c>
      <c r="G131" s="52">
        <f t="shared" ca="1" si="15"/>
        <v>109.21325051759834</v>
      </c>
      <c r="H131" s="53">
        <f t="shared" ca="1" si="16"/>
        <v>214285.71428571426</v>
      </c>
      <c r="I131" s="52">
        <f t="shared" ca="1" si="17"/>
        <v>139.85507246376812</v>
      </c>
      <c r="J131" s="53">
        <f t="shared" ca="1" si="18"/>
        <v>214285.71428571426</v>
      </c>
      <c r="K131" s="52">
        <f t="shared" ca="1" si="19"/>
        <v>158.79917184265011</v>
      </c>
      <c r="L131" s="53">
        <f t="shared" ca="1" si="20"/>
        <v>214285.71428571426</v>
      </c>
    </row>
    <row r="132" spans="1:12" x14ac:dyDescent="0.45">
      <c r="A132" s="50" t="str">
        <f>IF(ISBLANK(Data!C132),"",Data!C132)</f>
        <v>3115 Barnwood Xing, Duluth, GA 30097</v>
      </c>
      <c r="B132" s="50">
        <f>IFERROR(MATCH($A132,Data!$C:$C,0),"")</f>
        <v>132</v>
      </c>
      <c r="C132" s="82">
        <f t="shared" ca="1" si="12"/>
        <v>41750</v>
      </c>
      <c r="D132" s="51">
        <f t="shared" ca="1" si="21"/>
        <v>108.85761589403974</v>
      </c>
      <c r="E132" s="52">
        <f t="shared" ca="1" si="13"/>
        <v>106.20860927152317</v>
      </c>
      <c r="F132" s="53">
        <f t="shared" ca="1" si="14"/>
        <v>233333.33333333334</v>
      </c>
      <c r="G132" s="52">
        <f t="shared" ca="1" si="15"/>
        <v>111.17549668874172</v>
      </c>
      <c r="H132" s="53">
        <f t="shared" ca="1" si="16"/>
        <v>250000</v>
      </c>
      <c r="I132" s="52">
        <f t="shared" ca="1" si="17"/>
        <v>111.17549668874172</v>
      </c>
      <c r="J132" s="53">
        <f t="shared" ca="1" si="18"/>
        <v>250000</v>
      </c>
      <c r="K132" s="52">
        <f t="shared" ca="1" si="19"/>
        <v>111.17549668874172</v>
      </c>
      <c r="L132" s="53">
        <f t="shared" ca="1" si="20"/>
        <v>250000</v>
      </c>
    </row>
    <row r="133" spans="1:12" x14ac:dyDescent="0.45">
      <c r="A133" s="50" t="str">
        <f>IF(ISBLANK(Data!C133),"",Data!C133)</f>
        <v>3120 Barnwood Xing, Duluth, GA 30097</v>
      </c>
      <c r="B133" s="50">
        <f>IFERROR(MATCH($A133,Data!$C:$C,0),"")</f>
        <v>133</v>
      </c>
      <c r="C133" s="82">
        <f t="shared" ca="1" si="12"/>
        <v>34462</v>
      </c>
      <c r="D133" s="51">
        <f t="shared" ref="D133:D164" ca="1" si="22">IFERROR(INDIRECT("Data!$I"&amp;$B133)/INDIRECT("Data!$G"&amp;$B133),"")</f>
        <v>68.471337579617838</v>
      </c>
      <c r="E133" s="52">
        <f t="shared" ca="1" si="13"/>
        <v>104.29936305732484</v>
      </c>
      <c r="F133" s="53">
        <f t="shared" ca="1" si="14"/>
        <v>147368.42105263157</v>
      </c>
      <c r="G133" s="52">
        <f t="shared" ca="1" si="15"/>
        <v>113.85350318471338</v>
      </c>
      <c r="H133" s="53">
        <f t="shared" ca="1" si="16"/>
        <v>157894.73684210525</v>
      </c>
      <c r="I133" s="52">
        <f t="shared" ca="1" si="17"/>
        <v>131.36942675159236</v>
      </c>
      <c r="J133" s="53">
        <f t="shared" ca="1" si="18"/>
        <v>157894.73684210525</v>
      </c>
      <c r="K133" s="52">
        <f t="shared" ca="1" si="19"/>
        <v>145.46178343949043</v>
      </c>
      <c r="L133" s="53">
        <f t="shared" ca="1" si="20"/>
        <v>157894.73684210525</v>
      </c>
    </row>
    <row r="134" spans="1:12" x14ac:dyDescent="0.45">
      <c r="A134" s="50" t="str">
        <f>IF(ISBLANK(Data!C134),"",Data!C134)</f>
        <v>3125 Barnwood Xing, Duluth, GA 30097</v>
      </c>
      <c r="B134" s="50">
        <f>IFERROR(MATCH($A134,Data!$C:$C,0),"")</f>
        <v>134</v>
      </c>
      <c r="C134" s="82">
        <f t="shared" ref="C134:C185" ca="1" si="23">IFERROR(INDIRECT(CONCATENATE("Data!",SUBSTITUTE(ADDRESS(1,MATCH("Last Sold Date",INDIRECT("Data!3:3"),0),4),1,""))&amp;$B134),"")</f>
        <v>43299</v>
      </c>
      <c r="D134" s="51">
        <f t="shared" ca="1" si="22"/>
        <v>133.11688311688312</v>
      </c>
      <c r="E134" s="52">
        <f t="shared" ref="E134:E185" ca="1" si="24">IFERROR(INDIRECT(CONCATENATE("Data!",SUBSTITUTE(ADDRESS(1,MATCH(CONCATENATE(E$2," Appraised Building Value"),INDIRECT("Data!3:3"),0),4),1,""))&amp;$B134)/INDIRECT("Data!G"&amp;$B134),"")</f>
        <v>103.16558441558442</v>
      </c>
      <c r="F134" s="53">
        <f t="shared" ref="F134:F185" ca="1" si="25">IFERROR(INDIRECT(CONCATENATE("Data!",SUBSTITUTE(ADDRESS(1,MATCH(CONCATENATE(E$2," Appraised Land Value"),INDIRECT("Data!3:3"),0),4),1,""))&amp;$B134)/INDIRECT("Data!F"&amp;$B134),"")</f>
        <v>175000</v>
      </c>
      <c r="G134" s="52">
        <f t="shared" ref="G134:G185" ca="1" si="26">IFERROR(INDIRECT(CONCATENATE("Data!",SUBSTITUTE(ADDRESS(1,MATCH(CONCATENATE(G$2," Appraised Building Value"),INDIRECT("Data!3:3"),0),4),1,""))&amp;$B134)/INDIRECT("Data!G"&amp;$B134),"")</f>
        <v>112.41883116883118</v>
      </c>
      <c r="H134" s="53">
        <f t="shared" ref="H134:H185" ca="1" si="27">IFERROR(INDIRECT(CONCATENATE("Data!",SUBSTITUTE(ADDRESS(1,MATCH(CONCATENATE(G$2," Appraised Land Value"),INDIRECT("Data!3:3"),0),4),1,""))&amp;$B134)/INDIRECT("Data!F"&amp;$B134),"")</f>
        <v>187500</v>
      </c>
      <c r="I134" s="52">
        <f t="shared" ref="I134:I185" ca="1" si="28">IFERROR(INDIRECT(CONCATENATE("Data!",SUBSTITUTE(ADDRESS(1,MATCH(CONCATENATE(I$2," Appraised Building Value"),INDIRECT("Data!3:3"),0),4),1,""))&amp;$B134)/INDIRECT("Data!G"&amp;$B134),"")</f>
        <v>129.38311688311688</v>
      </c>
      <c r="J134" s="53">
        <f t="shared" ref="J134:J185" ca="1" si="29">IFERROR(INDIRECT(CONCATENATE("Data!",SUBSTITUTE(ADDRESS(1,MATCH(CONCATENATE(I$2," Appraised Land Value"),INDIRECT("Data!3:3"),0),4),1,""))&amp;$B134)/INDIRECT("Data!F"&amp;$B134),"")</f>
        <v>187500</v>
      </c>
      <c r="K134" s="52">
        <f t="shared" ref="K134:K185" ca="1" si="30">IFERROR(INDIRECT(CONCATENATE("Data!",SUBSTITUTE(ADDRESS(1,MATCH(CONCATENATE(K$2," Appraised Building Value"),INDIRECT("Data!3:3"),0),4),1,""))&amp;$B134)/INDIRECT("Data!G"&amp;$B134),"")</f>
        <v>108.76623376623377</v>
      </c>
      <c r="L134" s="53">
        <f t="shared" ref="L134:L185" ca="1" si="31">IFERROR(INDIRECT(CONCATENATE("Data!",SUBSTITUTE(ADDRESS(1,MATCH(CONCATENATE(K$2," Appraised Land Value"),INDIRECT("Data!3:3"),0),4),1,""))&amp;$B134)/INDIRECT("Data!F"&amp;$B134),"")</f>
        <v>187500</v>
      </c>
    </row>
    <row r="135" spans="1:12" x14ac:dyDescent="0.45">
      <c r="A135" s="50" t="str">
        <f>IF(ISBLANK(Data!C135),"",Data!C135)</f>
        <v>3130 Barnwood Xing, Duluth, GA 30097</v>
      </c>
      <c r="B135" s="50">
        <f>IFERROR(MATCH($A135,Data!$C:$C,0),"")</f>
        <v>135</v>
      </c>
      <c r="C135" s="82">
        <f t="shared" ca="1" si="23"/>
        <v>36011</v>
      </c>
      <c r="D135" s="51">
        <f t="shared" ca="1" si="22"/>
        <v>86.783439490445858</v>
      </c>
      <c r="E135" s="52">
        <f t="shared" ca="1" si="24"/>
        <v>107.00636942675159</v>
      </c>
      <c r="F135" s="53">
        <f t="shared" ca="1" si="25"/>
        <v>164705.88235294117</v>
      </c>
      <c r="G135" s="52">
        <f t="shared" ca="1" si="26"/>
        <v>116.79936305732484</v>
      </c>
      <c r="H135" s="53">
        <f t="shared" ca="1" si="27"/>
        <v>176470.5882352941</v>
      </c>
      <c r="I135" s="52">
        <f t="shared" ca="1" si="28"/>
        <v>134.71337579617835</v>
      </c>
      <c r="J135" s="53">
        <f t="shared" ca="1" si="29"/>
        <v>176470.5882352941</v>
      </c>
      <c r="K135" s="52">
        <f t="shared" ca="1" si="30"/>
        <v>149.52229299363057</v>
      </c>
      <c r="L135" s="53">
        <f t="shared" ca="1" si="31"/>
        <v>176470.5882352941</v>
      </c>
    </row>
    <row r="136" spans="1:12" x14ac:dyDescent="0.45">
      <c r="A136" s="50" t="str">
        <f>IF(ISBLANK(Data!C136),"",Data!C136)</f>
        <v>3135 Barnwood Xing, Duluth, GA 30097</v>
      </c>
      <c r="B136" s="50">
        <f>IFERROR(MATCH($A136,Data!$C:$C,0),"")</f>
        <v>136</v>
      </c>
      <c r="C136" s="82">
        <f t="shared" ca="1" si="23"/>
        <v>43179</v>
      </c>
      <c r="D136" s="51">
        <f t="shared" ca="1" si="22"/>
        <v>157.64331210191082</v>
      </c>
      <c r="E136" s="52">
        <f t="shared" ca="1" si="24"/>
        <v>90.764331210191088</v>
      </c>
      <c r="F136" s="53">
        <f t="shared" ca="1" si="25"/>
        <v>199999.99999999997</v>
      </c>
      <c r="G136" s="52">
        <f t="shared" ca="1" si="26"/>
        <v>113.85350318471338</v>
      </c>
      <c r="H136" s="53">
        <f t="shared" ca="1" si="27"/>
        <v>214285.71428571426</v>
      </c>
      <c r="I136" s="52">
        <f t="shared" ca="1" si="28"/>
        <v>131.36942675159236</v>
      </c>
      <c r="J136" s="53">
        <f t="shared" ca="1" si="29"/>
        <v>214285.71428571426</v>
      </c>
      <c r="K136" s="52">
        <f t="shared" ca="1" si="30"/>
        <v>133.7579617834395</v>
      </c>
      <c r="L136" s="53">
        <f t="shared" ca="1" si="31"/>
        <v>214285.71428571426</v>
      </c>
    </row>
    <row r="137" spans="1:12" x14ac:dyDescent="0.45">
      <c r="A137" s="50" t="str">
        <f>IF(ISBLANK(Data!C137),"",Data!C137)</f>
        <v>4000 Chattahoochee Trce, Duluth, GA 30097</v>
      </c>
      <c r="B137" s="50">
        <f>IFERROR(MATCH($A137,Data!$C:$C,0),"")</f>
        <v>137</v>
      </c>
      <c r="C137" s="82">
        <f t="shared" ca="1" si="23"/>
        <v>41176</v>
      </c>
      <c r="D137" s="51">
        <f t="shared" ca="1" si="22"/>
        <v>84.199584199584194</v>
      </c>
      <c r="E137" s="52">
        <f t="shared" ca="1" si="24"/>
        <v>95.945945945945951</v>
      </c>
      <c r="F137" s="53">
        <f t="shared" ca="1" si="25"/>
        <v>311111.11111111112</v>
      </c>
      <c r="G137" s="52">
        <f t="shared" ca="1" si="26"/>
        <v>104.78170478170478</v>
      </c>
      <c r="H137" s="53">
        <f t="shared" ca="1" si="27"/>
        <v>333333.33333333337</v>
      </c>
      <c r="I137" s="52">
        <f t="shared" ca="1" si="28"/>
        <v>120.89397089397089</v>
      </c>
      <c r="J137" s="53">
        <f t="shared" ca="1" si="29"/>
        <v>333333.33333333337</v>
      </c>
      <c r="K137" s="52">
        <f t="shared" ca="1" si="30"/>
        <v>136.69438669438671</v>
      </c>
      <c r="L137" s="53">
        <f t="shared" ca="1" si="31"/>
        <v>333333.33333333337</v>
      </c>
    </row>
    <row r="138" spans="1:12" x14ac:dyDescent="0.45">
      <c r="A138" s="50" t="str">
        <f>IF(ISBLANK(Data!C138),"",Data!C138)</f>
        <v>4010 Chattahoochee Trce, Duluth, GA 30097</v>
      </c>
      <c r="B138" s="50">
        <f>IFERROR(MATCH($A138,Data!$C:$C,0),"")</f>
        <v>138</v>
      </c>
      <c r="C138" s="82">
        <f t="shared" ca="1" si="23"/>
        <v>43032</v>
      </c>
      <c r="D138" s="51">
        <f t="shared" ca="1" si="22"/>
        <v>148.93617021276594</v>
      </c>
      <c r="E138" s="52">
        <f t="shared" ca="1" si="24"/>
        <v>79.255319148936167</v>
      </c>
      <c r="F138" s="53">
        <f t="shared" ca="1" si="25"/>
        <v>280000</v>
      </c>
      <c r="G138" s="52">
        <f t="shared" ca="1" si="26"/>
        <v>101.06382978723404</v>
      </c>
      <c r="H138" s="53">
        <f t="shared" ca="1" si="27"/>
        <v>300000</v>
      </c>
      <c r="I138" s="52">
        <f t="shared" ca="1" si="28"/>
        <v>122.34042553191489</v>
      </c>
      <c r="J138" s="53">
        <f t="shared" ca="1" si="29"/>
        <v>300000</v>
      </c>
      <c r="K138" s="52">
        <f t="shared" ca="1" si="30"/>
        <v>142.19858156028369</v>
      </c>
      <c r="L138" s="53">
        <f t="shared" ca="1" si="31"/>
        <v>300000</v>
      </c>
    </row>
    <row r="139" spans="1:12" x14ac:dyDescent="0.45">
      <c r="A139" s="50" t="str">
        <f>IF(ISBLANK(Data!C139),"",Data!C139)</f>
        <v>4020 Chattahoochee Trce, Duluth, GA 30097</v>
      </c>
      <c r="B139" s="50">
        <f>IFERROR(MATCH($A139,Data!$C:$C,0),"")</f>
        <v>139</v>
      </c>
      <c r="C139" s="82">
        <f t="shared" ca="1" si="23"/>
        <v>40723</v>
      </c>
      <c r="D139" s="51">
        <f t="shared" ca="1" si="22"/>
        <v>66.17647058823529</v>
      </c>
      <c r="E139" s="52">
        <f t="shared" ca="1" si="24"/>
        <v>94.652406417112303</v>
      </c>
      <c r="F139" s="53">
        <f t="shared" ca="1" si="25"/>
        <v>311111.11111111112</v>
      </c>
      <c r="G139" s="52">
        <f t="shared" ca="1" si="26"/>
        <v>103.34224598930481</v>
      </c>
      <c r="H139" s="53">
        <f t="shared" ca="1" si="27"/>
        <v>333333.33333333337</v>
      </c>
      <c r="I139" s="52">
        <f t="shared" ca="1" si="28"/>
        <v>119.18449197860963</v>
      </c>
      <c r="J139" s="53">
        <f t="shared" ca="1" si="29"/>
        <v>333333.33333333337</v>
      </c>
      <c r="K139" s="52">
        <f t="shared" ca="1" si="30"/>
        <v>131.35026737967914</v>
      </c>
      <c r="L139" s="53">
        <f t="shared" ca="1" si="31"/>
        <v>333333.33333333337</v>
      </c>
    </row>
    <row r="140" spans="1:12" x14ac:dyDescent="0.45">
      <c r="A140" s="50" t="str">
        <f>IF(ISBLANK(Data!C140),"",Data!C140)</f>
        <v>4030 Chattahoochee Trce, Duluth, GA 30097</v>
      </c>
      <c r="B140" s="50">
        <f>IFERROR(MATCH($A140,Data!$C:$C,0),"")</f>
        <v>140</v>
      </c>
      <c r="C140" s="82">
        <f t="shared" ca="1" si="23"/>
        <v>40344</v>
      </c>
      <c r="D140" s="51">
        <f t="shared" ca="1" si="22"/>
        <v>120.37037037037037</v>
      </c>
      <c r="E140" s="52">
        <f t="shared" ca="1" si="24"/>
        <v>83.055555555555557</v>
      </c>
      <c r="F140" s="53">
        <f t="shared" ca="1" si="25"/>
        <v>280000</v>
      </c>
      <c r="G140" s="52">
        <f t="shared" ca="1" si="26"/>
        <v>108.98148148148148</v>
      </c>
      <c r="H140" s="53">
        <f t="shared" ca="1" si="27"/>
        <v>300000</v>
      </c>
      <c r="I140" s="52">
        <f t="shared" ca="1" si="28"/>
        <v>127.31481481481481</v>
      </c>
      <c r="J140" s="53">
        <f t="shared" ca="1" si="29"/>
        <v>300000</v>
      </c>
      <c r="K140" s="52">
        <f t="shared" ca="1" si="30"/>
        <v>145.27777777777777</v>
      </c>
      <c r="L140" s="53">
        <f t="shared" ca="1" si="31"/>
        <v>300000</v>
      </c>
    </row>
    <row r="141" spans="1:12" x14ac:dyDescent="0.45">
      <c r="A141" s="50" t="str">
        <f>IF(ISBLANK(Data!C141),"",Data!C141)</f>
        <v>4040 Chattahoochee Trce, Duluth, GA 30097</v>
      </c>
      <c r="B141" s="50">
        <f>IFERROR(MATCH($A141,Data!$C:$C,0),"")</f>
        <v>141</v>
      </c>
      <c r="C141" s="82">
        <f t="shared" ca="1" si="23"/>
        <v>42664</v>
      </c>
      <c r="D141" s="51">
        <f t="shared" ca="1" si="22"/>
        <v>140.39855072463769</v>
      </c>
      <c r="E141" s="52">
        <f t="shared" ca="1" si="24"/>
        <v>89.130434782608702</v>
      </c>
      <c r="F141" s="53">
        <f t="shared" ca="1" si="25"/>
        <v>280000</v>
      </c>
      <c r="G141" s="52">
        <f t="shared" ca="1" si="26"/>
        <v>105.70652173913044</v>
      </c>
      <c r="H141" s="53">
        <f t="shared" ca="1" si="27"/>
        <v>300000</v>
      </c>
      <c r="I141" s="52">
        <f t="shared" ca="1" si="28"/>
        <v>123.46014492753623</v>
      </c>
      <c r="J141" s="53">
        <f t="shared" ca="1" si="29"/>
        <v>300000</v>
      </c>
      <c r="K141" s="52">
        <f t="shared" ca="1" si="30"/>
        <v>141.21376811594203</v>
      </c>
      <c r="L141" s="53">
        <f t="shared" ca="1" si="31"/>
        <v>300000</v>
      </c>
    </row>
    <row r="142" spans="1:12" x14ac:dyDescent="0.45">
      <c r="A142" s="50" t="str">
        <f>IF(ISBLANK(Data!C142),"",Data!C142)</f>
        <v>4050 Chattahoochee Trce, Duluth, GA 30097</v>
      </c>
      <c r="B142" s="50">
        <f>IFERROR(MATCH($A142,Data!$C:$C,0),"")</f>
        <v>142</v>
      </c>
      <c r="C142" s="82">
        <f t="shared" ca="1" si="23"/>
        <v>34449</v>
      </c>
      <c r="D142" s="51">
        <f t="shared" ca="1" si="22"/>
        <v>66.391184573002761</v>
      </c>
      <c r="E142" s="52">
        <f t="shared" ca="1" si="24"/>
        <v>97.451790633608809</v>
      </c>
      <c r="F142" s="53">
        <f t="shared" ca="1" si="25"/>
        <v>280000</v>
      </c>
      <c r="G142" s="52">
        <f t="shared" ca="1" si="26"/>
        <v>106.40495867768595</v>
      </c>
      <c r="H142" s="53">
        <f t="shared" ca="1" si="27"/>
        <v>300000</v>
      </c>
      <c r="I142" s="52">
        <f t="shared" ca="1" si="28"/>
        <v>124.31129476584022</v>
      </c>
      <c r="J142" s="53">
        <f t="shared" ca="1" si="29"/>
        <v>300000</v>
      </c>
      <c r="K142" s="52">
        <f t="shared" ca="1" si="30"/>
        <v>136.8457300275482</v>
      </c>
      <c r="L142" s="53">
        <f t="shared" ca="1" si="31"/>
        <v>300000</v>
      </c>
    </row>
    <row r="143" spans="1:12" x14ac:dyDescent="0.45">
      <c r="A143" s="50" t="str">
        <f>IF(ISBLANK(Data!C143),"",Data!C143)</f>
        <v>4060 Chattahoochee Trce, Duluth, GA 30097</v>
      </c>
      <c r="B143" s="50">
        <f>IFERROR(MATCH($A143,Data!$C:$C,0),"")</f>
        <v>143</v>
      </c>
      <c r="C143" s="82">
        <f t="shared" ca="1" si="23"/>
        <v>41621</v>
      </c>
      <c r="D143" s="51">
        <f t="shared" ca="1" si="22"/>
        <v>130.48245614035088</v>
      </c>
      <c r="E143" s="52">
        <f t="shared" ca="1" si="24"/>
        <v>106.57894736842105</v>
      </c>
      <c r="F143" s="53">
        <f t="shared" ca="1" si="25"/>
        <v>254545.45454545456</v>
      </c>
      <c r="G143" s="52">
        <f t="shared" ca="1" si="26"/>
        <v>117.76315789473684</v>
      </c>
      <c r="H143" s="53">
        <f t="shared" ca="1" si="27"/>
        <v>272727.27272727271</v>
      </c>
      <c r="I143" s="52">
        <f t="shared" ca="1" si="28"/>
        <v>135.85526315789474</v>
      </c>
      <c r="J143" s="53">
        <f t="shared" ca="1" si="29"/>
        <v>272727.27272727271</v>
      </c>
      <c r="K143" s="52">
        <f t="shared" ca="1" si="30"/>
        <v>152.08333333333334</v>
      </c>
      <c r="L143" s="53">
        <f t="shared" ca="1" si="31"/>
        <v>272727.27272727271</v>
      </c>
    </row>
    <row r="144" spans="1:12" x14ac:dyDescent="0.45">
      <c r="A144" s="50" t="str">
        <f>IF(ISBLANK(Data!C144),"",Data!C144)</f>
        <v>4070 Chattahoochee Trce, Duluth, GA 30097</v>
      </c>
      <c r="B144" s="50">
        <f>IFERROR(MATCH($A144,Data!$C:$C,0),"")</f>
        <v>144</v>
      </c>
      <c r="C144" s="82">
        <f t="shared" ca="1" si="23"/>
        <v>38777</v>
      </c>
      <c r="D144" s="51">
        <f t="shared" ca="1" si="22"/>
        <v>125.42808219178082</v>
      </c>
      <c r="E144" s="52">
        <f t="shared" ca="1" si="24"/>
        <v>99.657534246575338</v>
      </c>
      <c r="F144" s="53">
        <f t="shared" ca="1" si="25"/>
        <v>254545.45454545456</v>
      </c>
      <c r="G144" s="52">
        <f t="shared" ca="1" si="26"/>
        <v>110.10273972602739</v>
      </c>
      <c r="H144" s="53">
        <f t="shared" ca="1" si="27"/>
        <v>272727.27272727271</v>
      </c>
      <c r="I144" s="52">
        <f t="shared" ca="1" si="28"/>
        <v>127.05479452054794</v>
      </c>
      <c r="J144" s="53">
        <f t="shared" ca="1" si="29"/>
        <v>272727.27272727271</v>
      </c>
      <c r="K144" s="52">
        <f t="shared" ca="1" si="30"/>
        <v>140.41095890410958</v>
      </c>
      <c r="L144" s="53">
        <f t="shared" ca="1" si="31"/>
        <v>272727.27272727271</v>
      </c>
    </row>
    <row r="145" spans="1:12" x14ac:dyDescent="0.45">
      <c r="A145" s="50" t="str">
        <f>IF(ISBLANK(Data!C145),"",Data!C145)</f>
        <v>4080 Chattahoochee Trce, Duluth, GA 30097</v>
      </c>
      <c r="B145" s="50">
        <f>IFERROR(MATCH($A145,Data!$C:$C,0),"")</f>
        <v>145</v>
      </c>
      <c r="C145" s="82">
        <f t="shared" ca="1" si="23"/>
        <v>34632</v>
      </c>
      <c r="D145" s="51">
        <f t="shared" ca="1" si="22"/>
        <v>86.883408071748875</v>
      </c>
      <c r="E145" s="52">
        <f t="shared" ca="1" si="24"/>
        <v>106.50224215246637</v>
      </c>
      <c r="F145" s="53">
        <f t="shared" ca="1" si="25"/>
        <v>175000</v>
      </c>
      <c r="G145" s="52">
        <f t="shared" ca="1" si="26"/>
        <v>116.25560538116592</v>
      </c>
      <c r="H145" s="53">
        <f t="shared" ca="1" si="27"/>
        <v>187500</v>
      </c>
      <c r="I145" s="52">
        <f t="shared" ca="1" si="28"/>
        <v>135.87443946188341</v>
      </c>
      <c r="J145" s="53">
        <f t="shared" ca="1" si="29"/>
        <v>187500</v>
      </c>
      <c r="K145" s="52">
        <f t="shared" ca="1" si="30"/>
        <v>153.36322869955157</v>
      </c>
      <c r="L145" s="53">
        <f t="shared" ca="1" si="31"/>
        <v>187500</v>
      </c>
    </row>
    <row r="146" spans="1:12" x14ac:dyDescent="0.45">
      <c r="A146" s="50" t="str">
        <f>IF(ISBLANK(Data!C146),"",Data!C146)</f>
        <v>4090 Chattahoochee Trce, Duluth, GA 30097</v>
      </c>
      <c r="B146" s="50">
        <f>IFERROR(MATCH($A146,Data!$C:$C,0),"")</f>
        <v>146</v>
      </c>
      <c r="C146" s="82">
        <f t="shared" ca="1" si="23"/>
        <v>43174</v>
      </c>
      <c r="D146" s="51">
        <f t="shared" ca="1" si="22"/>
        <v>173.78947368421052</v>
      </c>
      <c r="E146" s="52">
        <f t="shared" ca="1" si="24"/>
        <v>104.52631578947368</v>
      </c>
      <c r="F146" s="53">
        <f t="shared" ca="1" si="25"/>
        <v>233333.33333333334</v>
      </c>
      <c r="G146" s="52">
        <f t="shared" ca="1" si="26"/>
        <v>114.21052631578948</v>
      </c>
      <c r="H146" s="53">
        <f t="shared" ca="1" si="27"/>
        <v>250000</v>
      </c>
      <c r="I146" s="52">
        <f t="shared" ca="1" si="28"/>
        <v>133.36842105263159</v>
      </c>
      <c r="J146" s="53">
        <f t="shared" ca="1" si="29"/>
        <v>250000</v>
      </c>
      <c r="K146" s="52">
        <f t="shared" ca="1" si="30"/>
        <v>142.21052631578948</v>
      </c>
      <c r="L146" s="53">
        <f t="shared" ca="1" si="31"/>
        <v>250000</v>
      </c>
    </row>
    <row r="147" spans="1:12" x14ac:dyDescent="0.45">
      <c r="A147" s="50" t="str">
        <f>IF(ISBLANK(Data!C147),"",Data!C147)</f>
        <v>4095 Chattahoochee Trce, Duluth, GA 30097</v>
      </c>
      <c r="B147" s="50">
        <f>IFERROR(MATCH($A147,Data!$C:$C,0),"")</f>
        <v>147</v>
      </c>
      <c r="C147" s="82">
        <f t="shared" ca="1" si="23"/>
        <v>43083</v>
      </c>
      <c r="D147" s="51">
        <f t="shared" ca="1" si="22"/>
        <v>153.35463258785941</v>
      </c>
      <c r="E147" s="52">
        <f t="shared" ca="1" si="24"/>
        <v>104.71246006389777</v>
      </c>
      <c r="F147" s="53">
        <f t="shared" ca="1" si="25"/>
        <v>254545.45454545456</v>
      </c>
      <c r="G147" s="52">
        <f t="shared" ca="1" si="26"/>
        <v>114.29712460063898</v>
      </c>
      <c r="H147" s="53">
        <f t="shared" ca="1" si="27"/>
        <v>272727.27272727271</v>
      </c>
      <c r="I147" s="52">
        <f t="shared" ca="1" si="28"/>
        <v>129.3929712460064</v>
      </c>
      <c r="J147" s="53">
        <f t="shared" ca="1" si="29"/>
        <v>272727.27272727271</v>
      </c>
      <c r="K147" s="52">
        <f t="shared" ca="1" si="30"/>
        <v>146.96485623003196</v>
      </c>
      <c r="L147" s="53">
        <f t="shared" ca="1" si="31"/>
        <v>272727.27272727271</v>
      </c>
    </row>
    <row r="148" spans="1:12" x14ac:dyDescent="0.45">
      <c r="A148" s="50" t="str">
        <f>IF(ISBLANK(Data!C148),"",Data!C148)</f>
        <v>4105 Chattahoochee Trce, Duluth, GA 30097</v>
      </c>
      <c r="B148" s="50">
        <f>IFERROR(MATCH($A148,Data!$C:$C,0),"")</f>
        <v>148</v>
      </c>
      <c r="C148" s="82">
        <f t="shared" ca="1" si="23"/>
        <v>39716</v>
      </c>
      <c r="D148" s="51">
        <f t="shared" ca="1" si="22"/>
        <v>153.50877192982455</v>
      </c>
      <c r="E148" s="52">
        <f t="shared" ca="1" si="24"/>
        <v>122.80701754385964</v>
      </c>
      <c r="F148" s="53">
        <f t="shared" ca="1" si="25"/>
        <v>147368.42105263157</v>
      </c>
      <c r="G148" s="52">
        <f t="shared" ca="1" si="26"/>
        <v>117.76315789473684</v>
      </c>
      <c r="H148" s="53">
        <f t="shared" ca="1" si="27"/>
        <v>157894.73684210525</v>
      </c>
      <c r="I148" s="52">
        <f t="shared" ca="1" si="28"/>
        <v>135.85526315789474</v>
      </c>
      <c r="J148" s="53">
        <f t="shared" ca="1" si="29"/>
        <v>157894.73684210525</v>
      </c>
      <c r="K148" s="52">
        <f t="shared" ca="1" si="30"/>
        <v>151.97368421052633</v>
      </c>
      <c r="L148" s="53">
        <f t="shared" ca="1" si="31"/>
        <v>157894.73684210525</v>
      </c>
    </row>
    <row r="149" spans="1:12" x14ac:dyDescent="0.45">
      <c r="A149" s="50" t="str">
        <f>IF(ISBLANK(Data!C149),"",Data!C149)</f>
        <v>3933 Hawks Nest Ct, Duluth, GA 30097</v>
      </c>
      <c r="B149" s="50">
        <f>IFERROR(MATCH($A149,Data!$C:$C,0),"")</f>
        <v>149</v>
      </c>
      <c r="C149" s="82">
        <f t="shared" ca="1" si="23"/>
        <v>42205</v>
      </c>
      <c r="D149" s="51">
        <f t="shared" ca="1" si="22"/>
        <v>127.55519215044971</v>
      </c>
      <c r="E149" s="52">
        <f t="shared" ca="1" si="24"/>
        <v>91.578086672117749</v>
      </c>
      <c r="F149" s="53">
        <f t="shared" ca="1" si="25"/>
        <v>199999.99999999997</v>
      </c>
      <c r="G149" s="52">
        <f t="shared" ca="1" si="26"/>
        <v>89.942763695829925</v>
      </c>
      <c r="H149" s="53">
        <f t="shared" ca="1" si="27"/>
        <v>214285.71428571426</v>
      </c>
      <c r="I149" s="52">
        <f t="shared" ca="1" si="28"/>
        <v>89.942763695829925</v>
      </c>
      <c r="J149" s="53">
        <f t="shared" ca="1" si="29"/>
        <v>214285.71428571426</v>
      </c>
      <c r="K149" s="52">
        <f t="shared" ca="1" si="30"/>
        <v>136.54946852003272</v>
      </c>
      <c r="L149" s="53">
        <f t="shared" ca="1" si="31"/>
        <v>214285.71428571426</v>
      </c>
    </row>
    <row r="150" spans="1:12" x14ac:dyDescent="0.45">
      <c r="A150" s="50" t="str">
        <f>IF(ISBLANK(Data!C150),"",Data!C150)</f>
        <v>3938 Hawks Nest Ct, Duluth, GA 30097</v>
      </c>
      <c r="B150" s="50">
        <f>IFERROR(MATCH($A150,Data!$C:$C,0),"")</f>
        <v>150</v>
      </c>
      <c r="C150" s="82">
        <f t="shared" ca="1" si="23"/>
        <v>36227</v>
      </c>
      <c r="D150" s="51">
        <f t="shared" ca="1" si="22"/>
        <v>112.14953271028037</v>
      </c>
      <c r="E150" s="52">
        <f t="shared" ca="1" si="24"/>
        <v>107.59345794392523</v>
      </c>
      <c r="F150" s="53">
        <f t="shared" ca="1" si="25"/>
        <v>133333.33333333334</v>
      </c>
      <c r="G150" s="52">
        <f t="shared" ca="1" si="26"/>
        <v>119.04205607476635</v>
      </c>
      <c r="H150" s="53">
        <f t="shared" ca="1" si="27"/>
        <v>142857.14285714287</v>
      </c>
      <c r="I150" s="52">
        <f t="shared" ca="1" si="28"/>
        <v>137.2663551401869</v>
      </c>
      <c r="J150" s="53">
        <f t="shared" ca="1" si="29"/>
        <v>142857.14285714287</v>
      </c>
      <c r="K150" s="52">
        <f t="shared" ca="1" si="30"/>
        <v>153.27102803738319</v>
      </c>
      <c r="L150" s="53">
        <f t="shared" ca="1" si="31"/>
        <v>142857.14285714287</v>
      </c>
    </row>
    <row r="151" spans="1:12" x14ac:dyDescent="0.45">
      <c r="A151" s="50" t="str">
        <f>IF(ISBLANK(Data!C151),"",Data!C151)</f>
        <v>3943 Hawks Nest Ct, Duluth, GA 30097</v>
      </c>
      <c r="B151" s="50">
        <f>IFERROR(MATCH($A151,Data!$C:$C,0),"")</f>
        <v>151</v>
      </c>
      <c r="C151" s="82">
        <f t="shared" ca="1" si="23"/>
        <v>39790</v>
      </c>
      <c r="D151" s="51">
        <f t="shared" ca="1" si="22"/>
        <v>101.01010101010101</v>
      </c>
      <c r="E151" s="52">
        <f t="shared" ca="1" si="24"/>
        <v>104.79797979797979</v>
      </c>
      <c r="F151" s="53">
        <f t="shared" ca="1" si="25"/>
        <v>254545.45454545456</v>
      </c>
      <c r="G151" s="52">
        <f t="shared" ca="1" si="26"/>
        <v>116.16161616161617</v>
      </c>
      <c r="H151" s="53">
        <f t="shared" ca="1" si="27"/>
        <v>272727.27272727271</v>
      </c>
      <c r="I151" s="52">
        <f t="shared" ca="1" si="28"/>
        <v>133.96464646464648</v>
      </c>
      <c r="J151" s="53">
        <f t="shared" ca="1" si="29"/>
        <v>272727.27272727271</v>
      </c>
      <c r="K151" s="52">
        <f t="shared" ca="1" si="30"/>
        <v>149.11616161616161</v>
      </c>
      <c r="L151" s="53">
        <f t="shared" ca="1" si="31"/>
        <v>272727.27272727271</v>
      </c>
    </row>
    <row r="152" spans="1:12" x14ac:dyDescent="0.45">
      <c r="A152" s="50" t="str">
        <f>IF(ISBLANK(Data!C152),"",Data!C152)</f>
        <v>3948 Hawks Nest Ct, Duluth, GA 30097</v>
      </c>
      <c r="B152" s="50">
        <f>IFERROR(MATCH($A152,Data!$C:$C,0),"")</f>
        <v>152</v>
      </c>
      <c r="C152" s="82">
        <f t="shared" ca="1" si="23"/>
        <v>34393</v>
      </c>
      <c r="D152" s="51">
        <f t="shared" ca="1" si="22"/>
        <v>86.294416243654823</v>
      </c>
      <c r="E152" s="52">
        <f t="shared" ca="1" si="24"/>
        <v>100.76142131979695</v>
      </c>
      <c r="F152" s="53">
        <f t="shared" ca="1" si="25"/>
        <v>199999.99999999997</v>
      </c>
      <c r="G152" s="52">
        <f t="shared" ca="1" si="26"/>
        <v>111.42131979695432</v>
      </c>
      <c r="H152" s="53">
        <f t="shared" ca="1" si="27"/>
        <v>214285.71428571426</v>
      </c>
      <c r="I152" s="52">
        <f t="shared" ca="1" si="28"/>
        <v>128.55329949238578</v>
      </c>
      <c r="J152" s="53">
        <f t="shared" ca="1" si="29"/>
        <v>214285.71428571426</v>
      </c>
      <c r="K152" s="52">
        <f t="shared" ca="1" si="30"/>
        <v>143.2741116751269</v>
      </c>
      <c r="L152" s="53">
        <f t="shared" ca="1" si="31"/>
        <v>214285.71428571426</v>
      </c>
    </row>
    <row r="153" spans="1:12" x14ac:dyDescent="0.45">
      <c r="A153" s="50" t="str">
        <f>IF(ISBLANK(Data!C153),"",Data!C153)</f>
        <v>3953 Hawks Nest Ct, Duluth, GA 30097</v>
      </c>
      <c r="B153" s="50">
        <f>IFERROR(MATCH($A153,Data!$C:$C,0),"")</f>
        <v>153</v>
      </c>
      <c r="C153" s="82">
        <f t="shared" ca="1" si="23"/>
        <v>41019</v>
      </c>
      <c r="D153" s="51">
        <f t="shared" ca="1" si="22"/>
        <v>60.505050505050505</v>
      </c>
      <c r="E153" s="52">
        <f t="shared" ca="1" si="24"/>
        <v>95.151515151515156</v>
      </c>
      <c r="F153" s="53">
        <f t="shared" ca="1" si="25"/>
        <v>254545.45454545456</v>
      </c>
      <c r="G153" s="52">
        <f t="shared" ca="1" si="26"/>
        <v>105.25252525252525</v>
      </c>
      <c r="H153" s="53">
        <f t="shared" ca="1" si="27"/>
        <v>272727.27272727271</v>
      </c>
      <c r="I153" s="52">
        <f t="shared" ca="1" si="28"/>
        <v>121.41414141414141</v>
      </c>
      <c r="J153" s="53">
        <f t="shared" ca="1" si="29"/>
        <v>272727.27272727271</v>
      </c>
      <c r="K153" s="52">
        <f t="shared" ca="1" si="30"/>
        <v>135.65656565656565</v>
      </c>
      <c r="L153" s="53">
        <f t="shared" ca="1" si="31"/>
        <v>272727.27272727271</v>
      </c>
    </row>
    <row r="154" spans="1:12" x14ac:dyDescent="0.45">
      <c r="A154" s="50" t="str">
        <f>IF(ISBLANK(Data!C154),"",Data!C154)</f>
        <v>3958 Hawks Nest Ct, Duluth, GA 30097</v>
      </c>
      <c r="B154" s="50">
        <f>IFERROR(MATCH($A154,Data!$C:$C,0),"")</f>
        <v>154</v>
      </c>
      <c r="C154" s="82">
        <f t="shared" ca="1" si="23"/>
        <v>38167</v>
      </c>
      <c r="D154" s="51">
        <f t="shared" ca="1" si="22"/>
        <v>131.06796116504853</v>
      </c>
      <c r="E154" s="52">
        <f t="shared" ca="1" si="24"/>
        <v>90.291262135922324</v>
      </c>
      <c r="F154" s="53">
        <f t="shared" ca="1" si="25"/>
        <v>155555.55555555556</v>
      </c>
      <c r="G154" s="52">
        <f t="shared" ca="1" si="26"/>
        <v>99.805825242718441</v>
      </c>
      <c r="H154" s="53">
        <f t="shared" ca="1" si="27"/>
        <v>166666.66666666669</v>
      </c>
      <c r="I154" s="52">
        <f t="shared" ca="1" si="28"/>
        <v>115.14563106796116</v>
      </c>
      <c r="J154" s="53">
        <f t="shared" ca="1" si="29"/>
        <v>166666.66666666669</v>
      </c>
      <c r="K154" s="52">
        <f t="shared" ca="1" si="30"/>
        <v>130.19417475728156</v>
      </c>
      <c r="L154" s="53">
        <f t="shared" ca="1" si="31"/>
        <v>166666.66666666669</v>
      </c>
    </row>
    <row r="155" spans="1:12" x14ac:dyDescent="0.45">
      <c r="A155" s="50" t="str">
        <f>IF(ISBLANK(Data!C155),"",Data!C155)</f>
        <v>3963 Hawks Nest Ct, Duluth, GA 30097</v>
      </c>
      <c r="B155" s="50">
        <f>IFERROR(MATCH($A155,Data!$C:$C,0),"")</f>
        <v>155</v>
      </c>
      <c r="C155" s="82">
        <f t="shared" ca="1" si="23"/>
        <v>43014</v>
      </c>
      <c r="D155" s="51">
        <f t="shared" ca="1" si="22"/>
        <v>131.55833985904462</v>
      </c>
      <c r="E155" s="52">
        <f t="shared" ca="1" si="24"/>
        <v>89.036805011746281</v>
      </c>
      <c r="F155" s="53">
        <f t="shared" ca="1" si="25"/>
        <v>199999.99999999997</v>
      </c>
      <c r="G155" s="52">
        <f t="shared" ca="1" si="26"/>
        <v>98.433829287392328</v>
      </c>
      <c r="H155" s="53">
        <f t="shared" ca="1" si="27"/>
        <v>214285.71428571426</v>
      </c>
      <c r="I155" s="52">
        <f t="shared" ca="1" si="28"/>
        <v>108.06577916992953</v>
      </c>
      <c r="J155" s="53">
        <f t="shared" ca="1" si="29"/>
        <v>214285.71428571426</v>
      </c>
      <c r="K155" s="52">
        <f t="shared" ca="1" si="30"/>
        <v>129.20908379013312</v>
      </c>
      <c r="L155" s="53">
        <f t="shared" ca="1" si="31"/>
        <v>214285.71428571426</v>
      </c>
    </row>
    <row r="156" spans="1:12" x14ac:dyDescent="0.45">
      <c r="A156" s="50" t="str">
        <f>IF(ISBLANK(Data!C156),"",Data!C156)</f>
        <v>3968 Hawks Nest Ct, Duluth, GA 30097</v>
      </c>
      <c r="B156" s="50">
        <f>IFERROR(MATCH($A156,Data!$C:$C,0),"")</f>
        <v>156</v>
      </c>
      <c r="C156" s="82">
        <f t="shared" ca="1" si="23"/>
        <v>38799</v>
      </c>
      <c r="D156" s="51">
        <f t="shared" ca="1" si="22"/>
        <v>105.5327868852459</v>
      </c>
      <c r="E156" s="52">
        <f t="shared" ca="1" si="24"/>
        <v>107.37704918032787</v>
      </c>
      <c r="F156" s="53">
        <f t="shared" ca="1" si="25"/>
        <v>186666.66666666669</v>
      </c>
      <c r="G156" s="52">
        <f t="shared" ca="1" si="26"/>
        <v>118.75</v>
      </c>
      <c r="H156" s="53">
        <f t="shared" ca="1" si="27"/>
        <v>200000</v>
      </c>
      <c r="I156" s="52">
        <f t="shared" ca="1" si="28"/>
        <v>136.98770491803279</v>
      </c>
      <c r="J156" s="53">
        <f t="shared" ca="1" si="29"/>
        <v>200000</v>
      </c>
      <c r="K156" s="52">
        <f t="shared" ca="1" si="30"/>
        <v>161.88524590163934</v>
      </c>
      <c r="L156" s="53">
        <f t="shared" ca="1" si="31"/>
        <v>200000</v>
      </c>
    </row>
    <row r="157" spans="1:12" x14ac:dyDescent="0.45">
      <c r="A157" s="50" t="str">
        <f>IF(ISBLANK(Data!C157),"",Data!C157)</f>
        <v>3973 Hawks Nest Ct, Duluth, GA 30097</v>
      </c>
      <c r="B157" s="50">
        <f>IFERROR(MATCH($A157,Data!$C:$C,0),"")</f>
        <v>157</v>
      </c>
      <c r="C157" s="82">
        <f t="shared" ca="1" si="23"/>
        <v>42566</v>
      </c>
      <c r="D157" s="51">
        <f t="shared" ca="1" si="22"/>
        <v>129.126213592233</v>
      </c>
      <c r="E157" s="52">
        <f t="shared" ca="1" si="24"/>
        <v>92.524271844660191</v>
      </c>
      <c r="F157" s="53">
        <f t="shared" ca="1" si="25"/>
        <v>311111.11111111112</v>
      </c>
      <c r="G157" s="52">
        <f t="shared" ca="1" si="26"/>
        <v>100</v>
      </c>
      <c r="H157" s="53">
        <f t="shared" ca="1" si="27"/>
        <v>333333.33333333337</v>
      </c>
      <c r="I157" s="52">
        <f t="shared" ca="1" si="28"/>
        <v>118.05825242718447</v>
      </c>
      <c r="J157" s="53">
        <f t="shared" ca="1" si="29"/>
        <v>333333.33333333337</v>
      </c>
      <c r="K157" s="52">
        <f t="shared" ca="1" si="30"/>
        <v>133.00970873786409</v>
      </c>
      <c r="L157" s="53">
        <f t="shared" ca="1" si="31"/>
        <v>333333.33333333337</v>
      </c>
    </row>
    <row r="158" spans="1:12" x14ac:dyDescent="0.45">
      <c r="A158" s="50" t="str">
        <f>IF(ISBLANK(Data!C158),"",Data!C158)</f>
        <v>3983 Hawks Nest Ct, Duluth, GA 30097</v>
      </c>
      <c r="B158" s="50">
        <f>IFERROR(MATCH($A158,Data!$C:$C,0),"")</f>
        <v>158</v>
      </c>
      <c r="C158" s="82">
        <f t="shared" ca="1" si="23"/>
        <v>38742</v>
      </c>
      <c r="D158" s="51">
        <f t="shared" ca="1" si="22"/>
        <v>141.85425101214574</v>
      </c>
      <c r="E158" s="52">
        <f t="shared" ca="1" si="24"/>
        <v>101.92307692307692</v>
      </c>
      <c r="F158" s="53">
        <f t="shared" ca="1" si="25"/>
        <v>280000</v>
      </c>
      <c r="G158" s="52">
        <f t="shared" ca="1" si="26"/>
        <v>112.65182186234817</v>
      </c>
      <c r="H158" s="53">
        <f t="shared" ca="1" si="27"/>
        <v>300000</v>
      </c>
      <c r="I158" s="52">
        <f t="shared" ca="1" si="28"/>
        <v>129.95951417004048</v>
      </c>
      <c r="J158" s="53">
        <f t="shared" ca="1" si="29"/>
        <v>300000</v>
      </c>
      <c r="K158" s="52">
        <f t="shared" ca="1" si="30"/>
        <v>145.44534412955466</v>
      </c>
      <c r="L158" s="53">
        <f t="shared" ca="1" si="31"/>
        <v>300000</v>
      </c>
    </row>
    <row r="159" spans="1:12" x14ac:dyDescent="0.45">
      <c r="A159" s="50" t="str">
        <f>IF(ISBLANK(Data!C159),"",Data!C159)</f>
        <v>3993 Hawks Nest Ct, Duluth, GA 30097</v>
      </c>
      <c r="B159" s="50">
        <f>IFERROR(MATCH($A159,Data!$C:$C,0),"")</f>
        <v>159</v>
      </c>
      <c r="C159" s="82">
        <f t="shared" ca="1" si="23"/>
        <v>37372</v>
      </c>
      <c r="D159" s="51">
        <f t="shared" ca="1" si="22"/>
        <v>123.26043737574552</v>
      </c>
      <c r="E159" s="52">
        <f t="shared" ca="1" si="24"/>
        <v>96.719681908548708</v>
      </c>
      <c r="F159" s="53">
        <f t="shared" ca="1" si="25"/>
        <v>215384.61538461538</v>
      </c>
      <c r="G159" s="52">
        <f t="shared" ca="1" si="26"/>
        <v>106.95825049701789</v>
      </c>
      <c r="H159" s="53">
        <f t="shared" ca="1" si="27"/>
        <v>230769.23076923075</v>
      </c>
      <c r="I159" s="52">
        <f t="shared" ca="1" si="28"/>
        <v>123.35984095427435</v>
      </c>
      <c r="J159" s="53">
        <f t="shared" ca="1" si="29"/>
        <v>230769.23076923075</v>
      </c>
      <c r="K159" s="52">
        <f t="shared" ca="1" si="30"/>
        <v>138.46918489065607</v>
      </c>
      <c r="L159" s="53">
        <f t="shared" ca="1" si="31"/>
        <v>230769.23076923075</v>
      </c>
    </row>
    <row r="160" spans="1:12" x14ac:dyDescent="0.45">
      <c r="A160" s="50" t="str">
        <f>IF(ISBLANK(Data!C160),"",Data!C160)</f>
        <v>3924 White Owl Ct, Duluth, GA 30097</v>
      </c>
      <c r="B160" s="50">
        <f>IFERROR(MATCH($A160,Data!$C:$C,0),"")</f>
        <v>160</v>
      </c>
      <c r="C160" s="82">
        <f t="shared" ca="1" si="23"/>
        <v>38135</v>
      </c>
      <c r="D160" s="51">
        <f t="shared" ca="1" si="22"/>
        <v>158.41584158415841</v>
      </c>
      <c r="E160" s="52">
        <f t="shared" ca="1" si="24"/>
        <v>110.39603960396039</v>
      </c>
      <c r="F160" s="53">
        <f t="shared" ca="1" si="25"/>
        <v>155555.55555555556</v>
      </c>
      <c r="G160" s="52">
        <f t="shared" ca="1" si="26"/>
        <v>120.54455445544555</v>
      </c>
      <c r="H160" s="53">
        <f t="shared" ca="1" si="27"/>
        <v>166666.66666666669</v>
      </c>
      <c r="I160" s="52">
        <f t="shared" ca="1" si="28"/>
        <v>140.84158415841586</v>
      </c>
      <c r="J160" s="53">
        <f t="shared" ca="1" si="29"/>
        <v>166666.66666666669</v>
      </c>
      <c r="K160" s="52">
        <f t="shared" ca="1" si="30"/>
        <v>158.78712871287129</v>
      </c>
      <c r="L160" s="53">
        <f t="shared" ca="1" si="31"/>
        <v>166666.66666666669</v>
      </c>
    </row>
    <row r="161" spans="1:12" x14ac:dyDescent="0.45">
      <c r="A161" s="50" t="str">
        <f>IF(ISBLANK(Data!C161),"",Data!C161)</f>
        <v>3929 White Owl Ct, Duluth, GA 30097</v>
      </c>
      <c r="B161" s="50">
        <f>IFERROR(MATCH($A161,Data!$C:$C,0),"")</f>
        <v>161</v>
      </c>
      <c r="C161" s="82">
        <f t="shared" ca="1" si="23"/>
        <v>43538</v>
      </c>
      <c r="D161" s="51">
        <f t="shared" ca="1" si="22"/>
        <v>213.81578947368422</v>
      </c>
      <c r="E161" s="52">
        <f t="shared" ca="1" si="24"/>
        <v>108.1140350877193</v>
      </c>
      <c r="F161" s="53">
        <f t="shared" ca="1" si="25"/>
        <v>112000</v>
      </c>
      <c r="G161" s="52">
        <f t="shared" ca="1" si="26"/>
        <v>117.98245614035088</v>
      </c>
      <c r="H161" s="53">
        <f t="shared" ca="1" si="27"/>
        <v>120000</v>
      </c>
      <c r="I161" s="52">
        <f t="shared" ca="1" si="28"/>
        <v>137.93859649122808</v>
      </c>
      <c r="J161" s="53">
        <f t="shared" ca="1" si="29"/>
        <v>120000</v>
      </c>
      <c r="K161" s="52">
        <f t="shared" ca="1" si="30"/>
        <v>155.92105263157896</v>
      </c>
      <c r="L161" s="53">
        <f t="shared" ca="1" si="31"/>
        <v>120000</v>
      </c>
    </row>
    <row r="162" spans="1:12" x14ac:dyDescent="0.45">
      <c r="A162" s="50" t="str">
        <f>IF(ISBLANK(Data!C162),"",Data!C162)</f>
        <v>3934 White Owl Ct, Duluth, GA 30097</v>
      </c>
      <c r="B162" s="50">
        <f>IFERROR(MATCH($A162,Data!$C:$C,0),"")</f>
        <v>162</v>
      </c>
      <c r="C162" s="82">
        <f t="shared" ca="1" si="23"/>
        <v>41750</v>
      </c>
      <c r="D162" s="51">
        <f t="shared" ca="1" si="22"/>
        <v>99.256068911511349</v>
      </c>
      <c r="E162" s="52">
        <f t="shared" ca="1" si="24"/>
        <v>88.723570869224744</v>
      </c>
      <c r="F162" s="53">
        <f t="shared" ca="1" si="25"/>
        <v>116666.66666666667</v>
      </c>
      <c r="G162" s="52">
        <f t="shared" ca="1" si="26"/>
        <v>96.867658574784656</v>
      </c>
      <c r="H162" s="53">
        <f t="shared" ca="1" si="27"/>
        <v>125000</v>
      </c>
      <c r="I162" s="52">
        <f t="shared" ca="1" si="28"/>
        <v>113.15583398590447</v>
      </c>
      <c r="J162" s="53">
        <f t="shared" ca="1" si="29"/>
        <v>125000</v>
      </c>
      <c r="K162" s="52">
        <f t="shared" ca="1" si="30"/>
        <v>130.46202036021927</v>
      </c>
      <c r="L162" s="53">
        <f t="shared" ca="1" si="31"/>
        <v>125000</v>
      </c>
    </row>
    <row r="163" spans="1:12" x14ac:dyDescent="0.45">
      <c r="A163" s="50" t="str">
        <f>IF(ISBLANK(Data!C163),"",Data!C163)</f>
        <v>3939 White Owl Ct, Duluth, GA 30097</v>
      </c>
      <c r="B163" s="50">
        <f>IFERROR(MATCH($A163,Data!$C:$C,0),"")</f>
        <v>163</v>
      </c>
      <c r="C163" s="82">
        <f t="shared" ca="1" si="23"/>
        <v>37704</v>
      </c>
      <c r="D163" s="51">
        <f t="shared" ca="1" si="22"/>
        <v>124.45652173913044</v>
      </c>
      <c r="E163" s="52">
        <f t="shared" ca="1" si="24"/>
        <v>96.829710144927532</v>
      </c>
      <c r="F163" s="53">
        <f t="shared" ca="1" si="25"/>
        <v>164705.88235294117</v>
      </c>
      <c r="G163" s="52">
        <f t="shared" ca="1" si="26"/>
        <v>105.70652173913044</v>
      </c>
      <c r="H163" s="53">
        <f t="shared" ca="1" si="27"/>
        <v>176470.5882352941</v>
      </c>
      <c r="I163" s="52">
        <f t="shared" ca="1" si="28"/>
        <v>123.46014492753623</v>
      </c>
      <c r="J163" s="53">
        <f t="shared" ca="1" si="29"/>
        <v>176470.5882352941</v>
      </c>
      <c r="K163" s="52">
        <f t="shared" ca="1" si="30"/>
        <v>141.21376811594203</v>
      </c>
      <c r="L163" s="53">
        <f t="shared" ca="1" si="31"/>
        <v>176470.5882352941</v>
      </c>
    </row>
    <row r="164" spans="1:12" x14ac:dyDescent="0.45">
      <c r="A164" s="50" t="str">
        <f>IF(ISBLANK(Data!C164),"",Data!C164)</f>
        <v>3949 White Owl Ct, Duluth, GA 30097</v>
      </c>
      <c r="B164" s="50">
        <f>IFERROR(MATCH($A164,Data!$C:$C,0),"")</f>
        <v>164</v>
      </c>
      <c r="C164" s="82">
        <f t="shared" ca="1" si="23"/>
        <v>37515</v>
      </c>
      <c r="D164" s="51">
        <f t="shared" ca="1" si="22"/>
        <v>116.66666666666667</v>
      </c>
      <c r="E164" s="52">
        <f t="shared" ca="1" si="24"/>
        <v>95.445736434108525</v>
      </c>
      <c r="F164" s="53">
        <f t="shared" ca="1" si="25"/>
        <v>254545.45454545456</v>
      </c>
      <c r="G164" s="52">
        <f t="shared" ca="1" si="26"/>
        <v>104.16666666666667</v>
      </c>
      <c r="H164" s="53">
        <f t="shared" ca="1" si="27"/>
        <v>272727.27272727271</v>
      </c>
      <c r="I164" s="52">
        <f t="shared" ca="1" si="28"/>
        <v>121.70542635658914</v>
      </c>
      <c r="J164" s="53">
        <f t="shared" ca="1" si="29"/>
        <v>272727.27272727271</v>
      </c>
      <c r="K164" s="52">
        <f t="shared" ca="1" si="30"/>
        <v>137.5</v>
      </c>
      <c r="L164" s="53">
        <f t="shared" ca="1" si="31"/>
        <v>272727.27272727271</v>
      </c>
    </row>
    <row r="165" spans="1:12" x14ac:dyDescent="0.45">
      <c r="A165" s="50" t="str">
        <f>IF(ISBLANK(Data!C165),"",Data!C165)</f>
        <v>3954 White Owl Ct, Duluth, GA 30097</v>
      </c>
      <c r="B165" s="50">
        <f>IFERROR(MATCH($A165,Data!$C:$C,0),"")</f>
        <v>165</v>
      </c>
      <c r="C165" s="82">
        <f t="shared" ca="1" si="23"/>
        <v>43546</v>
      </c>
      <c r="D165" s="51">
        <f t="shared" ref="D165:D185" ca="1" si="32">IFERROR(INDIRECT("Data!$I"&amp;$B165)/INDIRECT("Data!$G"&amp;$B165),"")</f>
        <v>194.56967213114754</v>
      </c>
      <c r="E165" s="52">
        <f t="shared" ca="1" si="24"/>
        <v>106.25</v>
      </c>
      <c r="F165" s="53">
        <f t="shared" ca="1" si="25"/>
        <v>155555.55555555556</v>
      </c>
      <c r="G165" s="52">
        <f t="shared" ca="1" si="26"/>
        <v>115.98360655737704</v>
      </c>
      <c r="H165" s="53">
        <f t="shared" ca="1" si="27"/>
        <v>166666.66666666669</v>
      </c>
      <c r="I165" s="52">
        <f t="shared" ca="1" si="28"/>
        <v>135.55327868852459</v>
      </c>
      <c r="J165" s="53">
        <f t="shared" ca="1" si="29"/>
        <v>166666.66666666669</v>
      </c>
      <c r="K165" s="52">
        <f t="shared" ca="1" si="30"/>
        <v>153.07377049180329</v>
      </c>
      <c r="L165" s="53">
        <f t="shared" ca="1" si="31"/>
        <v>166666.66666666669</v>
      </c>
    </row>
    <row r="166" spans="1:12" x14ac:dyDescent="0.45">
      <c r="A166" s="50" t="str">
        <f>IF(ISBLANK(Data!C166),"",Data!C166)</f>
        <v>3959 White Owl Ct, Duluth, GA 30097</v>
      </c>
      <c r="B166" s="50">
        <f>IFERROR(MATCH($A166,Data!$C:$C,0),"")</f>
        <v>166</v>
      </c>
      <c r="C166" s="82">
        <f t="shared" ca="1" si="23"/>
        <v>43537</v>
      </c>
      <c r="D166" s="51">
        <f t="shared" ca="1" si="32"/>
        <v>101.71102661596959</v>
      </c>
      <c r="E166" s="52">
        <f t="shared" ca="1" si="24"/>
        <v>94.961977186311785</v>
      </c>
      <c r="F166" s="53">
        <f t="shared" ca="1" si="25"/>
        <v>311111.11111111112</v>
      </c>
      <c r="G166" s="52">
        <f t="shared" ca="1" si="26"/>
        <v>103.70722433460077</v>
      </c>
      <c r="H166" s="53">
        <f t="shared" ca="1" si="27"/>
        <v>333333.33333333337</v>
      </c>
      <c r="I166" s="52">
        <f t="shared" ca="1" si="28"/>
        <v>121.1977186311787</v>
      </c>
      <c r="J166" s="53">
        <f t="shared" ca="1" si="29"/>
        <v>333333.33333333337</v>
      </c>
      <c r="K166" s="52">
        <f t="shared" ca="1" si="30"/>
        <v>136.88212927756655</v>
      </c>
      <c r="L166" s="53">
        <f t="shared" ca="1" si="31"/>
        <v>333333.33333333337</v>
      </c>
    </row>
    <row r="167" spans="1:12" x14ac:dyDescent="0.45">
      <c r="A167" s="50" t="str">
        <f>IF(ISBLANK(Data!C167),"",Data!C167)</f>
        <v>3964 White Owl Ct, Duluth, GA 30097</v>
      </c>
      <c r="B167" s="50">
        <f>IFERROR(MATCH($A167,Data!$C:$C,0),"")</f>
        <v>167</v>
      </c>
      <c r="C167" s="82">
        <f t="shared" ca="1" si="23"/>
        <v>39430</v>
      </c>
      <c r="D167" s="51">
        <f t="shared" ca="1" si="32"/>
        <v>133.15217391304347</v>
      </c>
      <c r="E167" s="52">
        <f t="shared" ca="1" si="24"/>
        <v>96.739130434782609</v>
      </c>
      <c r="F167" s="53">
        <f t="shared" ca="1" si="25"/>
        <v>254545.45454545456</v>
      </c>
      <c r="G167" s="52">
        <f t="shared" ca="1" si="26"/>
        <v>105.6159420289855</v>
      </c>
      <c r="H167" s="53">
        <f t="shared" ca="1" si="27"/>
        <v>272727.27272727271</v>
      </c>
      <c r="I167" s="52">
        <f t="shared" ca="1" si="28"/>
        <v>123.3695652173913</v>
      </c>
      <c r="J167" s="53">
        <f t="shared" ca="1" si="29"/>
        <v>272727.27272727271</v>
      </c>
      <c r="K167" s="52">
        <f t="shared" ca="1" si="30"/>
        <v>141.12318840579709</v>
      </c>
      <c r="L167" s="53">
        <f t="shared" ca="1" si="31"/>
        <v>272727.27272727271</v>
      </c>
    </row>
    <row r="168" spans="1:12" x14ac:dyDescent="0.45">
      <c r="A168" s="50" t="str">
        <f>IF(ISBLANK(Data!C168),"",Data!C168)</f>
        <v>3969 White Owl Ct, Duluth, GA 30097</v>
      </c>
      <c r="B168" s="50">
        <f>IFERROR(MATCH($A168,Data!$C:$C,0),"")</f>
        <v>168</v>
      </c>
      <c r="C168" s="82">
        <f t="shared" ca="1" si="23"/>
        <v>40947</v>
      </c>
      <c r="D168" s="51">
        <f t="shared" ca="1" si="32"/>
        <v>82.346491228070178</v>
      </c>
      <c r="E168" s="52">
        <f t="shared" ca="1" si="24"/>
        <v>107.89473684210526</v>
      </c>
      <c r="F168" s="53">
        <f t="shared" ca="1" si="25"/>
        <v>280000</v>
      </c>
      <c r="G168" s="52">
        <f t="shared" ca="1" si="26"/>
        <v>117.76315789473684</v>
      </c>
      <c r="H168" s="53">
        <f t="shared" ca="1" si="27"/>
        <v>300000</v>
      </c>
      <c r="I168" s="52">
        <f t="shared" ca="1" si="28"/>
        <v>137.60964912280701</v>
      </c>
      <c r="J168" s="53">
        <f t="shared" ca="1" si="29"/>
        <v>300000</v>
      </c>
      <c r="K168" s="52">
        <f t="shared" ca="1" si="30"/>
        <v>155.7017543859649</v>
      </c>
      <c r="L168" s="53">
        <f t="shared" ca="1" si="31"/>
        <v>300000</v>
      </c>
    </row>
    <row r="169" spans="1:12" x14ac:dyDescent="0.45">
      <c r="A169" s="50" t="str">
        <f>IF(ISBLANK(Data!C169),"",Data!C169)</f>
        <v>3974 White Owl Ct, Duluth, GA 30097</v>
      </c>
      <c r="B169" s="50">
        <f>IFERROR(MATCH($A169,Data!$C:$C,0),"")</f>
        <v>169</v>
      </c>
      <c r="C169" s="82">
        <f t="shared" ca="1" si="23"/>
        <v>38439</v>
      </c>
      <c r="D169" s="51">
        <f t="shared" ca="1" si="32"/>
        <v>131.34057971014494</v>
      </c>
      <c r="E169" s="52">
        <f t="shared" ca="1" si="24"/>
        <v>98.097826086956516</v>
      </c>
      <c r="F169" s="53">
        <f t="shared" ca="1" si="25"/>
        <v>254545.45454545456</v>
      </c>
      <c r="G169" s="52">
        <f t="shared" ca="1" si="26"/>
        <v>106.97463768115942</v>
      </c>
      <c r="H169" s="53">
        <f t="shared" ca="1" si="27"/>
        <v>272727.27272727271</v>
      </c>
      <c r="I169" s="52">
        <f t="shared" ca="1" si="28"/>
        <v>124.72826086956522</v>
      </c>
      <c r="J169" s="53">
        <f t="shared" ca="1" si="29"/>
        <v>272727.27272727271</v>
      </c>
      <c r="K169" s="52">
        <f t="shared" ca="1" si="30"/>
        <v>142.481884057971</v>
      </c>
      <c r="L169" s="53">
        <f t="shared" ca="1" si="31"/>
        <v>272727.27272727271</v>
      </c>
    </row>
    <row r="170" spans="1:12" x14ac:dyDescent="0.45">
      <c r="A170" s="50" t="str">
        <f>IF(ISBLANK(Data!C170),"",Data!C170)</f>
        <v>3979 White Owl Ct, Duluth, GA 30097</v>
      </c>
      <c r="B170" s="50">
        <f>IFERROR(MATCH($A170,Data!$C:$C,0),"")</f>
        <v>170</v>
      </c>
      <c r="C170" s="82">
        <f t="shared" ca="1" si="23"/>
        <v>41107</v>
      </c>
      <c r="D170" s="51">
        <f t="shared" ca="1" si="32"/>
        <v>77.60511882998172</v>
      </c>
      <c r="E170" s="52">
        <f t="shared" ca="1" si="24"/>
        <v>101.37111517367458</v>
      </c>
      <c r="F170" s="53">
        <f t="shared" ca="1" si="25"/>
        <v>254545.45454545456</v>
      </c>
      <c r="G170" s="52">
        <f t="shared" ca="1" si="26"/>
        <v>110.60329067641682</v>
      </c>
      <c r="H170" s="53">
        <f t="shared" ca="1" si="27"/>
        <v>272727.27272727271</v>
      </c>
      <c r="I170" s="52">
        <f t="shared" ca="1" si="28"/>
        <v>129.25045703839123</v>
      </c>
      <c r="J170" s="53">
        <f t="shared" ca="1" si="29"/>
        <v>272727.27272727271</v>
      </c>
      <c r="K170" s="52">
        <f t="shared" ca="1" si="30"/>
        <v>142.23034734917732</v>
      </c>
      <c r="L170" s="53">
        <f t="shared" ca="1" si="31"/>
        <v>272727.27272727271</v>
      </c>
    </row>
    <row r="171" spans="1:12" x14ac:dyDescent="0.45">
      <c r="A171" s="50" t="str">
        <f>IF(ISBLANK(Data!C171),"",Data!C171)</f>
        <v>3984 White Owl Ct, Duluth, GA 30097</v>
      </c>
      <c r="B171" s="50">
        <f>IFERROR(MATCH($A171,Data!$C:$C,0),"")</f>
        <v>171</v>
      </c>
      <c r="C171" s="82">
        <f t="shared" ca="1" si="23"/>
        <v>42223</v>
      </c>
      <c r="D171" s="51">
        <f t="shared" ca="1" si="32"/>
        <v>122.05387205387206</v>
      </c>
      <c r="E171" s="52">
        <f t="shared" ca="1" si="24"/>
        <v>90.82491582491582</v>
      </c>
      <c r="F171" s="53">
        <f t="shared" ca="1" si="25"/>
        <v>280000</v>
      </c>
      <c r="G171" s="52">
        <f t="shared" ca="1" si="26"/>
        <v>99.158249158249163</v>
      </c>
      <c r="H171" s="53">
        <f t="shared" ca="1" si="27"/>
        <v>300000</v>
      </c>
      <c r="I171" s="52">
        <f t="shared" ca="1" si="28"/>
        <v>115.90909090909091</v>
      </c>
      <c r="J171" s="53">
        <f t="shared" ca="1" si="29"/>
        <v>300000</v>
      </c>
      <c r="K171" s="52">
        <f t="shared" ca="1" si="30"/>
        <v>134.68013468013467</v>
      </c>
      <c r="L171" s="53">
        <f t="shared" ca="1" si="31"/>
        <v>300000</v>
      </c>
    </row>
    <row r="172" spans="1:12" x14ac:dyDescent="0.45">
      <c r="A172" s="50" t="str">
        <f>IF(ISBLANK(Data!C172),"",Data!C172)</f>
        <v>3989 White Owl Ct, Duluth, GA 30097</v>
      </c>
      <c r="B172" s="50">
        <f>IFERROR(MATCH($A172,Data!$C:$C,0),"")</f>
        <v>172</v>
      </c>
      <c r="C172" s="82">
        <f t="shared" ca="1" si="23"/>
        <v>37946</v>
      </c>
      <c r="D172" s="51">
        <f t="shared" ca="1" si="32"/>
        <v>127.02702702702703</v>
      </c>
      <c r="E172" s="52">
        <f t="shared" ca="1" si="24"/>
        <v>95.833333333333329</v>
      </c>
      <c r="F172" s="53">
        <f t="shared" ca="1" si="25"/>
        <v>280000</v>
      </c>
      <c r="G172" s="52">
        <f t="shared" ca="1" si="26"/>
        <v>104.61711711711712</v>
      </c>
      <c r="H172" s="53">
        <f t="shared" ca="1" si="27"/>
        <v>300000</v>
      </c>
      <c r="I172" s="52">
        <f t="shared" ca="1" si="28"/>
        <v>122.29729729729729</v>
      </c>
      <c r="J172" s="53">
        <f t="shared" ca="1" si="29"/>
        <v>300000</v>
      </c>
      <c r="K172" s="52">
        <f t="shared" ca="1" si="30"/>
        <v>136.26126126126127</v>
      </c>
      <c r="L172" s="53">
        <f t="shared" ca="1" si="31"/>
        <v>300000</v>
      </c>
    </row>
    <row r="173" spans="1:12" x14ac:dyDescent="0.45">
      <c r="A173" s="50" t="str">
        <f>IF(ISBLANK(Data!C173),"",Data!C173)</f>
        <v>3994 White Owl Ct, Duluth, GA 30097</v>
      </c>
      <c r="B173" s="50">
        <f>IFERROR(MATCH($A173,Data!$C:$C,0),"")</f>
        <v>173</v>
      </c>
      <c r="C173" s="82">
        <f t="shared" ca="1" si="23"/>
        <v>42024</v>
      </c>
      <c r="D173" s="51">
        <f t="shared" ca="1" si="32"/>
        <v>114.21319796954315</v>
      </c>
      <c r="E173" s="52">
        <f t="shared" ca="1" si="24"/>
        <v>90.524534686971236</v>
      </c>
      <c r="F173" s="53">
        <f t="shared" ca="1" si="25"/>
        <v>280000</v>
      </c>
      <c r="G173" s="52">
        <f t="shared" ca="1" si="26"/>
        <v>100.84602368866328</v>
      </c>
      <c r="H173" s="53">
        <f t="shared" ca="1" si="27"/>
        <v>300000</v>
      </c>
      <c r="I173" s="52">
        <f t="shared" ca="1" si="28"/>
        <v>117.85109983079526</v>
      </c>
      <c r="J173" s="53">
        <f t="shared" ca="1" si="29"/>
        <v>300000</v>
      </c>
      <c r="K173" s="52">
        <f t="shared" ca="1" si="30"/>
        <v>132.91032148900169</v>
      </c>
      <c r="L173" s="53">
        <f t="shared" ca="1" si="31"/>
        <v>300000</v>
      </c>
    </row>
    <row r="174" spans="1:12" x14ac:dyDescent="0.45">
      <c r="A174" s="50" t="str">
        <f>IF(ISBLANK(Data!C174),"",Data!C174)</f>
        <v>3999 White Owl Ct, Duluth, GA 30097</v>
      </c>
      <c r="B174" s="50">
        <f>IFERROR(MATCH($A174,Data!$C:$C,0),"")</f>
        <v>174</v>
      </c>
      <c r="C174" s="82">
        <f t="shared" ca="1" si="23"/>
        <v>34508</v>
      </c>
      <c r="D174" s="51">
        <f t="shared" ca="1" si="32"/>
        <v>85.28265107212475</v>
      </c>
      <c r="E174" s="52">
        <f t="shared" ca="1" si="24"/>
        <v>102.14424951267057</v>
      </c>
      <c r="F174" s="53">
        <f t="shared" ca="1" si="25"/>
        <v>280000</v>
      </c>
      <c r="G174" s="52">
        <f t="shared" ca="1" si="26"/>
        <v>111.5009746588694</v>
      </c>
      <c r="H174" s="53">
        <f t="shared" ca="1" si="27"/>
        <v>300000</v>
      </c>
      <c r="I174" s="52">
        <f t="shared" ca="1" si="28"/>
        <v>130.31189083820664</v>
      </c>
      <c r="J174" s="53">
        <f t="shared" ca="1" si="29"/>
        <v>300000</v>
      </c>
      <c r="K174" s="52">
        <f t="shared" ca="1" si="30"/>
        <v>147.36842105263159</v>
      </c>
      <c r="L174" s="53">
        <f t="shared" ca="1" si="31"/>
        <v>300000</v>
      </c>
    </row>
    <row r="175" spans="1:12" x14ac:dyDescent="0.45">
      <c r="A175" s="50" t="str">
        <f>IF(ISBLANK(Data!C175),"",Data!C175)</f>
        <v>4004 White Owl Ct, Duluth, GA 30097</v>
      </c>
      <c r="B175" s="50">
        <f>IFERROR(MATCH($A175,Data!$C:$C,0),"")</f>
        <v>175</v>
      </c>
      <c r="C175" s="82">
        <f t="shared" ca="1" si="23"/>
        <v>37596</v>
      </c>
      <c r="D175" s="51">
        <f t="shared" ca="1" si="32"/>
        <v>124.5019920318725</v>
      </c>
      <c r="E175" s="52">
        <f t="shared" ca="1" si="24"/>
        <v>102.78884462151395</v>
      </c>
      <c r="F175" s="53">
        <f t="shared" ca="1" si="25"/>
        <v>280000</v>
      </c>
      <c r="G175" s="52">
        <f t="shared" ca="1" si="26"/>
        <v>112.25099601593625</v>
      </c>
      <c r="H175" s="53">
        <f t="shared" ca="1" si="27"/>
        <v>300000</v>
      </c>
      <c r="I175" s="52">
        <f t="shared" ca="1" si="28"/>
        <v>131.17529880478088</v>
      </c>
      <c r="J175" s="53">
        <f t="shared" ca="1" si="29"/>
        <v>300000</v>
      </c>
      <c r="K175" s="52">
        <f t="shared" ca="1" si="30"/>
        <v>148.30677290836653</v>
      </c>
      <c r="L175" s="53">
        <f t="shared" ca="1" si="31"/>
        <v>300000</v>
      </c>
    </row>
    <row r="176" spans="1:12" x14ac:dyDescent="0.45">
      <c r="A176" s="50" t="str">
        <f>IF(ISBLANK(Data!C176),"",Data!C176)</f>
        <v>4014 White Owl Ct, Duluth, GA 30097</v>
      </c>
      <c r="B176" s="50">
        <f>IFERROR(MATCH($A176,Data!$C:$C,0),"")</f>
        <v>176</v>
      </c>
      <c r="C176" s="82">
        <f t="shared" ca="1" si="23"/>
        <v>41768</v>
      </c>
      <c r="D176" s="51">
        <f t="shared" ca="1" si="32"/>
        <v>127.33887733887734</v>
      </c>
      <c r="E176" s="52">
        <f t="shared" ca="1" si="24"/>
        <v>98.752598752598757</v>
      </c>
      <c r="F176" s="53">
        <f t="shared" ca="1" si="25"/>
        <v>280000</v>
      </c>
      <c r="G176" s="52">
        <f t="shared" ca="1" si="26"/>
        <v>107.79625779625779</v>
      </c>
      <c r="H176" s="53">
        <f t="shared" ca="1" si="27"/>
        <v>300000</v>
      </c>
      <c r="I176" s="52">
        <f t="shared" ca="1" si="28"/>
        <v>125.98752598752598</v>
      </c>
      <c r="J176" s="53">
        <f t="shared" ca="1" si="29"/>
        <v>300000</v>
      </c>
      <c r="K176" s="52">
        <f t="shared" ca="1" si="30"/>
        <v>141.78794178794178</v>
      </c>
      <c r="L176" s="53">
        <f t="shared" ca="1" si="31"/>
        <v>300000</v>
      </c>
    </row>
    <row r="177" spans="1:12" x14ac:dyDescent="0.45">
      <c r="A177" s="50" t="str">
        <f>IF(ISBLANK(Data!C177),"",Data!C177)</f>
        <v>4019 White Owl Ct, Duluth, GA 30097</v>
      </c>
      <c r="B177" s="50">
        <f>IFERROR(MATCH($A177,Data!$C:$C,0),"")</f>
        <v>177</v>
      </c>
      <c r="C177" s="82">
        <f t="shared" ca="1" si="23"/>
        <v>42688</v>
      </c>
      <c r="D177" s="51">
        <f t="shared" ca="1" si="32"/>
        <v>147.76951672862452</v>
      </c>
      <c r="E177" s="52">
        <f t="shared" ca="1" si="24"/>
        <v>104.27509293680298</v>
      </c>
      <c r="F177" s="53">
        <f t="shared" ca="1" si="25"/>
        <v>254545.45454545456</v>
      </c>
      <c r="G177" s="52">
        <f t="shared" ca="1" si="26"/>
        <v>120.72490706319702</v>
      </c>
      <c r="H177" s="53">
        <f t="shared" ca="1" si="27"/>
        <v>272727.27272727271</v>
      </c>
      <c r="I177" s="52">
        <f t="shared" ca="1" si="28"/>
        <v>139.68401486988847</v>
      </c>
      <c r="J177" s="53">
        <f t="shared" ca="1" si="29"/>
        <v>272727.27272727271</v>
      </c>
      <c r="K177" s="52">
        <f t="shared" ca="1" si="30"/>
        <v>156.2267657992565</v>
      </c>
      <c r="L177" s="53">
        <f t="shared" ca="1" si="31"/>
        <v>272727.27272727271</v>
      </c>
    </row>
    <row r="178" spans="1:12" x14ac:dyDescent="0.45">
      <c r="A178" s="50" t="str">
        <f>IF(ISBLANK(Data!C178),"",Data!C178)</f>
        <v>4024 White Owl Ct, Duluth, GA 30097</v>
      </c>
      <c r="B178" s="50">
        <f>IFERROR(MATCH($A178,Data!$C:$C,0),"")</f>
        <v>178</v>
      </c>
      <c r="C178" s="82">
        <f t="shared" ca="1" si="23"/>
        <v>39983</v>
      </c>
      <c r="D178" s="51">
        <f t="shared" ca="1" si="32"/>
        <v>121.82741116751269</v>
      </c>
      <c r="E178" s="52">
        <f t="shared" ca="1" si="24"/>
        <v>102.79187817258884</v>
      </c>
      <c r="F178" s="53">
        <f t="shared" ca="1" si="25"/>
        <v>254545.45454545456</v>
      </c>
      <c r="G178" s="52">
        <f t="shared" ca="1" si="26"/>
        <v>112.18274111675127</v>
      </c>
      <c r="H178" s="53">
        <f t="shared" ca="1" si="27"/>
        <v>272727.27272727271</v>
      </c>
      <c r="I178" s="52">
        <f t="shared" ca="1" si="28"/>
        <v>131.09137055837564</v>
      </c>
      <c r="J178" s="53">
        <f t="shared" ca="1" si="29"/>
        <v>272727.27272727271</v>
      </c>
      <c r="K178" s="52">
        <f t="shared" ca="1" si="30"/>
        <v>147.71573604060913</v>
      </c>
      <c r="L178" s="53">
        <f t="shared" ca="1" si="31"/>
        <v>272727.27272727271</v>
      </c>
    </row>
    <row r="179" spans="1:12" x14ac:dyDescent="0.45">
      <c r="A179" s="50" t="str">
        <f>IF(ISBLANK(Data!C179),"",Data!C179)</f>
        <v>4034 White Owl Ct, Duluth, GA 30097</v>
      </c>
      <c r="B179" s="50">
        <f>IFERROR(MATCH($A179,Data!$C:$C,0),"")</f>
        <v>179</v>
      </c>
      <c r="C179" s="82">
        <f t="shared" ca="1" si="23"/>
        <v>41939</v>
      </c>
      <c r="D179" s="51">
        <f t="shared" ca="1" si="32"/>
        <v>128.7037037037037</v>
      </c>
      <c r="E179" s="52">
        <f t="shared" ca="1" si="24"/>
        <v>97.407407407407405</v>
      </c>
      <c r="F179" s="53">
        <f t="shared" ca="1" si="25"/>
        <v>233333.33333333334</v>
      </c>
      <c r="G179" s="52">
        <f t="shared" ca="1" si="26"/>
        <v>106.29629629629629</v>
      </c>
      <c r="H179" s="53">
        <f t="shared" ca="1" si="27"/>
        <v>250000</v>
      </c>
      <c r="I179" s="52">
        <f t="shared" ca="1" si="28"/>
        <v>124.25925925925925</v>
      </c>
      <c r="J179" s="53">
        <f t="shared" ca="1" si="29"/>
        <v>250000</v>
      </c>
      <c r="K179" s="52">
        <f t="shared" ca="1" si="30"/>
        <v>143.7962962962963</v>
      </c>
      <c r="L179" s="53">
        <f t="shared" ca="1" si="31"/>
        <v>250000</v>
      </c>
    </row>
    <row r="180" spans="1:12" x14ac:dyDescent="0.45">
      <c r="A180" s="50" t="str">
        <f>IF(ISBLANK(Data!C180),"",Data!C180)</f>
        <v>4039 White Owl Ct, Duluth, GA 30097</v>
      </c>
      <c r="B180" s="50">
        <f>IFERROR(MATCH($A180,Data!$C:$C,0),"")</f>
        <v>180</v>
      </c>
      <c r="C180" s="82">
        <f t="shared" ca="1" si="23"/>
        <v>37606</v>
      </c>
      <c r="D180" s="51">
        <f t="shared" ca="1" si="32"/>
        <v>127.91828793774319</v>
      </c>
      <c r="E180" s="52">
        <f t="shared" ca="1" si="24"/>
        <v>103.40466926070039</v>
      </c>
      <c r="F180" s="53">
        <f t="shared" ca="1" si="25"/>
        <v>280000</v>
      </c>
      <c r="G180" s="52">
        <f t="shared" ca="1" si="26"/>
        <v>112.93774319066148</v>
      </c>
      <c r="H180" s="53">
        <f t="shared" ca="1" si="27"/>
        <v>300000</v>
      </c>
      <c r="I180" s="52">
        <f t="shared" ca="1" si="28"/>
        <v>132.00389105058366</v>
      </c>
      <c r="J180" s="53">
        <f t="shared" ca="1" si="29"/>
        <v>300000</v>
      </c>
      <c r="K180" s="52">
        <f t="shared" ca="1" si="30"/>
        <v>149.22178988326849</v>
      </c>
      <c r="L180" s="53">
        <f t="shared" ca="1" si="31"/>
        <v>300000</v>
      </c>
    </row>
    <row r="181" spans="1:12" x14ac:dyDescent="0.45">
      <c r="A181" s="50" t="str">
        <f>IF(ISBLANK(Data!C181),"",Data!C181)</f>
        <v>4044 White Owl Ct, Duluth, GA 30097</v>
      </c>
      <c r="B181" s="50">
        <f>IFERROR(MATCH($A181,Data!$C:$C,0),"")</f>
        <v>181</v>
      </c>
      <c r="C181" s="82">
        <f t="shared" ca="1" si="23"/>
        <v>43005</v>
      </c>
      <c r="D181" s="51">
        <f t="shared" ca="1" si="32"/>
        <v>175.43859649122808</v>
      </c>
      <c r="E181" s="52">
        <f t="shared" ca="1" si="24"/>
        <v>113.37719298245614</v>
      </c>
      <c r="F181" s="53">
        <f t="shared" ca="1" si="25"/>
        <v>254545.45454545456</v>
      </c>
      <c r="G181" s="52">
        <f t="shared" ca="1" si="26"/>
        <v>123.79385964912281</v>
      </c>
      <c r="H181" s="53">
        <f t="shared" ca="1" si="27"/>
        <v>272727.27272727271</v>
      </c>
      <c r="I181" s="52">
        <f t="shared" ca="1" si="28"/>
        <v>142.54385964912279</v>
      </c>
      <c r="J181" s="53">
        <f t="shared" ca="1" si="29"/>
        <v>272727.27272727271</v>
      </c>
      <c r="K181" s="52">
        <f t="shared" ca="1" si="30"/>
        <v>163.48684210526315</v>
      </c>
      <c r="L181" s="53">
        <f t="shared" ca="1" si="31"/>
        <v>272727.27272727271</v>
      </c>
    </row>
    <row r="182" spans="1:12" x14ac:dyDescent="0.45">
      <c r="A182" s="50" t="str">
        <f>IF(ISBLANK(Data!C182),"",Data!C182)</f>
        <v>4049 White Owl Ct, Duluth, GA 30097</v>
      </c>
      <c r="B182" s="50">
        <f>IFERROR(MATCH($A182,Data!$C:$C,0),"")</f>
        <v>182</v>
      </c>
      <c r="C182" s="82">
        <f t="shared" ca="1" si="23"/>
        <v>40675</v>
      </c>
      <c r="D182" s="51">
        <f t="shared" ca="1" si="32"/>
        <v>94.696969696969703</v>
      </c>
      <c r="E182" s="52">
        <f t="shared" ca="1" si="24"/>
        <v>97.878787878787875</v>
      </c>
      <c r="F182" s="53">
        <f t="shared" ca="1" si="25"/>
        <v>280000</v>
      </c>
      <c r="G182" s="52">
        <f t="shared" ca="1" si="26"/>
        <v>106.81818181818181</v>
      </c>
      <c r="H182" s="53">
        <f t="shared" ca="1" si="27"/>
        <v>300000</v>
      </c>
      <c r="I182" s="52">
        <f t="shared" ca="1" si="28"/>
        <v>124.84848484848484</v>
      </c>
      <c r="J182" s="53">
        <f t="shared" ca="1" si="29"/>
        <v>300000</v>
      </c>
      <c r="K182" s="52">
        <f t="shared" ca="1" si="30"/>
        <v>135.75757575757575</v>
      </c>
      <c r="L182" s="53">
        <f t="shared" ca="1" si="31"/>
        <v>300000</v>
      </c>
    </row>
    <row r="183" spans="1:12" x14ac:dyDescent="0.45">
      <c r="A183" s="50" t="str">
        <f>IF(ISBLANK(Data!C183),"",Data!C183)</f>
        <v>4054 White Owl Ct, Duluth, GA 30097</v>
      </c>
      <c r="B183" s="50">
        <f>IFERROR(MATCH($A183,Data!$C:$C,0),"")</f>
        <v>183</v>
      </c>
      <c r="C183" s="82">
        <f t="shared" ca="1" si="23"/>
        <v>41376</v>
      </c>
      <c r="D183" s="51">
        <f t="shared" ca="1" si="32"/>
        <v>126.72811059907833</v>
      </c>
      <c r="E183" s="52">
        <f t="shared" ca="1" si="24"/>
        <v>107.94930875576037</v>
      </c>
      <c r="F183" s="53">
        <f t="shared" ca="1" si="25"/>
        <v>254545.45454545456</v>
      </c>
      <c r="G183" s="52">
        <f t="shared" ca="1" si="26"/>
        <v>117.85714285714286</v>
      </c>
      <c r="H183" s="53">
        <f t="shared" ca="1" si="27"/>
        <v>272727.27272727271</v>
      </c>
      <c r="I183" s="52">
        <f t="shared" ca="1" si="28"/>
        <v>137.67281105990784</v>
      </c>
      <c r="J183" s="53">
        <f t="shared" ca="1" si="29"/>
        <v>272727.27272727271</v>
      </c>
      <c r="K183" s="52">
        <f t="shared" ca="1" si="30"/>
        <v>155.41474654377879</v>
      </c>
      <c r="L183" s="53">
        <f t="shared" ca="1" si="31"/>
        <v>272727.27272727271</v>
      </c>
    </row>
    <row r="184" spans="1:12" x14ac:dyDescent="0.45">
      <c r="A184" s="50" t="str">
        <f>IF(ISBLANK(Data!C184),"",Data!C184)</f>
        <v>4059 White Owl Ct, Duluth, GA 30097</v>
      </c>
      <c r="B184" s="50">
        <f>IFERROR(MATCH($A184,Data!$C:$C,0),"")</f>
        <v>184</v>
      </c>
      <c r="C184" s="82">
        <f t="shared" ca="1" si="23"/>
        <v>38043</v>
      </c>
      <c r="D184" s="51">
        <f t="shared" ca="1" si="32"/>
        <v>121.17117117117117</v>
      </c>
      <c r="E184" s="52">
        <f t="shared" ca="1" si="24"/>
        <v>94.324324324324323</v>
      </c>
      <c r="F184" s="53">
        <f t="shared" ca="1" si="25"/>
        <v>140000</v>
      </c>
      <c r="G184" s="52">
        <f t="shared" ca="1" si="26"/>
        <v>102.97297297297297</v>
      </c>
      <c r="H184" s="53">
        <f t="shared" ca="1" si="27"/>
        <v>150000</v>
      </c>
      <c r="I184" s="52">
        <f t="shared" ca="1" si="28"/>
        <v>120.27027027027027</v>
      </c>
      <c r="J184" s="53">
        <f t="shared" ca="1" si="29"/>
        <v>150000</v>
      </c>
      <c r="K184" s="52">
        <f t="shared" ca="1" si="30"/>
        <v>136.84684684684686</v>
      </c>
      <c r="L184" s="53">
        <f t="shared" ca="1" si="31"/>
        <v>150000</v>
      </c>
    </row>
    <row r="185" spans="1:12" x14ac:dyDescent="0.45">
      <c r="A185" s="50" t="str">
        <f>IF(ISBLANK(Data!C185),"",Data!C185)</f>
        <v>4064 White Owl Ct, Duluth, GA 30097</v>
      </c>
      <c r="B185" s="50">
        <f>IFERROR(MATCH($A185,Data!$C:$C,0),"")</f>
        <v>185</v>
      </c>
      <c r="C185" s="82">
        <f t="shared" ca="1" si="23"/>
        <v>42062</v>
      </c>
      <c r="D185" s="51">
        <f t="shared" ca="1" si="32"/>
        <v>105.93900481540931</v>
      </c>
      <c r="E185" s="52">
        <f t="shared" ca="1" si="24"/>
        <v>83.467094703049753</v>
      </c>
      <c r="F185" s="53">
        <f t="shared" ca="1" si="25"/>
        <v>164705.88235294117</v>
      </c>
      <c r="G185" s="52">
        <f t="shared" ca="1" si="26"/>
        <v>115.8908507223114</v>
      </c>
      <c r="H185" s="53">
        <f t="shared" ca="1" si="27"/>
        <v>176470.5882352941</v>
      </c>
      <c r="I185" s="52">
        <f t="shared" ca="1" si="28"/>
        <v>135.47351524879616</v>
      </c>
      <c r="J185" s="53">
        <f t="shared" ca="1" si="29"/>
        <v>176470.5882352941</v>
      </c>
      <c r="K185" s="52">
        <f t="shared" ca="1" si="30"/>
        <v>149.59871589085071</v>
      </c>
      <c r="L185" s="53">
        <f t="shared" ca="1" si="31"/>
        <v>176470.5882352941</v>
      </c>
    </row>
  </sheetData>
  <mergeCells count="9">
    <mergeCell ref="A1:D1"/>
    <mergeCell ref="E2:F2"/>
    <mergeCell ref="G2:H2"/>
    <mergeCell ref="I2:J2"/>
    <mergeCell ref="K2:L2"/>
    <mergeCell ref="E1:F1"/>
    <mergeCell ref="G1:H1"/>
    <mergeCell ref="I1:J1"/>
    <mergeCell ref="K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185"/>
  <sheetViews>
    <sheetView showGridLines="0" zoomScale="85" zoomScaleNormal="85" workbookViewId="0">
      <selection activeCell="A5" sqref="A5"/>
    </sheetView>
  </sheetViews>
  <sheetFormatPr defaultRowHeight="14.25" x14ac:dyDescent="0.45"/>
  <cols>
    <col min="1" max="1" width="37" customWidth="1"/>
    <col min="2" max="2" width="9.1328125" customWidth="1"/>
    <col min="3" max="4" width="14" bestFit="1" customWidth="1"/>
    <col min="5" max="6" width="14.3984375" customWidth="1"/>
    <col min="7" max="7" width="10.73046875" bestFit="1" customWidth="1"/>
    <col min="8" max="8" width="10.9296875" customWidth="1"/>
    <col min="9" max="9" width="11" customWidth="1"/>
    <col min="10" max="10" width="10.73046875" bestFit="1" customWidth="1"/>
    <col min="11" max="11" width="11.265625" customWidth="1"/>
    <col min="12" max="12" width="11.59765625" bestFit="1" customWidth="1"/>
    <col min="13" max="13" width="10.73046875" bestFit="1" customWidth="1"/>
    <col min="14" max="15" width="11.265625" customWidth="1"/>
  </cols>
  <sheetData>
    <row r="1" spans="1:17" x14ac:dyDescent="0.45">
      <c r="A1" s="123" t="s">
        <v>48</v>
      </c>
      <c r="B1" s="123"/>
      <c r="C1" s="57">
        <f>MAX(Data!2:2)</f>
        <v>2019</v>
      </c>
      <c r="G1" s="121"/>
      <c r="H1" s="121"/>
      <c r="I1" s="121"/>
      <c r="J1" s="121" t="s">
        <v>22</v>
      </c>
      <c r="K1" s="121"/>
      <c r="L1" s="121"/>
      <c r="M1" s="121" t="s">
        <v>22</v>
      </c>
      <c r="N1" s="121"/>
      <c r="O1" s="121"/>
    </row>
    <row r="2" spans="1:17" x14ac:dyDescent="0.45">
      <c r="A2" s="80"/>
      <c r="C2" s="95"/>
      <c r="G2" s="124">
        <v>2017</v>
      </c>
      <c r="H2" s="125"/>
      <c r="I2" s="125"/>
      <c r="J2" s="126">
        <f>G2+1</f>
        <v>2018</v>
      </c>
      <c r="K2" s="125"/>
      <c r="L2" s="127"/>
      <c r="M2" s="126">
        <f>J2+1</f>
        <v>2019</v>
      </c>
      <c r="N2" s="125"/>
      <c r="O2" s="127"/>
    </row>
    <row r="3" spans="1:17" ht="46.5" customHeight="1" x14ac:dyDescent="0.45">
      <c r="A3" s="12" t="str">
        <f>Data!C3</f>
        <v>Address</v>
      </c>
      <c r="B3" s="3" t="s">
        <v>14</v>
      </c>
      <c r="C3" s="86" t="str">
        <f>"2016 to "&amp;$C$1&amp;" Delta Appraised ($)"</f>
        <v>2016 to 2019 Delta Appraised ($)</v>
      </c>
      <c r="D3" s="87" t="str">
        <f>"2016 to "&amp;$C$1&amp;" Delta Appraised (%)"</f>
        <v>2016 to 2019 Delta Appraised (%)</v>
      </c>
      <c r="E3" s="88" t="s">
        <v>20</v>
      </c>
      <c r="F3" s="89" t="s">
        <v>21</v>
      </c>
      <c r="G3" s="90" t="str">
        <f>CONCATENATE(RIGHT(G$2,2)-1,"/",RIGHT(G$2,2)," Delta Appraised ($)")</f>
        <v>16/17 Delta Appraised ($)</v>
      </c>
      <c r="H3" s="91" t="str">
        <f>CONCATENATE(RIGHT(G$2,2)-1,"/",RIGHT(G$2,2)," Delta Appraised (%)")</f>
        <v>16/17 Delta Appraised (%)</v>
      </c>
      <c r="I3" s="93" t="str">
        <f>CONCATENATE(RIGHT(G$2,2)-1,"/",RIGHT(G$2,2)," Delta Appraised $/sqft")</f>
        <v>16/17 Delta Appraised $/sqft</v>
      </c>
      <c r="J3" s="94" t="str">
        <f>CONCATENATE(RIGHT(J$2,2)-1,"/",RIGHT(J$2,2)," Delta Appraised ($)")</f>
        <v>17/18 Delta Appraised ($)</v>
      </c>
      <c r="K3" s="91" t="str">
        <f>CONCATENATE(RIGHT(J$2,2)-1,"/",RIGHT(J$2,2)," Delta Appraised (%)")</f>
        <v>17/18 Delta Appraised (%)</v>
      </c>
      <c r="L3" s="93" t="str">
        <f>CONCATENATE(RIGHT(J$2,2)-1,"/",RIGHT(J$2,2)," Delta Appraised $/sqft")</f>
        <v>17/18 Delta Appraised $/sqft</v>
      </c>
      <c r="M3" s="94" t="str">
        <f>CONCATENATE(RIGHT(M$2,2)-1,"/",RIGHT(M$2,2)," Delta Appraised ($)")</f>
        <v>18/19 Delta Appraised ($)</v>
      </c>
      <c r="N3" s="91" t="str">
        <f>CONCATENATE(RIGHT(M$2,2)-1,"/",RIGHT(M$2,2)," Delta Appraised (%)")</f>
        <v>18/19 Delta Appraised (%)</v>
      </c>
      <c r="O3" s="92" t="str">
        <f>CONCATENATE(RIGHT(M$2,2)-1,"/",RIGHT(M$2,2)," Delta Appraised $/sqft")</f>
        <v>18/19 Delta Appraised $/sqft</v>
      </c>
    </row>
    <row r="4" spans="1:17" ht="28.5" hidden="1" x14ac:dyDescent="0.45">
      <c r="A4" s="12"/>
      <c r="B4" s="3"/>
      <c r="C4" s="49" t="str">
        <f ca="1">CONCATENATE("Data!",SUBSTITUTE(ADDRESS(1,MATCH(CONCATENATE($C$1," Appraised Total Value"),INDIRECT("Data!3:3"),0),4),1,""))</f>
        <v>Data!S</v>
      </c>
      <c r="D4" s="3"/>
      <c r="E4" s="16"/>
      <c r="F4" s="58"/>
      <c r="G4" s="49" t="str">
        <f ca="1">CONCATENATE("Data!",SUBSTITUTE(ADDRESS(1,MATCH(CONCATENATE(G$2," Appraised Total Value"),INDIRECT("Data!3:3"),0),4),1,""))</f>
        <v>Data!M</v>
      </c>
      <c r="H4" s="61"/>
      <c r="I4" s="14" t="str">
        <f ca="1">CONCATENATE("Calculations!",SUBSTITUTE(ADDRESS(1,MATCH(CONCATENATE(G$2," Appraised $/sqft"),INDIRECT("Calculations!3:3"),0),4),1,""))</f>
        <v>Calculations!G</v>
      </c>
      <c r="J4" s="49" t="str">
        <f ca="1">CONCATENATE("Data!",SUBSTITUTE(ADDRESS(1,MATCH(CONCATENATE(J$2," Appraised Total Value"),INDIRECT("Data!3:3"),0),4),1,""))</f>
        <v>Data!P</v>
      </c>
      <c r="K4" s="2"/>
      <c r="L4" s="14" t="str">
        <f ca="1">CONCATENATE("Calculations!",SUBSTITUTE(ADDRESS(1,MATCH(CONCATENATE(J$2," Appraised $/sqft"),INDIRECT("Calculations!3:3"),0),4),1,""))</f>
        <v>Calculations!I</v>
      </c>
      <c r="M4" s="49" t="str">
        <f ca="1">CONCATENATE("Data!",SUBSTITUTE(ADDRESS(1,MATCH(CONCATENATE(M$2," Appraised Total Value"),INDIRECT("Data!3:3"),0),4),1,""))</f>
        <v>Data!S</v>
      </c>
      <c r="N4" s="3"/>
      <c r="O4" s="67" t="str">
        <f ca="1">CONCATENATE("Calculations!",SUBSTITUTE(ADDRESS(1,MATCH(CONCATENATE(M$2," Appraised $/sqft"),INDIRECT("Calculations!3:3"),0),4),1,""))</f>
        <v>Calculations!K</v>
      </c>
    </row>
    <row r="5" spans="1:17" x14ac:dyDescent="0.45">
      <c r="A5" s="54" t="str">
        <f>IF(ISBLANK(Data!C5),"",Data!C5)</f>
        <v>2462 Albion Farm Way, Duluth, GA 30097</v>
      </c>
      <c r="B5" s="50">
        <f>IFERROR(MATCH($A5,Data!$C:$C,0),"")</f>
        <v>5</v>
      </c>
      <c r="C5" s="55">
        <f ca="1">IFERROR(INDIRECT($C$4&amp;$B5)-INDIRECT("Data!J"&amp;$B5),"")</f>
        <v>50200</v>
      </c>
      <c r="D5" s="64">
        <f t="shared" ref="D5:D36" ca="1" si="0">IFERROR($C5/INDIRECT("Data!J"&amp;$B5),"")</f>
        <v>0.34336525307797539</v>
      </c>
      <c r="E5" s="56">
        <f t="shared" ref="E5:E36" ca="1" si="1">IFERROR($C5/($C$1-2016),"")</f>
        <v>16733.333333333332</v>
      </c>
      <c r="F5" s="65">
        <f t="shared" ref="F5:F36" ca="1" si="2">IFERROR($E5/INDIRECT("Data!$J"&amp;$B5),"")</f>
        <v>0.11445508435932512</v>
      </c>
      <c r="G5" s="59">
        <f ca="1">IFERROR(INDIRECT(G$4&amp;$B5)-INDIRECT("Data!$J"&amp;$B5),"")</f>
        <v>12900</v>
      </c>
      <c r="H5" s="64">
        <f ca="1">IFERROR(G5/INDIRECT("Data!$J"&amp;$B5),"")</f>
        <v>8.8235294117647065E-2</v>
      </c>
      <c r="I5" s="60">
        <f ca="1">IFERROR(INDIRECT(I$4&amp;$B5)-INDIRECT("Calculations!$E"&amp;$B5),"")</f>
        <v>9.4618055555555571</v>
      </c>
      <c r="J5" s="63">
        <f ca="1">IFERROR(INDIRECT(J$4&amp;$B5)-INDIRECT(G$4&amp;$B5),"")</f>
        <v>21700</v>
      </c>
      <c r="K5" s="64">
        <f ca="1">IFERROR(J5/INDIRECT(G$4&amp;$B5),"")</f>
        <v>0.13639220615964803</v>
      </c>
      <c r="L5" s="62">
        <f ca="1">IFERROR(INDIRECT(L$4&amp;$B5)-INDIRECT(I$4&amp;$B5),"")</f>
        <v>18.836805555555543</v>
      </c>
      <c r="M5" s="63">
        <f ca="1">IFERROR(INDIRECT(M$4&amp;$B5)-INDIRECT(J$4&amp;$B5),"")</f>
        <v>15600</v>
      </c>
      <c r="N5" s="64">
        <f ca="1">IFERROR(M5/INDIRECT(J$4&amp;$B5),"")</f>
        <v>8.628318584070796E-2</v>
      </c>
      <c r="O5" s="62">
        <f ca="1">IFERROR(INDIRECT(O$4&amp;$B5)-INDIRECT(L$4&amp;$B5),"")</f>
        <v>13.541666666666686</v>
      </c>
      <c r="P5" s="11"/>
    </row>
    <row r="6" spans="1:17" x14ac:dyDescent="0.45">
      <c r="A6" s="54" t="str">
        <f>IF(ISBLANK(Data!C6),"",Data!C6)</f>
        <v>2467 Albion Farm Way, Duluth, GA 30097</v>
      </c>
      <c r="B6" s="50">
        <f>IFERROR(MATCH($A6,Data!$C:$C,0),"")</f>
        <v>6</v>
      </c>
      <c r="C6" s="55">
        <f t="shared" ref="C6:C69" ca="1" si="3">IFERROR(INDIRECT($C$4&amp;$B6)-INDIRECT("Data!J"&amp;$B6),"")</f>
        <v>55100</v>
      </c>
      <c r="D6" s="64">
        <f t="shared" ca="1" si="0"/>
        <v>0.39840925524222703</v>
      </c>
      <c r="E6" s="56">
        <f t="shared" ca="1" si="1"/>
        <v>18366.666666666668</v>
      </c>
      <c r="F6" s="65">
        <f t="shared" ca="1" si="2"/>
        <v>0.13280308508074234</v>
      </c>
      <c r="G6" s="59">
        <f t="shared" ref="G6:G69" ca="1" si="4">IFERROR(INDIRECT(G$4&amp;$B6)-INDIRECT("Data!$J"&amp;$B6),"")</f>
        <v>12100</v>
      </c>
      <c r="H6" s="64">
        <f t="shared" ref="H6:H69" ca="1" si="5">IFERROR(G6/INDIRECT("Data!$J"&amp;$B6),"")</f>
        <v>8.7490961677512649E-2</v>
      </c>
      <c r="I6" s="60">
        <f t="shared" ref="I6:I69" ca="1" si="6">IFERROR(INDIRECT(I$4&amp;$B6)-INDIRECT("Calculations!$E"&amp;$B6),"")</f>
        <v>8.2922824302134615</v>
      </c>
      <c r="J6" s="63">
        <f t="shared" ref="J6:J69" ca="1" si="7">IFERROR(INDIRECT(J$4&amp;$B6)-INDIRECT(G$4&amp;$B6),"")</f>
        <v>20300</v>
      </c>
      <c r="K6" s="64">
        <f t="shared" ref="K6:K69" ca="1" si="8">IFERROR(J6/INDIRECT(G$4&amp;$B6),"")</f>
        <v>0.13497340425531915</v>
      </c>
      <c r="L6" s="62">
        <f t="shared" ref="L6:L69" ca="1" si="9">IFERROR(INDIRECT(L$4&amp;$B6)-INDIRECT(I$4&amp;$B6),"")</f>
        <v>16.666666666666671</v>
      </c>
      <c r="M6" s="63">
        <f t="shared" ref="M6:M69" ca="1" si="10">IFERROR(INDIRECT("Data!S"&amp;$B6)-INDIRECT("Data!$P"&amp;$B6),"")</f>
        <v>22700</v>
      </c>
      <c r="N6" s="64">
        <f t="shared" ref="N6:N69" ca="1" si="11">IFERROR(M6/INDIRECT(J$4&amp;$B6),"")</f>
        <v>0.1329818394844757</v>
      </c>
      <c r="O6" s="62">
        <f t="shared" ref="O6:O69" ca="1" si="12">IFERROR(INDIRECT(O$4&amp;$B6)-INDIRECT(L$4&amp;$B6),"")</f>
        <v>18.637110016420365</v>
      </c>
    </row>
    <row r="7" spans="1:17" x14ac:dyDescent="0.45">
      <c r="A7" s="54" t="str">
        <f>IF(ISBLANK(Data!C7),"",Data!C7)</f>
        <v>2472 Albion Farm Way, Duluth, GA 30097</v>
      </c>
      <c r="B7" s="50">
        <f>IFERROR(MATCH($A7,Data!$C:$C,0),"")</f>
        <v>7</v>
      </c>
      <c r="C7" s="55">
        <f t="shared" ca="1" si="3"/>
        <v>48800</v>
      </c>
      <c r="D7" s="64">
        <f t="shared" ca="1" si="0"/>
        <v>0.37025796661608495</v>
      </c>
      <c r="E7" s="56">
        <f t="shared" ca="1" si="1"/>
        <v>16266.666666666666</v>
      </c>
      <c r="F7" s="65">
        <f t="shared" ca="1" si="2"/>
        <v>0.12341932220536166</v>
      </c>
      <c r="G7" s="59">
        <f t="shared" ca="1" si="4"/>
        <v>11500</v>
      </c>
      <c r="H7" s="64">
        <f t="shared" ca="1" si="5"/>
        <v>8.7253414264036419E-2</v>
      </c>
      <c r="I7" s="60">
        <f t="shared" ca="1" si="6"/>
        <v>8.6050724637681242</v>
      </c>
      <c r="J7" s="63">
        <f t="shared" ca="1" si="7"/>
        <v>19100</v>
      </c>
      <c r="K7" s="64">
        <f t="shared" ca="1" si="8"/>
        <v>0.1332868108862526</v>
      </c>
      <c r="L7" s="62">
        <f t="shared" ca="1" si="9"/>
        <v>17.300724637681157</v>
      </c>
      <c r="M7" s="63">
        <f t="shared" ca="1" si="10"/>
        <v>18200</v>
      </c>
      <c r="N7" s="64">
        <f t="shared" ca="1" si="11"/>
        <v>0.11206896551724138</v>
      </c>
      <c r="O7" s="62">
        <f t="shared" ca="1" si="12"/>
        <v>16.485507246376812</v>
      </c>
    </row>
    <row r="8" spans="1:17" x14ac:dyDescent="0.45">
      <c r="A8" s="54" t="str">
        <f>IF(ISBLANK(Data!C8),"",Data!C8)</f>
        <v>2477 Albion Farm Way, Duluth, GA 30097</v>
      </c>
      <c r="B8" s="50">
        <f>IFERROR(MATCH($A8,Data!$C:$C,0),"")</f>
        <v>8</v>
      </c>
      <c r="C8" s="55">
        <f t="shared" ca="1" si="3"/>
        <v>46900</v>
      </c>
      <c r="D8" s="64">
        <f t="shared" ca="1" si="0"/>
        <v>0.35476550680786689</v>
      </c>
      <c r="E8" s="56">
        <f t="shared" ca="1" si="1"/>
        <v>15633.333333333334</v>
      </c>
      <c r="F8" s="65">
        <f t="shared" ca="1" si="2"/>
        <v>0.11825516893595563</v>
      </c>
      <c r="G8" s="59">
        <f t="shared" ca="1" si="4"/>
        <v>11600</v>
      </c>
      <c r="H8" s="64">
        <f t="shared" ca="1" si="5"/>
        <v>8.7745839636913764E-2</v>
      </c>
      <c r="I8" s="60">
        <f t="shared" ca="1" si="6"/>
        <v>10.470085470085465</v>
      </c>
      <c r="J8" s="63">
        <f t="shared" ca="1" si="7"/>
        <v>19200</v>
      </c>
      <c r="K8" s="64">
        <f t="shared" ca="1" si="8"/>
        <v>0.13351877607788595</v>
      </c>
      <c r="L8" s="62">
        <f t="shared" ca="1" si="9"/>
        <v>20.512820512820511</v>
      </c>
      <c r="M8" s="63">
        <f t="shared" ca="1" si="10"/>
        <v>16100</v>
      </c>
      <c r="N8" s="64">
        <f t="shared" ca="1" si="11"/>
        <v>9.8773006134969324E-2</v>
      </c>
      <c r="O8" s="62">
        <f t="shared" ca="1" si="12"/>
        <v>17.200854700854705</v>
      </c>
    </row>
    <row r="9" spans="1:17" x14ac:dyDescent="0.45">
      <c r="A9" s="54" t="str">
        <f>IF(ISBLANK(Data!C9),"",Data!C9)</f>
        <v>2482 Albion Farm Way, Duluth, GA 30097</v>
      </c>
      <c r="B9" s="50">
        <f>IFERROR(MATCH($A9,Data!$C:$C,0),"")</f>
        <v>9</v>
      </c>
      <c r="C9" s="55">
        <f t="shared" ca="1" si="3"/>
        <v>44400</v>
      </c>
      <c r="D9" s="64">
        <f t="shared" ca="1" si="0"/>
        <v>0.3595141700404858</v>
      </c>
      <c r="E9" s="56">
        <f t="shared" ca="1" si="1"/>
        <v>14800</v>
      </c>
      <c r="F9" s="65">
        <f t="shared" ca="1" si="2"/>
        <v>0.11983805668016194</v>
      </c>
      <c r="G9" s="59">
        <f t="shared" ca="1" si="4"/>
        <v>10800</v>
      </c>
      <c r="H9" s="64">
        <f t="shared" ca="1" si="5"/>
        <v>8.7449392712550603E-2</v>
      </c>
      <c r="I9" s="60">
        <f t="shared" ca="1" si="6"/>
        <v>10.114942528735639</v>
      </c>
      <c r="J9" s="63">
        <f t="shared" ca="1" si="7"/>
        <v>17600</v>
      </c>
      <c r="K9" s="64">
        <f t="shared" ca="1" si="8"/>
        <v>0.13104988830975428</v>
      </c>
      <c r="L9" s="62">
        <f t="shared" ca="1" si="9"/>
        <v>20.229885057471265</v>
      </c>
      <c r="M9" s="63">
        <f t="shared" ca="1" si="10"/>
        <v>16000</v>
      </c>
      <c r="N9" s="64">
        <f t="shared" ca="1" si="11"/>
        <v>0.10533245556287031</v>
      </c>
      <c r="O9" s="62">
        <f t="shared" ca="1" si="12"/>
        <v>18.390804597701134</v>
      </c>
    </row>
    <row r="10" spans="1:17" x14ac:dyDescent="0.45">
      <c r="A10" s="54" t="str">
        <f>IF(ISBLANK(Data!C10),"",Data!C10)</f>
        <v>2487 Albion Farm Way, Duluth, GA 30097</v>
      </c>
      <c r="B10" s="50">
        <f>IFERROR(MATCH($A10,Data!$C:$C,0),"")</f>
        <v>10</v>
      </c>
      <c r="C10" s="55">
        <f t="shared" ca="1" si="3"/>
        <v>46900</v>
      </c>
      <c r="D10" s="64">
        <f t="shared" ca="1" si="0"/>
        <v>0.36929133858267715</v>
      </c>
      <c r="E10" s="56">
        <f t="shared" ca="1" si="1"/>
        <v>15633.333333333334</v>
      </c>
      <c r="F10" s="65">
        <f t="shared" ca="1" si="2"/>
        <v>0.12309711286089239</v>
      </c>
      <c r="G10" s="59">
        <f t="shared" ca="1" si="4"/>
        <v>12600</v>
      </c>
      <c r="H10" s="64">
        <f t="shared" ca="1" si="5"/>
        <v>9.9212598425196849E-2</v>
      </c>
      <c r="I10" s="60">
        <f t="shared" ca="1" si="6"/>
        <v>11.622807017543863</v>
      </c>
      <c r="J10" s="63">
        <f t="shared" ca="1" si="7"/>
        <v>18500</v>
      </c>
      <c r="K10" s="64">
        <f t="shared" ca="1" si="8"/>
        <v>0.13252148997134672</v>
      </c>
      <c r="L10" s="62">
        <f t="shared" ca="1" si="9"/>
        <v>20.285087719298247</v>
      </c>
      <c r="M10" s="63">
        <f t="shared" ca="1" si="10"/>
        <v>15800</v>
      </c>
      <c r="N10" s="64">
        <f t="shared" ca="1" si="11"/>
        <v>9.9936748893105623E-2</v>
      </c>
      <c r="O10" s="62">
        <f t="shared" ca="1" si="12"/>
        <v>17.324561403508767</v>
      </c>
    </row>
    <row r="11" spans="1:17" x14ac:dyDescent="0.45">
      <c r="A11" s="54" t="str">
        <f>IF(ISBLANK(Data!C11),"",Data!C11)</f>
        <v>2492 Albion Farm Way, Duluth, GA 30097</v>
      </c>
      <c r="B11" s="50">
        <f>IFERROR(MATCH($A11,Data!$C:$C,0),"")</f>
        <v>11</v>
      </c>
      <c r="C11" s="55">
        <f t="shared" ca="1" si="3"/>
        <v>43900</v>
      </c>
      <c r="D11" s="64">
        <f t="shared" ca="1" si="0"/>
        <v>0.34431372549019607</v>
      </c>
      <c r="E11" s="56">
        <f t="shared" ca="1" si="1"/>
        <v>14633.333333333334</v>
      </c>
      <c r="F11" s="65">
        <f t="shared" ca="1" si="2"/>
        <v>0.11477124183006536</v>
      </c>
      <c r="G11" s="59">
        <f t="shared" ca="1" si="4"/>
        <v>11100</v>
      </c>
      <c r="H11" s="64">
        <f t="shared" ca="1" si="5"/>
        <v>8.7058823529411758E-2</v>
      </c>
      <c r="I11" s="60">
        <f t="shared" ca="1" si="6"/>
        <v>9.0277777777777857</v>
      </c>
      <c r="J11" s="63">
        <f t="shared" ca="1" si="7"/>
        <v>18300</v>
      </c>
      <c r="K11" s="64">
        <f t="shared" ca="1" si="8"/>
        <v>0.13203463203463203</v>
      </c>
      <c r="L11" s="62">
        <f t="shared" ca="1" si="9"/>
        <v>18.154761904761898</v>
      </c>
      <c r="M11" s="63">
        <f t="shared" ca="1" si="10"/>
        <v>14500</v>
      </c>
      <c r="N11" s="64">
        <f t="shared" ca="1" si="11"/>
        <v>9.2415551306564689E-2</v>
      </c>
      <c r="O11" s="62">
        <f t="shared" ca="1" si="12"/>
        <v>14.384920634920633</v>
      </c>
    </row>
    <row r="12" spans="1:17" x14ac:dyDescent="0.45">
      <c r="A12" s="54" t="str">
        <f>IF(ISBLANK(Data!C12),"",Data!C12)</f>
        <v>2497 Albion Farm Way, Duluth, GA 30097</v>
      </c>
      <c r="B12" s="50">
        <f>IFERROR(MATCH($A12,Data!$C:$C,0),"")</f>
        <v>12</v>
      </c>
      <c r="C12" s="55">
        <f t="shared" ca="1" si="3"/>
        <v>57300</v>
      </c>
      <c r="D12" s="64">
        <f t="shared" ca="1" si="0"/>
        <v>0.37450980392156863</v>
      </c>
      <c r="E12" s="56">
        <f t="shared" ca="1" si="1"/>
        <v>19100</v>
      </c>
      <c r="F12" s="65">
        <f t="shared" ca="1" si="2"/>
        <v>0.12483660130718954</v>
      </c>
      <c r="G12" s="59">
        <f t="shared" ca="1" si="4"/>
        <v>18900</v>
      </c>
      <c r="H12" s="64">
        <f t="shared" ca="1" si="5"/>
        <v>0.12352941176470589</v>
      </c>
      <c r="I12" s="60">
        <f t="shared" ca="1" si="6"/>
        <v>12.687687687687685</v>
      </c>
      <c r="J12" s="63">
        <f t="shared" ca="1" si="7"/>
        <v>23900</v>
      </c>
      <c r="K12" s="64">
        <f t="shared" ca="1" si="8"/>
        <v>0.13903432228039558</v>
      </c>
      <c r="L12" s="62">
        <f t="shared" ca="1" si="9"/>
        <v>17.942942942942949</v>
      </c>
      <c r="M12" s="63">
        <f t="shared" ca="1" si="10"/>
        <v>14500</v>
      </c>
      <c r="N12" s="64">
        <f t="shared" ca="1" si="11"/>
        <v>7.4055158324821249E-2</v>
      </c>
      <c r="O12" s="62">
        <f t="shared" ca="1" si="12"/>
        <v>10.885885885885898</v>
      </c>
    </row>
    <row r="13" spans="1:17" x14ac:dyDescent="0.45">
      <c r="A13" s="54" t="str">
        <f>IF(ISBLANK(Data!C13),"",Data!C13)</f>
        <v>2507 Albion Farm Way, Duluth, GA 30097</v>
      </c>
      <c r="B13" s="50">
        <f>IFERROR(MATCH($A13,Data!$C:$C,0),"")</f>
        <v>13</v>
      </c>
      <c r="C13" s="55">
        <f t="shared" ca="1" si="3"/>
        <v>51000</v>
      </c>
      <c r="D13" s="64">
        <f t="shared" ca="1" si="0"/>
        <v>0.37833827893175076</v>
      </c>
      <c r="E13" s="56">
        <f t="shared" ca="1" si="1"/>
        <v>17000</v>
      </c>
      <c r="F13" s="65">
        <f t="shared" ca="1" si="2"/>
        <v>0.12611275964391691</v>
      </c>
      <c r="G13" s="59">
        <f t="shared" ca="1" si="4"/>
        <v>11800</v>
      </c>
      <c r="H13" s="64">
        <f t="shared" ca="1" si="5"/>
        <v>8.7537091988130561E-2</v>
      </c>
      <c r="I13" s="60">
        <f t="shared" ca="1" si="6"/>
        <v>8.8768115942028913</v>
      </c>
      <c r="J13" s="63">
        <f t="shared" ca="1" si="7"/>
        <v>19600</v>
      </c>
      <c r="K13" s="64">
        <f t="shared" ca="1" si="8"/>
        <v>0.13369713506139155</v>
      </c>
      <c r="L13" s="62">
        <f t="shared" ca="1" si="9"/>
        <v>17.753623188405797</v>
      </c>
      <c r="M13" s="63">
        <f t="shared" ca="1" si="10"/>
        <v>19600</v>
      </c>
      <c r="N13" s="64">
        <f t="shared" ca="1" si="11"/>
        <v>0.11793020457280386</v>
      </c>
      <c r="O13" s="62">
        <f t="shared" ca="1" si="12"/>
        <v>17.753623188405797</v>
      </c>
    </row>
    <row r="14" spans="1:17" x14ac:dyDescent="0.45">
      <c r="A14" s="54" t="str">
        <f>IF(ISBLANK(Data!C14),"",Data!C14)</f>
        <v>2512 Albion Farm Way, Duluth, GA 30097</v>
      </c>
      <c r="B14" s="50">
        <f>IFERROR(MATCH($A14,Data!$C:$C,0),"")</f>
        <v>14</v>
      </c>
      <c r="C14" s="55">
        <f t="shared" ca="1" si="3"/>
        <v>49200</v>
      </c>
      <c r="D14" s="64">
        <f t="shared" ca="1" si="0"/>
        <v>0.37076111529766392</v>
      </c>
      <c r="E14" s="56">
        <f t="shared" ca="1" si="1"/>
        <v>16400</v>
      </c>
      <c r="F14" s="65">
        <f t="shared" ca="1" si="2"/>
        <v>0.12358703843255464</v>
      </c>
      <c r="G14" s="59">
        <f t="shared" ca="1" si="4"/>
        <v>11600</v>
      </c>
      <c r="H14" s="64">
        <f t="shared" ca="1" si="5"/>
        <v>8.7415222305953277E-2</v>
      </c>
      <c r="I14" s="60">
        <f t="shared" ca="1" si="6"/>
        <v>8.6486486486486456</v>
      </c>
      <c r="J14" s="63">
        <f t="shared" ca="1" si="7"/>
        <v>19200</v>
      </c>
      <c r="K14" s="64">
        <f t="shared" ca="1" si="8"/>
        <v>0.13305613305613306</v>
      </c>
      <c r="L14" s="62">
        <f t="shared" ca="1" si="9"/>
        <v>17.297297297297305</v>
      </c>
      <c r="M14" s="63">
        <f t="shared" ca="1" si="10"/>
        <v>18400</v>
      </c>
      <c r="N14" s="64">
        <f t="shared" ca="1" si="11"/>
        <v>0.11253822629969419</v>
      </c>
      <c r="O14" s="62">
        <f t="shared" ca="1" si="12"/>
        <v>16.576576576576585</v>
      </c>
      <c r="Q14" s="11"/>
    </row>
    <row r="15" spans="1:17" x14ac:dyDescent="0.45">
      <c r="A15" s="54" t="str">
        <f>IF(ISBLANK(Data!C15),"",Data!C15)</f>
        <v>2517 Albion Farm Way, Duluth, GA 30097</v>
      </c>
      <c r="B15" s="50">
        <f>IFERROR(MATCH($A15,Data!$C:$C,0),"")</f>
        <v>15</v>
      </c>
      <c r="C15" s="55">
        <f t="shared" ca="1" si="3"/>
        <v>27200</v>
      </c>
      <c r="D15" s="64">
        <f t="shared" ca="1" si="0"/>
        <v>0.19154929577464788</v>
      </c>
      <c r="E15" s="56">
        <f t="shared" ca="1" si="1"/>
        <v>9066.6666666666661</v>
      </c>
      <c r="F15" s="65">
        <f t="shared" ca="1" si="2"/>
        <v>6.3849765258215951E-2</v>
      </c>
      <c r="G15" s="59">
        <f t="shared" ca="1" si="4"/>
        <v>27200</v>
      </c>
      <c r="H15" s="64">
        <f t="shared" ca="1" si="5"/>
        <v>0.19154929577464788</v>
      </c>
      <c r="I15" s="60">
        <f t="shared" ca="1" si="6"/>
        <v>20.257234726688097</v>
      </c>
      <c r="J15" s="63">
        <f t="shared" ca="1" si="7"/>
        <v>0</v>
      </c>
      <c r="K15" s="64">
        <f t="shared" ca="1" si="8"/>
        <v>0</v>
      </c>
      <c r="L15" s="62">
        <f t="shared" ca="1" si="9"/>
        <v>0</v>
      </c>
      <c r="M15" s="63">
        <f t="shared" ca="1" si="10"/>
        <v>0</v>
      </c>
      <c r="N15" s="64">
        <f t="shared" ca="1" si="11"/>
        <v>0</v>
      </c>
      <c r="O15" s="62">
        <f t="shared" ca="1" si="12"/>
        <v>0</v>
      </c>
    </row>
    <row r="16" spans="1:17" x14ac:dyDescent="0.45">
      <c r="A16" s="54" t="str">
        <f>IF(ISBLANK(Data!C16),"",Data!C16)</f>
        <v>2522 Albion Farm Way, Duluth, GA 30097</v>
      </c>
      <c r="B16" s="50">
        <f>IFERROR(MATCH($A16,Data!$C:$C,0),"")</f>
        <v>16</v>
      </c>
      <c r="C16" s="55">
        <f t="shared" ca="1" si="3"/>
        <v>50800</v>
      </c>
      <c r="D16" s="64">
        <f t="shared" ca="1" si="0"/>
        <v>0.34464043419267298</v>
      </c>
      <c r="E16" s="56">
        <f t="shared" ca="1" si="1"/>
        <v>16933.333333333332</v>
      </c>
      <c r="F16" s="65">
        <f t="shared" ca="1" si="2"/>
        <v>0.11488014473089099</v>
      </c>
      <c r="G16" s="59">
        <f t="shared" ca="1" si="4"/>
        <v>13000</v>
      </c>
      <c r="H16" s="64">
        <f t="shared" ca="1" si="5"/>
        <v>8.819538670284939E-2</v>
      </c>
      <c r="I16" s="60">
        <f t="shared" ca="1" si="6"/>
        <v>9.927797833935017</v>
      </c>
      <c r="J16" s="63">
        <f t="shared" ca="1" si="7"/>
        <v>21900</v>
      </c>
      <c r="K16" s="64">
        <f t="shared" ca="1" si="8"/>
        <v>0.13653366583541146</v>
      </c>
      <c r="L16" s="62">
        <f t="shared" ca="1" si="9"/>
        <v>19.76534296028882</v>
      </c>
      <c r="M16" s="63">
        <f t="shared" ca="1" si="10"/>
        <v>15900</v>
      </c>
      <c r="N16" s="64">
        <f t="shared" ca="1" si="11"/>
        <v>8.7218869994514531E-2</v>
      </c>
      <c r="O16" s="62">
        <f t="shared" ca="1" si="12"/>
        <v>14.350180505415153</v>
      </c>
    </row>
    <row r="17" spans="1:15" x14ac:dyDescent="0.45">
      <c r="A17" s="54" t="str">
        <f>IF(ISBLANK(Data!C17),"",Data!C17)</f>
        <v>2527 Albion Farm Way, Duluth, GA 30097</v>
      </c>
      <c r="B17" s="50">
        <f>IFERROR(MATCH($A17,Data!$C:$C,0),"")</f>
        <v>17</v>
      </c>
      <c r="C17" s="55">
        <f t="shared" ca="1" si="3"/>
        <v>59100</v>
      </c>
      <c r="D17" s="64">
        <f t="shared" ca="1" si="0"/>
        <v>0.37691326530612246</v>
      </c>
      <c r="E17" s="56">
        <f t="shared" ca="1" si="1"/>
        <v>19700</v>
      </c>
      <c r="F17" s="65">
        <f t="shared" ca="1" si="2"/>
        <v>0.12563775510204081</v>
      </c>
      <c r="G17" s="59">
        <f t="shared" ca="1" si="4"/>
        <v>13900</v>
      </c>
      <c r="H17" s="64">
        <f t="shared" ca="1" si="5"/>
        <v>8.8647959183673464E-2</v>
      </c>
      <c r="I17" s="60">
        <f t="shared" ca="1" si="6"/>
        <v>8.8938714499252569</v>
      </c>
      <c r="J17" s="63">
        <f t="shared" ca="1" si="7"/>
        <v>23700</v>
      </c>
      <c r="K17" s="64">
        <f t="shared" ca="1" si="8"/>
        <v>0.13884007029876977</v>
      </c>
      <c r="L17" s="62">
        <f t="shared" ca="1" si="9"/>
        <v>17.713004484304932</v>
      </c>
      <c r="M17" s="63">
        <f t="shared" ca="1" si="10"/>
        <v>21500</v>
      </c>
      <c r="N17" s="64">
        <f t="shared" ca="1" si="11"/>
        <v>0.11059670781893004</v>
      </c>
      <c r="O17" s="62">
        <f t="shared" ca="1" si="12"/>
        <v>16.068759342301959</v>
      </c>
    </row>
    <row r="18" spans="1:15" x14ac:dyDescent="0.45">
      <c r="A18" s="54" t="str">
        <f>IF(ISBLANK(Data!C18),"",Data!C18)</f>
        <v>2532 Albion Farm Way, Duluth, GA 30097</v>
      </c>
      <c r="B18" s="50">
        <f>IFERROR(MATCH($A18,Data!$C:$C,0),"")</f>
        <v>18</v>
      </c>
      <c r="C18" s="55">
        <f t="shared" ca="1" si="3"/>
        <v>45000</v>
      </c>
      <c r="D18" s="64">
        <f t="shared" ca="1" si="0"/>
        <v>0.35294117647058826</v>
      </c>
      <c r="E18" s="56">
        <f t="shared" ca="1" si="1"/>
        <v>15000</v>
      </c>
      <c r="F18" s="65">
        <f t="shared" ca="1" si="2"/>
        <v>0.11764705882352941</v>
      </c>
      <c r="G18" s="59">
        <f t="shared" ca="1" si="4"/>
        <v>11100</v>
      </c>
      <c r="H18" s="64">
        <f t="shared" ca="1" si="5"/>
        <v>8.7058823529411758E-2</v>
      </c>
      <c r="I18" s="60">
        <f t="shared" ca="1" si="6"/>
        <v>10.178970917225953</v>
      </c>
      <c r="J18" s="63">
        <f t="shared" ca="1" si="7"/>
        <v>18300</v>
      </c>
      <c r="K18" s="64">
        <f t="shared" ca="1" si="8"/>
        <v>0.13203463203463203</v>
      </c>
      <c r="L18" s="62">
        <f t="shared" ca="1" si="9"/>
        <v>20.46979865771813</v>
      </c>
      <c r="M18" s="63">
        <f t="shared" ca="1" si="10"/>
        <v>15600</v>
      </c>
      <c r="N18" s="64">
        <f t="shared" ca="1" si="11"/>
        <v>9.9426386233269604E-2</v>
      </c>
      <c r="O18" s="62">
        <f t="shared" ca="1" si="12"/>
        <v>17.449664429530202</v>
      </c>
    </row>
    <row r="19" spans="1:15" x14ac:dyDescent="0.45">
      <c r="A19" s="54" t="str">
        <f>IF(ISBLANK(Data!C19),"",Data!C19)</f>
        <v>2537 Albion Farm Way, Duluth, GA 30097</v>
      </c>
      <c r="B19" s="50">
        <f>IFERROR(MATCH($A19,Data!$C:$C,0),"")</f>
        <v>19</v>
      </c>
      <c r="C19" s="55">
        <f t="shared" ca="1" si="3"/>
        <v>46200</v>
      </c>
      <c r="D19" s="64">
        <f t="shared" ca="1" si="0"/>
        <v>0.33551198257080611</v>
      </c>
      <c r="E19" s="56">
        <f t="shared" ca="1" si="1"/>
        <v>15400</v>
      </c>
      <c r="F19" s="65">
        <f t="shared" ca="1" si="2"/>
        <v>0.11183732752360204</v>
      </c>
      <c r="G19" s="59">
        <f t="shared" ca="1" si="4"/>
        <v>12100</v>
      </c>
      <c r="H19" s="64">
        <f t="shared" ca="1" si="5"/>
        <v>8.7872185911401599E-2</v>
      </c>
      <c r="I19" s="60">
        <f t="shared" ca="1" si="6"/>
        <v>9.3866171003717511</v>
      </c>
      <c r="J19" s="63">
        <f t="shared" ca="1" si="7"/>
        <v>20100</v>
      </c>
      <c r="K19" s="64">
        <f t="shared" ca="1" si="8"/>
        <v>0.13417890520694259</v>
      </c>
      <c r="L19" s="62">
        <f t="shared" ca="1" si="9"/>
        <v>18.680297397769522</v>
      </c>
      <c r="M19" s="63">
        <f t="shared" ca="1" si="10"/>
        <v>14000</v>
      </c>
      <c r="N19" s="64">
        <f t="shared" ca="1" si="11"/>
        <v>8.2401412595644499E-2</v>
      </c>
      <c r="O19" s="62">
        <f t="shared" ca="1" si="12"/>
        <v>13.011152416356879</v>
      </c>
    </row>
    <row r="20" spans="1:15" x14ac:dyDescent="0.45">
      <c r="A20" s="54" t="str">
        <f>IF(ISBLANK(Data!C20),"",Data!C20)</f>
        <v>2542 Albion Farm Way, Duluth, GA 30097</v>
      </c>
      <c r="B20" s="50">
        <f>IFERROR(MATCH($A20,Data!$C:$C,0),"")</f>
        <v>20</v>
      </c>
      <c r="C20" s="55">
        <f t="shared" ca="1" si="3"/>
        <v>54100</v>
      </c>
      <c r="D20" s="64">
        <f t="shared" ca="1" si="0"/>
        <v>0.33728179551122195</v>
      </c>
      <c r="E20" s="56">
        <f t="shared" ca="1" si="1"/>
        <v>18033.333333333332</v>
      </c>
      <c r="F20" s="65">
        <f t="shared" ca="1" si="2"/>
        <v>0.11242726517040731</v>
      </c>
      <c r="G20" s="59">
        <f t="shared" ca="1" si="4"/>
        <v>14100</v>
      </c>
      <c r="H20" s="64">
        <f t="shared" ca="1" si="5"/>
        <v>8.790523690773068E-2</v>
      </c>
      <c r="I20" s="60">
        <f t="shared" ca="1" si="6"/>
        <v>9.0840840840840826</v>
      </c>
      <c r="J20" s="63">
        <f t="shared" ca="1" si="7"/>
        <v>24400</v>
      </c>
      <c r="K20" s="64">
        <f t="shared" ca="1" si="8"/>
        <v>0.13982808022922635</v>
      </c>
      <c r="L20" s="62">
        <f t="shared" ca="1" si="9"/>
        <v>18.318318318318319</v>
      </c>
      <c r="M20" s="63">
        <f t="shared" ca="1" si="10"/>
        <v>15600</v>
      </c>
      <c r="N20" s="64">
        <f t="shared" ca="1" si="11"/>
        <v>7.8431372549019607E-2</v>
      </c>
      <c r="O20" s="62">
        <f t="shared" ca="1" si="12"/>
        <v>11.711711711711715</v>
      </c>
    </row>
    <row r="21" spans="1:15" x14ac:dyDescent="0.45">
      <c r="A21" s="54" t="str">
        <f>IF(ISBLANK(Data!C21),"",Data!C21)</f>
        <v>2547 Albion Farm Way, Duluth, GA 30097</v>
      </c>
      <c r="B21" s="50">
        <f>IFERROR(MATCH($A21,Data!$C:$C,0),"")</f>
        <v>21</v>
      </c>
      <c r="C21" s="55">
        <f t="shared" ca="1" si="3"/>
        <v>74700</v>
      </c>
      <c r="D21" s="64">
        <f t="shared" ca="1" si="0"/>
        <v>0.59191759112519815</v>
      </c>
      <c r="E21" s="56">
        <f t="shared" ca="1" si="1"/>
        <v>24900</v>
      </c>
      <c r="F21" s="65">
        <f t="shared" ca="1" si="2"/>
        <v>0.19730586370839936</v>
      </c>
      <c r="G21" s="59">
        <f t="shared" ca="1" si="4"/>
        <v>30500</v>
      </c>
      <c r="H21" s="64">
        <f t="shared" ca="1" si="5"/>
        <v>0.24167987321711568</v>
      </c>
      <c r="I21" s="60">
        <f t="shared" ca="1" si="6"/>
        <v>25.72202166064983</v>
      </c>
      <c r="J21" s="63">
        <f t="shared" ca="1" si="7"/>
        <v>21400</v>
      </c>
      <c r="K21" s="64">
        <f t="shared" ca="1" si="8"/>
        <v>0.13656668793873644</v>
      </c>
      <c r="L21" s="62">
        <f t="shared" ca="1" si="9"/>
        <v>19.314079422382676</v>
      </c>
      <c r="M21" s="63">
        <f t="shared" ca="1" si="10"/>
        <v>22800</v>
      </c>
      <c r="N21" s="64">
        <f t="shared" ca="1" si="11"/>
        <v>0.12801796743402583</v>
      </c>
      <c r="O21" s="62">
        <f t="shared" ca="1" si="12"/>
        <v>20.577617328519835</v>
      </c>
    </row>
    <row r="22" spans="1:15" x14ac:dyDescent="0.45">
      <c r="A22" s="54" t="str">
        <f>IF(ISBLANK(Data!C22),"",Data!C22)</f>
        <v>2552 Albion Farm Way, Duluth, GA 30097</v>
      </c>
      <c r="B22" s="50">
        <f>IFERROR(MATCH($A22,Data!$C:$C,0),"")</f>
        <v>22</v>
      </c>
      <c r="C22" s="55">
        <f t="shared" ca="1" si="3"/>
        <v>74700</v>
      </c>
      <c r="D22" s="64">
        <f t="shared" ca="1" si="0"/>
        <v>0.498</v>
      </c>
      <c r="E22" s="56">
        <f t="shared" ca="1" si="1"/>
        <v>24900</v>
      </c>
      <c r="F22" s="65">
        <f t="shared" ca="1" si="2"/>
        <v>0.16600000000000001</v>
      </c>
      <c r="G22" s="59">
        <f t="shared" ca="1" si="4"/>
        <v>31100</v>
      </c>
      <c r="H22" s="64">
        <f t="shared" ca="1" si="5"/>
        <v>0.20733333333333334</v>
      </c>
      <c r="I22" s="60">
        <f t="shared" ca="1" si="6"/>
        <v>21.460176991150448</v>
      </c>
      <c r="J22" s="63">
        <f t="shared" ca="1" si="7"/>
        <v>25500</v>
      </c>
      <c r="K22" s="64">
        <f t="shared" ca="1" si="8"/>
        <v>0.14080618442849255</v>
      </c>
      <c r="L22" s="62">
        <f t="shared" ca="1" si="9"/>
        <v>18.805309734513258</v>
      </c>
      <c r="M22" s="63">
        <f t="shared" ca="1" si="10"/>
        <v>18100</v>
      </c>
      <c r="N22" s="64">
        <f t="shared" ca="1" si="11"/>
        <v>8.7608906098741529E-2</v>
      </c>
      <c r="O22" s="62">
        <f t="shared" ca="1" si="12"/>
        <v>13.34808259587021</v>
      </c>
    </row>
    <row r="23" spans="1:15" x14ac:dyDescent="0.45">
      <c r="A23" s="54" t="str">
        <f>IF(ISBLANK(Data!C23),"",Data!C23)</f>
        <v>2557 Albion Farm Way, Duluth, GA 30097</v>
      </c>
      <c r="B23" s="50">
        <f>IFERROR(MATCH($A23,Data!$C:$C,0),"")</f>
        <v>23</v>
      </c>
      <c r="C23" s="55">
        <f t="shared" ca="1" si="3"/>
        <v>43300</v>
      </c>
      <c r="D23" s="64">
        <f t="shared" ca="1" si="0"/>
        <v>0.35520918785890077</v>
      </c>
      <c r="E23" s="56">
        <f t="shared" ca="1" si="1"/>
        <v>14433.333333333334</v>
      </c>
      <c r="F23" s="65">
        <f t="shared" ca="1" si="2"/>
        <v>0.11840306261963358</v>
      </c>
      <c r="G23" s="59">
        <f t="shared" ca="1" si="4"/>
        <v>10600</v>
      </c>
      <c r="H23" s="64">
        <f t="shared" ca="1" si="5"/>
        <v>8.6956521739130432E-2</v>
      </c>
      <c r="I23" s="60">
        <f t="shared" ca="1" si="6"/>
        <v>9.9078341013824911</v>
      </c>
      <c r="J23" s="63">
        <f t="shared" ca="1" si="7"/>
        <v>17300</v>
      </c>
      <c r="K23" s="64">
        <f t="shared" ca="1" si="8"/>
        <v>0.13056603773584904</v>
      </c>
      <c r="L23" s="62">
        <f t="shared" ca="1" si="9"/>
        <v>19.930875576036868</v>
      </c>
      <c r="M23" s="63">
        <f t="shared" ca="1" si="10"/>
        <v>15400</v>
      </c>
      <c r="N23" s="64">
        <f t="shared" ca="1" si="11"/>
        <v>0.10280373831775701</v>
      </c>
      <c r="O23" s="62">
        <f t="shared" ca="1" si="12"/>
        <v>17.741935483870975</v>
      </c>
    </row>
    <row r="24" spans="1:15" x14ac:dyDescent="0.45">
      <c r="A24" s="54" t="str">
        <f>IF(ISBLANK(Data!C24),"",Data!C24)</f>
        <v>2562 Albion Farm Way, Duluth, GA 30097</v>
      </c>
      <c r="B24" s="50">
        <f>IFERROR(MATCH($A24,Data!$C:$C,0),"")</f>
        <v>24</v>
      </c>
      <c r="C24" s="55">
        <f t="shared" ca="1" si="3"/>
        <v>44700</v>
      </c>
      <c r="D24" s="64">
        <f t="shared" ca="1" si="0"/>
        <v>0.35113904163393561</v>
      </c>
      <c r="E24" s="56">
        <f t="shared" ca="1" si="1"/>
        <v>14900</v>
      </c>
      <c r="F24" s="65">
        <f t="shared" ca="1" si="2"/>
        <v>0.11704634721131187</v>
      </c>
      <c r="G24" s="59">
        <f t="shared" ca="1" si="4"/>
        <v>11100</v>
      </c>
      <c r="H24" s="64">
        <f t="shared" ca="1" si="5"/>
        <v>8.7195600942655146E-2</v>
      </c>
      <c r="I24" s="60">
        <f t="shared" ca="1" si="6"/>
        <v>10.178970917225953</v>
      </c>
      <c r="J24" s="63">
        <f t="shared" ca="1" si="7"/>
        <v>18300</v>
      </c>
      <c r="K24" s="64">
        <f t="shared" ca="1" si="8"/>
        <v>0.13222543352601157</v>
      </c>
      <c r="L24" s="62">
        <f t="shared" ca="1" si="9"/>
        <v>20.469798657718115</v>
      </c>
      <c r="M24" s="63">
        <f t="shared" ca="1" si="10"/>
        <v>15300</v>
      </c>
      <c r="N24" s="64">
        <f t="shared" ca="1" si="11"/>
        <v>9.7638800255264835E-2</v>
      </c>
      <c r="O24" s="62">
        <f t="shared" ca="1" si="12"/>
        <v>17.114093959731548</v>
      </c>
    </row>
    <row r="25" spans="1:15" x14ac:dyDescent="0.45">
      <c r="A25" s="54" t="str">
        <f>IF(ISBLANK(Data!C25),"",Data!C25)</f>
        <v>2567 Albion Farm Way, Duluth, GA 30097</v>
      </c>
      <c r="B25" s="50">
        <f>IFERROR(MATCH($A25,Data!$C:$C,0),"")</f>
        <v>25</v>
      </c>
      <c r="C25" s="55">
        <f t="shared" ca="1" si="3"/>
        <v>37100</v>
      </c>
      <c r="D25" s="64">
        <f t="shared" ca="1" si="0"/>
        <v>0.34193548387096773</v>
      </c>
      <c r="E25" s="56">
        <f t="shared" ca="1" si="1"/>
        <v>12366.666666666666</v>
      </c>
      <c r="F25" s="65">
        <f t="shared" ca="1" si="2"/>
        <v>0.1139784946236559</v>
      </c>
      <c r="G25" s="59">
        <f t="shared" ca="1" si="4"/>
        <v>9300</v>
      </c>
      <c r="H25" s="64">
        <f t="shared" ca="1" si="5"/>
        <v>8.5714285714285715E-2</v>
      </c>
      <c r="I25" s="60">
        <f t="shared" ca="1" si="6"/>
        <v>9.2639593908629507</v>
      </c>
      <c r="J25" s="63">
        <f t="shared" ca="1" si="7"/>
        <v>14800</v>
      </c>
      <c r="K25" s="64">
        <f t="shared" ca="1" si="8"/>
        <v>0.12563667232597622</v>
      </c>
      <c r="L25" s="62">
        <f t="shared" ca="1" si="9"/>
        <v>18.781725888324871</v>
      </c>
      <c r="M25" s="63">
        <f t="shared" ca="1" si="10"/>
        <v>13000</v>
      </c>
      <c r="N25" s="64">
        <f t="shared" ca="1" si="11"/>
        <v>9.8039215686274508E-2</v>
      </c>
      <c r="O25" s="62">
        <f t="shared" ca="1" si="12"/>
        <v>16.497461928934001</v>
      </c>
    </row>
    <row r="26" spans="1:15" x14ac:dyDescent="0.45">
      <c r="A26" s="54" t="str">
        <f>IF(ISBLANK(Data!C26),"",Data!C26)</f>
        <v>2577 Albion Farm Way, Duluth, GA 30097</v>
      </c>
      <c r="B26" s="50">
        <f>IFERROR(MATCH($A26,Data!$C:$C,0),"")</f>
        <v>26</v>
      </c>
      <c r="C26" s="55">
        <f t="shared" ca="1" si="3"/>
        <v>50400</v>
      </c>
      <c r="D26" s="64">
        <f t="shared" ca="1" si="0"/>
        <v>0.33070866141732286</v>
      </c>
      <c r="E26" s="56">
        <f t="shared" ca="1" si="1"/>
        <v>16800</v>
      </c>
      <c r="F26" s="65">
        <f t="shared" ca="1" si="2"/>
        <v>0.11023622047244094</v>
      </c>
      <c r="G26" s="59">
        <f t="shared" ca="1" si="4"/>
        <v>13400</v>
      </c>
      <c r="H26" s="64">
        <f t="shared" ca="1" si="5"/>
        <v>8.7926509186351712E-2</v>
      </c>
      <c r="I26" s="60">
        <f t="shared" ca="1" si="6"/>
        <v>9.4059405940594019</v>
      </c>
      <c r="J26" s="63">
        <f t="shared" ca="1" si="7"/>
        <v>22900</v>
      </c>
      <c r="K26" s="64">
        <f t="shared" ca="1" si="8"/>
        <v>0.13811821471652594</v>
      </c>
      <c r="L26" s="62">
        <f t="shared" ca="1" si="9"/>
        <v>18.894389438943904</v>
      </c>
      <c r="M26" s="63">
        <f t="shared" ca="1" si="10"/>
        <v>14100</v>
      </c>
      <c r="N26" s="64">
        <f t="shared" ca="1" si="11"/>
        <v>7.472178060413355E-2</v>
      </c>
      <c r="O26" s="62">
        <f t="shared" ca="1" si="12"/>
        <v>11.633663366336634</v>
      </c>
    </row>
    <row r="27" spans="1:15" x14ac:dyDescent="0.45">
      <c r="A27" s="54" t="str">
        <f>IF(ISBLANK(Data!C27),"",Data!C27)</f>
        <v>2582 Albion Farm Way, Duluth, GA 30097</v>
      </c>
      <c r="B27" s="50">
        <f>IFERROR(MATCH($A27,Data!$C:$C,0),"")</f>
        <v>27</v>
      </c>
      <c r="C27" s="55">
        <f t="shared" ca="1" si="3"/>
        <v>47800</v>
      </c>
      <c r="D27" s="64">
        <f t="shared" ca="1" si="0"/>
        <v>0.33733239237826396</v>
      </c>
      <c r="E27" s="56">
        <f t="shared" ca="1" si="1"/>
        <v>15933.333333333334</v>
      </c>
      <c r="F27" s="65">
        <f t="shared" ca="1" si="2"/>
        <v>0.11244413079275466</v>
      </c>
      <c r="G27" s="59">
        <f t="shared" ca="1" si="4"/>
        <v>12500</v>
      </c>
      <c r="H27" s="64">
        <f t="shared" ca="1" si="5"/>
        <v>8.8214537755822164E-2</v>
      </c>
      <c r="I27" s="60">
        <f t="shared" ca="1" si="6"/>
        <v>9.3416370106761661</v>
      </c>
      <c r="J27" s="63">
        <f t="shared" ca="1" si="7"/>
        <v>20900</v>
      </c>
      <c r="K27" s="64">
        <f t="shared" ca="1" si="8"/>
        <v>0.13553826199740596</v>
      </c>
      <c r="L27" s="62">
        <f t="shared" ca="1" si="9"/>
        <v>18.594306049822052</v>
      </c>
      <c r="M27" s="63">
        <f t="shared" ca="1" si="10"/>
        <v>14400</v>
      </c>
      <c r="N27" s="64">
        <f t="shared" ca="1" si="11"/>
        <v>8.223872073101085E-2</v>
      </c>
      <c r="O27" s="62">
        <f t="shared" ca="1" si="12"/>
        <v>12.811387900355868</v>
      </c>
    </row>
    <row r="28" spans="1:15" x14ac:dyDescent="0.45">
      <c r="A28" s="54" t="str">
        <f>IF(ISBLANK(Data!C28),"",Data!C28)</f>
        <v>2587 Albion Farm Way, Duluth, GA 30097</v>
      </c>
      <c r="B28" s="50">
        <f>IFERROR(MATCH($A28,Data!$C:$C,0),"")</f>
        <v>28</v>
      </c>
      <c r="C28" s="55">
        <f t="shared" ca="1" si="3"/>
        <v>52100</v>
      </c>
      <c r="D28" s="64">
        <f t="shared" ca="1" si="0"/>
        <v>0.35274204468517267</v>
      </c>
      <c r="E28" s="56">
        <f t="shared" ca="1" si="1"/>
        <v>17366.666666666668</v>
      </c>
      <c r="F28" s="65">
        <f t="shared" ca="1" si="2"/>
        <v>0.11758068156172423</v>
      </c>
      <c r="G28" s="59">
        <f t="shared" ca="1" si="4"/>
        <v>13000</v>
      </c>
      <c r="H28" s="64">
        <f t="shared" ca="1" si="5"/>
        <v>8.8016249153689913E-2</v>
      </c>
      <c r="I28" s="60">
        <f t="shared" ca="1" si="6"/>
        <v>9.5320623916811087</v>
      </c>
      <c r="J28" s="63">
        <f t="shared" ca="1" si="7"/>
        <v>22100</v>
      </c>
      <c r="K28" s="64">
        <f t="shared" ca="1" si="8"/>
        <v>0.13752333540759179</v>
      </c>
      <c r="L28" s="62">
        <f t="shared" ca="1" si="9"/>
        <v>19.150779896013859</v>
      </c>
      <c r="M28" s="63">
        <f t="shared" ca="1" si="10"/>
        <v>17000</v>
      </c>
      <c r="N28" s="64">
        <f t="shared" ca="1" si="11"/>
        <v>9.2997811816192558E-2</v>
      </c>
      <c r="O28" s="62">
        <f t="shared" ca="1" si="12"/>
        <v>14.731369150779898</v>
      </c>
    </row>
    <row r="29" spans="1:15" x14ac:dyDescent="0.45">
      <c r="A29" s="54" t="str">
        <f>IF(ISBLANK(Data!C29),"",Data!C29)</f>
        <v>2597 Albion Farm Way, Duluth, GA 30097</v>
      </c>
      <c r="B29" s="50">
        <f>IFERROR(MATCH($A29,Data!$C:$C,0),"")</f>
        <v>29</v>
      </c>
      <c r="C29" s="55">
        <f t="shared" ca="1" si="3"/>
        <v>44500</v>
      </c>
      <c r="D29" s="64">
        <f t="shared" ca="1" si="0"/>
        <v>0.36776859504132231</v>
      </c>
      <c r="E29" s="56">
        <f t="shared" ca="1" si="1"/>
        <v>14833.333333333334</v>
      </c>
      <c r="F29" s="65">
        <f t="shared" ca="1" si="2"/>
        <v>0.12258953168044077</v>
      </c>
      <c r="G29" s="59">
        <f t="shared" ca="1" si="4"/>
        <v>10600</v>
      </c>
      <c r="H29" s="64">
        <f t="shared" ca="1" si="5"/>
        <v>8.7603305785123972E-2</v>
      </c>
      <c r="I29" s="60">
        <f t="shared" ca="1" si="6"/>
        <v>8.498023715415016</v>
      </c>
      <c r="J29" s="63">
        <f t="shared" ca="1" si="7"/>
        <v>17100</v>
      </c>
      <c r="K29" s="64">
        <f t="shared" ca="1" si="8"/>
        <v>0.12993920972644377</v>
      </c>
      <c r="L29" s="62">
        <f t="shared" ca="1" si="9"/>
        <v>16.897233201581031</v>
      </c>
      <c r="M29" s="63">
        <f t="shared" ca="1" si="10"/>
        <v>16800</v>
      </c>
      <c r="N29" s="64">
        <f t="shared" ca="1" si="11"/>
        <v>0.11297915265635508</v>
      </c>
      <c r="O29" s="62">
        <f t="shared" ca="1" si="12"/>
        <v>16.600790513833985</v>
      </c>
    </row>
    <row r="30" spans="1:15" x14ac:dyDescent="0.45">
      <c r="A30" s="54" t="str">
        <f>IF(ISBLANK(Data!C30),"",Data!C30)</f>
        <v>2607 Albion Farm Way, Duluth, GA 30097</v>
      </c>
      <c r="B30" s="50">
        <f>IFERROR(MATCH($A30,Data!$C:$C,0),"")</f>
        <v>30</v>
      </c>
      <c r="C30" s="55">
        <f t="shared" ca="1" si="3"/>
        <v>44600</v>
      </c>
      <c r="D30" s="64">
        <f t="shared" ca="1" si="0"/>
        <v>0.3588093322606597</v>
      </c>
      <c r="E30" s="56">
        <f t="shared" ca="1" si="1"/>
        <v>14866.666666666666</v>
      </c>
      <c r="F30" s="65">
        <f t="shared" ca="1" si="2"/>
        <v>0.11960311075355323</v>
      </c>
      <c r="G30" s="59">
        <f t="shared" ca="1" si="4"/>
        <v>10800</v>
      </c>
      <c r="H30" s="64">
        <f t="shared" ca="1" si="5"/>
        <v>8.6886564762670954E-2</v>
      </c>
      <c r="I30" s="60">
        <f t="shared" ca="1" si="6"/>
        <v>10.138248847926263</v>
      </c>
      <c r="J30" s="63">
        <f t="shared" ca="1" si="7"/>
        <v>17700</v>
      </c>
      <c r="K30" s="64">
        <f t="shared" ca="1" si="8"/>
        <v>0.13101406365655072</v>
      </c>
      <c r="L30" s="62">
        <f t="shared" ca="1" si="9"/>
        <v>20.391705069124413</v>
      </c>
      <c r="M30" s="63">
        <f t="shared" ca="1" si="10"/>
        <v>16100</v>
      </c>
      <c r="N30" s="64">
        <f t="shared" ca="1" si="11"/>
        <v>0.10536649214659685</v>
      </c>
      <c r="O30" s="62">
        <f t="shared" ca="1" si="12"/>
        <v>18.548387096774206</v>
      </c>
    </row>
    <row r="31" spans="1:15" x14ac:dyDescent="0.45">
      <c r="A31" s="54" t="str">
        <f>IF(ISBLANK(Data!C31),"",Data!C31)</f>
        <v>2617 Albion Farm Way, Duluth, GA 30097</v>
      </c>
      <c r="B31" s="50">
        <f>IFERROR(MATCH($A31,Data!$C:$C,0),"")</f>
        <v>31</v>
      </c>
      <c r="C31" s="55">
        <f t="shared" ca="1" si="3"/>
        <v>51400</v>
      </c>
      <c r="D31" s="64">
        <f t="shared" ca="1" si="0"/>
        <v>0.40313725490196078</v>
      </c>
      <c r="E31" s="56">
        <f t="shared" ca="1" si="1"/>
        <v>17133.333333333332</v>
      </c>
      <c r="F31" s="65">
        <f t="shared" ca="1" si="2"/>
        <v>0.13437908496732026</v>
      </c>
      <c r="G31" s="59">
        <f t="shared" ca="1" si="4"/>
        <v>15200</v>
      </c>
      <c r="H31" s="64">
        <f t="shared" ca="1" si="5"/>
        <v>0.11921568627450981</v>
      </c>
      <c r="I31" s="60">
        <f t="shared" ca="1" si="6"/>
        <v>13.147410358565736</v>
      </c>
      <c r="J31" s="63">
        <f t="shared" ca="1" si="7"/>
        <v>19000</v>
      </c>
      <c r="K31" s="64">
        <f t="shared" ca="1" si="8"/>
        <v>0.13314646110721795</v>
      </c>
      <c r="L31" s="62">
        <f t="shared" ca="1" si="9"/>
        <v>18.924302788844628</v>
      </c>
      <c r="M31" s="63">
        <f t="shared" ca="1" si="10"/>
        <v>17200</v>
      </c>
      <c r="N31" s="64">
        <f t="shared" ca="1" si="11"/>
        <v>0.10636982065553494</v>
      </c>
      <c r="O31" s="62">
        <f t="shared" ca="1" si="12"/>
        <v>17.131474103585646</v>
      </c>
    </row>
    <row r="32" spans="1:15" x14ac:dyDescent="0.45">
      <c r="A32" s="54" t="str">
        <f>IF(ISBLANK(Data!C32),"",Data!C32)</f>
        <v>2627 Albion Farm Way, Duluth, GA 30097</v>
      </c>
      <c r="B32" s="50">
        <f>IFERROR(MATCH($A32,Data!$C:$C,0),"")</f>
        <v>32</v>
      </c>
      <c r="C32" s="55">
        <f t="shared" ca="1" si="3"/>
        <v>51400</v>
      </c>
      <c r="D32" s="64">
        <f t="shared" ca="1" si="0"/>
        <v>0.37738619676945667</v>
      </c>
      <c r="E32" s="56">
        <f t="shared" ca="1" si="1"/>
        <v>17133.333333333332</v>
      </c>
      <c r="F32" s="65">
        <f t="shared" ca="1" si="2"/>
        <v>0.12579539892315222</v>
      </c>
      <c r="G32" s="59">
        <f t="shared" ca="1" si="4"/>
        <v>11900</v>
      </c>
      <c r="H32" s="64">
        <f t="shared" ca="1" si="5"/>
        <v>8.7371512481644639E-2</v>
      </c>
      <c r="I32" s="60">
        <f t="shared" ca="1" si="6"/>
        <v>9.375</v>
      </c>
      <c r="J32" s="63">
        <f t="shared" ca="1" si="7"/>
        <v>13900</v>
      </c>
      <c r="K32" s="64">
        <f t="shared" ca="1" si="8"/>
        <v>9.3855503038487512E-2</v>
      </c>
      <c r="L32" s="62">
        <f t="shared" ca="1" si="9"/>
        <v>13.162878787878782</v>
      </c>
      <c r="M32" s="63">
        <f t="shared" ca="1" si="10"/>
        <v>25600</v>
      </c>
      <c r="N32" s="64">
        <f t="shared" ca="1" si="11"/>
        <v>0.15802469135802469</v>
      </c>
      <c r="O32" s="62">
        <f t="shared" ca="1" si="12"/>
        <v>24.242424242424249</v>
      </c>
    </row>
    <row r="33" spans="1:15" x14ac:dyDescent="0.45">
      <c r="A33" s="54" t="str">
        <f>IF(ISBLANK(Data!C33),"",Data!C33)</f>
        <v>2637 Albion Farm Way, Duluth, GA 30097</v>
      </c>
      <c r="B33" s="50">
        <f>IFERROR(MATCH($A33,Data!$C:$C,0),"")</f>
        <v>33</v>
      </c>
      <c r="C33" s="55">
        <f t="shared" ca="1" si="3"/>
        <v>50000</v>
      </c>
      <c r="D33" s="64">
        <f t="shared" ca="1" si="0"/>
        <v>0.34698126301179738</v>
      </c>
      <c r="E33" s="56">
        <f t="shared" ca="1" si="1"/>
        <v>16666.666666666668</v>
      </c>
      <c r="F33" s="65">
        <f t="shared" ca="1" si="2"/>
        <v>0.11566042100393246</v>
      </c>
      <c r="G33" s="59">
        <f t="shared" ca="1" si="4"/>
        <v>2900</v>
      </c>
      <c r="H33" s="64">
        <f t="shared" ca="1" si="5"/>
        <v>2.0124913254684247E-2</v>
      </c>
      <c r="I33" s="60">
        <f t="shared" ca="1" si="6"/>
        <v>0.8021390374331645</v>
      </c>
      <c r="J33" s="63">
        <f t="shared" ca="1" si="7"/>
        <v>31100</v>
      </c>
      <c r="K33" s="64">
        <f t="shared" ca="1" si="8"/>
        <v>0.21156462585034014</v>
      </c>
      <c r="L33" s="62">
        <f t="shared" ca="1" si="9"/>
        <v>27.718360071301248</v>
      </c>
      <c r="M33" s="63">
        <f t="shared" ca="1" si="10"/>
        <v>16000</v>
      </c>
      <c r="N33" s="64">
        <f t="shared" ca="1" si="11"/>
        <v>8.9837170129140928E-2</v>
      </c>
      <c r="O33" s="62">
        <f t="shared" ca="1" si="12"/>
        <v>14.260249554367192</v>
      </c>
    </row>
    <row r="34" spans="1:15" x14ac:dyDescent="0.45">
      <c r="A34" s="54" t="str">
        <f>IF(ISBLANK(Data!C34),"",Data!C34)</f>
        <v>2647 Albion Farm Way, Duluth, GA 30097</v>
      </c>
      <c r="B34" s="50">
        <f>IFERROR(MATCH($A34,Data!$C:$C,0),"")</f>
        <v>34</v>
      </c>
      <c r="C34" s="55">
        <f t="shared" ca="1" si="3"/>
        <v>44300</v>
      </c>
      <c r="D34" s="64">
        <f t="shared" ca="1" si="0"/>
        <v>0.3634126333059885</v>
      </c>
      <c r="E34" s="56">
        <f t="shared" ca="1" si="1"/>
        <v>14766.666666666666</v>
      </c>
      <c r="F34" s="65">
        <f t="shared" ca="1" si="2"/>
        <v>0.12113754443532949</v>
      </c>
      <c r="G34" s="59">
        <f t="shared" ca="1" si="4"/>
        <v>10600</v>
      </c>
      <c r="H34" s="64">
        <f t="shared" ca="1" si="5"/>
        <v>8.6956521739130432E-2</v>
      </c>
      <c r="I34" s="60">
        <f t="shared" ca="1" si="6"/>
        <v>8.5657370517928371</v>
      </c>
      <c r="J34" s="63">
        <f t="shared" ca="1" si="7"/>
        <v>17300</v>
      </c>
      <c r="K34" s="64">
        <f t="shared" ca="1" si="8"/>
        <v>0.13056603773584904</v>
      </c>
      <c r="L34" s="62">
        <f t="shared" ca="1" si="9"/>
        <v>17.231075697211153</v>
      </c>
      <c r="M34" s="63">
        <f t="shared" ca="1" si="10"/>
        <v>16400</v>
      </c>
      <c r="N34" s="64">
        <f t="shared" ca="1" si="11"/>
        <v>0.10947930574098798</v>
      </c>
      <c r="O34" s="62">
        <f t="shared" ca="1" si="12"/>
        <v>16.334661354581669</v>
      </c>
    </row>
    <row r="35" spans="1:15" x14ac:dyDescent="0.45">
      <c r="A35" s="54" t="str">
        <f>IF(ISBLANK(Data!C35),"",Data!C35)</f>
        <v>2657 Albion Farm Way, Duluth, GA 30097</v>
      </c>
      <c r="B35" s="50">
        <f>IFERROR(MATCH($A35,Data!$C:$C,0),"")</f>
        <v>35</v>
      </c>
      <c r="C35" s="55">
        <f t="shared" ca="1" si="3"/>
        <v>48300</v>
      </c>
      <c r="D35" s="64">
        <f t="shared" ca="1" si="0"/>
        <v>0.36343115124153497</v>
      </c>
      <c r="E35" s="56">
        <f t="shared" ca="1" si="1"/>
        <v>16100</v>
      </c>
      <c r="F35" s="65">
        <f t="shared" ca="1" si="2"/>
        <v>0.12114371708051166</v>
      </c>
      <c r="G35" s="59">
        <f t="shared" ca="1" si="4"/>
        <v>11600</v>
      </c>
      <c r="H35" s="64">
        <f t="shared" ca="1" si="5"/>
        <v>8.7283671933784807E-2</v>
      </c>
      <c r="I35" s="60">
        <f t="shared" ca="1" si="6"/>
        <v>9.2843326885880089</v>
      </c>
      <c r="J35" s="63">
        <f t="shared" ca="1" si="7"/>
        <v>19300</v>
      </c>
      <c r="K35" s="64">
        <f t="shared" ca="1" si="8"/>
        <v>0.13356401384083044</v>
      </c>
      <c r="L35" s="62">
        <f t="shared" ca="1" si="9"/>
        <v>18.665377176015483</v>
      </c>
      <c r="M35" s="63">
        <f t="shared" ca="1" si="10"/>
        <v>17400</v>
      </c>
      <c r="N35" s="64">
        <f t="shared" ca="1" si="11"/>
        <v>0.10622710622710622</v>
      </c>
      <c r="O35" s="62">
        <f t="shared" ca="1" si="12"/>
        <v>16.827852998065765</v>
      </c>
    </row>
    <row r="36" spans="1:15" x14ac:dyDescent="0.45">
      <c r="A36" s="54" t="str">
        <f>IF(ISBLANK(Data!C36),"",Data!C36)</f>
        <v>2667 Albion Farm Way, Duluth, GA 30097</v>
      </c>
      <c r="B36" s="50">
        <f>IFERROR(MATCH($A36,Data!$C:$C,0),"")</f>
        <v>36</v>
      </c>
      <c r="C36" s="55">
        <f t="shared" ca="1" si="3"/>
        <v>43800</v>
      </c>
      <c r="D36" s="64">
        <f t="shared" ca="1" si="0"/>
        <v>0.35609756097560974</v>
      </c>
      <c r="E36" s="56">
        <f t="shared" ca="1" si="1"/>
        <v>14600</v>
      </c>
      <c r="F36" s="65">
        <f t="shared" ca="1" si="2"/>
        <v>0.11869918699186992</v>
      </c>
      <c r="G36" s="59">
        <f t="shared" ca="1" si="4"/>
        <v>10700</v>
      </c>
      <c r="H36" s="64">
        <f t="shared" ca="1" si="5"/>
        <v>8.6991869918699186E-2</v>
      </c>
      <c r="I36" s="60">
        <f t="shared" ca="1" si="6"/>
        <v>9.7533632286995555</v>
      </c>
      <c r="J36" s="63">
        <f t="shared" ca="1" si="7"/>
        <v>17500</v>
      </c>
      <c r="K36" s="64">
        <f t="shared" ca="1" si="8"/>
        <v>0.13089005235602094</v>
      </c>
      <c r="L36" s="62">
        <f t="shared" ca="1" si="9"/>
        <v>19.618834080717491</v>
      </c>
      <c r="M36" s="63">
        <f t="shared" ca="1" si="10"/>
        <v>15600</v>
      </c>
      <c r="N36" s="64">
        <f t="shared" ca="1" si="11"/>
        <v>0.10317460317460317</v>
      </c>
      <c r="O36" s="62">
        <f t="shared" ca="1" si="12"/>
        <v>17.488789237668158</v>
      </c>
    </row>
    <row r="37" spans="1:15" x14ac:dyDescent="0.45">
      <c r="A37" s="54" t="str">
        <f>IF(ISBLANK(Data!C37),"",Data!C37)</f>
        <v>2677 Albion Farm Way, Duluth, GA 30097</v>
      </c>
      <c r="B37" s="50">
        <f>IFERROR(MATCH($A37,Data!$C:$C,0),"")</f>
        <v>37</v>
      </c>
      <c r="C37" s="55">
        <f t="shared" ca="1" si="3"/>
        <v>41000</v>
      </c>
      <c r="D37" s="64">
        <f t="shared" ref="D37:D68" ca="1" si="13">IFERROR($C37/INDIRECT("Data!J"&amp;$B37),"")</f>
        <v>0.3451178451178451</v>
      </c>
      <c r="E37" s="56">
        <f t="shared" ref="E37:E68" ca="1" si="14">IFERROR($C37/($C$1-2016),"")</f>
        <v>13666.666666666666</v>
      </c>
      <c r="F37" s="65">
        <f t="shared" ref="F37:F68" ca="1" si="15">IFERROR($E37/INDIRECT("Data!$J"&amp;$B37),"")</f>
        <v>0.11503928170594836</v>
      </c>
      <c r="G37" s="59">
        <f t="shared" ca="1" si="4"/>
        <v>10400</v>
      </c>
      <c r="H37" s="64">
        <f t="shared" ca="1" si="5"/>
        <v>8.7542087542087546E-2</v>
      </c>
      <c r="I37" s="60">
        <f t="shared" ca="1" si="6"/>
        <v>9.5890410958904084</v>
      </c>
      <c r="J37" s="63">
        <f t="shared" ca="1" si="7"/>
        <v>16700</v>
      </c>
      <c r="K37" s="64">
        <f t="shared" ca="1" si="8"/>
        <v>0.12925696594427244</v>
      </c>
      <c r="L37" s="62">
        <f t="shared" ca="1" si="9"/>
        <v>19.063926940639277</v>
      </c>
      <c r="M37" s="63">
        <f t="shared" ca="1" si="10"/>
        <v>13900</v>
      </c>
      <c r="N37" s="64">
        <f t="shared" ca="1" si="11"/>
        <v>9.5270733379026737E-2</v>
      </c>
      <c r="O37" s="62">
        <f t="shared" ca="1" si="12"/>
        <v>15.867579908675793</v>
      </c>
    </row>
    <row r="38" spans="1:15" x14ac:dyDescent="0.45">
      <c r="A38" s="54" t="str">
        <f>IF(ISBLANK(Data!C38),"",Data!C38)</f>
        <v>2687 Albion Farm Way, Duluth, GA 30097</v>
      </c>
      <c r="B38" s="50">
        <f>IFERROR(MATCH($A38,Data!$C:$C,0),"")</f>
        <v>38</v>
      </c>
      <c r="C38" s="55">
        <f t="shared" ca="1" si="3"/>
        <v>52900</v>
      </c>
      <c r="D38" s="64">
        <f t="shared" ca="1" si="13"/>
        <v>0.34530026109660572</v>
      </c>
      <c r="E38" s="56">
        <f t="shared" ca="1" si="14"/>
        <v>17633.333333333332</v>
      </c>
      <c r="F38" s="65">
        <f t="shared" ca="1" si="15"/>
        <v>0.11510008703220191</v>
      </c>
      <c r="G38" s="59">
        <f t="shared" ca="1" si="4"/>
        <v>13500</v>
      </c>
      <c r="H38" s="64">
        <f t="shared" ca="1" si="5"/>
        <v>8.8120104438642294E-2</v>
      </c>
      <c r="I38" s="60">
        <f t="shared" ca="1" si="6"/>
        <v>9.7623089983022027</v>
      </c>
      <c r="J38" s="63">
        <f t="shared" ca="1" si="7"/>
        <v>23100</v>
      </c>
      <c r="K38" s="64">
        <f t="shared" ca="1" si="8"/>
        <v>0.13857228554289142</v>
      </c>
      <c r="L38" s="62">
        <f t="shared" ca="1" si="9"/>
        <v>19.609507640067903</v>
      </c>
      <c r="M38" s="63">
        <f t="shared" ca="1" si="10"/>
        <v>16300</v>
      </c>
      <c r="N38" s="64">
        <f t="shared" ca="1" si="11"/>
        <v>8.5879873551106434E-2</v>
      </c>
      <c r="O38" s="62">
        <f t="shared" ca="1" si="12"/>
        <v>13.837011884550094</v>
      </c>
    </row>
    <row r="39" spans="1:15" x14ac:dyDescent="0.45">
      <c r="A39" s="54" t="str">
        <f>IF(ISBLANK(Data!C39),"",Data!C39)</f>
        <v>2697 Albion Farm Way, Duluth, GA 30097</v>
      </c>
      <c r="B39" s="50">
        <f>IFERROR(MATCH($A39,Data!$C:$C,0),"")</f>
        <v>39</v>
      </c>
      <c r="C39" s="55">
        <f t="shared" ca="1" si="3"/>
        <v>54300</v>
      </c>
      <c r="D39" s="64">
        <f t="shared" ca="1" si="13"/>
        <v>0.34520025429116336</v>
      </c>
      <c r="E39" s="56">
        <f t="shared" ca="1" si="14"/>
        <v>18100</v>
      </c>
      <c r="F39" s="65">
        <f t="shared" ca="1" si="15"/>
        <v>0.11506675143038779</v>
      </c>
      <c r="G39" s="59">
        <f t="shared" ca="1" si="4"/>
        <v>13800</v>
      </c>
      <c r="H39" s="64">
        <f t="shared" ca="1" si="5"/>
        <v>8.773045136681501E-2</v>
      </c>
      <c r="I39" s="60">
        <f t="shared" ca="1" si="6"/>
        <v>9.6091205211726418</v>
      </c>
      <c r="J39" s="63">
        <f t="shared" ca="1" si="7"/>
        <v>23800</v>
      </c>
      <c r="K39" s="64">
        <f t="shared" ca="1" si="8"/>
        <v>0.13909994155464642</v>
      </c>
      <c r="L39" s="62">
        <f t="shared" ca="1" si="9"/>
        <v>19.381107491856667</v>
      </c>
      <c r="M39" s="63">
        <f t="shared" ca="1" si="10"/>
        <v>16700</v>
      </c>
      <c r="N39" s="64">
        <f t="shared" ca="1" si="11"/>
        <v>8.5684966649563876E-2</v>
      </c>
      <c r="O39" s="62">
        <f t="shared" ca="1" si="12"/>
        <v>13.599348534201965</v>
      </c>
    </row>
    <row r="40" spans="1:15" x14ac:dyDescent="0.45">
      <c r="A40" s="54" t="str">
        <f>IF(ISBLANK(Data!C40),"",Data!C40)</f>
        <v>2707 Albion Farm Way, Duluth, GA 30097</v>
      </c>
      <c r="B40" s="50">
        <f>IFERROR(MATCH($A40,Data!$C:$C,0),"")</f>
        <v>40</v>
      </c>
      <c r="C40" s="55">
        <f t="shared" ca="1" si="3"/>
        <v>43000</v>
      </c>
      <c r="D40" s="64">
        <f t="shared" ca="1" si="13"/>
        <v>0.3547854785478548</v>
      </c>
      <c r="E40" s="56">
        <f t="shared" ca="1" si="14"/>
        <v>14333.333333333334</v>
      </c>
      <c r="F40" s="65">
        <f t="shared" ca="1" si="15"/>
        <v>0.11826182618261827</v>
      </c>
      <c r="G40" s="59">
        <f t="shared" ca="1" si="4"/>
        <v>10600</v>
      </c>
      <c r="H40" s="64">
        <f t="shared" ca="1" si="5"/>
        <v>8.7458745874587462E-2</v>
      </c>
      <c r="I40" s="60">
        <f t="shared" ca="1" si="6"/>
        <v>9.9883855981417042</v>
      </c>
      <c r="J40" s="63">
        <f t="shared" ca="1" si="7"/>
        <v>17200</v>
      </c>
      <c r="K40" s="64">
        <f t="shared" ca="1" si="8"/>
        <v>0.13050075872534142</v>
      </c>
      <c r="L40" s="62">
        <f t="shared" ca="1" si="9"/>
        <v>19.976771196283394</v>
      </c>
      <c r="M40" s="63">
        <f t="shared" ca="1" si="10"/>
        <v>15200</v>
      </c>
      <c r="N40" s="64">
        <f t="shared" ca="1" si="11"/>
        <v>0.10201342281879194</v>
      </c>
      <c r="O40" s="62">
        <f t="shared" ca="1" si="12"/>
        <v>17.653890824622522</v>
      </c>
    </row>
    <row r="41" spans="1:15" x14ac:dyDescent="0.45">
      <c r="A41" s="54" t="str">
        <f>IF(ISBLANK(Data!C41),"",Data!C41)</f>
        <v>2717 Albion Farm Way, Duluth, GA 30097</v>
      </c>
      <c r="B41" s="50">
        <f>IFERROR(MATCH($A41,Data!$C:$C,0),"")</f>
        <v>41</v>
      </c>
      <c r="C41" s="55">
        <f t="shared" ca="1" si="3"/>
        <v>11200</v>
      </c>
      <c r="D41" s="64">
        <f t="shared" ca="1" si="13"/>
        <v>6.7755595886267395E-2</v>
      </c>
      <c r="E41" s="56">
        <f t="shared" ca="1" si="14"/>
        <v>3733.3333333333335</v>
      </c>
      <c r="F41" s="65">
        <f t="shared" ca="1" si="15"/>
        <v>2.2585198628755798E-2</v>
      </c>
      <c r="G41" s="59">
        <f t="shared" ca="1" si="4"/>
        <v>11200</v>
      </c>
      <c r="H41" s="64">
        <f t="shared" ca="1" si="5"/>
        <v>6.7755595886267395E-2</v>
      </c>
      <c r="I41" s="60">
        <f t="shared" ca="1" si="6"/>
        <v>7.0878274268104775</v>
      </c>
      <c r="J41" s="63">
        <f t="shared" ca="1" si="7"/>
        <v>0</v>
      </c>
      <c r="K41" s="64">
        <f t="shared" ca="1" si="8"/>
        <v>0</v>
      </c>
      <c r="L41" s="62">
        <f t="shared" ca="1" si="9"/>
        <v>0</v>
      </c>
      <c r="M41" s="63">
        <f t="shared" ca="1" si="10"/>
        <v>0</v>
      </c>
      <c r="N41" s="64">
        <f t="shared" ca="1" si="11"/>
        <v>0</v>
      </c>
      <c r="O41" s="62">
        <f t="shared" ca="1" si="12"/>
        <v>0</v>
      </c>
    </row>
    <row r="42" spans="1:15" x14ac:dyDescent="0.45">
      <c r="A42" s="54" t="str">
        <f>IF(ISBLANK(Data!C42),"",Data!C42)</f>
        <v>2722 Albion Farm Way, Duluth, GA 30097</v>
      </c>
      <c r="B42" s="50">
        <f>IFERROR(MATCH($A42,Data!$C:$C,0),"")</f>
        <v>42</v>
      </c>
      <c r="C42" s="55">
        <f t="shared" ca="1" si="3"/>
        <v>53300</v>
      </c>
      <c r="D42" s="64">
        <f t="shared" ca="1" si="13"/>
        <v>0.37065368567454798</v>
      </c>
      <c r="E42" s="56">
        <f t="shared" ca="1" si="14"/>
        <v>17766.666666666668</v>
      </c>
      <c r="F42" s="65">
        <f t="shared" ca="1" si="15"/>
        <v>0.12355122855818267</v>
      </c>
      <c r="G42" s="59">
        <f t="shared" ca="1" si="4"/>
        <v>14300</v>
      </c>
      <c r="H42" s="64">
        <f t="shared" ca="1" si="5"/>
        <v>9.944367176634214E-2</v>
      </c>
      <c r="I42" s="60">
        <f t="shared" ca="1" si="6"/>
        <v>10.837004405286351</v>
      </c>
      <c r="J42" s="63">
        <f t="shared" ca="1" si="7"/>
        <v>19700</v>
      </c>
      <c r="K42" s="64">
        <f t="shared" ca="1" si="8"/>
        <v>0.12460468058191018</v>
      </c>
      <c r="L42" s="62">
        <f t="shared" ca="1" si="9"/>
        <v>17.356828193832584</v>
      </c>
      <c r="M42" s="63">
        <f t="shared" ca="1" si="10"/>
        <v>19300</v>
      </c>
      <c r="N42" s="64">
        <f t="shared" ca="1" si="11"/>
        <v>0.10854893138357705</v>
      </c>
      <c r="O42" s="62">
        <f t="shared" ca="1" si="12"/>
        <v>17.004405286343626</v>
      </c>
    </row>
    <row r="43" spans="1:15" x14ac:dyDescent="0.45">
      <c r="A43" s="54" t="str">
        <f>IF(ISBLANK(Data!C43),"",Data!C43)</f>
        <v>2727 Albion Farm Way, Duluth, GA 30097</v>
      </c>
      <c r="B43" s="50">
        <f>IFERROR(MATCH($A43,Data!$C:$C,0),"")</f>
        <v>43</v>
      </c>
      <c r="C43" s="55">
        <f t="shared" ca="1" si="3"/>
        <v>48900</v>
      </c>
      <c r="D43" s="64">
        <f t="shared" ca="1" si="13"/>
        <v>0.36492537313432838</v>
      </c>
      <c r="E43" s="56">
        <f t="shared" ca="1" si="14"/>
        <v>16300</v>
      </c>
      <c r="F43" s="65">
        <f t="shared" ca="1" si="15"/>
        <v>0.12164179104477611</v>
      </c>
      <c r="G43" s="59">
        <f t="shared" ca="1" si="4"/>
        <v>13200</v>
      </c>
      <c r="H43" s="64">
        <f t="shared" ca="1" si="5"/>
        <v>9.8507462686567168E-2</v>
      </c>
      <c r="I43" s="60">
        <f t="shared" ca="1" si="6"/>
        <v>11.045364891518744</v>
      </c>
      <c r="J43" s="63">
        <f t="shared" ca="1" si="7"/>
        <v>14800</v>
      </c>
      <c r="K43" s="64">
        <f t="shared" ca="1" si="8"/>
        <v>0.10054347826086957</v>
      </c>
      <c r="L43" s="62">
        <f t="shared" ca="1" si="9"/>
        <v>14.595660749506905</v>
      </c>
      <c r="M43" s="63">
        <f t="shared" ca="1" si="10"/>
        <v>20900</v>
      </c>
      <c r="N43" s="64">
        <f t="shared" ca="1" si="11"/>
        <v>0.12901234567901235</v>
      </c>
      <c r="O43" s="62">
        <f t="shared" ca="1" si="12"/>
        <v>20.611439842209052</v>
      </c>
    </row>
    <row r="44" spans="1:15" x14ac:dyDescent="0.45">
      <c r="A44" s="54" t="str">
        <f>IF(ISBLANK(Data!C44),"",Data!C44)</f>
        <v>2732 Albion Farm Way, Duluth, GA 30097</v>
      </c>
      <c r="B44" s="50">
        <f>IFERROR(MATCH($A44,Data!$C:$C,0),"")</f>
        <v>44</v>
      </c>
      <c r="C44" s="55">
        <f t="shared" ca="1" si="3"/>
        <v>55000</v>
      </c>
      <c r="D44" s="64">
        <f t="shared" ca="1" si="13"/>
        <v>0.33804548248309774</v>
      </c>
      <c r="E44" s="56">
        <f t="shared" ca="1" si="14"/>
        <v>18333.333333333332</v>
      </c>
      <c r="F44" s="65">
        <f t="shared" ca="1" si="15"/>
        <v>0.11268182749436591</v>
      </c>
      <c r="G44" s="59">
        <f t="shared" ca="1" si="4"/>
        <v>16200</v>
      </c>
      <c r="H44" s="64">
        <f t="shared" ca="1" si="5"/>
        <v>9.9569760295021514E-2</v>
      </c>
      <c r="I44" s="60">
        <f t="shared" ca="1" si="6"/>
        <v>10.939907550077038</v>
      </c>
      <c r="J44" s="63">
        <f t="shared" ca="1" si="7"/>
        <v>22900</v>
      </c>
      <c r="K44" s="64">
        <f t="shared" ca="1" si="8"/>
        <v>0.12800447177193963</v>
      </c>
      <c r="L44" s="62">
        <f t="shared" ca="1" si="9"/>
        <v>17.642526964560872</v>
      </c>
      <c r="M44" s="63">
        <f t="shared" ca="1" si="10"/>
        <v>15900</v>
      </c>
      <c r="N44" s="64">
        <f t="shared" ca="1" si="11"/>
        <v>7.8790882061446979E-2</v>
      </c>
      <c r="O44" s="62">
        <f t="shared" ca="1" si="12"/>
        <v>12.249614791987682</v>
      </c>
    </row>
    <row r="45" spans="1:15" x14ac:dyDescent="0.45">
      <c r="A45" s="54" t="str">
        <f>IF(ISBLANK(Data!C45),"",Data!C45)</f>
        <v>2737 Albion Farm Way, Duluth, GA 30097</v>
      </c>
      <c r="B45" s="50">
        <f>IFERROR(MATCH($A45,Data!$C:$C,0),"")</f>
        <v>45</v>
      </c>
      <c r="C45" s="55">
        <f t="shared" ca="1" si="3"/>
        <v>44600</v>
      </c>
      <c r="D45" s="64">
        <f t="shared" ca="1" si="13"/>
        <v>0.33408239700374531</v>
      </c>
      <c r="E45" s="56">
        <f t="shared" ca="1" si="14"/>
        <v>14866.666666666666</v>
      </c>
      <c r="F45" s="65">
        <f t="shared" ca="1" si="15"/>
        <v>0.11136079900124843</v>
      </c>
      <c r="G45" s="59">
        <f t="shared" ca="1" si="4"/>
        <v>13100</v>
      </c>
      <c r="H45" s="64">
        <f t="shared" ca="1" si="5"/>
        <v>9.8127340823970038E-2</v>
      </c>
      <c r="I45" s="60">
        <f t="shared" ca="1" si="6"/>
        <v>10.946745562130175</v>
      </c>
      <c r="J45" s="63">
        <f t="shared" ca="1" si="7"/>
        <v>17900</v>
      </c>
      <c r="K45" s="64">
        <f t="shared" ca="1" si="8"/>
        <v>0.12210095497953616</v>
      </c>
      <c r="L45" s="62">
        <f t="shared" ca="1" si="9"/>
        <v>17.652859960552263</v>
      </c>
      <c r="M45" s="63">
        <f t="shared" ca="1" si="10"/>
        <v>13600</v>
      </c>
      <c r="N45" s="64">
        <f t="shared" ca="1" si="11"/>
        <v>8.2674772036474165E-2</v>
      </c>
      <c r="O45" s="62">
        <f t="shared" ca="1" si="12"/>
        <v>13.412228796844204</v>
      </c>
    </row>
    <row r="46" spans="1:15" x14ac:dyDescent="0.45">
      <c r="A46" s="54" t="str">
        <f>IF(ISBLANK(Data!C46),"",Data!C46)</f>
        <v>2742 Albion Farm Way, Duluth, GA 30097</v>
      </c>
      <c r="B46" s="50">
        <f>IFERROR(MATCH($A46,Data!$C:$C,0),"")</f>
        <v>46</v>
      </c>
      <c r="C46" s="55">
        <f t="shared" ca="1" si="3"/>
        <v>53600</v>
      </c>
      <c r="D46" s="64">
        <f t="shared" ca="1" si="13"/>
        <v>0.33354075917859366</v>
      </c>
      <c r="E46" s="56">
        <f t="shared" ca="1" si="14"/>
        <v>17866.666666666668</v>
      </c>
      <c r="F46" s="65">
        <f t="shared" ca="1" si="15"/>
        <v>0.11118025305953122</v>
      </c>
      <c r="G46" s="59">
        <f t="shared" ca="1" si="4"/>
        <v>16000</v>
      </c>
      <c r="H46" s="64">
        <f t="shared" ca="1" si="5"/>
        <v>9.9564405724953328E-2</v>
      </c>
      <c r="I46" s="60">
        <f t="shared" ca="1" si="6"/>
        <v>10.785824345146381</v>
      </c>
      <c r="J46" s="63">
        <f t="shared" ca="1" si="7"/>
        <v>-6800</v>
      </c>
      <c r="K46" s="64">
        <f t="shared" ca="1" si="8"/>
        <v>-3.8483305036785515E-2</v>
      </c>
      <c r="L46" s="62">
        <f t="shared" ca="1" si="9"/>
        <v>-5.2388289676425188</v>
      </c>
      <c r="M46" s="63">
        <f t="shared" ca="1" si="10"/>
        <v>44400</v>
      </c>
      <c r="N46" s="64">
        <f t="shared" ca="1" si="11"/>
        <v>0.26133019423190113</v>
      </c>
      <c r="O46" s="62">
        <f t="shared" ca="1" si="12"/>
        <v>34.206471494607072</v>
      </c>
    </row>
    <row r="47" spans="1:15" x14ac:dyDescent="0.45">
      <c r="A47" s="54" t="str">
        <f>IF(ISBLANK(Data!C47),"",Data!C47)</f>
        <v>2747 Albion Farm Way, Duluth, GA 30097</v>
      </c>
      <c r="B47" s="50">
        <f>IFERROR(MATCH($A47,Data!$C:$C,0),"")</f>
        <v>47</v>
      </c>
      <c r="C47" s="55">
        <f t="shared" ca="1" si="3"/>
        <v>48900</v>
      </c>
      <c r="D47" s="64">
        <f t="shared" ca="1" si="13"/>
        <v>0.36492537313432838</v>
      </c>
      <c r="E47" s="56">
        <f t="shared" ca="1" si="14"/>
        <v>16300</v>
      </c>
      <c r="F47" s="65">
        <f t="shared" ca="1" si="15"/>
        <v>0.12164179104477611</v>
      </c>
      <c r="G47" s="59">
        <f t="shared" ca="1" si="4"/>
        <v>13200</v>
      </c>
      <c r="H47" s="64">
        <f t="shared" ca="1" si="5"/>
        <v>9.8507462686567168E-2</v>
      </c>
      <c r="I47" s="60">
        <f t="shared" ca="1" si="6"/>
        <v>0</v>
      </c>
      <c r="J47" s="63">
        <f t="shared" ca="1" si="7"/>
        <v>18000</v>
      </c>
      <c r="K47" s="64">
        <f t="shared" ca="1" si="8"/>
        <v>0.12228260869565218</v>
      </c>
      <c r="L47" s="62">
        <f t="shared" ca="1" si="9"/>
        <v>16.304347826086953</v>
      </c>
      <c r="M47" s="63">
        <f t="shared" ca="1" si="10"/>
        <v>17700</v>
      </c>
      <c r="N47" s="64">
        <f t="shared" ca="1" si="11"/>
        <v>0.10714285714285714</v>
      </c>
      <c r="O47" s="62">
        <f t="shared" ca="1" si="12"/>
        <v>16.032608695652158</v>
      </c>
    </row>
    <row r="48" spans="1:15" x14ac:dyDescent="0.45">
      <c r="A48" s="54" t="str">
        <f>IF(ISBLANK(Data!C48),"",Data!C48)</f>
        <v>2757 Albion Farm Way, Duluth, GA 30097</v>
      </c>
      <c r="B48" s="50">
        <f>IFERROR(MATCH($A48,Data!$C:$C,0),"")</f>
        <v>48</v>
      </c>
      <c r="C48" s="55">
        <f t="shared" ca="1" si="3"/>
        <v>45900</v>
      </c>
      <c r="D48" s="64">
        <f t="shared" ca="1" si="13"/>
        <v>0.34904942965779467</v>
      </c>
      <c r="E48" s="56">
        <f t="shared" ca="1" si="14"/>
        <v>15300</v>
      </c>
      <c r="F48" s="65">
        <f t="shared" ca="1" si="15"/>
        <v>0.11634980988593156</v>
      </c>
      <c r="G48" s="59">
        <f t="shared" ca="1" si="4"/>
        <v>13000</v>
      </c>
      <c r="H48" s="64">
        <f t="shared" ca="1" si="5"/>
        <v>9.8859315589353611E-2</v>
      </c>
      <c r="I48" s="60">
        <f t="shared" ca="1" si="6"/>
        <v>11</v>
      </c>
      <c r="J48" s="63">
        <f t="shared" ca="1" si="7"/>
        <v>17500</v>
      </c>
      <c r="K48" s="64">
        <f t="shared" ca="1" si="8"/>
        <v>0.12110726643598616</v>
      </c>
      <c r="L48" s="62">
        <f t="shared" ca="1" si="9"/>
        <v>17.5</v>
      </c>
      <c r="M48" s="63">
        <f t="shared" ca="1" si="10"/>
        <v>15400</v>
      </c>
      <c r="N48" s="64">
        <f t="shared" ca="1" si="11"/>
        <v>9.5061728395061731E-2</v>
      </c>
      <c r="O48" s="62">
        <f t="shared" ca="1" si="12"/>
        <v>15.400000000000006</v>
      </c>
    </row>
    <row r="49" spans="1:15" x14ac:dyDescent="0.45">
      <c r="A49" s="54" t="str">
        <f>IF(ISBLANK(Data!C49),"",Data!C49)</f>
        <v>2767 Albion Farm Way, Duluth, GA 30097</v>
      </c>
      <c r="B49" s="50">
        <f>IFERROR(MATCH($A49,Data!$C:$C,0),"")</f>
        <v>49</v>
      </c>
      <c r="C49" s="55">
        <f t="shared" ca="1" si="3"/>
        <v>49600</v>
      </c>
      <c r="D49" s="64">
        <f t="shared" ca="1" si="13"/>
        <v>0.35077793493635079</v>
      </c>
      <c r="E49" s="56">
        <f t="shared" ca="1" si="14"/>
        <v>16533.333333333332</v>
      </c>
      <c r="F49" s="65">
        <f t="shared" ca="1" si="15"/>
        <v>0.11692597831211692</v>
      </c>
      <c r="G49" s="59">
        <f t="shared" ca="1" si="4"/>
        <v>14000</v>
      </c>
      <c r="H49" s="64">
        <f t="shared" ca="1" si="5"/>
        <v>9.9009900990099015E-2</v>
      </c>
      <c r="I49" s="60">
        <f t="shared" ca="1" si="6"/>
        <v>10.008340283569638</v>
      </c>
      <c r="J49" s="63">
        <f t="shared" ca="1" si="7"/>
        <v>19300</v>
      </c>
      <c r="K49" s="64">
        <f t="shared" ca="1" si="8"/>
        <v>0.1241956241956242</v>
      </c>
      <c r="L49" s="62">
        <f t="shared" ca="1" si="9"/>
        <v>16.096747289407844</v>
      </c>
      <c r="M49" s="63">
        <f t="shared" ca="1" si="10"/>
        <v>16300</v>
      </c>
      <c r="N49" s="64">
        <f t="shared" ca="1" si="11"/>
        <v>9.3302804808242698E-2</v>
      </c>
      <c r="O49" s="62">
        <f t="shared" ca="1" si="12"/>
        <v>13.594662218515424</v>
      </c>
    </row>
    <row r="50" spans="1:15" x14ac:dyDescent="0.45">
      <c r="A50" s="54" t="str">
        <f>IF(ISBLANK(Data!C50),"",Data!C50)</f>
        <v>2777 Albion Farm Way, Duluth, GA 30097</v>
      </c>
      <c r="B50" s="50">
        <f>IFERROR(MATCH($A50,Data!$C:$C,0),"")</f>
        <v>50</v>
      </c>
      <c r="C50" s="55">
        <f t="shared" ca="1" si="3"/>
        <v>43800</v>
      </c>
      <c r="D50" s="64">
        <f t="shared" ca="1" si="13"/>
        <v>0.34872611464968151</v>
      </c>
      <c r="E50" s="56">
        <f t="shared" ca="1" si="14"/>
        <v>14600</v>
      </c>
      <c r="F50" s="65">
        <f t="shared" ca="1" si="15"/>
        <v>0.11624203821656051</v>
      </c>
      <c r="G50" s="59">
        <f t="shared" ca="1" si="4"/>
        <v>12400</v>
      </c>
      <c r="H50" s="64">
        <f t="shared" ca="1" si="5"/>
        <v>9.8726114649681534E-2</v>
      </c>
      <c r="I50" s="60">
        <f t="shared" ca="1" si="6"/>
        <v>11.403508771929822</v>
      </c>
      <c r="J50" s="63">
        <f t="shared" ca="1" si="7"/>
        <v>16600</v>
      </c>
      <c r="K50" s="64">
        <f t="shared" ca="1" si="8"/>
        <v>0.12028985507246377</v>
      </c>
      <c r="L50" s="62">
        <f t="shared" ca="1" si="9"/>
        <v>18.201754385964918</v>
      </c>
      <c r="M50" s="63">
        <f t="shared" ca="1" si="10"/>
        <v>14800</v>
      </c>
      <c r="N50" s="64">
        <f t="shared" ca="1" si="11"/>
        <v>9.5730918499353168E-2</v>
      </c>
      <c r="O50" s="62">
        <f t="shared" ca="1" si="12"/>
        <v>16.228070175438603</v>
      </c>
    </row>
    <row r="51" spans="1:15" x14ac:dyDescent="0.45">
      <c r="A51" s="54" t="str">
        <f>IF(ISBLANK(Data!C51),"",Data!C51)</f>
        <v>2787 Albion Farm Way, Duluth, GA 30097</v>
      </c>
      <c r="B51" s="50">
        <f>IFERROR(MATCH($A51,Data!$C:$C,0),"")</f>
        <v>51</v>
      </c>
      <c r="C51" s="55">
        <f t="shared" ca="1" si="3"/>
        <v>34500</v>
      </c>
      <c r="D51" s="64">
        <f t="shared" ca="1" si="13"/>
        <v>0.21100917431192662</v>
      </c>
      <c r="E51" s="56">
        <f t="shared" ca="1" si="14"/>
        <v>11500</v>
      </c>
      <c r="F51" s="65">
        <f t="shared" ca="1" si="15"/>
        <v>7.0336391437308868E-2</v>
      </c>
      <c r="G51" s="59">
        <f t="shared" ca="1" si="4"/>
        <v>16300</v>
      </c>
      <c r="H51" s="64">
        <f t="shared" ca="1" si="5"/>
        <v>9.9694189602446484E-2</v>
      </c>
      <c r="I51" s="60">
        <f t="shared" ca="1" si="6"/>
        <v>11.016949152542367</v>
      </c>
      <c r="J51" s="63">
        <f t="shared" ca="1" si="7"/>
        <v>23000</v>
      </c>
      <c r="K51" s="64">
        <f t="shared" ca="1" si="8"/>
        <v>0.12791991101223582</v>
      </c>
      <c r="L51" s="62">
        <f t="shared" ca="1" si="9"/>
        <v>17.719568567026201</v>
      </c>
      <c r="M51" s="63">
        <f t="shared" ca="1" si="10"/>
        <v>-4800</v>
      </c>
      <c r="N51" s="64">
        <f t="shared" ca="1" si="11"/>
        <v>-2.3668639053254437E-2</v>
      </c>
      <c r="O51" s="62">
        <f t="shared" ca="1" si="12"/>
        <v>-3.6979969183359174</v>
      </c>
    </row>
    <row r="52" spans="1:15" x14ac:dyDescent="0.45">
      <c r="A52" s="54" t="str">
        <f>IF(ISBLANK(Data!C52),"",Data!C52)</f>
        <v>2797 Albion Farm Way, Duluth, GA 30097</v>
      </c>
      <c r="B52" s="50">
        <f>IFERROR(MATCH($A52,Data!$C:$C,0),"")</f>
        <v>52</v>
      </c>
      <c r="C52" s="55">
        <f t="shared" ca="1" si="3"/>
        <v>45100</v>
      </c>
      <c r="D52" s="64">
        <f t="shared" ca="1" si="13"/>
        <v>0.33432171979243885</v>
      </c>
      <c r="E52" s="56">
        <f t="shared" ca="1" si="14"/>
        <v>15033.333333333334</v>
      </c>
      <c r="F52" s="65">
        <f t="shared" ca="1" si="15"/>
        <v>0.11144057326414629</v>
      </c>
      <c r="G52" s="59">
        <f t="shared" ca="1" si="4"/>
        <v>13300</v>
      </c>
      <c r="H52" s="64">
        <f t="shared" ca="1" si="5"/>
        <v>9.8591549295774641E-2</v>
      </c>
      <c r="I52" s="60">
        <f t="shared" ca="1" si="6"/>
        <v>11.143984220907299</v>
      </c>
      <c r="J52" s="63">
        <f t="shared" ca="1" si="7"/>
        <v>18200</v>
      </c>
      <c r="K52" s="64">
        <f t="shared" ca="1" si="8"/>
        <v>0.12280701754385964</v>
      </c>
      <c r="L52" s="62">
        <f t="shared" ca="1" si="9"/>
        <v>17.948717948717956</v>
      </c>
      <c r="M52" s="63">
        <f t="shared" ca="1" si="10"/>
        <v>13600</v>
      </c>
      <c r="N52" s="64">
        <f t="shared" ca="1" si="11"/>
        <v>8.1730769230769232E-2</v>
      </c>
      <c r="O52" s="62">
        <f t="shared" ca="1" si="12"/>
        <v>13.412228796844175</v>
      </c>
    </row>
    <row r="53" spans="1:15" x14ac:dyDescent="0.45">
      <c r="A53" s="54" t="str">
        <f>IF(ISBLANK(Data!C53),"",Data!C53)</f>
        <v>2807 Albion Farm Way, Duluth, GA 30097</v>
      </c>
      <c r="B53" s="50">
        <f>IFERROR(MATCH($A53,Data!$C:$C,0),"")</f>
        <v>53</v>
      </c>
      <c r="C53" s="55">
        <f t="shared" ca="1" si="3"/>
        <v>42600</v>
      </c>
      <c r="D53" s="64">
        <f t="shared" ca="1" si="13"/>
        <v>0.34521880064829824</v>
      </c>
      <c r="E53" s="56">
        <f t="shared" ca="1" si="14"/>
        <v>14200</v>
      </c>
      <c r="F53" s="65">
        <f t="shared" ca="1" si="15"/>
        <v>0.11507293354943274</v>
      </c>
      <c r="G53" s="59">
        <f t="shared" ca="1" si="4"/>
        <v>11600</v>
      </c>
      <c r="H53" s="64">
        <f t="shared" ca="1" si="5"/>
        <v>9.4003241491085895E-2</v>
      </c>
      <c r="I53" s="60">
        <f t="shared" ca="1" si="6"/>
        <v>9.5427435387673967</v>
      </c>
      <c r="J53" s="63">
        <f t="shared" ca="1" si="7"/>
        <v>16700</v>
      </c>
      <c r="K53" s="64">
        <f t="shared" ca="1" si="8"/>
        <v>0.1237037037037037</v>
      </c>
      <c r="L53" s="62">
        <f t="shared" ca="1" si="9"/>
        <v>16.600397614314119</v>
      </c>
      <c r="M53" s="63">
        <f t="shared" ca="1" si="10"/>
        <v>14300</v>
      </c>
      <c r="N53" s="64">
        <f t="shared" ca="1" si="11"/>
        <v>9.4264996704021095E-2</v>
      </c>
      <c r="O53" s="62">
        <f t="shared" ca="1" si="12"/>
        <v>14.214711729622252</v>
      </c>
    </row>
    <row r="54" spans="1:15" x14ac:dyDescent="0.45">
      <c r="A54" s="54" t="str">
        <f>IF(ISBLANK(Data!C54),"",Data!C54)</f>
        <v>2817 Albion Farm Way, Duluth, GA 30097</v>
      </c>
      <c r="B54" s="50">
        <f>IFERROR(MATCH($A54,Data!$C:$C,0),"")</f>
        <v>54</v>
      </c>
      <c r="C54" s="55">
        <f t="shared" ca="1" si="3"/>
        <v>52900</v>
      </c>
      <c r="D54" s="64">
        <f t="shared" ca="1" si="13"/>
        <v>0.40692307692307694</v>
      </c>
      <c r="E54" s="56">
        <f t="shared" ca="1" si="14"/>
        <v>17633.333333333332</v>
      </c>
      <c r="F54" s="65">
        <f t="shared" ca="1" si="15"/>
        <v>0.13564102564102562</v>
      </c>
      <c r="G54" s="59">
        <f t="shared" ca="1" si="4"/>
        <v>17100</v>
      </c>
      <c r="H54" s="64">
        <f t="shared" ca="1" si="5"/>
        <v>0.13153846153846155</v>
      </c>
      <c r="I54" s="60">
        <f t="shared" ca="1" si="6"/>
        <v>13.677536231884048</v>
      </c>
      <c r="J54" s="63">
        <f t="shared" ca="1" si="7"/>
        <v>18000</v>
      </c>
      <c r="K54" s="64">
        <f t="shared" ca="1" si="8"/>
        <v>0.12236573759347383</v>
      </c>
      <c r="L54" s="62">
        <f t="shared" ca="1" si="9"/>
        <v>16.304347826086953</v>
      </c>
      <c r="M54" s="63">
        <f t="shared" ca="1" si="10"/>
        <v>17800</v>
      </c>
      <c r="N54" s="64">
        <f t="shared" ca="1" si="11"/>
        <v>0.10781344639612356</v>
      </c>
      <c r="O54" s="62">
        <f t="shared" ca="1" si="12"/>
        <v>16.123188405797094</v>
      </c>
    </row>
    <row r="55" spans="1:15" x14ac:dyDescent="0.45">
      <c r="A55" s="54" t="str">
        <f>IF(ISBLANK(Data!C55),"",Data!C55)</f>
        <v>2822 Albion Farm Way, Duluth, GA 30097</v>
      </c>
      <c r="B55" s="50">
        <f>IFERROR(MATCH($A55,Data!$C:$C,0),"")</f>
        <v>55</v>
      </c>
      <c r="C55" s="55">
        <f t="shared" ca="1" si="3"/>
        <v>50200</v>
      </c>
      <c r="D55" s="64">
        <f t="shared" ca="1" si="13"/>
        <v>0.34573002754820936</v>
      </c>
      <c r="E55" s="56">
        <f t="shared" ca="1" si="14"/>
        <v>16733.333333333332</v>
      </c>
      <c r="F55" s="65">
        <f t="shared" ca="1" si="15"/>
        <v>0.11524334251606978</v>
      </c>
      <c r="G55" s="59">
        <f t="shared" ca="1" si="4"/>
        <v>14300</v>
      </c>
      <c r="H55" s="64">
        <f t="shared" ca="1" si="5"/>
        <v>9.8484848484848481E-2</v>
      </c>
      <c r="I55" s="60">
        <f t="shared" ca="1" si="6"/>
        <v>10.207468879668056</v>
      </c>
      <c r="J55" s="63">
        <f t="shared" ca="1" si="7"/>
        <v>19900</v>
      </c>
      <c r="K55" s="64">
        <f t="shared" ca="1" si="8"/>
        <v>0.12476489028213165</v>
      </c>
      <c r="L55" s="62">
        <f t="shared" ca="1" si="9"/>
        <v>16.514522821576762</v>
      </c>
      <c r="M55" s="63">
        <f t="shared" ca="1" si="10"/>
        <v>16000</v>
      </c>
      <c r="N55" s="64">
        <f t="shared" ca="1" si="11"/>
        <v>8.9186176142697887E-2</v>
      </c>
      <c r="O55" s="62">
        <f t="shared" ca="1" si="12"/>
        <v>13.278008298755182</v>
      </c>
    </row>
    <row r="56" spans="1:15" x14ac:dyDescent="0.45">
      <c r="A56" s="54" t="str">
        <f>IF(ISBLANK(Data!C56),"",Data!C56)</f>
        <v>2827 Albion Farm Way, Duluth, GA 30097</v>
      </c>
      <c r="B56" s="50">
        <f>IFERROR(MATCH($A56,Data!$C:$C,0),"")</f>
        <v>56</v>
      </c>
      <c r="C56" s="55">
        <f t="shared" ca="1" si="3"/>
        <v>45500</v>
      </c>
      <c r="D56" s="64">
        <f t="shared" ca="1" si="13"/>
        <v>0.34973097617217525</v>
      </c>
      <c r="E56" s="56">
        <f t="shared" ca="1" si="14"/>
        <v>15166.666666666666</v>
      </c>
      <c r="F56" s="65">
        <f t="shared" ca="1" si="15"/>
        <v>0.11657699205739175</v>
      </c>
      <c r="G56" s="59">
        <f t="shared" ca="1" si="4"/>
        <v>12700</v>
      </c>
      <c r="H56" s="64">
        <f t="shared" ca="1" si="5"/>
        <v>9.7617217524980787E-2</v>
      </c>
      <c r="I56" s="60">
        <f t="shared" ca="1" si="6"/>
        <v>10.700000000000003</v>
      </c>
      <c r="J56" s="63">
        <f t="shared" ca="1" si="7"/>
        <v>17400</v>
      </c>
      <c r="K56" s="64">
        <f t="shared" ca="1" si="8"/>
        <v>0.12184873949579832</v>
      </c>
      <c r="L56" s="62">
        <f t="shared" ca="1" si="9"/>
        <v>17.399999999999991</v>
      </c>
      <c r="M56" s="63">
        <f t="shared" ca="1" si="10"/>
        <v>15400</v>
      </c>
      <c r="N56" s="64">
        <f t="shared" ca="1" si="11"/>
        <v>9.612983770287141E-2</v>
      </c>
      <c r="O56" s="62">
        <f t="shared" ca="1" si="12"/>
        <v>15.400000000000006</v>
      </c>
    </row>
    <row r="57" spans="1:15" x14ac:dyDescent="0.45">
      <c r="A57" s="54" t="str">
        <f>IF(ISBLANK(Data!C57),"",Data!C57)</f>
        <v>2832 Albion Farm Way, Duluth, GA 30097</v>
      </c>
      <c r="B57" s="50">
        <f>IFERROR(MATCH($A57,Data!$C:$C,0),"")</f>
        <v>57</v>
      </c>
      <c r="C57" s="55">
        <f t="shared" ca="1" si="3"/>
        <v>49200</v>
      </c>
      <c r="D57" s="64">
        <f t="shared" ca="1" si="13"/>
        <v>0.3663440059568131</v>
      </c>
      <c r="E57" s="56">
        <f t="shared" ca="1" si="14"/>
        <v>16400</v>
      </c>
      <c r="F57" s="65">
        <f t="shared" ca="1" si="15"/>
        <v>0.12211466865227104</v>
      </c>
      <c r="G57" s="59">
        <f t="shared" ca="1" si="4"/>
        <v>13200</v>
      </c>
      <c r="H57" s="64">
        <f t="shared" ca="1" si="5"/>
        <v>9.8287416232315711E-2</v>
      </c>
      <c r="I57" s="60">
        <f t="shared" ca="1" si="6"/>
        <v>9.9732858414959935</v>
      </c>
      <c r="J57" s="63">
        <f t="shared" ca="1" si="7"/>
        <v>15500</v>
      </c>
      <c r="K57" s="64">
        <f t="shared" ca="1" si="8"/>
        <v>0.10508474576271186</v>
      </c>
      <c r="L57" s="62">
        <f t="shared" ca="1" si="9"/>
        <v>13.802315227070352</v>
      </c>
      <c r="M57" s="63">
        <f t="shared" ca="1" si="10"/>
        <v>20500</v>
      </c>
      <c r="N57" s="64">
        <f t="shared" ca="1" si="11"/>
        <v>0.12576687116564417</v>
      </c>
      <c r="O57" s="62">
        <f t="shared" ca="1" si="12"/>
        <v>18.25467497773819</v>
      </c>
    </row>
    <row r="58" spans="1:15" x14ac:dyDescent="0.45">
      <c r="A58" s="54" t="str">
        <f>IF(ISBLANK(Data!C58),"",Data!C58)</f>
        <v>2842 Albion Farm Way, Duluth, GA 30097</v>
      </c>
      <c r="B58" s="50">
        <f>IFERROR(MATCH($A58,Data!$C:$C,0),"")</f>
        <v>58</v>
      </c>
      <c r="C58" s="55">
        <f t="shared" ca="1" si="3"/>
        <v>45100</v>
      </c>
      <c r="D58" s="64">
        <f t="shared" ca="1" si="13"/>
        <v>0.34988363072148954</v>
      </c>
      <c r="E58" s="56">
        <f t="shared" ca="1" si="14"/>
        <v>15033.333333333334</v>
      </c>
      <c r="F58" s="65">
        <f t="shared" ca="1" si="15"/>
        <v>0.11662787690716318</v>
      </c>
      <c r="G58" s="59">
        <f t="shared" ca="1" si="4"/>
        <v>12700</v>
      </c>
      <c r="H58" s="64">
        <f t="shared" ca="1" si="5"/>
        <v>9.8525989138867343E-2</v>
      </c>
      <c r="I58" s="60">
        <f t="shared" ca="1" si="6"/>
        <v>10.873983739837399</v>
      </c>
      <c r="J58" s="63">
        <f t="shared" ca="1" si="7"/>
        <v>17200</v>
      </c>
      <c r="K58" s="64">
        <f t="shared" ca="1" si="8"/>
        <v>0.12146892655367232</v>
      </c>
      <c r="L58" s="62">
        <f t="shared" ca="1" si="9"/>
        <v>17.479674796747972</v>
      </c>
      <c r="M58" s="63">
        <f t="shared" ca="1" si="10"/>
        <v>15200</v>
      </c>
      <c r="N58" s="64">
        <f t="shared" ca="1" si="11"/>
        <v>9.5717884130982367E-2</v>
      </c>
      <c r="O58" s="62">
        <f t="shared" ca="1" si="12"/>
        <v>15.447154471544707</v>
      </c>
    </row>
    <row r="59" spans="1:15" x14ac:dyDescent="0.45">
      <c r="A59" s="54" t="str">
        <f>IF(ISBLANK(Data!C59),"",Data!C59)</f>
        <v>2847 Albion Farm Way, Duluth, GA 30097</v>
      </c>
      <c r="B59" s="50">
        <f>IFERROR(MATCH($A59,Data!$C:$C,0),"")</f>
        <v>59</v>
      </c>
      <c r="C59" s="55">
        <f t="shared" ca="1" si="3"/>
        <v>55000</v>
      </c>
      <c r="D59" s="64">
        <f t="shared" ca="1" si="13"/>
        <v>0.33804548248309774</v>
      </c>
      <c r="E59" s="56">
        <f t="shared" ca="1" si="14"/>
        <v>18333.333333333332</v>
      </c>
      <c r="F59" s="65">
        <f t="shared" ca="1" si="15"/>
        <v>0.11268182749436591</v>
      </c>
      <c r="G59" s="59">
        <f t="shared" ca="1" si="4"/>
        <v>16200</v>
      </c>
      <c r="H59" s="64">
        <f t="shared" ca="1" si="5"/>
        <v>9.9569760295021514E-2</v>
      </c>
      <c r="I59" s="60">
        <f t="shared" ca="1" si="6"/>
        <v>10.939907550077038</v>
      </c>
      <c r="J59" s="63">
        <f t="shared" ca="1" si="7"/>
        <v>22900</v>
      </c>
      <c r="K59" s="64">
        <f t="shared" ca="1" si="8"/>
        <v>0.12800447177193963</v>
      </c>
      <c r="L59" s="62">
        <f t="shared" ca="1" si="9"/>
        <v>17.642526964560872</v>
      </c>
      <c r="M59" s="63">
        <f t="shared" ca="1" si="10"/>
        <v>15900</v>
      </c>
      <c r="N59" s="64">
        <f t="shared" ca="1" si="11"/>
        <v>7.8790882061446979E-2</v>
      </c>
      <c r="O59" s="62">
        <f t="shared" ca="1" si="12"/>
        <v>12.249614791987682</v>
      </c>
    </row>
    <row r="60" spans="1:15" x14ac:dyDescent="0.45">
      <c r="A60" s="54" t="str">
        <f>IF(ISBLANK(Data!C60),"",Data!C60)</f>
        <v>2852 Albion Farm Way, Duluth, GA 30097</v>
      </c>
      <c r="B60" s="50">
        <f>IFERROR(MATCH($A60,Data!$C:$C,0),"")</f>
        <v>60</v>
      </c>
      <c r="C60" s="55">
        <f t="shared" ca="1" si="3"/>
        <v>71600</v>
      </c>
      <c r="D60" s="64">
        <f t="shared" ca="1" si="13"/>
        <v>0.5907590759075908</v>
      </c>
      <c r="E60" s="56">
        <f t="shared" ca="1" si="14"/>
        <v>23866.666666666668</v>
      </c>
      <c r="F60" s="65">
        <f t="shared" ca="1" si="15"/>
        <v>0.19691969196919692</v>
      </c>
      <c r="G60" s="59">
        <f t="shared" ca="1" si="4"/>
        <v>32600</v>
      </c>
      <c r="H60" s="64">
        <f t="shared" ca="1" si="5"/>
        <v>0.26897689768976896</v>
      </c>
      <c r="I60" s="60">
        <f t="shared" ca="1" si="6"/>
        <v>23.962411902897415</v>
      </c>
      <c r="J60" s="63">
        <f t="shared" ca="1" si="7"/>
        <v>19000</v>
      </c>
      <c r="K60" s="64">
        <f t="shared" ca="1" si="8"/>
        <v>0.1235370611183355</v>
      </c>
      <c r="L60" s="62">
        <f t="shared" ca="1" si="9"/>
        <v>14.878621769772906</v>
      </c>
      <c r="M60" s="63">
        <f t="shared" ca="1" si="10"/>
        <v>20000</v>
      </c>
      <c r="N60" s="64">
        <f t="shared" ca="1" si="11"/>
        <v>0.11574074074074074</v>
      </c>
      <c r="O60" s="62">
        <f t="shared" ca="1" si="12"/>
        <v>15.661707126076735</v>
      </c>
    </row>
    <row r="61" spans="1:15" x14ac:dyDescent="0.45">
      <c r="A61" s="54" t="str">
        <f>IF(ISBLANK(Data!C61),"",Data!C61)</f>
        <v>2862 Albion Farm Way, Duluth, GA 30097</v>
      </c>
      <c r="B61" s="50">
        <f>IFERROR(MATCH($A61,Data!$C:$C,0),"")</f>
        <v>61</v>
      </c>
      <c r="C61" s="55">
        <f t="shared" ca="1" si="3"/>
        <v>34000</v>
      </c>
      <c r="D61" s="64">
        <f t="shared" ca="1" si="13"/>
        <v>0.1956271576524741</v>
      </c>
      <c r="E61" s="56">
        <f t="shared" ca="1" si="14"/>
        <v>11333.333333333334</v>
      </c>
      <c r="F61" s="65">
        <f t="shared" ca="1" si="15"/>
        <v>6.5209052550824709E-2</v>
      </c>
      <c r="G61" s="59">
        <f t="shared" ca="1" si="4"/>
        <v>-11300</v>
      </c>
      <c r="H61" s="64">
        <f t="shared" ca="1" si="5"/>
        <v>-6.5017261219792871E-2</v>
      </c>
      <c r="I61" s="60">
        <f t="shared" ca="1" si="6"/>
        <v>-9.3794076163610782</v>
      </c>
      <c r="J61" s="63">
        <f t="shared" ca="1" si="7"/>
        <v>53500</v>
      </c>
      <c r="K61" s="64">
        <f t="shared" ca="1" si="8"/>
        <v>0.32923076923076922</v>
      </c>
      <c r="L61" s="62">
        <f t="shared" ca="1" si="9"/>
        <v>37.729196050775741</v>
      </c>
      <c r="M61" s="63">
        <f t="shared" ca="1" si="10"/>
        <v>-8200</v>
      </c>
      <c r="N61" s="64">
        <f t="shared" ca="1" si="11"/>
        <v>-3.7962962962962962E-2</v>
      </c>
      <c r="O61" s="62">
        <f t="shared" ca="1" si="12"/>
        <v>-5.782792665726376</v>
      </c>
    </row>
    <row r="62" spans="1:15" x14ac:dyDescent="0.45">
      <c r="A62" s="54" t="str">
        <f>IF(ISBLANK(Data!C62),"",Data!C62)</f>
        <v>2867 Albion Farm Way, Duluth, GA 30097</v>
      </c>
      <c r="B62" s="50">
        <f>IFERROR(MATCH($A62,Data!$C:$C,0),"")</f>
        <v>62</v>
      </c>
      <c r="C62" s="55">
        <f t="shared" ca="1" si="3"/>
        <v>69900</v>
      </c>
      <c r="D62" s="64">
        <f t="shared" ca="1" si="13"/>
        <v>0.50287769784172665</v>
      </c>
      <c r="E62" s="56">
        <f t="shared" ca="1" si="14"/>
        <v>23300</v>
      </c>
      <c r="F62" s="65">
        <f t="shared" ca="1" si="15"/>
        <v>0.16762589928057553</v>
      </c>
      <c r="G62" s="59">
        <f t="shared" ca="1" si="4"/>
        <v>33400</v>
      </c>
      <c r="H62" s="64">
        <f t="shared" ca="1" si="5"/>
        <v>0.24028776978417266</v>
      </c>
      <c r="I62" s="60">
        <f t="shared" ca="1" si="6"/>
        <v>2.7419354838709751</v>
      </c>
      <c r="J62" s="63">
        <f t="shared" ca="1" si="7"/>
        <v>21900</v>
      </c>
      <c r="K62" s="64">
        <f t="shared" ca="1" si="8"/>
        <v>0.12703016241299303</v>
      </c>
      <c r="L62" s="62">
        <f t="shared" ca="1" si="9"/>
        <v>17.661290322580641</v>
      </c>
      <c r="M62" s="63">
        <f t="shared" ca="1" si="10"/>
        <v>14600</v>
      </c>
      <c r="N62" s="64">
        <f t="shared" ca="1" si="11"/>
        <v>7.5141533710756561E-2</v>
      </c>
      <c r="O62" s="62">
        <f t="shared" ca="1" si="12"/>
        <v>11.774193548387103</v>
      </c>
    </row>
    <row r="63" spans="1:15" x14ac:dyDescent="0.45">
      <c r="A63" s="54" t="str">
        <f>IF(ISBLANK(Data!C63),"",Data!C63)</f>
        <v>2872 Albion Farm Way, Duluth, GA 30097</v>
      </c>
      <c r="B63" s="50">
        <f>IFERROR(MATCH($A63,Data!$C:$C,0),"")</f>
        <v>63</v>
      </c>
      <c r="C63" s="55">
        <f t="shared" ca="1" si="3"/>
        <v>43400</v>
      </c>
      <c r="D63" s="64">
        <f t="shared" ca="1" si="13"/>
        <v>0.34692246203037569</v>
      </c>
      <c r="E63" s="56">
        <f t="shared" ca="1" si="14"/>
        <v>14466.666666666666</v>
      </c>
      <c r="F63" s="65">
        <f t="shared" ca="1" si="15"/>
        <v>0.11564082067679189</v>
      </c>
      <c r="G63" s="59">
        <f t="shared" ca="1" si="4"/>
        <v>12200</v>
      </c>
      <c r="H63" s="64">
        <f t="shared" ca="1" si="5"/>
        <v>9.7521982414068745E-2</v>
      </c>
      <c r="I63" s="60">
        <f t="shared" ca="1" si="6"/>
        <v>11.18421052631578</v>
      </c>
      <c r="J63" s="63">
        <f t="shared" ca="1" si="7"/>
        <v>16500</v>
      </c>
      <c r="K63" s="64">
        <f t="shared" ca="1" si="8"/>
        <v>0.12017479970866715</v>
      </c>
      <c r="L63" s="62">
        <f t="shared" ca="1" si="9"/>
        <v>18.092105263157904</v>
      </c>
      <c r="M63" s="63">
        <f t="shared" ca="1" si="10"/>
        <v>14700</v>
      </c>
      <c r="N63" s="64">
        <f t="shared" ca="1" si="11"/>
        <v>9.5578673602080624E-2</v>
      </c>
      <c r="O63" s="62">
        <f t="shared" ca="1" si="12"/>
        <v>16.118421052631561</v>
      </c>
    </row>
    <row r="64" spans="1:15" x14ac:dyDescent="0.45">
      <c r="A64" s="54" t="str">
        <f>IF(ISBLANK(Data!C64),"",Data!C64)</f>
        <v>2882 Albion Farm Way, Duluth, GA 30097</v>
      </c>
      <c r="B64" s="50">
        <f>IFERROR(MATCH($A64,Data!$C:$C,0),"")</f>
        <v>64</v>
      </c>
      <c r="C64" s="55">
        <f t="shared" ca="1" si="3"/>
        <v>45600</v>
      </c>
      <c r="D64" s="64">
        <f t="shared" ca="1" si="13"/>
        <v>0.35076923076923078</v>
      </c>
      <c r="E64" s="56">
        <f t="shared" ca="1" si="14"/>
        <v>15200</v>
      </c>
      <c r="F64" s="65">
        <f t="shared" ca="1" si="15"/>
        <v>0.11692307692307692</v>
      </c>
      <c r="G64" s="59">
        <f t="shared" ca="1" si="4"/>
        <v>10000</v>
      </c>
      <c r="H64" s="64">
        <f t="shared" ca="1" si="5"/>
        <v>7.6923076923076927E-2</v>
      </c>
      <c r="I64" s="60">
        <f t="shared" ca="1" si="6"/>
        <v>8</v>
      </c>
      <c r="J64" s="63">
        <f t="shared" ca="1" si="7"/>
        <v>20100</v>
      </c>
      <c r="K64" s="64">
        <f t="shared" ca="1" si="8"/>
        <v>0.14357142857142857</v>
      </c>
      <c r="L64" s="62">
        <f t="shared" ca="1" si="9"/>
        <v>20.099999999999994</v>
      </c>
      <c r="M64" s="63">
        <f t="shared" ca="1" si="10"/>
        <v>15500</v>
      </c>
      <c r="N64" s="64">
        <f t="shared" ca="1" si="11"/>
        <v>9.6814490943160525E-2</v>
      </c>
      <c r="O64" s="62">
        <f t="shared" ca="1" si="12"/>
        <v>15.5</v>
      </c>
    </row>
    <row r="65" spans="1:15" x14ac:dyDescent="0.45">
      <c r="A65" s="54" t="str">
        <f>IF(ISBLANK(Data!C65),"",Data!C65)</f>
        <v>2887 Albion Farm Way, Duluth, GA 30097</v>
      </c>
      <c r="B65" s="50">
        <f>IFERROR(MATCH($A65,Data!$C:$C,0),"")</f>
        <v>65</v>
      </c>
      <c r="C65" s="55">
        <f t="shared" ca="1" si="3"/>
        <v>47500</v>
      </c>
      <c r="D65" s="64">
        <f t="shared" ca="1" si="13"/>
        <v>0.36342769701606731</v>
      </c>
      <c r="E65" s="56">
        <f t="shared" ca="1" si="14"/>
        <v>15833.333333333334</v>
      </c>
      <c r="F65" s="65">
        <f t="shared" ca="1" si="15"/>
        <v>0.12114256567202245</v>
      </c>
      <c r="G65" s="59">
        <f t="shared" ca="1" si="4"/>
        <v>12800</v>
      </c>
      <c r="H65" s="64">
        <f t="shared" ca="1" si="5"/>
        <v>9.7934200459066562E-2</v>
      </c>
      <c r="I65" s="60">
        <f t="shared" ca="1" si="6"/>
        <v>9.8540145985401466</v>
      </c>
      <c r="J65" s="63">
        <f t="shared" ca="1" si="7"/>
        <v>17500</v>
      </c>
      <c r="K65" s="64">
        <f t="shared" ca="1" si="8"/>
        <v>0.12195121951219512</v>
      </c>
      <c r="L65" s="62">
        <f t="shared" ca="1" si="9"/>
        <v>15.967153284671525</v>
      </c>
      <c r="M65" s="63">
        <f t="shared" ca="1" si="10"/>
        <v>17200</v>
      </c>
      <c r="N65" s="64">
        <f t="shared" ca="1" si="11"/>
        <v>0.10683229813664596</v>
      </c>
      <c r="O65" s="62">
        <f t="shared" ca="1" si="12"/>
        <v>15.693430656934325</v>
      </c>
    </row>
    <row r="66" spans="1:15" x14ac:dyDescent="0.45">
      <c r="A66" s="54" t="str">
        <f>IF(ISBLANK(Data!C66),"",Data!C66)</f>
        <v>2892 Albion Farm Way, Duluth, GA 30097</v>
      </c>
      <c r="B66" s="50">
        <f>IFERROR(MATCH($A66,Data!$C:$C,0),"")</f>
        <v>66</v>
      </c>
      <c r="C66" s="55">
        <f t="shared" ca="1" si="3"/>
        <v>49100</v>
      </c>
      <c r="D66" s="64">
        <f t="shared" ca="1" si="13"/>
        <v>0.36532738095238093</v>
      </c>
      <c r="E66" s="56">
        <f t="shared" ca="1" si="14"/>
        <v>16366.666666666666</v>
      </c>
      <c r="F66" s="65">
        <f t="shared" ca="1" si="15"/>
        <v>0.12177579365079365</v>
      </c>
      <c r="G66" s="59">
        <f t="shared" ca="1" si="4"/>
        <v>13200</v>
      </c>
      <c r="H66" s="64">
        <f t="shared" ca="1" si="5"/>
        <v>9.8214285714285712E-2</v>
      </c>
      <c r="I66" s="60">
        <f t="shared" ca="1" si="6"/>
        <v>9.9732858414959935</v>
      </c>
      <c r="J66" s="63">
        <f t="shared" ca="1" si="7"/>
        <v>18100</v>
      </c>
      <c r="K66" s="64">
        <f t="shared" ca="1" si="8"/>
        <v>0.12262872628726287</v>
      </c>
      <c r="L66" s="62">
        <f t="shared" ca="1" si="9"/>
        <v>16.117542297417629</v>
      </c>
      <c r="M66" s="63">
        <f t="shared" ca="1" si="10"/>
        <v>17800</v>
      </c>
      <c r="N66" s="64">
        <f t="shared" ca="1" si="11"/>
        <v>0.10742305371152686</v>
      </c>
      <c r="O66" s="62">
        <f t="shared" ca="1" si="12"/>
        <v>15.850400712377549</v>
      </c>
    </row>
    <row r="67" spans="1:15" x14ac:dyDescent="0.45">
      <c r="A67" s="54" t="str">
        <f>IF(ISBLANK(Data!C67),"",Data!C67)</f>
        <v>2897 Albion Farm Way, Duluth, GA 30097</v>
      </c>
      <c r="B67" s="50">
        <f>IFERROR(MATCH($A67,Data!$C:$C,0),"")</f>
        <v>67</v>
      </c>
      <c r="C67" s="55">
        <f t="shared" ca="1" si="3"/>
        <v>46000</v>
      </c>
      <c r="D67" s="64">
        <f t="shared" ca="1" si="13"/>
        <v>0.35034272658035032</v>
      </c>
      <c r="E67" s="56">
        <f t="shared" ca="1" si="14"/>
        <v>15333.333333333334</v>
      </c>
      <c r="F67" s="65">
        <f t="shared" ca="1" si="15"/>
        <v>0.11678090886011679</v>
      </c>
      <c r="G67" s="59">
        <f t="shared" ca="1" si="4"/>
        <v>13000</v>
      </c>
      <c r="H67" s="64">
        <f t="shared" ca="1" si="5"/>
        <v>9.9009900990099015E-2</v>
      </c>
      <c r="I67" s="60">
        <f t="shared" ca="1" si="6"/>
        <v>11</v>
      </c>
      <c r="J67" s="63">
        <f t="shared" ca="1" si="7"/>
        <v>17500</v>
      </c>
      <c r="K67" s="64">
        <f t="shared" ca="1" si="8"/>
        <v>0.12127512127512127</v>
      </c>
      <c r="L67" s="62">
        <f t="shared" ca="1" si="9"/>
        <v>17.500000000000014</v>
      </c>
      <c r="M67" s="63">
        <f t="shared" ca="1" si="10"/>
        <v>15500</v>
      </c>
      <c r="N67" s="64">
        <f t="shared" ca="1" si="11"/>
        <v>9.5797280593325096E-2</v>
      </c>
      <c r="O67" s="62">
        <f t="shared" ca="1" si="12"/>
        <v>15.5</v>
      </c>
    </row>
    <row r="68" spans="1:15" x14ac:dyDescent="0.45">
      <c r="A68" s="54" t="str">
        <f>IF(ISBLANK(Data!C68),"",Data!C68)</f>
        <v>2715 Barnwood Xing, Duluth, GA 30097</v>
      </c>
      <c r="B68" s="50">
        <f>IFERROR(MATCH($A68,Data!$C:$C,0),"")</f>
        <v>68</v>
      </c>
      <c r="C68" s="55">
        <f t="shared" ca="1" si="3"/>
        <v>55000</v>
      </c>
      <c r="D68" s="64">
        <f t="shared" ca="1" si="13"/>
        <v>0.33804548248309774</v>
      </c>
      <c r="E68" s="56">
        <f t="shared" ca="1" si="14"/>
        <v>18333.333333333332</v>
      </c>
      <c r="F68" s="65">
        <f t="shared" ca="1" si="15"/>
        <v>0.11268182749436591</v>
      </c>
      <c r="G68" s="59">
        <f t="shared" ca="1" si="4"/>
        <v>16200</v>
      </c>
      <c r="H68" s="64">
        <f t="shared" ca="1" si="5"/>
        <v>9.9569760295021514E-2</v>
      </c>
      <c r="I68" s="60">
        <f t="shared" ca="1" si="6"/>
        <v>10.939907550077038</v>
      </c>
      <c r="J68" s="63">
        <f t="shared" ca="1" si="7"/>
        <v>22900</v>
      </c>
      <c r="K68" s="64">
        <f t="shared" ca="1" si="8"/>
        <v>0.12800447177193963</v>
      </c>
      <c r="L68" s="62">
        <f t="shared" ca="1" si="9"/>
        <v>17.642526964560872</v>
      </c>
      <c r="M68" s="63">
        <f t="shared" ca="1" si="10"/>
        <v>15900</v>
      </c>
      <c r="N68" s="64">
        <f t="shared" ca="1" si="11"/>
        <v>7.8790882061446979E-2</v>
      </c>
      <c r="O68" s="62">
        <f t="shared" ca="1" si="12"/>
        <v>12.249614791987682</v>
      </c>
    </row>
    <row r="69" spans="1:15" x14ac:dyDescent="0.45">
      <c r="A69" s="54" t="str">
        <f>IF(ISBLANK(Data!C69),"",Data!C69)</f>
        <v>2725 Barnwood Xing, Duluth, GA 30097</v>
      </c>
      <c r="B69" s="50">
        <f>IFERROR(MATCH($A69,Data!$C:$C,0),"")</f>
        <v>69</v>
      </c>
      <c r="C69" s="55">
        <f t="shared" ca="1" si="3"/>
        <v>50600</v>
      </c>
      <c r="D69" s="64">
        <f t="shared" ref="D69:D100" ca="1" si="16">IFERROR($C69/INDIRECT("Data!J"&amp;$B69),"")</f>
        <v>0.38923076923076921</v>
      </c>
      <c r="E69" s="56">
        <f t="shared" ref="E69:E100" ca="1" si="17">IFERROR($C69/($C$1-2016),"")</f>
        <v>16866.666666666668</v>
      </c>
      <c r="F69" s="65">
        <f t="shared" ref="F69:F100" ca="1" si="18">IFERROR($E69/INDIRECT("Data!$J"&amp;$B69),"")</f>
        <v>0.12974358974358977</v>
      </c>
      <c r="G69" s="59">
        <f t="shared" ca="1" si="4"/>
        <v>16000</v>
      </c>
      <c r="H69" s="64">
        <f t="shared" ca="1" si="5"/>
        <v>0.12307692307692308</v>
      </c>
      <c r="I69" s="60">
        <f t="shared" ca="1" si="6"/>
        <v>14</v>
      </c>
      <c r="J69" s="63">
        <f t="shared" ca="1" si="7"/>
        <v>17900</v>
      </c>
      <c r="K69" s="64">
        <f t="shared" ca="1" si="8"/>
        <v>0.12260273972602739</v>
      </c>
      <c r="L69" s="62">
        <f t="shared" ca="1" si="9"/>
        <v>17.900000000000006</v>
      </c>
      <c r="M69" s="63">
        <f t="shared" ca="1" si="10"/>
        <v>16700</v>
      </c>
      <c r="N69" s="64">
        <f t="shared" ca="1" si="11"/>
        <v>0.10189139719341062</v>
      </c>
      <c r="O69" s="62">
        <f t="shared" ca="1" si="12"/>
        <v>16.699999999999989</v>
      </c>
    </row>
    <row r="70" spans="1:15" x14ac:dyDescent="0.45">
      <c r="A70" s="54" t="str">
        <f>IF(ISBLANK(Data!C70),"",Data!C70)</f>
        <v>2730 Barnwood Xing, Duluth, GA 30097</v>
      </c>
      <c r="B70" s="50">
        <f>IFERROR(MATCH($A70,Data!$C:$C,0),"")</f>
        <v>70</v>
      </c>
      <c r="C70" s="55">
        <f t="shared" ref="C70:C133" ca="1" si="19">IFERROR(INDIRECT($C$4&amp;$B70)-INDIRECT("Data!J"&amp;$B70),"")</f>
        <v>19900</v>
      </c>
      <c r="D70" s="64">
        <f t="shared" ca="1" si="16"/>
        <v>0.15295926210607225</v>
      </c>
      <c r="E70" s="56">
        <f t="shared" ca="1" si="17"/>
        <v>6633.333333333333</v>
      </c>
      <c r="F70" s="65">
        <f t="shared" ca="1" si="18"/>
        <v>5.0986420702024082E-2</v>
      </c>
      <c r="G70" s="59">
        <f t="shared" ref="G70:G133" ca="1" si="20">IFERROR(INDIRECT(G$4&amp;$B70)-INDIRECT("Data!$J"&amp;$B70),"")</f>
        <v>12700</v>
      </c>
      <c r="H70" s="64">
        <f t="shared" ref="H70:H133" ca="1" si="21">IFERROR(G70/INDIRECT("Data!$J"&amp;$B70),"")</f>
        <v>9.7617217524980787E-2</v>
      </c>
      <c r="I70" s="60">
        <f t="shared" ref="I70:I133" ca="1" si="22">IFERROR(INDIRECT(I$4&amp;$B70)-INDIRECT("Calculations!$E"&amp;$B70),"")</f>
        <v>10.700000000000003</v>
      </c>
      <c r="J70" s="63">
        <f t="shared" ref="J70:J133" ca="1" si="23">IFERROR(INDIRECT(J$4&amp;$B70)-INDIRECT(G$4&amp;$B70),"")</f>
        <v>17400</v>
      </c>
      <c r="K70" s="64">
        <f t="shared" ref="K70:K133" ca="1" si="24">IFERROR(J70/INDIRECT(G$4&amp;$B70),"")</f>
        <v>0.12184873949579832</v>
      </c>
      <c r="L70" s="62">
        <f t="shared" ref="L70:L133" ca="1" si="25">IFERROR(INDIRECT(L$4&amp;$B70)-INDIRECT(I$4&amp;$B70),"")</f>
        <v>17.399999999999991</v>
      </c>
      <c r="M70" s="63">
        <f t="shared" ref="M70:M133" ca="1" si="26">IFERROR(INDIRECT("Data!S"&amp;$B70)-INDIRECT("Data!$P"&amp;$B70),"")</f>
        <v>-10200</v>
      </c>
      <c r="N70" s="64">
        <f t="shared" ref="N70:N133" ca="1" si="27">IFERROR(M70/INDIRECT(J$4&amp;$B70),"")</f>
        <v>-6.3670411985018729E-2</v>
      </c>
      <c r="O70" s="62">
        <f t="shared" ref="O70:O133" ca="1" si="28">IFERROR(INDIRECT(O$4&amp;$B70)-INDIRECT(L$4&amp;$B70),"")</f>
        <v>-10.199999999999989</v>
      </c>
    </row>
    <row r="71" spans="1:15" x14ac:dyDescent="0.45">
      <c r="A71" s="54" t="str">
        <f>IF(ISBLANK(Data!C71),"",Data!C71)</f>
        <v>2735 Barnwood Xing, Duluth, GA 30097</v>
      </c>
      <c r="B71" s="50">
        <f>IFERROR(MATCH($A71,Data!$C:$C,0),"")</f>
        <v>71</v>
      </c>
      <c r="C71" s="55">
        <f t="shared" ca="1" si="19"/>
        <v>43400</v>
      </c>
      <c r="D71" s="64">
        <f t="shared" ca="1" si="16"/>
        <v>0.34692246203037569</v>
      </c>
      <c r="E71" s="56">
        <f t="shared" ca="1" si="17"/>
        <v>14466.666666666666</v>
      </c>
      <c r="F71" s="65">
        <f t="shared" ca="1" si="18"/>
        <v>0.11564082067679189</v>
      </c>
      <c r="G71" s="59">
        <f t="shared" ca="1" si="20"/>
        <v>12200</v>
      </c>
      <c r="H71" s="64">
        <f t="shared" ca="1" si="21"/>
        <v>9.7521982414068745E-2</v>
      </c>
      <c r="I71" s="60">
        <f t="shared" ca="1" si="22"/>
        <v>11.18421052631578</v>
      </c>
      <c r="J71" s="63">
        <f t="shared" ca="1" si="23"/>
        <v>16500</v>
      </c>
      <c r="K71" s="64">
        <f t="shared" ca="1" si="24"/>
        <v>0.12017479970866715</v>
      </c>
      <c r="L71" s="62">
        <f t="shared" ca="1" si="25"/>
        <v>18.092105263157904</v>
      </c>
      <c r="M71" s="63">
        <f t="shared" ca="1" si="26"/>
        <v>14700</v>
      </c>
      <c r="N71" s="64">
        <f t="shared" ca="1" si="27"/>
        <v>9.5578673602080624E-2</v>
      </c>
      <c r="O71" s="62">
        <f t="shared" ca="1" si="28"/>
        <v>16.118421052631561</v>
      </c>
    </row>
    <row r="72" spans="1:15" x14ac:dyDescent="0.45">
      <c r="A72" s="54" t="str">
        <f>IF(ISBLANK(Data!C72),"",Data!C72)</f>
        <v>2740 Barnwood Xing, Duluth, GA 30097</v>
      </c>
      <c r="B72" s="50">
        <f>IFERROR(MATCH($A72,Data!$C:$C,0),"")</f>
        <v>72</v>
      </c>
      <c r="C72" s="55">
        <f t="shared" ca="1" si="19"/>
        <v>17300</v>
      </c>
      <c r="D72" s="64">
        <f t="shared" ca="1" si="16"/>
        <v>0.10633066994468347</v>
      </c>
      <c r="E72" s="56">
        <f t="shared" ca="1" si="17"/>
        <v>5766.666666666667</v>
      </c>
      <c r="F72" s="65">
        <f t="shared" ca="1" si="18"/>
        <v>3.5443556648227827E-2</v>
      </c>
      <c r="G72" s="59">
        <f t="shared" ca="1" si="20"/>
        <v>16200</v>
      </c>
      <c r="H72" s="64">
        <f t="shared" ca="1" si="21"/>
        <v>9.9569760295021514E-2</v>
      </c>
      <c r="I72" s="60">
        <f t="shared" ca="1" si="22"/>
        <v>10.939907550077038</v>
      </c>
      <c r="J72" s="63">
        <f t="shared" ca="1" si="23"/>
        <v>22900</v>
      </c>
      <c r="K72" s="64">
        <f t="shared" ca="1" si="24"/>
        <v>0.12800447177193963</v>
      </c>
      <c r="L72" s="62">
        <f t="shared" ca="1" si="25"/>
        <v>17.642526964560872</v>
      </c>
      <c r="M72" s="63">
        <f t="shared" ca="1" si="26"/>
        <v>-21800</v>
      </c>
      <c r="N72" s="64">
        <f t="shared" ca="1" si="27"/>
        <v>-0.10802775024777007</v>
      </c>
      <c r="O72" s="62">
        <f t="shared" ca="1" si="28"/>
        <v>-16.795069337442229</v>
      </c>
    </row>
    <row r="73" spans="1:15" x14ac:dyDescent="0.45">
      <c r="A73" s="54" t="str">
        <f>IF(ISBLANK(Data!C73),"",Data!C73)</f>
        <v>2745 Barnwood Xing, Duluth, GA 30097</v>
      </c>
      <c r="B73" s="50">
        <f>IFERROR(MATCH($A73,Data!$C:$C,0),"")</f>
        <v>73</v>
      </c>
      <c r="C73" s="55">
        <f t="shared" ca="1" si="19"/>
        <v>45700</v>
      </c>
      <c r="D73" s="64">
        <f t="shared" ca="1" si="16"/>
        <v>0.35126825518831667</v>
      </c>
      <c r="E73" s="56">
        <f t="shared" ca="1" si="17"/>
        <v>15233.333333333334</v>
      </c>
      <c r="F73" s="65">
        <f t="shared" ca="1" si="18"/>
        <v>0.11708941839610557</v>
      </c>
      <c r="G73" s="59">
        <f t="shared" ca="1" si="20"/>
        <v>12800</v>
      </c>
      <c r="H73" s="64">
        <f t="shared" ca="1" si="21"/>
        <v>9.8385857033051499E-2</v>
      </c>
      <c r="I73" s="60">
        <f t="shared" ca="1" si="22"/>
        <v>10.975609756097555</v>
      </c>
      <c r="J73" s="63">
        <f t="shared" ca="1" si="23"/>
        <v>17300</v>
      </c>
      <c r="K73" s="64">
        <f t="shared" ca="1" si="24"/>
        <v>0.12106368089573127</v>
      </c>
      <c r="L73" s="62">
        <f t="shared" ca="1" si="25"/>
        <v>17.581300813008127</v>
      </c>
      <c r="M73" s="63">
        <f t="shared" ca="1" si="26"/>
        <v>15600</v>
      </c>
      <c r="N73" s="64">
        <f t="shared" ca="1" si="27"/>
        <v>9.7378277153558054E-2</v>
      </c>
      <c r="O73" s="62">
        <f t="shared" ca="1" si="28"/>
        <v>15.853658536585357</v>
      </c>
    </row>
    <row r="74" spans="1:15" x14ac:dyDescent="0.45">
      <c r="A74" s="54" t="str">
        <f>IF(ISBLANK(Data!C74),"",Data!C74)</f>
        <v>2750 Barnwood Xing, Duluth, GA 30097</v>
      </c>
      <c r="B74" s="50">
        <f>IFERROR(MATCH($A74,Data!$C:$C,0),"")</f>
        <v>74</v>
      </c>
      <c r="C74" s="55">
        <f t="shared" ca="1" si="19"/>
        <v>45600</v>
      </c>
      <c r="D74" s="64">
        <f t="shared" ca="1" si="16"/>
        <v>0.33853006681514475</v>
      </c>
      <c r="E74" s="56">
        <f t="shared" ca="1" si="17"/>
        <v>15200</v>
      </c>
      <c r="F74" s="65">
        <f t="shared" ca="1" si="18"/>
        <v>0.11284335560504825</v>
      </c>
      <c r="G74" s="59">
        <f t="shared" ca="1" si="20"/>
        <v>13200</v>
      </c>
      <c r="H74" s="64">
        <f t="shared" ca="1" si="21"/>
        <v>9.7995545657015584E-2</v>
      </c>
      <c r="I74" s="60">
        <f t="shared" ca="1" si="22"/>
        <v>11.313131313131322</v>
      </c>
      <c r="J74" s="63">
        <f t="shared" ca="1" si="23"/>
        <v>18200</v>
      </c>
      <c r="K74" s="64">
        <f t="shared" ca="1" si="24"/>
        <v>0.12305611899932387</v>
      </c>
      <c r="L74" s="62">
        <f t="shared" ca="1" si="25"/>
        <v>18.383838383838395</v>
      </c>
      <c r="M74" s="63">
        <f t="shared" ca="1" si="26"/>
        <v>14200</v>
      </c>
      <c r="N74" s="64">
        <f t="shared" ca="1" si="27"/>
        <v>8.5490668272125231E-2</v>
      </c>
      <c r="O74" s="62">
        <f t="shared" ca="1" si="28"/>
        <v>14.343434343434325</v>
      </c>
    </row>
    <row r="75" spans="1:15" x14ac:dyDescent="0.45">
      <c r="A75" s="54" t="str">
        <f>IF(ISBLANK(Data!C75),"",Data!C75)</f>
        <v>2760 Barnwood Xing, Duluth, GA 30097</v>
      </c>
      <c r="B75" s="50">
        <f>IFERROR(MATCH($A75,Data!$C:$C,0),"")</f>
        <v>75</v>
      </c>
      <c r="C75" s="55">
        <f t="shared" ca="1" si="19"/>
        <v>55000</v>
      </c>
      <c r="D75" s="64">
        <f t="shared" ca="1" si="16"/>
        <v>0.33804548248309774</v>
      </c>
      <c r="E75" s="56">
        <f t="shared" ca="1" si="17"/>
        <v>18333.333333333332</v>
      </c>
      <c r="F75" s="65">
        <f t="shared" ca="1" si="18"/>
        <v>0.11268182749436591</v>
      </c>
      <c r="G75" s="59">
        <f t="shared" ca="1" si="20"/>
        <v>16200</v>
      </c>
      <c r="H75" s="64">
        <f t="shared" ca="1" si="21"/>
        <v>9.9569760295021514E-2</v>
      </c>
      <c r="I75" s="60">
        <f t="shared" ca="1" si="22"/>
        <v>10.939907550077038</v>
      </c>
      <c r="J75" s="63">
        <f t="shared" ca="1" si="23"/>
        <v>22900</v>
      </c>
      <c r="K75" s="64">
        <f t="shared" ca="1" si="24"/>
        <v>0.12800447177193963</v>
      </c>
      <c r="L75" s="62">
        <f t="shared" ca="1" si="25"/>
        <v>17.642526964560872</v>
      </c>
      <c r="M75" s="63">
        <f t="shared" ca="1" si="26"/>
        <v>15900</v>
      </c>
      <c r="N75" s="64">
        <f t="shared" ca="1" si="27"/>
        <v>7.8790882061446979E-2</v>
      </c>
      <c r="O75" s="62">
        <f t="shared" ca="1" si="28"/>
        <v>12.249614791987682</v>
      </c>
    </row>
    <row r="76" spans="1:15" x14ac:dyDescent="0.45">
      <c r="A76" s="54" t="str">
        <f>IF(ISBLANK(Data!C76),"",Data!C76)</f>
        <v>2765 Barnwood Xing, Duluth, GA 30097</v>
      </c>
      <c r="B76" s="50">
        <f>IFERROR(MATCH($A76,Data!$C:$C,0),"")</f>
        <v>76</v>
      </c>
      <c r="C76" s="55">
        <f t="shared" ca="1" si="19"/>
        <v>101200</v>
      </c>
      <c r="D76" s="64">
        <f t="shared" ca="1" si="16"/>
        <v>0.84333333333333338</v>
      </c>
      <c r="E76" s="56">
        <f t="shared" ca="1" si="17"/>
        <v>33733.333333333336</v>
      </c>
      <c r="F76" s="65">
        <f t="shared" ca="1" si="18"/>
        <v>0.28111111111111114</v>
      </c>
      <c r="G76" s="59">
        <f t="shared" ca="1" si="20"/>
        <v>61700</v>
      </c>
      <c r="H76" s="64">
        <f t="shared" ca="1" si="21"/>
        <v>0.51416666666666666</v>
      </c>
      <c r="I76" s="60">
        <f t="shared" ca="1" si="22"/>
        <v>45.993836671802768</v>
      </c>
      <c r="J76" s="63">
        <f t="shared" ca="1" si="23"/>
        <v>23300</v>
      </c>
      <c r="K76" s="64">
        <f t="shared" ca="1" si="24"/>
        <v>0.1282333516785911</v>
      </c>
      <c r="L76" s="62">
        <f t="shared" ca="1" si="25"/>
        <v>17.950693374422201</v>
      </c>
      <c r="M76" s="63">
        <f t="shared" ca="1" si="26"/>
        <v>16200</v>
      </c>
      <c r="N76" s="64">
        <f t="shared" ca="1" si="27"/>
        <v>7.902439024390244E-2</v>
      </c>
      <c r="O76" s="62">
        <f t="shared" ca="1" si="28"/>
        <v>12.480739599383668</v>
      </c>
    </row>
    <row r="77" spans="1:15" x14ac:dyDescent="0.45">
      <c r="A77" s="54" t="str">
        <f>IF(ISBLANK(Data!C77),"",Data!C77)</f>
        <v>2775 Barnwood Xing, Duluth, GA 30097</v>
      </c>
      <c r="B77" s="50">
        <f>IFERROR(MATCH($A77,Data!$C:$C,0),"")</f>
        <v>77</v>
      </c>
      <c r="C77" s="55">
        <f t="shared" ca="1" si="19"/>
        <v>57800</v>
      </c>
      <c r="D77" s="64">
        <f t="shared" ca="1" si="16"/>
        <v>0.34610778443113771</v>
      </c>
      <c r="E77" s="56">
        <f t="shared" ca="1" si="17"/>
        <v>19266.666666666668</v>
      </c>
      <c r="F77" s="65">
        <f t="shared" ca="1" si="18"/>
        <v>0.11536926147704592</v>
      </c>
      <c r="G77" s="59">
        <f t="shared" ca="1" si="20"/>
        <v>16700</v>
      </c>
      <c r="H77" s="64">
        <f t="shared" ca="1" si="21"/>
        <v>0.1</v>
      </c>
      <c r="I77" s="60">
        <f t="shared" ca="1" si="22"/>
        <v>11.325115562403695</v>
      </c>
      <c r="J77" s="63">
        <f t="shared" ca="1" si="23"/>
        <v>23700</v>
      </c>
      <c r="K77" s="64">
        <f t="shared" ca="1" si="24"/>
        <v>0.12901469787697334</v>
      </c>
      <c r="L77" s="62">
        <f t="shared" ca="1" si="25"/>
        <v>18.258859784283516</v>
      </c>
      <c r="M77" s="63">
        <f t="shared" ca="1" si="26"/>
        <v>17400</v>
      </c>
      <c r="N77" s="64">
        <f t="shared" ca="1" si="27"/>
        <v>8.3895853423336553E-2</v>
      </c>
      <c r="O77" s="62">
        <f t="shared" ca="1" si="28"/>
        <v>13.40523882896764</v>
      </c>
    </row>
    <row r="78" spans="1:15" x14ac:dyDescent="0.45">
      <c r="A78" s="54" t="str">
        <f>IF(ISBLANK(Data!C78),"",Data!C78)</f>
        <v>2785 Barnwood Xing, Duluth, GA 30097</v>
      </c>
      <c r="B78" s="50">
        <f>IFERROR(MATCH($A78,Data!$C:$C,0),"")</f>
        <v>78</v>
      </c>
      <c r="C78" s="55">
        <f t="shared" ca="1" si="19"/>
        <v>45500</v>
      </c>
      <c r="D78" s="64">
        <f t="shared" ca="1" si="16"/>
        <v>0.35108024691358025</v>
      </c>
      <c r="E78" s="56">
        <f t="shared" ca="1" si="17"/>
        <v>15166.666666666666</v>
      </c>
      <c r="F78" s="65">
        <f t="shared" ca="1" si="18"/>
        <v>0.11702674897119342</v>
      </c>
      <c r="G78" s="59">
        <f t="shared" ca="1" si="20"/>
        <v>12800</v>
      </c>
      <c r="H78" s="64">
        <f t="shared" ca="1" si="21"/>
        <v>9.8765432098765427E-2</v>
      </c>
      <c r="I78" s="60">
        <f t="shared" ca="1" si="22"/>
        <v>10.975609756097569</v>
      </c>
      <c r="J78" s="63">
        <f t="shared" ca="1" si="23"/>
        <v>17200</v>
      </c>
      <c r="K78" s="64">
        <f t="shared" ca="1" si="24"/>
        <v>0.12078651685393259</v>
      </c>
      <c r="L78" s="62">
        <f t="shared" ca="1" si="25"/>
        <v>17.479674796747972</v>
      </c>
      <c r="M78" s="63">
        <f t="shared" ca="1" si="26"/>
        <v>15500</v>
      </c>
      <c r="N78" s="64">
        <f t="shared" ca="1" si="27"/>
        <v>9.7117794486215533E-2</v>
      </c>
      <c r="O78" s="62">
        <f t="shared" ca="1" si="28"/>
        <v>15.752032520325201</v>
      </c>
    </row>
    <row r="79" spans="1:15" x14ac:dyDescent="0.45">
      <c r="A79" s="54" t="str">
        <f>IF(ISBLANK(Data!C79),"",Data!C79)</f>
        <v>2790 Barnwood Xing, Duluth, GA 30097</v>
      </c>
      <c r="B79" s="50">
        <f>IFERROR(MATCH($A79,Data!$C:$C,0),"")</f>
        <v>79</v>
      </c>
      <c r="C79" s="55">
        <f t="shared" ca="1" si="19"/>
        <v>46400</v>
      </c>
      <c r="D79" s="64">
        <f t="shared" ca="1" si="16"/>
        <v>0.37631792376317924</v>
      </c>
      <c r="E79" s="56">
        <f t="shared" ca="1" si="17"/>
        <v>15466.666666666666</v>
      </c>
      <c r="F79" s="65">
        <f t="shared" ca="1" si="18"/>
        <v>0.12543930792105973</v>
      </c>
      <c r="G79" s="59">
        <f t="shared" ca="1" si="20"/>
        <v>12100</v>
      </c>
      <c r="H79" s="64">
        <f t="shared" ca="1" si="21"/>
        <v>9.813463098134631E-2</v>
      </c>
      <c r="I79" s="60">
        <f t="shared" ca="1" si="22"/>
        <v>10.380267214799588</v>
      </c>
      <c r="J79" s="63">
        <f t="shared" ca="1" si="23"/>
        <v>14100</v>
      </c>
      <c r="K79" s="64">
        <f t="shared" ca="1" si="24"/>
        <v>0.10413589364844904</v>
      </c>
      <c r="L79" s="62">
        <f t="shared" ca="1" si="25"/>
        <v>14.491264131551901</v>
      </c>
      <c r="M79" s="63">
        <f t="shared" ca="1" si="26"/>
        <v>20200</v>
      </c>
      <c r="N79" s="64">
        <f t="shared" ca="1" si="27"/>
        <v>0.1351170568561873</v>
      </c>
      <c r="O79" s="62">
        <f t="shared" ca="1" si="28"/>
        <v>20.760534429599161</v>
      </c>
    </row>
    <row r="80" spans="1:15" x14ac:dyDescent="0.45">
      <c r="A80" s="54" t="str">
        <f>IF(ISBLANK(Data!C80),"",Data!C80)</f>
        <v>2795 Barnwood Xing, Duluth, GA 30097</v>
      </c>
      <c r="B80" s="50">
        <f>IFERROR(MATCH($A80,Data!$C:$C,0),"")</f>
        <v>80</v>
      </c>
      <c r="C80" s="55">
        <f t="shared" ca="1" si="19"/>
        <v>43500</v>
      </c>
      <c r="D80" s="64">
        <f t="shared" ca="1" si="16"/>
        <v>0.34772182254196643</v>
      </c>
      <c r="E80" s="56">
        <f t="shared" ca="1" si="17"/>
        <v>14500</v>
      </c>
      <c r="F80" s="65">
        <f t="shared" ca="1" si="18"/>
        <v>0.11590727418065548</v>
      </c>
      <c r="G80" s="59">
        <f t="shared" ca="1" si="20"/>
        <v>12300</v>
      </c>
      <c r="H80" s="64">
        <f t="shared" ca="1" si="21"/>
        <v>9.8321342925659472E-2</v>
      </c>
      <c r="I80" s="60">
        <f t="shared" ca="1" si="22"/>
        <v>11.293859649122794</v>
      </c>
      <c r="J80" s="63">
        <f t="shared" ca="1" si="23"/>
        <v>16500</v>
      </c>
      <c r="K80" s="64">
        <f t="shared" ca="1" si="24"/>
        <v>0.12008733624454149</v>
      </c>
      <c r="L80" s="62">
        <f t="shared" ca="1" si="25"/>
        <v>18.092105263157904</v>
      </c>
      <c r="M80" s="63">
        <f t="shared" ca="1" si="26"/>
        <v>14700</v>
      </c>
      <c r="N80" s="64">
        <f t="shared" ca="1" si="27"/>
        <v>9.5516569200779722E-2</v>
      </c>
      <c r="O80" s="62">
        <f t="shared" ca="1" si="28"/>
        <v>16.118421052631589</v>
      </c>
    </row>
    <row r="81" spans="1:15" x14ac:dyDescent="0.45">
      <c r="A81" s="54" t="str">
        <f>IF(ISBLANK(Data!C81),"",Data!C81)</f>
        <v>2800 Barnwood Xing, Duluth, GA 30097</v>
      </c>
      <c r="B81" s="50">
        <f>IFERROR(MATCH($A81,Data!$C:$C,0),"")</f>
        <v>81</v>
      </c>
      <c r="C81" s="55">
        <f t="shared" ca="1" si="19"/>
        <v>39900</v>
      </c>
      <c r="D81" s="64">
        <f t="shared" ca="1" si="16"/>
        <v>0.3392857142857143</v>
      </c>
      <c r="E81" s="56">
        <f t="shared" ca="1" si="17"/>
        <v>13300</v>
      </c>
      <c r="F81" s="65">
        <f t="shared" ca="1" si="18"/>
        <v>0.1130952380952381</v>
      </c>
      <c r="G81" s="59">
        <f t="shared" ca="1" si="20"/>
        <v>11400</v>
      </c>
      <c r="H81" s="64">
        <f t="shared" ca="1" si="21"/>
        <v>9.6938775510204078E-2</v>
      </c>
      <c r="I81" s="60">
        <f t="shared" ca="1" si="22"/>
        <v>11.352657004830917</v>
      </c>
      <c r="J81" s="63">
        <f t="shared" ca="1" si="23"/>
        <v>15300</v>
      </c>
      <c r="K81" s="64">
        <f t="shared" ca="1" si="24"/>
        <v>0.1186046511627907</v>
      </c>
      <c r="L81" s="62">
        <f t="shared" ca="1" si="25"/>
        <v>18.478260869565219</v>
      </c>
      <c r="M81" s="63">
        <f t="shared" ca="1" si="26"/>
        <v>13200</v>
      </c>
      <c r="N81" s="64">
        <f t="shared" ca="1" si="27"/>
        <v>9.1476091476091481E-2</v>
      </c>
      <c r="O81" s="62">
        <f t="shared" ca="1" si="28"/>
        <v>15.94202898550725</v>
      </c>
    </row>
    <row r="82" spans="1:15" x14ac:dyDescent="0.45">
      <c r="A82" s="54" t="str">
        <f>IF(ISBLANK(Data!C82),"",Data!C82)</f>
        <v>2810 Barnwood Xing, Duluth, GA 30097</v>
      </c>
      <c r="B82" s="50">
        <f>IFERROR(MATCH($A82,Data!$C:$C,0),"")</f>
        <v>82</v>
      </c>
      <c r="C82" s="55">
        <f t="shared" ca="1" si="19"/>
        <v>29700</v>
      </c>
      <c r="D82" s="64">
        <f t="shared" ca="1" si="16"/>
        <v>0.23130841121495327</v>
      </c>
      <c r="E82" s="56">
        <f t="shared" ca="1" si="17"/>
        <v>9900</v>
      </c>
      <c r="F82" s="65">
        <f t="shared" ca="1" si="18"/>
        <v>7.7102803738317752E-2</v>
      </c>
      <c r="G82" s="59">
        <f t="shared" ca="1" si="20"/>
        <v>12700</v>
      </c>
      <c r="H82" s="64">
        <f t="shared" ca="1" si="21"/>
        <v>9.8909657320872271E-2</v>
      </c>
      <c r="I82" s="60">
        <f t="shared" ca="1" si="22"/>
        <v>11.732456140350877</v>
      </c>
      <c r="J82" s="63">
        <f t="shared" ca="1" si="23"/>
        <v>17000</v>
      </c>
      <c r="K82" s="64">
        <f t="shared" ca="1" si="24"/>
        <v>0.12048192771084337</v>
      </c>
      <c r="L82" s="62">
        <f t="shared" ca="1" si="25"/>
        <v>18.640350877192986</v>
      </c>
      <c r="M82" s="63">
        <f t="shared" ca="1" si="26"/>
        <v>0</v>
      </c>
      <c r="N82" s="64">
        <f t="shared" ca="1" si="27"/>
        <v>0</v>
      </c>
      <c r="O82" s="62">
        <f t="shared" ca="1" si="28"/>
        <v>0</v>
      </c>
    </row>
    <row r="83" spans="1:15" x14ac:dyDescent="0.45">
      <c r="A83" s="54" t="str">
        <f>IF(ISBLANK(Data!C83),"",Data!C83)</f>
        <v>2815 Barnwood Xing, Duluth, GA 30097</v>
      </c>
      <c r="B83" s="50">
        <f>IFERROR(MATCH($A83,Data!$C:$C,0),"")</f>
        <v>83</v>
      </c>
      <c r="C83" s="55">
        <f t="shared" ca="1" si="19"/>
        <v>31600</v>
      </c>
      <c r="D83" s="64">
        <f t="shared" ca="1" si="16"/>
        <v>0.25179282868525898</v>
      </c>
      <c r="E83" s="56">
        <f t="shared" ca="1" si="17"/>
        <v>10533.333333333334</v>
      </c>
      <c r="F83" s="65">
        <f t="shared" ca="1" si="18"/>
        <v>8.3930942895086333E-2</v>
      </c>
      <c r="G83" s="59">
        <f t="shared" ca="1" si="20"/>
        <v>31600</v>
      </c>
      <c r="H83" s="64">
        <f t="shared" ca="1" si="21"/>
        <v>0.25179282868525898</v>
      </c>
      <c r="I83" s="60">
        <f t="shared" ca="1" si="22"/>
        <v>25.385934819897088</v>
      </c>
      <c r="J83" s="63">
        <f t="shared" ca="1" si="23"/>
        <v>0</v>
      </c>
      <c r="K83" s="64">
        <f t="shared" ca="1" si="24"/>
        <v>0</v>
      </c>
      <c r="L83" s="62">
        <f t="shared" ca="1" si="25"/>
        <v>0</v>
      </c>
      <c r="M83" s="63">
        <f t="shared" ca="1" si="26"/>
        <v>0</v>
      </c>
      <c r="N83" s="64">
        <f t="shared" ca="1" si="27"/>
        <v>0</v>
      </c>
      <c r="O83" s="62">
        <f t="shared" ca="1" si="28"/>
        <v>0</v>
      </c>
    </row>
    <row r="84" spans="1:15" x14ac:dyDescent="0.45">
      <c r="A84" s="54" t="str">
        <f>IF(ISBLANK(Data!C84),"",Data!C84)</f>
        <v>2820 Barnwood Xing, Duluth, GA 30097</v>
      </c>
      <c r="B84" s="50">
        <f>IFERROR(MATCH($A84,Data!$C:$C,0),"")</f>
        <v>84</v>
      </c>
      <c r="C84" s="55">
        <f t="shared" ca="1" si="19"/>
        <v>51000</v>
      </c>
      <c r="D84" s="64">
        <f t="shared" ca="1" si="16"/>
        <v>0.33311561071195295</v>
      </c>
      <c r="E84" s="56">
        <f t="shared" ca="1" si="17"/>
        <v>17000</v>
      </c>
      <c r="F84" s="65">
        <f t="shared" ca="1" si="18"/>
        <v>0.11103853690398433</v>
      </c>
      <c r="G84" s="59">
        <f t="shared" ca="1" si="20"/>
        <v>-100</v>
      </c>
      <c r="H84" s="64">
        <f t="shared" ca="1" si="21"/>
        <v>-6.5316786414108428E-4</v>
      </c>
      <c r="I84" s="60">
        <f t="shared" ca="1" si="22"/>
        <v>-1.6719745222929987</v>
      </c>
      <c r="J84" s="63">
        <f t="shared" ca="1" si="23"/>
        <v>36600</v>
      </c>
      <c r="K84" s="64">
        <f t="shared" ca="1" si="24"/>
        <v>0.23921568627450981</v>
      </c>
      <c r="L84" s="62">
        <f t="shared" ca="1" si="25"/>
        <v>29.140127388535035</v>
      </c>
      <c r="M84" s="63">
        <f t="shared" ca="1" si="26"/>
        <v>14500</v>
      </c>
      <c r="N84" s="64">
        <f t="shared" ca="1" si="27"/>
        <v>7.6476793248945144E-2</v>
      </c>
      <c r="O84" s="62">
        <f t="shared" ca="1" si="28"/>
        <v>11.544585987261158</v>
      </c>
    </row>
    <row r="85" spans="1:15" x14ac:dyDescent="0.45">
      <c r="A85" s="54" t="str">
        <f>IF(ISBLANK(Data!C85),"",Data!C85)</f>
        <v>2830 Barnwood Xing, Duluth, GA 30097</v>
      </c>
      <c r="B85" s="50">
        <f>IFERROR(MATCH($A85,Data!$C:$C,0),"")</f>
        <v>85</v>
      </c>
      <c r="C85" s="55">
        <f t="shared" ca="1" si="19"/>
        <v>54800</v>
      </c>
      <c r="D85" s="64">
        <f t="shared" ca="1" si="16"/>
        <v>0.33785450061652283</v>
      </c>
      <c r="E85" s="56">
        <f t="shared" ca="1" si="17"/>
        <v>18266.666666666668</v>
      </c>
      <c r="F85" s="65">
        <f t="shared" ca="1" si="18"/>
        <v>0.11261816687217428</v>
      </c>
      <c r="G85" s="59">
        <f t="shared" ca="1" si="20"/>
        <v>4800</v>
      </c>
      <c r="H85" s="64">
        <f t="shared" ca="1" si="21"/>
        <v>2.9593094944512947E-2</v>
      </c>
      <c r="I85" s="60">
        <f t="shared" ca="1" si="22"/>
        <v>2.1571648690292733</v>
      </c>
      <c r="J85" s="63">
        <f t="shared" ca="1" si="23"/>
        <v>34200</v>
      </c>
      <c r="K85" s="64">
        <f t="shared" ca="1" si="24"/>
        <v>0.20479041916167665</v>
      </c>
      <c r="L85" s="62">
        <f t="shared" ca="1" si="25"/>
        <v>26.348228043143294</v>
      </c>
      <c r="M85" s="63">
        <f t="shared" ca="1" si="26"/>
        <v>15800</v>
      </c>
      <c r="N85" s="64">
        <f t="shared" ca="1" si="27"/>
        <v>7.8528827037773363E-2</v>
      </c>
      <c r="O85" s="62">
        <f t="shared" ca="1" si="28"/>
        <v>12.172573189522353</v>
      </c>
    </row>
    <row r="86" spans="1:15" x14ac:dyDescent="0.45">
      <c r="A86" s="54" t="str">
        <f>IF(ISBLANK(Data!C86),"",Data!C86)</f>
        <v>2840 Barnwood Xing, Duluth, GA 30097</v>
      </c>
      <c r="B86" s="50">
        <f>IFERROR(MATCH($A86,Data!$C:$C,0),"")</f>
        <v>86</v>
      </c>
      <c r="C86" s="55">
        <f t="shared" ca="1" si="19"/>
        <v>49800</v>
      </c>
      <c r="D86" s="64">
        <f t="shared" ca="1" si="16"/>
        <v>0.31902626521460603</v>
      </c>
      <c r="E86" s="56">
        <f t="shared" ca="1" si="17"/>
        <v>16600</v>
      </c>
      <c r="F86" s="65">
        <f t="shared" ca="1" si="18"/>
        <v>0.10634208840486867</v>
      </c>
      <c r="G86" s="59">
        <f t="shared" ca="1" si="20"/>
        <v>11900</v>
      </c>
      <c r="H86" s="64">
        <f t="shared" ca="1" si="21"/>
        <v>7.623318385650224E-2</v>
      </c>
      <c r="I86" s="60">
        <f t="shared" ca="1" si="22"/>
        <v>9.0138674884437506</v>
      </c>
      <c r="J86" s="63">
        <f t="shared" ca="1" si="23"/>
        <v>9500</v>
      </c>
      <c r="K86" s="64">
        <f t="shared" ca="1" si="24"/>
        <v>5.6547619047619048E-2</v>
      </c>
      <c r="L86" s="62">
        <f t="shared" ca="1" si="25"/>
        <v>5.9322033898305193</v>
      </c>
      <c r="M86" s="63">
        <f t="shared" ca="1" si="26"/>
        <v>28400</v>
      </c>
      <c r="N86" s="64">
        <f t="shared" ca="1" si="27"/>
        <v>0.16</v>
      </c>
      <c r="O86" s="62">
        <f t="shared" ca="1" si="28"/>
        <v>21.87981510015409</v>
      </c>
    </row>
    <row r="87" spans="1:15" x14ac:dyDescent="0.45">
      <c r="A87" s="54" t="str">
        <f>IF(ISBLANK(Data!C87),"",Data!C87)</f>
        <v>2850 Barnwood Xing, Duluth, GA 30097</v>
      </c>
      <c r="B87" s="50">
        <f>IFERROR(MATCH($A87,Data!$C:$C,0),"")</f>
        <v>87</v>
      </c>
      <c r="C87" s="55">
        <f t="shared" ca="1" si="19"/>
        <v>43400</v>
      </c>
      <c r="D87" s="64">
        <f t="shared" ca="1" si="16"/>
        <v>0.34692246203037569</v>
      </c>
      <c r="E87" s="56">
        <f t="shared" ca="1" si="17"/>
        <v>14466.666666666666</v>
      </c>
      <c r="F87" s="65">
        <f t="shared" ca="1" si="18"/>
        <v>0.11564082067679189</v>
      </c>
      <c r="G87" s="59">
        <f t="shared" ca="1" si="20"/>
        <v>12200</v>
      </c>
      <c r="H87" s="64">
        <f t="shared" ca="1" si="21"/>
        <v>9.7521982414068745E-2</v>
      </c>
      <c r="I87" s="60">
        <f t="shared" ca="1" si="22"/>
        <v>11.18421052631578</v>
      </c>
      <c r="J87" s="63">
        <f t="shared" ca="1" si="23"/>
        <v>16500</v>
      </c>
      <c r="K87" s="64">
        <f t="shared" ca="1" si="24"/>
        <v>0.12017479970866715</v>
      </c>
      <c r="L87" s="62">
        <f t="shared" ca="1" si="25"/>
        <v>18.092105263157904</v>
      </c>
      <c r="M87" s="63">
        <f t="shared" ca="1" si="26"/>
        <v>14700</v>
      </c>
      <c r="N87" s="64">
        <f t="shared" ca="1" si="27"/>
        <v>9.5578673602080624E-2</v>
      </c>
      <c r="O87" s="62">
        <f t="shared" ca="1" si="28"/>
        <v>16.118421052631561</v>
      </c>
    </row>
    <row r="88" spans="1:15" x14ac:dyDescent="0.45">
      <c r="A88" s="54" t="str">
        <f>IF(ISBLANK(Data!C88),"",Data!C88)</f>
        <v>2855 Barnwood Xing, Duluth, GA 30097</v>
      </c>
      <c r="B88" s="50">
        <f>IFERROR(MATCH($A88,Data!$C:$C,0),"")</f>
        <v>88</v>
      </c>
      <c r="C88" s="55">
        <f t="shared" ca="1" si="19"/>
        <v>45300</v>
      </c>
      <c r="D88" s="64">
        <f t="shared" ca="1" si="16"/>
        <v>0.35061919504643962</v>
      </c>
      <c r="E88" s="56">
        <f t="shared" ca="1" si="17"/>
        <v>15100</v>
      </c>
      <c r="F88" s="65">
        <f t="shared" ca="1" si="18"/>
        <v>0.11687306501547988</v>
      </c>
      <c r="G88" s="59">
        <f t="shared" ca="1" si="20"/>
        <v>12600</v>
      </c>
      <c r="H88" s="64">
        <f t="shared" ca="1" si="21"/>
        <v>9.7523219814241488E-2</v>
      </c>
      <c r="I88" s="60">
        <f t="shared" ca="1" si="22"/>
        <v>10.882956878850095</v>
      </c>
      <c r="J88" s="63">
        <f t="shared" ca="1" si="23"/>
        <v>17100</v>
      </c>
      <c r="K88" s="64">
        <f t="shared" ca="1" si="24"/>
        <v>0.12059238363892807</v>
      </c>
      <c r="L88" s="62">
        <f t="shared" ca="1" si="25"/>
        <v>17.556468172484614</v>
      </c>
      <c r="M88" s="63">
        <f t="shared" ca="1" si="26"/>
        <v>15600</v>
      </c>
      <c r="N88" s="64">
        <f t="shared" ca="1" si="27"/>
        <v>9.8174952800503465E-2</v>
      </c>
      <c r="O88" s="62">
        <f t="shared" ca="1" si="28"/>
        <v>16.016427104722794</v>
      </c>
    </row>
    <row r="89" spans="1:15" x14ac:dyDescent="0.45">
      <c r="A89" s="54" t="str">
        <f>IF(ISBLANK(Data!C89),"",Data!C89)</f>
        <v>2860 Barnwood Xing, Duluth, GA 30097</v>
      </c>
      <c r="B89" s="50">
        <f>IFERROR(MATCH($A89,Data!$C:$C,0),"")</f>
        <v>89</v>
      </c>
      <c r="C89" s="55">
        <f t="shared" ca="1" si="19"/>
        <v>46400</v>
      </c>
      <c r="D89" s="64">
        <f t="shared" ca="1" si="16"/>
        <v>0.35098335854765506</v>
      </c>
      <c r="E89" s="56">
        <f t="shared" ca="1" si="17"/>
        <v>15466.666666666666</v>
      </c>
      <c r="F89" s="65">
        <f t="shared" ca="1" si="18"/>
        <v>0.11699445284921835</v>
      </c>
      <c r="G89" s="59">
        <f t="shared" ca="1" si="20"/>
        <v>13100</v>
      </c>
      <c r="H89" s="64">
        <f t="shared" ca="1" si="21"/>
        <v>9.9092284417549165E-2</v>
      </c>
      <c r="I89" s="60">
        <f t="shared" ca="1" si="22"/>
        <v>11.077844311377248</v>
      </c>
      <c r="J89" s="63">
        <f t="shared" ca="1" si="23"/>
        <v>17700</v>
      </c>
      <c r="K89" s="64">
        <f t="shared" ca="1" si="24"/>
        <v>0.12181693048864418</v>
      </c>
      <c r="L89" s="62">
        <f t="shared" ca="1" si="25"/>
        <v>17.664670658682638</v>
      </c>
      <c r="M89" s="63">
        <f t="shared" ca="1" si="26"/>
        <v>15600</v>
      </c>
      <c r="N89" s="64">
        <f t="shared" ca="1" si="27"/>
        <v>9.5705521472392641E-2</v>
      </c>
      <c r="O89" s="62">
        <f t="shared" ca="1" si="28"/>
        <v>15.568862275449106</v>
      </c>
    </row>
    <row r="90" spans="1:15" x14ac:dyDescent="0.45">
      <c r="A90" s="54" t="str">
        <f>IF(ISBLANK(Data!C90),"",Data!C90)</f>
        <v>2865 Barnwood Xing, Duluth, GA 30097</v>
      </c>
      <c r="B90" s="50">
        <f>IFERROR(MATCH($A90,Data!$C:$C,0),"")</f>
        <v>90</v>
      </c>
      <c r="C90" s="55">
        <f t="shared" ca="1" si="19"/>
        <v>50100</v>
      </c>
      <c r="D90" s="64">
        <f t="shared" ca="1" si="16"/>
        <v>0.36489439184268024</v>
      </c>
      <c r="E90" s="56">
        <f t="shared" ca="1" si="17"/>
        <v>16700</v>
      </c>
      <c r="F90" s="65">
        <f t="shared" ca="1" si="18"/>
        <v>0.12163146394756008</v>
      </c>
      <c r="G90" s="59">
        <f t="shared" ca="1" si="20"/>
        <v>13500</v>
      </c>
      <c r="H90" s="64">
        <f t="shared" ca="1" si="21"/>
        <v>9.8324836125273124E-2</v>
      </c>
      <c r="I90" s="60">
        <f t="shared" ca="1" si="22"/>
        <v>10.240427426536058</v>
      </c>
      <c r="J90" s="63">
        <f t="shared" ca="1" si="23"/>
        <v>18600</v>
      </c>
      <c r="K90" s="64">
        <f t="shared" ca="1" si="24"/>
        <v>0.123342175066313</v>
      </c>
      <c r="L90" s="62">
        <f t="shared" ca="1" si="25"/>
        <v>16.562778272484422</v>
      </c>
      <c r="M90" s="63">
        <f t="shared" ca="1" si="26"/>
        <v>18000</v>
      </c>
      <c r="N90" s="64">
        <f t="shared" ca="1" si="27"/>
        <v>0.10625737898465171</v>
      </c>
      <c r="O90" s="62">
        <f t="shared" ca="1" si="28"/>
        <v>16.028495102404264</v>
      </c>
    </row>
    <row r="91" spans="1:15" x14ac:dyDescent="0.45">
      <c r="A91" s="54" t="str">
        <f>IF(ISBLANK(Data!C91),"",Data!C91)</f>
        <v>2870 Barnwood Xing, Duluth, GA 30097</v>
      </c>
      <c r="B91" s="50">
        <f>IFERROR(MATCH($A91,Data!$C:$C,0),"")</f>
        <v>91</v>
      </c>
      <c r="C91" s="55">
        <f t="shared" ca="1" si="19"/>
        <v>50300</v>
      </c>
      <c r="D91" s="64">
        <f t="shared" ca="1" si="16"/>
        <v>0.36715328467153285</v>
      </c>
      <c r="E91" s="56">
        <f t="shared" ca="1" si="17"/>
        <v>16766.666666666668</v>
      </c>
      <c r="F91" s="65">
        <f t="shared" ca="1" si="18"/>
        <v>0.12238442822384429</v>
      </c>
      <c r="G91" s="59">
        <f t="shared" ca="1" si="20"/>
        <v>13500</v>
      </c>
      <c r="H91" s="64">
        <f t="shared" ca="1" si="21"/>
        <v>9.8540145985401464E-2</v>
      </c>
      <c r="I91" s="60">
        <f t="shared" ca="1" si="22"/>
        <v>10.240427426536073</v>
      </c>
      <c r="J91" s="63">
        <f t="shared" ca="1" si="23"/>
        <v>18500</v>
      </c>
      <c r="K91" s="64">
        <f t="shared" ca="1" si="24"/>
        <v>0.12292358803986711</v>
      </c>
      <c r="L91" s="62">
        <f t="shared" ca="1" si="25"/>
        <v>16.473731077471058</v>
      </c>
      <c r="M91" s="63">
        <f t="shared" ca="1" si="26"/>
        <v>18300</v>
      </c>
      <c r="N91" s="64">
        <f t="shared" ca="1" si="27"/>
        <v>0.10828402366863905</v>
      </c>
      <c r="O91" s="62">
        <f t="shared" ca="1" si="28"/>
        <v>16.295636687444329</v>
      </c>
    </row>
    <row r="92" spans="1:15" x14ac:dyDescent="0.45">
      <c r="A92" s="54" t="str">
        <f>IF(ISBLANK(Data!C92),"",Data!C92)</f>
        <v>2875 Barnwood Xing, Duluth, GA 30097</v>
      </c>
      <c r="B92" s="50">
        <f>IFERROR(MATCH($A92,Data!$C:$C,0),"")</f>
        <v>92</v>
      </c>
      <c r="C92" s="55">
        <f t="shared" ca="1" si="19"/>
        <v>49100</v>
      </c>
      <c r="D92" s="64">
        <f t="shared" ca="1" si="16"/>
        <v>0.36532738095238093</v>
      </c>
      <c r="E92" s="56">
        <f t="shared" ca="1" si="17"/>
        <v>16366.666666666666</v>
      </c>
      <c r="F92" s="65">
        <f t="shared" ca="1" si="18"/>
        <v>0.12177579365079365</v>
      </c>
      <c r="G92" s="59">
        <f t="shared" ca="1" si="20"/>
        <v>13200</v>
      </c>
      <c r="H92" s="64">
        <f t="shared" ca="1" si="21"/>
        <v>9.8214285714285712E-2</v>
      </c>
      <c r="I92" s="60">
        <f t="shared" ca="1" si="22"/>
        <v>9.9732858414959935</v>
      </c>
      <c r="J92" s="63">
        <f t="shared" ca="1" si="23"/>
        <v>18100</v>
      </c>
      <c r="K92" s="64">
        <f t="shared" ca="1" si="24"/>
        <v>0.12262872628726287</v>
      </c>
      <c r="L92" s="62">
        <f t="shared" ca="1" si="25"/>
        <v>16.117542297417629</v>
      </c>
      <c r="M92" s="63">
        <f t="shared" ca="1" si="26"/>
        <v>17800</v>
      </c>
      <c r="N92" s="64">
        <f t="shared" ca="1" si="27"/>
        <v>0.10742305371152686</v>
      </c>
      <c r="O92" s="62">
        <f t="shared" ca="1" si="28"/>
        <v>15.850400712377549</v>
      </c>
    </row>
    <row r="93" spans="1:15" x14ac:dyDescent="0.45">
      <c r="A93" s="54" t="str">
        <f>IF(ISBLANK(Data!C93),"",Data!C93)</f>
        <v>2880 Barnwood Xing, Duluth, GA 30097</v>
      </c>
      <c r="B93" s="50">
        <f>IFERROR(MATCH($A93,Data!$C:$C,0),"")</f>
        <v>93</v>
      </c>
      <c r="C93" s="55">
        <f t="shared" ca="1" si="19"/>
        <v>48700</v>
      </c>
      <c r="D93" s="64">
        <f t="shared" ca="1" si="16"/>
        <v>0.3896</v>
      </c>
      <c r="E93" s="56">
        <f t="shared" ca="1" si="17"/>
        <v>16233.333333333334</v>
      </c>
      <c r="F93" s="65">
        <f t="shared" ca="1" si="18"/>
        <v>0.12986666666666666</v>
      </c>
      <c r="G93" s="59">
        <f t="shared" ca="1" si="20"/>
        <v>16300</v>
      </c>
      <c r="H93" s="64">
        <f t="shared" ca="1" si="21"/>
        <v>0.13039999999999999</v>
      </c>
      <c r="I93" s="60">
        <f t="shared" ca="1" si="22"/>
        <v>14.473684210526315</v>
      </c>
      <c r="J93" s="63">
        <f t="shared" ca="1" si="23"/>
        <v>17100</v>
      </c>
      <c r="K93" s="64">
        <f t="shared" ca="1" si="24"/>
        <v>0.12101910828025478</v>
      </c>
      <c r="L93" s="62">
        <f t="shared" ca="1" si="25"/>
        <v>17.307692307692307</v>
      </c>
      <c r="M93" s="63">
        <f t="shared" ca="1" si="26"/>
        <v>15300</v>
      </c>
      <c r="N93" s="64">
        <f t="shared" ca="1" si="27"/>
        <v>9.6590909090909088E-2</v>
      </c>
      <c r="O93" s="62">
        <f t="shared" ca="1" si="28"/>
        <v>15.485829959514177</v>
      </c>
    </row>
    <row r="94" spans="1:15" x14ac:dyDescent="0.45">
      <c r="A94" s="54" t="str">
        <f>IF(ISBLANK(Data!C94),"",Data!C94)</f>
        <v>2885 Barnwood Xing, Duluth, GA 30097</v>
      </c>
      <c r="B94" s="50">
        <f>IFERROR(MATCH($A94,Data!$C:$C,0),"")</f>
        <v>94</v>
      </c>
      <c r="C94" s="55">
        <f t="shared" ca="1" si="19"/>
        <v>49200</v>
      </c>
      <c r="D94" s="64">
        <f t="shared" ca="1" si="16"/>
        <v>0.41</v>
      </c>
      <c r="E94" s="56">
        <f t="shared" ca="1" si="17"/>
        <v>16400</v>
      </c>
      <c r="F94" s="65">
        <f t="shared" ca="1" si="18"/>
        <v>0.13666666666666666</v>
      </c>
      <c r="G94" s="59">
        <f t="shared" ca="1" si="20"/>
        <v>17900</v>
      </c>
      <c r="H94" s="64">
        <f t="shared" ca="1" si="21"/>
        <v>0.14916666666666667</v>
      </c>
      <c r="I94" s="60">
        <f t="shared" ca="1" si="22"/>
        <v>17.434210526315795</v>
      </c>
      <c r="J94" s="63">
        <f t="shared" ca="1" si="23"/>
        <v>16600</v>
      </c>
      <c r="K94" s="64">
        <f t="shared" ca="1" si="24"/>
        <v>0.12037708484408992</v>
      </c>
      <c r="L94" s="62">
        <f t="shared" ca="1" si="25"/>
        <v>18.201754385964918</v>
      </c>
      <c r="M94" s="63">
        <f t="shared" ca="1" si="26"/>
        <v>14700</v>
      </c>
      <c r="N94" s="64">
        <f t="shared" ca="1" si="27"/>
        <v>9.5145631067961159E-2</v>
      </c>
      <c r="O94" s="62">
        <f t="shared" ca="1" si="28"/>
        <v>16.118421052631561</v>
      </c>
    </row>
    <row r="95" spans="1:15" x14ac:dyDescent="0.45">
      <c r="A95" s="54" t="str">
        <f>IF(ISBLANK(Data!C95),"",Data!C95)</f>
        <v>2890 Barnwood Xing, Duluth, GA 30097</v>
      </c>
      <c r="B95" s="50">
        <f>IFERROR(MATCH($A95,Data!$C:$C,0),"")</f>
        <v>95</v>
      </c>
      <c r="C95" s="55">
        <f t="shared" ca="1" si="19"/>
        <v>51600</v>
      </c>
      <c r="D95" s="64">
        <f t="shared" ca="1" si="16"/>
        <v>0.38053097345132741</v>
      </c>
      <c r="E95" s="56">
        <f t="shared" ca="1" si="17"/>
        <v>17200</v>
      </c>
      <c r="F95" s="65">
        <f t="shared" ca="1" si="18"/>
        <v>0.12684365781710916</v>
      </c>
      <c r="G95" s="59">
        <f t="shared" ca="1" si="20"/>
        <v>11900</v>
      </c>
      <c r="H95" s="64">
        <f t="shared" ca="1" si="21"/>
        <v>8.7758112094395282E-2</v>
      </c>
      <c r="I95" s="60">
        <f t="shared" ca="1" si="22"/>
        <v>8.8156723063223552</v>
      </c>
      <c r="J95" s="63">
        <f t="shared" ca="1" si="23"/>
        <v>19800</v>
      </c>
      <c r="K95" s="64">
        <f t="shared" ca="1" si="24"/>
        <v>0.13423728813559321</v>
      </c>
      <c r="L95" s="62">
        <f t="shared" ca="1" si="25"/>
        <v>17.631344612644696</v>
      </c>
      <c r="M95" s="63">
        <f t="shared" ca="1" si="26"/>
        <v>19900</v>
      </c>
      <c r="N95" s="64">
        <f t="shared" ca="1" si="27"/>
        <v>0.11894799760908548</v>
      </c>
      <c r="O95" s="62">
        <f t="shared" ca="1" si="28"/>
        <v>17.720391807658075</v>
      </c>
    </row>
    <row r="96" spans="1:15" x14ac:dyDescent="0.45">
      <c r="A96" s="54" t="str">
        <f>IF(ISBLANK(Data!C96),"",Data!C96)</f>
        <v>2895 Barnwood Xing, Duluth, GA 30097</v>
      </c>
      <c r="B96" s="50">
        <f>IFERROR(MATCH($A96,Data!$C:$C,0),"")</f>
        <v>96</v>
      </c>
      <c r="C96" s="55">
        <f t="shared" ca="1" si="19"/>
        <v>49500</v>
      </c>
      <c r="D96" s="64">
        <f t="shared" ca="1" si="16"/>
        <v>0.36504424778761063</v>
      </c>
      <c r="E96" s="56">
        <f t="shared" ca="1" si="17"/>
        <v>16500</v>
      </c>
      <c r="F96" s="65">
        <f t="shared" ca="1" si="18"/>
        <v>0.12168141592920353</v>
      </c>
      <c r="G96" s="59">
        <f t="shared" ca="1" si="20"/>
        <v>-5600</v>
      </c>
      <c r="H96" s="64">
        <f t="shared" ca="1" si="21"/>
        <v>-4.1297935103244837E-2</v>
      </c>
      <c r="I96" s="60">
        <f t="shared" ca="1" si="22"/>
        <v>-6.7675868210151293</v>
      </c>
      <c r="J96" s="63">
        <f t="shared" ca="1" si="23"/>
        <v>37200</v>
      </c>
      <c r="K96" s="64">
        <f t="shared" ca="1" si="24"/>
        <v>0.28615384615384615</v>
      </c>
      <c r="L96" s="62">
        <f t="shared" ca="1" si="25"/>
        <v>33.125556544968831</v>
      </c>
      <c r="M96" s="63">
        <f t="shared" ca="1" si="26"/>
        <v>17900</v>
      </c>
      <c r="N96" s="64">
        <f t="shared" ca="1" si="27"/>
        <v>0.10705741626794259</v>
      </c>
      <c r="O96" s="62">
        <f t="shared" ca="1" si="28"/>
        <v>15.939447907390914</v>
      </c>
    </row>
    <row r="97" spans="1:15" x14ac:dyDescent="0.45">
      <c r="A97" s="54" t="str">
        <f>IF(ISBLANK(Data!C97),"",Data!C97)</f>
        <v>2900 Barnwood Xing, Duluth, GA 30097</v>
      </c>
      <c r="B97" s="50">
        <f>IFERROR(MATCH($A97,Data!$C:$C,0),"")</f>
        <v>97</v>
      </c>
      <c r="C97" s="55">
        <f t="shared" ca="1" si="19"/>
        <v>43300</v>
      </c>
      <c r="D97" s="64">
        <f t="shared" ca="1" si="16"/>
        <v>0.34419713831478538</v>
      </c>
      <c r="E97" s="56">
        <f t="shared" ca="1" si="17"/>
        <v>14433.333333333334</v>
      </c>
      <c r="F97" s="65">
        <f t="shared" ca="1" si="18"/>
        <v>0.1147323794382618</v>
      </c>
      <c r="G97" s="59">
        <f t="shared" ca="1" si="20"/>
        <v>11000</v>
      </c>
      <c r="H97" s="64">
        <f t="shared" ca="1" si="21"/>
        <v>8.7440381558028621E-2</v>
      </c>
      <c r="I97" s="60">
        <f t="shared" ca="1" si="22"/>
        <v>10.044642857142861</v>
      </c>
      <c r="J97" s="63">
        <f t="shared" ca="1" si="23"/>
        <v>18000</v>
      </c>
      <c r="K97" s="64">
        <f t="shared" ca="1" si="24"/>
        <v>0.13157894736842105</v>
      </c>
      <c r="L97" s="62">
        <f t="shared" ca="1" si="25"/>
        <v>20.089285714285708</v>
      </c>
      <c r="M97" s="63">
        <f t="shared" ca="1" si="26"/>
        <v>14300</v>
      </c>
      <c r="N97" s="64">
        <f t="shared" ca="1" si="27"/>
        <v>9.2377260981912152E-2</v>
      </c>
      <c r="O97" s="62">
        <f t="shared" ca="1" si="28"/>
        <v>15.959821428571445</v>
      </c>
    </row>
    <row r="98" spans="1:15" x14ac:dyDescent="0.45">
      <c r="A98" s="54" t="str">
        <f>IF(ISBLANK(Data!C98),"",Data!C98)</f>
        <v>2905 Barnwood Xing, Duluth, GA 30097</v>
      </c>
      <c r="B98" s="50">
        <f>IFERROR(MATCH($A98,Data!$C:$C,0),"")</f>
        <v>98</v>
      </c>
      <c r="C98" s="55">
        <f t="shared" ca="1" si="19"/>
        <v>52800</v>
      </c>
      <c r="D98" s="64">
        <f t="shared" ca="1" si="16"/>
        <v>0.47912885662431942</v>
      </c>
      <c r="E98" s="56">
        <f t="shared" ca="1" si="17"/>
        <v>17600</v>
      </c>
      <c r="F98" s="65">
        <f t="shared" ca="1" si="18"/>
        <v>0.15970961887477314</v>
      </c>
      <c r="G98" s="59">
        <f t="shared" ca="1" si="20"/>
        <v>9600</v>
      </c>
      <c r="H98" s="64">
        <f t="shared" ca="1" si="21"/>
        <v>8.7114337568058073E-2</v>
      </c>
      <c r="I98" s="60">
        <f t="shared" ca="1" si="22"/>
        <v>9.5238095238095184</v>
      </c>
      <c r="J98" s="63">
        <f t="shared" ca="1" si="23"/>
        <v>15100</v>
      </c>
      <c r="K98" s="64">
        <f t="shared" ca="1" si="24"/>
        <v>0.12604340567612687</v>
      </c>
      <c r="L98" s="62">
        <f t="shared" ca="1" si="25"/>
        <v>18.922305764411021</v>
      </c>
      <c r="M98" s="63">
        <f t="shared" ca="1" si="26"/>
        <v>28100</v>
      </c>
      <c r="N98" s="64">
        <f t="shared" ca="1" si="27"/>
        <v>0.20830244625648628</v>
      </c>
      <c r="O98" s="62">
        <f t="shared" ca="1" si="28"/>
        <v>35.213032581453632</v>
      </c>
    </row>
    <row r="99" spans="1:15" x14ac:dyDescent="0.45">
      <c r="A99" s="54" t="str">
        <f>IF(ISBLANK(Data!C99),"",Data!C99)</f>
        <v>2910 Barnwood Xing, Duluth, GA 30097</v>
      </c>
      <c r="B99" s="50">
        <f>IFERROR(MATCH($A99,Data!$C:$C,0),"")</f>
        <v>99</v>
      </c>
      <c r="C99" s="55">
        <f t="shared" ca="1" si="19"/>
        <v>59900</v>
      </c>
      <c r="D99" s="64">
        <f t="shared" ca="1" si="16"/>
        <v>0.44601638123603871</v>
      </c>
      <c r="E99" s="56">
        <f t="shared" ca="1" si="17"/>
        <v>19966.666666666668</v>
      </c>
      <c r="F99" s="65">
        <f t="shared" ca="1" si="18"/>
        <v>0.14867212707867958</v>
      </c>
      <c r="G99" s="59">
        <f t="shared" ca="1" si="20"/>
        <v>13200</v>
      </c>
      <c r="H99" s="64">
        <f t="shared" ca="1" si="21"/>
        <v>9.8287416232315711E-2</v>
      </c>
      <c r="I99" s="60">
        <f t="shared" ca="1" si="22"/>
        <v>9.5238095238095326</v>
      </c>
      <c r="J99" s="63">
        <f t="shared" ca="1" si="23"/>
        <v>15500</v>
      </c>
      <c r="K99" s="64">
        <f t="shared" ca="1" si="24"/>
        <v>0.10508474576271186</v>
      </c>
      <c r="L99" s="62">
        <f t="shared" ca="1" si="25"/>
        <v>13.180272108843539</v>
      </c>
      <c r="M99" s="63">
        <f t="shared" ca="1" si="26"/>
        <v>31200</v>
      </c>
      <c r="N99" s="64">
        <f t="shared" ca="1" si="27"/>
        <v>0.19141104294478528</v>
      </c>
      <c r="O99" s="62">
        <f t="shared" ca="1" si="28"/>
        <v>26.530612244897952</v>
      </c>
    </row>
    <row r="100" spans="1:15" x14ac:dyDescent="0.45">
      <c r="A100" s="54" t="str">
        <f>IF(ISBLANK(Data!C100),"",Data!C100)</f>
        <v>2915 Barnwood Xing, Duluth, GA 30097</v>
      </c>
      <c r="B100" s="50">
        <f>IFERROR(MATCH($A100,Data!$C:$C,0),"")</f>
        <v>100</v>
      </c>
      <c r="C100" s="55">
        <f t="shared" ca="1" si="19"/>
        <v>71700</v>
      </c>
      <c r="D100" s="64">
        <f t="shared" ca="1" si="16"/>
        <v>0.58435207823960877</v>
      </c>
      <c r="E100" s="56">
        <f t="shared" ca="1" si="17"/>
        <v>23900</v>
      </c>
      <c r="F100" s="65">
        <f t="shared" ca="1" si="18"/>
        <v>0.19478402607986961</v>
      </c>
      <c r="G100" s="59">
        <f t="shared" ca="1" si="20"/>
        <v>30200</v>
      </c>
      <c r="H100" s="64">
        <f t="shared" ca="1" si="21"/>
        <v>0.24612876935615322</v>
      </c>
      <c r="I100" s="60">
        <f t="shared" ca="1" si="22"/>
        <v>26.232558139534888</v>
      </c>
      <c r="J100" s="63">
        <f t="shared" ca="1" si="23"/>
        <v>19000</v>
      </c>
      <c r="K100" s="64">
        <f t="shared" ca="1" si="24"/>
        <v>0.12426422498364945</v>
      </c>
      <c r="L100" s="62">
        <f t="shared" ca="1" si="25"/>
        <v>17.674418604651166</v>
      </c>
      <c r="M100" s="63">
        <f t="shared" ca="1" si="26"/>
        <v>22500</v>
      </c>
      <c r="N100" s="64">
        <f t="shared" ca="1" si="27"/>
        <v>0.13089005235602094</v>
      </c>
      <c r="O100" s="62">
        <f t="shared" ca="1" si="28"/>
        <v>20.930232558139522</v>
      </c>
    </row>
    <row r="101" spans="1:15" x14ac:dyDescent="0.45">
      <c r="A101" s="54" t="str">
        <f>IF(ISBLANK(Data!C101),"",Data!C101)</f>
        <v>2920 Barnwood Xing, Duluth, GA 30097</v>
      </c>
      <c r="B101" s="50">
        <f>IFERROR(MATCH($A101,Data!$C:$C,0),"")</f>
        <v>101</v>
      </c>
      <c r="C101" s="55">
        <f t="shared" ca="1" si="19"/>
        <v>45400</v>
      </c>
      <c r="D101" s="64">
        <f t="shared" ref="D101:D132" ca="1" si="29">IFERROR($C101/INDIRECT("Data!J"&amp;$B101),"")</f>
        <v>0.35003855050115651</v>
      </c>
      <c r="E101" s="56">
        <f t="shared" ref="E101:E132" ca="1" si="30">IFERROR($C101/($C$1-2016),"")</f>
        <v>15133.333333333334</v>
      </c>
      <c r="F101" s="65">
        <f t="shared" ref="F101:F132" ca="1" si="31">IFERROR($E101/INDIRECT("Data!$J"&amp;$B101),"")</f>
        <v>0.11667951683371884</v>
      </c>
      <c r="G101" s="59">
        <f t="shared" ca="1" si="20"/>
        <v>12700</v>
      </c>
      <c r="H101" s="64">
        <f t="shared" ca="1" si="21"/>
        <v>9.7918272937548193E-2</v>
      </c>
      <c r="I101" s="60">
        <f t="shared" ca="1" si="22"/>
        <v>10.678642714570856</v>
      </c>
      <c r="J101" s="63">
        <f t="shared" ca="1" si="23"/>
        <v>17300</v>
      </c>
      <c r="K101" s="64">
        <f t="shared" ca="1" si="24"/>
        <v>0.12148876404494383</v>
      </c>
      <c r="L101" s="62">
        <f t="shared" ca="1" si="25"/>
        <v>17.265469061876232</v>
      </c>
      <c r="M101" s="63">
        <f t="shared" ca="1" si="26"/>
        <v>15400</v>
      </c>
      <c r="N101" s="64">
        <f t="shared" ca="1" si="27"/>
        <v>9.6430807764558549E-2</v>
      </c>
      <c r="O101" s="62">
        <f t="shared" ca="1" si="28"/>
        <v>15.36926147704591</v>
      </c>
    </row>
    <row r="102" spans="1:15" x14ac:dyDescent="0.45">
      <c r="A102" s="54" t="str">
        <f>IF(ISBLANK(Data!C102),"",Data!C102)</f>
        <v>2930 Barnwood Xing, Duluth, GA 30097</v>
      </c>
      <c r="B102" s="50">
        <f>IFERROR(MATCH($A102,Data!$C:$C,0),"")</f>
        <v>102</v>
      </c>
      <c r="C102" s="55">
        <f t="shared" ca="1" si="19"/>
        <v>36600</v>
      </c>
      <c r="D102" s="64">
        <f t="shared" ca="1" si="29"/>
        <v>0.33182230281051678</v>
      </c>
      <c r="E102" s="56">
        <f t="shared" ca="1" si="30"/>
        <v>12200</v>
      </c>
      <c r="F102" s="65">
        <f t="shared" ca="1" si="31"/>
        <v>0.11060743427017226</v>
      </c>
      <c r="G102" s="59">
        <f t="shared" ca="1" si="20"/>
        <v>10700</v>
      </c>
      <c r="H102" s="64">
        <f t="shared" ca="1" si="21"/>
        <v>9.7008159564823213E-2</v>
      </c>
      <c r="I102" s="60">
        <f t="shared" ca="1" si="22"/>
        <v>10.532687651331713</v>
      </c>
      <c r="J102" s="63">
        <f t="shared" ca="1" si="23"/>
        <v>14000</v>
      </c>
      <c r="K102" s="64">
        <f t="shared" ca="1" si="24"/>
        <v>0.11570247933884298</v>
      </c>
      <c r="L102" s="62">
        <f t="shared" ca="1" si="25"/>
        <v>16.949152542372886</v>
      </c>
      <c r="M102" s="63">
        <f t="shared" ca="1" si="26"/>
        <v>11900</v>
      </c>
      <c r="N102" s="64">
        <f t="shared" ca="1" si="27"/>
        <v>8.8148148148148142E-2</v>
      </c>
      <c r="O102" s="62">
        <f t="shared" ca="1" si="28"/>
        <v>14.406779661016955</v>
      </c>
    </row>
    <row r="103" spans="1:15" x14ac:dyDescent="0.45">
      <c r="A103" s="54" t="str">
        <f>IF(ISBLANK(Data!C103),"",Data!C103)</f>
        <v>2940 Barnwood Xing, Duluth, GA 30097</v>
      </c>
      <c r="B103" s="50">
        <f>IFERROR(MATCH($A103,Data!$C:$C,0),"")</f>
        <v>103</v>
      </c>
      <c r="C103" s="55">
        <f t="shared" ca="1" si="19"/>
        <v>57000</v>
      </c>
      <c r="D103" s="64">
        <f t="shared" ca="1" si="29"/>
        <v>0.375</v>
      </c>
      <c r="E103" s="56">
        <f t="shared" ca="1" si="30"/>
        <v>19000</v>
      </c>
      <c r="F103" s="65">
        <f t="shared" ca="1" si="31"/>
        <v>0.125</v>
      </c>
      <c r="G103" s="59">
        <f t="shared" ca="1" si="20"/>
        <v>0</v>
      </c>
      <c r="H103" s="64">
        <f t="shared" ca="1" si="21"/>
        <v>0</v>
      </c>
      <c r="I103" s="60">
        <f t="shared" ca="1" si="22"/>
        <v>-1.6556291390728433</v>
      </c>
      <c r="J103" s="63">
        <f t="shared" ca="1" si="23"/>
        <v>0</v>
      </c>
      <c r="K103" s="64">
        <f t="shared" ca="1" si="24"/>
        <v>0</v>
      </c>
      <c r="L103" s="62">
        <f t="shared" ca="1" si="25"/>
        <v>0</v>
      </c>
      <c r="M103" s="63">
        <f t="shared" ca="1" si="26"/>
        <v>57000</v>
      </c>
      <c r="N103" s="64">
        <f t="shared" ca="1" si="27"/>
        <v>0.375</v>
      </c>
      <c r="O103" s="62">
        <f t="shared" ca="1" si="28"/>
        <v>47.185430463576154</v>
      </c>
    </row>
    <row r="104" spans="1:15" x14ac:dyDescent="0.45">
      <c r="A104" s="54" t="str">
        <f>IF(ISBLANK(Data!C104),"",Data!C104)</f>
        <v>2950 Barnwood Xing, Duluth, GA 30097</v>
      </c>
      <c r="B104" s="50">
        <f>IFERROR(MATCH($A104,Data!$C:$C,0),"")</f>
        <v>104</v>
      </c>
      <c r="C104" s="55">
        <f t="shared" ca="1" si="19"/>
        <v>48900</v>
      </c>
      <c r="D104" s="64">
        <f t="shared" ca="1" si="29"/>
        <v>0.3690566037735849</v>
      </c>
      <c r="E104" s="56">
        <f t="shared" ca="1" si="30"/>
        <v>16300</v>
      </c>
      <c r="F104" s="65">
        <f t="shared" ca="1" si="31"/>
        <v>0.12301886792452831</v>
      </c>
      <c r="G104" s="59">
        <f t="shared" ca="1" si="20"/>
        <v>12300</v>
      </c>
      <c r="H104" s="64">
        <f t="shared" ca="1" si="21"/>
        <v>9.2830188679245279E-2</v>
      </c>
      <c r="I104" s="60">
        <f t="shared" ca="1" si="22"/>
        <v>9.4495412844036792</v>
      </c>
      <c r="J104" s="63">
        <f t="shared" ca="1" si="23"/>
        <v>17600</v>
      </c>
      <c r="K104" s="64">
        <f t="shared" ca="1" si="24"/>
        <v>0.12154696132596685</v>
      </c>
      <c r="L104" s="62">
        <f t="shared" ca="1" si="25"/>
        <v>16.146788990825684</v>
      </c>
      <c r="M104" s="63">
        <f t="shared" ca="1" si="26"/>
        <v>19000</v>
      </c>
      <c r="N104" s="64">
        <f t="shared" ca="1" si="27"/>
        <v>0.11699507389162561</v>
      </c>
      <c r="O104" s="62">
        <f t="shared" ca="1" si="28"/>
        <v>17.431192660550451</v>
      </c>
    </row>
    <row r="105" spans="1:15" x14ac:dyDescent="0.45">
      <c r="A105" s="54" t="str">
        <f>IF(ISBLANK(Data!C105),"",Data!C105)</f>
        <v>2960 Barnwood Xing, Duluth, GA 30097</v>
      </c>
      <c r="B105" s="50">
        <f>IFERROR(MATCH($A105,Data!$C:$C,0),"")</f>
        <v>105</v>
      </c>
      <c r="C105" s="55">
        <f t="shared" ca="1" si="19"/>
        <v>9500</v>
      </c>
      <c r="D105" s="64">
        <f t="shared" ca="1" si="29"/>
        <v>5.7401812688821753E-2</v>
      </c>
      <c r="E105" s="56">
        <f t="shared" ca="1" si="30"/>
        <v>3166.6666666666665</v>
      </c>
      <c r="F105" s="65">
        <f t="shared" ca="1" si="31"/>
        <v>1.9133937562940583E-2</v>
      </c>
      <c r="G105" s="59">
        <f t="shared" ca="1" si="20"/>
        <v>14600</v>
      </c>
      <c r="H105" s="64">
        <f t="shared" ca="1" si="21"/>
        <v>8.821752265861027E-2</v>
      </c>
      <c r="I105" s="60">
        <f t="shared" ca="1" si="22"/>
        <v>10.194174757281544</v>
      </c>
      <c r="J105" s="63">
        <f t="shared" ca="1" si="23"/>
        <v>23000</v>
      </c>
      <c r="K105" s="64">
        <f t="shared" ca="1" si="24"/>
        <v>0.12770682953914492</v>
      </c>
      <c r="L105" s="62">
        <f t="shared" ca="1" si="25"/>
        <v>18.608414239482201</v>
      </c>
      <c r="M105" s="63">
        <f t="shared" ca="1" si="26"/>
        <v>-28100</v>
      </c>
      <c r="N105" s="64">
        <f t="shared" ca="1" si="27"/>
        <v>-0.13835548990645002</v>
      </c>
      <c r="O105" s="62">
        <f t="shared" ca="1" si="28"/>
        <v>-22.734627831715201</v>
      </c>
    </row>
    <row r="106" spans="1:15" x14ac:dyDescent="0.45">
      <c r="A106" s="54" t="str">
        <f>IF(ISBLANK(Data!C106),"",Data!C106)</f>
        <v>2970 Barnwood Xing, Duluth, GA 30097</v>
      </c>
      <c r="B106" s="50">
        <f>IFERROR(MATCH($A106,Data!$C:$C,0),"")</f>
        <v>106</v>
      </c>
      <c r="C106" s="55">
        <f t="shared" ca="1" si="19"/>
        <v>51600</v>
      </c>
      <c r="D106" s="64">
        <f t="shared" ca="1" si="29"/>
        <v>0.38450074515648286</v>
      </c>
      <c r="E106" s="56">
        <f t="shared" ca="1" si="30"/>
        <v>17200</v>
      </c>
      <c r="F106" s="65">
        <f t="shared" ca="1" si="31"/>
        <v>0.12816691505216096</v>
      </c>
      <c r="G106" s="59">
        <f t="shared" ca="1" si="20"/>
        <v>11800</v>
      </c>
      <c r="H106" s="64">
        <f t="shared" ca="1" si="21"/>
        <v>8.792846497764531E-2</v>
      </c>
      <c r="I106" s="60">
        <f t="shared" ca="1" si="22"/>
        <v>8.2630691399662766</v>
      </c>
      <c r="J106" s="63">
        <f t="shared" ca="1" si="23"/>
        <v>17800</v>
      </c>
      <c r="K106" s="64">
        <f t="shared" ca="1" si="24"/>
        <v>0.12191780821917808</v>
      </c>
      <c r="L106" s="62">
        <f t="shared" ca="1" si="25"/>
        <v>15.008431703204053</v>
      </c>
      <c r="M106" s="63">
        <f t="shared" ca="1" si="26"/>
        <v>22000</v>
      </c>
      <c r="N106" s="64">
        <f t="shared" ca="1" si="27"/>
        <v>0.1343101343101343</v>
      </c>
      <c r="O106" s="62">
        <f t="shared" ca="1" si="28"/>
        <v>18.549747048903882</v>
      </c>
    </row>
    <row r="107" spans="1:15" x14ac:dyDescent="0.45">
      <c r="A107" s="54" t="str">
        <f>IF(ISBLANK(Data!C107),"",Data!C107)</f>
        <v>2980 Barnwood Xing, Duluth, GA 30097</v>
      </c>
      <c r="B107" s="50">
        <f>IFERROR(MATCH($A107,Data!$C:$C,0),"")</f>
        <v>107</v>
      </c>
      <c r="C107" s="55">
        <f t="shared" ca="1" si="19"/>
        <v>44100</v>
      </c>
      <c r="D107" s="64">
        <f t="shared" ca="1" si="29"/>
        <v>0.35139442231075696</v>
      </c>
      <c r="E107" s="56">
        <f t="shared" ca="1" si="30"/>
        <v>14700</v>
      </c>
      <c r="F107" s="65">
        <f t="shared" ca="1" si="31"/>
        <v>0.11713147410358565</v>
      </c>
      <c r="G107" s="59">
        <f t="shared" ca="1" si="20"/>
        <v>10900</v>
      </c>
      <c r="H107" s="64">
        <f t="shared" ca="1" si="21"/>
        <v>8.6852589641434261E-2</v>
      </c>
      <c r="I107" s="60">
        <f t="shared" ca="1" si="22"/>
        <v>9.4080338266384729</v>
      </c>
      <c r="J107" s="63">
        <f t="shared" ca="1" si="23"/>
        <v>16400</v>
      </c>
      <c r="K107" s="64">
        <f t="shared" ca="1" si="24"/>
        <v>0.12023460410557185</v>
      </c>
      <c r="L107" s="62">
        <f t="shared" ca="1" si="25"/>
        <v>17.336152219873156</v>
      </c>
      <c r="M107" s="63">
        <f t="shared" ca="1" si="26"/>
        <v>16800</v>
      </c>
      <c r="N107" s="64">
        <f t="shared" ca="1" si="27"/>
        <v>0.1099476439790576</v>
      </c>
      <c r="O107" s="62">
        <f t="shared" ca="1" si="28"/>
        <v>17.758985200845672</v>
      </c>
    </row>
    <row r="108" spans="1:15" x14ac:dyDescent="0.45">
      <c r="A108" s="54" t="str">
        <f>IF(ISBLANK(Data!C108),"",Data!C108)</f>
        <v>2990 Barnwood Xing, Duluth, GA 30097</v>
      </c>
      <c r="B108" s="50">
        <f>IFERROR(MATCH($A108,Data!$C:$C,0),"")</f>
        <v>108</v>
      </c>
      <c r="C108" s="55">
        <f t="shared" ca="1" si="19"/>
        <v>53700</v>
      </c>
      <c r="D108" s="64">
        <f t="shared" ca="1" si="29"/>
        <v>0.33773584905660375</v>
      </c>
      <c r="E108" s="56">
        <f t="shared" ca="1" si="30"/>
        <v>17900</v>
      </c>
      <c r="F108" s="65">
        <f t="shared" ca="1" si="31"/>
        <v>0.11257861635220126</v>
      </c>
      <c r="G108" s="59">
        <f t="shared" ca="1" si="20"/>
        <v>14000</v>
      </c>
      <c r="H108" s="64">
        <f t="shared" ca="1" si="21"/>
        <v>8.8050314465408799E-2</v>
      </c>
      <c r="I108" s="60">
        <f t="shared" ca="1" si="22"/>
        <v>9.5541401273885356</v>
      </c>
      <c r="J108" s="63">
        <f t="shared" ca="1" si="23"/>
        <v>-10000</v>
      </c>
      <c r="K108" s="64">
        <f t="shared" ca="1" si="24"/>
        <v>-5.7803468208092484E-2</v>
      </c>
      <c r="L108" s="62">
        <f t="shared" ca="1" si="25"/>
        <v>-7.9617834394904463</v>
      </c>
      <c r="M108" s="63">
        <f t="shared" ca="1" si="26"/>
        <v>49700</v>
      </c>
      <c r="N108" s="64">
        <f t="shared" ca="1" si="27"/>
        <v>0.30490797546012272</v>
      </c>
      <c r="O108" s="62">
        <f t="shared" ca="1" si="28"/>
        <v>39.570063694267503</v>
      </c>
    </row>
    <row r="109" spans="1:15" x14ac:dyDescent="0.45">
      <c r="A109" s="54" t="str">
        <f>IF(ISBLANK(Data!C109),"",Data!C109)</f>
        <v>3000 Barnwood Xing, Duluth, GA 30097</v>
      </c>
      <c r="B109" s="50">
        <f>IFERROR(MATCH($A109,Data!$C:$C,0),"")</f>
        <v>109</v>
      </c>
      <c r="C109" s="55">
        <f t="shared" ca="1" si="19"/>
        <v>48400</v>
      </c>
      <c r="D109" s="64">
        <f t="shared" ca="1" si="29"/>
        <v>0.36473247927656366</v>
      </c>
      <c r="E109" s="56">
        <f t="shared" ca="1" si="30"/>
        <v>16133.333333333334</v>
      </c>
      <c r="F109" s="65">
        <f t="shared" ca="1" si="31"/>
        <v>0.12157749309218789</v>
      </c>
      <c r="G109" s="59">
        <f t="shared" ca="1" si="20"/>
        <v>11600</v>
      </c>
      <c r="H109" s="64">
        <f t="shared" ca="1" si="21"/>
        <v>8.7415222305953277E-2</v>
      </c>
      <c r="I109" s="60">
        <f t="shared" ca="1" si="22"/>
        <v>8.8073394495412884</v>
      </c>
      <c r="J109" s="63">
        <f t="shared" ca="1" si="23"/>
        <v>17500</v>
      </c>
      <c r="K109" s="64">
        <f t="shared" ca="1" si="24"/>
        <v>0.12127512127512127</v>
      </c>
      <c r="L109" s="62">
        <f t="shared" ca="1" si="25"/>
        <v>16.055045871559628</v>
      </c>
      <c r="M109" s="63">
        <f t="shared" ca="1" si="26"/>
        <v>19300</v>
      </c>
      <c r="N109" s="64">
        <f t="shared" ca="1" si="27"/>
        <v>0.11928306551297899</v>
      </c>
      <c r="O109" s="62">
        <f t="shared" ca="1" si="28"/>
        <v>17.706422018348619</v>
      </c>
    </row>
    <row r="110" spans="1:15" x14ac:dyDescent="0.45">
      <c r="A110" s="54" t="str">
        <f>IF(ISBLANK(Data!C110),"",Data!C110)</f>
        <v>3005 Barnwood Xing, Duluth, GA 30097</v>
      </c>
      <c r="B110" s="50">
        <f>IFERROR(MATCH($A110,Data!$C:$C,0),"")</f>
        <v>110</v>
      </c>
      <c r="C110" s="55">
        <f t="shared" ca="1" si="19"/>
        <v>54300</v>
      </c>
      <c r="D110" s="64">
        <f t="shared" ca="1" si="29"/>
        <v>0.34150943396226413</v>
      </c>
      <c r="E110" s="56">
        <f t="shared" ca="1" si="30"/>
        <v>18100</v>
      </c>
      <c r="F110" s="65">
        <f t="shared" ca="1" si="31"/>
        <v>0.11383647798742139</v>
      </c>
      <c r="G110" s="59">
        <f t="shared" ca="1" si="20"/>
        <v>14600</v>
      </c>
      <c r="H110" s="64">
        <f t="shared" ca="1" si="21"/>
        <v>9.1823899371069176E-2</v>
      </c>
      <c r="I110" s="60">
        <f t="shared" ca="1" si="22"/>
        <v>-12.261146496815286</v>
      </c>
      <c r="J110" s="63">
        <f t="shared" ca="1" si="23"/>
        <v>22000</v>
      </c>
      <c r="K110" s="64">
        <f t="shared" ca="1" si="24"/>
        <v>0.12672811059907835</v>
      </c>
      <c r="L110" s="62">
        <f t="shared" ca="1" si="25"/>
        <v>17.515923566878982</v>
      </c>
      <c r="M110" s="63">
        <f t="shared" ca="1" si="26"/>
        <v>17700</v>
      </c>
      <c r="N110" s="64">
        <f t="shared" ca="1" si="27"/>
        <v>9.0490797546012275E-2</v>
      </c>
      <c r="O110" s="62">
        <f t="shared" ca="1" si="28"/>
        <v>14.092356687898075</v>
      </c>
    </row>
    <row r="111" spans="1:15" x14ac:dyDescent="0.45">
      <c r="A111" s="54" t="str">
        <f>IF(ISBLANK(Data!C111),"",Data!C111)</f>
        <v>3010 Barnwood Xing, Duluth, GA 30097</v>
      </c>
      <c r="B111" s="50">
        <f>IFERROR(MATCH($A111,Data!$C:$C,0),"")</f>
        <v>111</v>
      </c>
      <c r="C111" s="55">
        <f t="shared" ca="1" si="19"/>
        <v>53700</v>
      </c>
      <c r="D111" s="64">
        <f t="shared" ca="1" si="29"/>
        <v>0.33773584905660375</v>
      </c>
      <c r="E111" s="56">
        <f t="shared" ca="1" si="30"/>
        <v>17900</v>
      </c>
      <c r="F111" s="65">
        <f t="shared" ca="1" si="31"/>
        <v>0.11257861635220126</v>
      </c>
      <c r="G111" s="59">
        <f t="shared" ca="1" si="20"/>
        <v>14000</v>
      </c>
      <c r="H111" s="64">
        <f t="shared" ca="1" si="21"/>
        <v>8.8050314465408799E-2</v>
      </c>
      <c r="I111" s="60">
        <f t="shared" ca="1" si="22"/>
        <v>9.5541401273885356</v>
      </c>
      <c r="J111" s="63">
        <f t="shared" ca="1" si="23"/>
        <v>22500</v>
      </c>
      <c r="K111" s="64">
        <f t="shared" ca="1" si="24"/>
        <v>0.13005780346820808</v>
      </c>
      <c r="L111" s="62">
        <f t="shared" ca="1" si="25"/>
        <v>17.914012738853515</v>
      </c>
      <c r="M111" s="63">
        <f t="shared" ca="1" si="26"/>
        <v>17200</v>
      </c>
      <c r="N111" s="64">
        <f t="shared" ca="1" si="27"/>
        <v>8.797953964194373E-2</v>
      </c>
      <c r="O111" s="62">
        <f t="shared" ca="1" si="28"/>
        <v>13.694267515923542</v>
      </c>
    </row>
    <row r="112" spans="1:15" x14ac:dyDescent="0.45">
      <c r="A112" s="54" t="str">
        <f>IF(ISBLANK(Data!C112),"",Data!C112)</f>
        <v>3015 Barnwood Xing, Duluth, GA 30097</v>
      </c>
      <c r="B112" s="50">
        <f>IFERROR(MATCH($A112,Data!$C:$C,0),"")</f>
        <v>112</v>
      </c>
      <c r="C112" s="55">
        <f t="shared" ca="1" si="19"/>
        <v>42900</v>
      </c>
      <c r="D112" s="64">
        <f t="shared" ca="1" si="29"/>
        <v>0.34624697336561744</v>
      </c>
      <c r="E112" s="56">
        <f t="shared" ca="1" si="30"/>
        <v>14300</v>
      </c>
      <c r="F112" s="65">
        <f t="shared" ca="1" si="31"/>
        <v>0.11541565778853914</v>
      </c>
      <c r="G112" s="59">
        <f t="shared" ca="1" si="20"/>
        <v>10800</v>
      </c>
      <c r="H112" s="64">
        <f t="shared" ca="1" si="21"/>
        <v>8.7167070217917669E-2</v>
      </c>
      <c r="I112" s="60">
        <f t="shared" ca="1" si="22"/>
        <v>9.9099099099099135</v>
      </c>
      <c r="J112" s="63">
        <f t="shared" ca="1" si="23"/>
        <v>16000</v>
      </c>
      <c r="K112" s="64">
        <f t="shared" ca="1" si="24"/>
        <v>0.11878247958426132</v>
      </c>
      <c r="L112" s="62">
        <f t="shared" ca="1" si="25"/>
        <v>18.018018018018026</v>
      </c>
      <c r="M112" s="63">
        <f t="shared" ca="1" si="26"/>
        <v>16100</v>
      </c>
      <c r="N112" s="64">
        <f t="shared" ca="1" si="27"/>
        <v>0.10683477106834771</v>
      </c>
      <c r="O112" s="62">
        <f t="shared" ca="1" si="28"/>
        <v>18.130630630630634</v>
      </c>
    </row>
    <row r="113" spans="1:15" x14ac:dyDescent="0.45">
      <c r="A113" s="54" t="str">
        <f>IF(ISBLANK(Data!C113),"",Data!C113)</f>
        <v>3020 Barnwood Xing, Duluth, GA 30097</v>
      </c>
      <c r="B113" s="50">
        <f>IFERROR(MATCH($A113,Data!$C:$C,0),"")</f>
        <v>113</v>
      </c>
      <c r="C113" s="55">
        <f t="shared" ca="1" si="19"/>
        <v>46700</v>
      </c>
      <c r="D113" s="64">
        <f t="shared" ca="1" si="29"/>
        <v>0.3564885496183206</v>
      </c>
      <c r="E113" s="56">
        <f t="shared" ca="1" si="30"/>
        <v>15566.666666666666</v>
      </c>
      <c r="F113" s="65">
        <f t="shared" ca="1" si="31"/>
        <v>0.1188295165394402</v>
      </c>
      <c r="G113" s="59">
        <f t="shared" ca="1" si="20"/>
        <v>11400</v>
      </c>
      <c r="H113" s="64">
        <f t="shared" ca="1" si="21"/>
        <v>8.7022900763358779E-2</v>
      </c>
      <c r="I113" s="60">
        <f t="shared" ca="1" si="22"/>
        <v>9.680741503604537</v>
      </c>
      <c r="J113" s="63">
        <f t="shared" ca="1" si="23"/>
        <v>17300</v>
      </c>
      <c r="K113" s="64">
        <f t="shared" ca="1" si="24"/>
        <v>0.12148876404494383</v>
      </c>
      <c r="L113" s="62">
        <f t="shared" ca="1" si="25"/>
        <v>17.816683831101955</v>
      </c>
      <c r="M113" s="63">
        <f t="shared" ca="1" si="26"/>
        <v>18000</v>
      </c>
      <c r="N113" s="64">
        <f t="shared" ca="1" si="27"/>
        <v>0.11271133375078271</v>
      </c>
      <c r="O113" s="62">
        <f t="shared" ca="1" si="28"/>
        <v>18.537590113285262</v>
      </c>
    </row>
    <row r="114" spans="1:15" x14ac:dyDescent="0.45">
      <c r="A114" s="54" t="str">
        <f>IF(ISBLANK(Data!C114),"",Data!C114)</f>
        <v>3025 Barnwood Xing, Duluth, GA 30097</v>
      </c>
      <c r="B114" s="50">
        <f>IFERROR(MATCH($A114,Data!$C:$C,0),"")</f>
        <v>114</v>
      </c>
      <c r="C114" s="55">
        <f t="shared" ca="1" si="19"/>
        <v>66400</v>
      </c>
      <c r="D114" s="64">
        <f t="shared" ca="1" si="29"/>
        <v>0.47394718058529622</v>
      </c>
      <c r="E114" s="56">
        <f t="shared" ca="1" si="30"/>
        <v>22133.333333333332</v>
      </c>
      <c r="F114" s="65">
        <f t="shared" ca="1" si="31"/>
        <v>0.15798239352843207</v>
      </c>
      <c r="G114" s="59">
        <f t="shared" ca="1" si="20"/>
        <v>32000</v>
      </c>
      <c r="H114" s="64">
        <f t="shared" ca="1" si="21"/>
        <v>0.22840827980014275</v>
      </c>
      <c r="I114" s="60">
        <f t="shared" ca="1" si="22"/>
        <v>20.801232665639446</v>
      </c>
      <c r="J114" s="63">
        <f t="shared" ca="1" si="23"/>
        <v>21900</v>
      </c>
      <c r="K114" s="64">
        <f t="shared" ca="1" si="24"/>
        <v>0.1272515979081929</v>
      </c>
      <c r="L114" s="62">
        <f t="shared" ca="1" si="25"/>
        <v>16.872110939907543</v>
      </c>
      <c r="M114" s="63">
        <f t="shared" ca="1" si="26"/>
        <v>12500</v>
      </c>
      <c r="N114" s="64">
        <f t="shared" ca="1" si="27"/>
        <v>6.4432989690721643E-2</v>
      </c>
      <c r="O114" s="62">
        <f t="shared" ca="1" si="28"/>
        <v>9.6302003081664083</v>
      </c>
    </row>
    <row r="115" spans="1:15" x14ac:dyDescent="0.45">
      <c r="A115" s="54" t="str">
        <f>IF(ISBLANK(Data!C115),"",Data!C115)</f>
        <v>3030 Barnwood Xing, Duluth, GA 30097</v>
      </c>
      <c r="B115" s="50">
        <f>IFERROR(MATCH($A115,Data!$C:$C,0),"")</f>
        <v>115</v>
      </c>
      <c r="C115" s="55">
        <f t="shared" ca="1" si="19"/>
        <v>57300</v>
      </c>
      <c r="D115" s="64">
        <f t="shared" ca="1" si="29"/>
        <v>0.33607038123167154</v>
      </c>
      <c r="E115" s="56">
        <f t="shared" ca="1" si="30"/>
        <v>19100</v>
      </c>
      <c r="F115" s="65">
        <f t="shared" ca="1" si="31"/>
        <v>0.11202346041055719</v>
      </c>
      <c r="G115" s="59">
        <f t="shared" ca="1" si="20"/>
        <v>17000</v>
      </c>
      <c r="H115" s="64">
        <f t="shared" ca="1" si="21"/>
        <v>9.9706744868035185E-2</v>
      </c>
      <c r="I115" s="60">
        <f t="shared" ca="1" si="22"/>
        <v>10.416666666666671</v>
      </c>
      <c r="J115" s="63">
        <f t="shared" ca="1" si="23"/>
        <v>24300</v>
      </c>
      <c r="K115" s="64">
        <f t="shared" ca="1" si="24"/>
        <v>0.12959999999999999</v>
      </c>
      <c r="L115" s="62">
        <f t="shared" ca="1" si="25"/>
        <v>16.875</v>
      </c>
      <c r="M115" s="63">
        <f t="shared" ca="1" si="26"/>
        <v>16000</v>
      </c>
      <c r="N115" s="64">
        <f t="shared" ca="1" si="27"/>
        <v>7.5542965061378656E-2</v>
      </c>
      <c r="O115" s="62">
        <f t="shared" ca="1" si="28"/>
        <v>11.111111111111114</v>
      </c>
    </row>
    <row r="116" spans="1:15" x14ac:dyDescent="0.45">
      <c r="A116" s="54" t="str">
        <f>IF(ISBLANK(Data!C116),"",Data!C116)</f>
        <v>3035 Barnwood Xing, Duluth, GA 30097</v>
      </c>
      <c r="B116" s="50">
        <f>IFERROR(MATCH($A116,Data!$C:$C,0),"")</f>
        <v>116</v>
      </c>
      <c r="C116" s="55">
        <f t="shared" ca="1" si="19"/>
        <v>71200</v>
      </c>
      <c r="D116" s="64">
        <f t="shared" ca="1" si="29"/>
        <v>0.57886178861788617</v>
      </c>
      <c r="E116" s="56">
        <f t="shared" ca="1" si="30"/>
        <v>23733.333333333332</v>
      </c>
      <c r="F116" s="65">
        <f t="shared" ca="1" si="31"/>
        <v>0.19295392953929538</v>
      </c>
      <c r="G116" s="59">
        <f t="shared" ca="1" si="20"/>
        <v>32000</v>
      </c>
      <c r="H116" s="64">
        <f t="shared" ca="1" si="21"/>
        <v>0.26016260162601629</v>
      </c>
      <c r="I116" s="60">
        <f t="shared" ca="1" si="22"/>
        <v>25.510204081632651</v>
      </c>
      <c r="J116" s="63">
        <f t="shared" ca="1" si="23"/>
        <v>19300</v>
      </c>
      <c r="K116" s="64">
        <f t="shared" ca="1" si="24"/>
        <v>0.12451612903225806</v>
      </c>
      <c r="L116" s="62">
        <f t="shared" ca="1" si="25"/>
        <v>16.411564625850332</v>
      </c>
      <c r="M116" s="63">
        <f t="shared" ca="1" si="26"/>
        <v>19900</v>
      </c>
      <c r="N116" s="64">
        <f t="shared" ca="1" si="27"/>
        <v>0.11417096959265634</v>
      </c>
      <c r="O116" s="62">
        <f t="shared" ca="1" si="28"/>
        <v>16.921768707482997</v>
      </c>
    </row>
    <row r="117" spans="1:15" x14ac:dyDescent="0.45">
      <c r="A117" s="54" t="str">
        <f>IF(ISBLANK(Data!C117),"",Data!C117)</f>
        <v>3040 Barnwood Xing, Duluth, GA 30097</v>
      </c>
      <c r="B117" s="50">
        <f>IFERROR(MATCH($A117,Data!$C:$C,0),"")</f>
        <v>117</v>
      </c>
      <c r="C117" s="55">
        <f t="shared" ca="1" si="19"/>
        <v>48700</v>
      </c>
      <c r="D117" s="64">
        <f t="shared" ca="1" si="29"/>
        <v>0.35264301230992035</v>
      </c>
      <c r="E117" s="56">
        <f t="shared" ca="1" si="30"/>
        <v>16233.333333333334</v>
      </c>
      <c r="F117" s="65">
        <f t="shared" ca="1" si="31"/>
        <v>0.11754767076997345</v>
      </c>
      <c r="G117" s="59">
        <f t="shared" ca="1" si="20"/>
        <v>11200</v>
      </c>
      <c r="H117" s="64">
        <f t="shared" ca="1" si="21"/>
        <v>8.1100651701665458E-2</v>
      </c>
      <c r="I117" s="60">
        <f t="shared" ca="1" si="22"/>
        <v>9.474768280123584</v>
      </c>
      <c r="J117" s="63">
        <f t="shared" ca="1" si="23"/>
        <v>16700</v>
      </c>
      <c r="K117" s="64">
        <f t="shared" ca="1" si="24"/>
        <v>0.11185532484929672</v>
      </c>
      <c r="L117" s="62">
        <f t="shared" ca="1" si="25"/>
        <v>17.19876416065911</v>
      </c>
      <c r="M117" s="63">
        <f t="shared" ca="1" si="26"/>
        <v>20800</v>
      </c>
      <c r="N117" s="64">
        <f t="shared" ca="1" si="27"/>
        <v>0.12530120481927712</v>
      </c>
      <c r="O117" s="62">
        <f t="shared" ca="1" si="28"/>
        <v>21.421215242018548</v>
      </c>
    </row>
    <row r="118" spans="1:15" x14ac:dyDescent="0.45">
      <c r="A118" s="54" t="str">
        <f>IF(ISBLANK(Data!C118),"",Data!C118)</f>
        <v>3045 Barnwood Xing, Duluth, GA 30097</v>
      </c>
      <c r="B118" s="50">
        <f>IFERROR(MATCH($A118,Data!$C:$C,0),"")</f>
        <v>118</v>
      </c>
      <c r="C118" s="55">
        <f t="shared" ca="1" si="19"/>
        <v>38100</v>
      </c>
      <c r="D118" s="64">
        <f t="shared" ca="1" si="29"/>
        <v>0.32453151618398635</v>
      </c>
      <c r="E118" s="56">
        <f t="shared" ca="1" si="30"/>
        <v>12700</v>
      </c>
      <c r="F118" s="65">
        <f t="shared" ca="1" si="31"/>
        <v>0.10817717206132879</v>
      </c>
      <c r="G118" s="59">
        <f t="shared" ca="1" si="20"/>
        <v>11500</v>
      </c>
      <c r="H118" s="64">
        <f t="shared" ca="1" si="21"/>
        <v>9.7955706984667809E-2</v>
      </c>
      <c r="I118" s="60">
        <f t="shared" ca="1" si="22"/>
        <v>10.698198198198199</v>
      </c>
      <c r="J118" s="63">
        <f t="shared" ca="1" si="23"/>
        <v>15200</v>
      </c>
      <c r="K118" s="64">
        <f t="shared" ca="1" si="24"/>
        <v>0.11792086889061287</v>
      </c>
      <c r="L118" s="62">
        <f t="shared" ca="1" si="25"/>
        <v>17.117117117117104</v>
      </c>
      <c r="M118" s="63">
        <f t="shared" ca="1" si="26"/>
        <v>11400</v>
      </c>
      <c r="N118" s="64">
        <f t="shared" ca="1" si="27"/>
        <v>7.9111727966689804E-2</v>
      </c>
      <c r="O118" s="62">
        <f t="shared" ca="1" si="28"/>
        <v>12.837837837837839</v>
      </c>
    </row>
    <row r="119" spans="1:15" x14ac:dyDescent="0.45">
      <c r="A119" s="54" t="str">
        <f>IF(ISBLANK(Data!C119),"",Data!C119)</f>
        <v>3050 Barnwood Xing, Duluth, GA 30097</v>
      </c>
      <c r="B119" s="50">
        <f>IFERROR(MATCH($A119,Data!$C:$C,0),"")</f>
        <v>119</v>
      </c>
      <c r="C119" s="55">
        <f t="shared" ca="1" si="19"/>
        <v>49800</v>
      </c>
      <c r="D119" s="64">
        <f t="shared" ca="1" si="29"/>
        <v>0.36807095343680707</v>
      </c>
      <c r="E119" s="56">
        <f t="shared" ca="1" si="30"/>
        <v>16600</v>
      </c>
      <c r="F119" s="65">
        <f t="shared" ca="1" si="31"/>
        <v>0.12269031781226904</v>
      </c>
      <c r="G119" s="59">
        <f t="shared" ca="1" si="20"/>
        <v>11900</v>
      </c>
      <c r="H119" s="64">
        <f t="shared" ca="1" si="21"/>
        <v>8.7952697708795269E-2</v>
      </c>
      <c r="I119" s="60">
        <f t="shared" ca="1" si="22"/>
        <v>8.8156723063223552</v>
      </c>
      <c r="J119" s="63">
        <f t="shared" ca="1" si="23"/>
        <v>7800</v>
      </c>
      <c r="K119" s="64">
        <f t="shared" ca="1" si="24"/>
        <v>5.2989130434782608E-2</v>
      </c>
      <c r="L119" s="62">
        <f t="shared" ca="1" si="25"/>
        <v>6.945681211041844</v>
      </c>
      <c r="M119" s="63">
        <f t="shared" ca="1" si="26"/>
        <v>30100</v>
      </c>
      <c r="N119" s="64">
        <f t="shared" ca="1" si="27"/>
        <v>0.19419354838709676</v>
      </c>
      <c r="O119" s="62">
        <f t="shared" ca="1" si="28"/>
        <v>26.803205699020481</v>
      </c>
    </row>
    <row r="120" spans="1:15" x14ac:dyDescent="0.45">
      <c r="A120" s="54" t="str">
        <f>IF(ISBLANK(Data!C120),"",Data!C120)</f>
        <v>3055 Barnwood Xing, Duluth, GA 30097</v>
      </c>
      <c r="B120" s="50">
        <f>IFERROR(MATCH($A120,Data!$C:$C,0),"")</f>
        <v>120</v>
      </c>
      <c r="C120" s="55">
        <f t="shared" ca="1" si="19"/>
        <v>53100</v>
      </c>
      <c r="D120" s="64">
        <f t="shared" ca="1" si="29"/>
        <v>0.33312421580928481</v>
      </c>
      <c r="E120" s="56">
        <f t="shared" ca="1" si="30"/>
        <v>17700</v>
      </c>
      <c r="F120" s="65">
        <f t="shared" ca="1" si="31"/>
        <v>0.11104140526976161</v>
      </c>
      <c r="G120" s="59">
        <f t="shared" ca="1" si="20"/>
        <v>15900</v>
      </c>
      <c r="H120" s="64">
        <f t="shared" ca="1" si="21"/>
        <v>9.974905897114178E-2</v>
      </c>
      <c r="I120" s="60">
        <f t="shared" ca="1" si="22"/>
        <v>11.137820512820525</v>
      </c>
      <c r="J120" s="63">
        <f t="shared" ca="1" si="23"/>
        <v>22300</v>
      </c>
      <c r="K120" s="64">
        <f t="shared" ca="1" si="24"/>
        <v>0.12721049629207073</v>
      </c>
      <c r="L120" s="62">
        <f t="shared" ca="1" si="25"/>
        <v>17.868589743589737</v>
      </c>
      <c r="M120" s="63">
        <f t="shared" ca="1" si="26"/>
        <v>14900</v>
      </c>
      <c r="N120" s="64">
        <f t="shared" ca="1" si="27"/>
        <v>7.5404858299595146E-2</v>
      </c>
      <c r="O120" s="62">
        <f t="shared" ca="1" si="28"/>
        <v>11.939102564102569</v>
      </c>
    </row>
    <row r="121" spans="1:15" x14ac:dyDescent="0.45">
      <c r="A121" s="54" t="str">
        <f>IF(ISBLANK(Data!C121),"",Data!C121)</f>
        <v>3060 Barnwood Xing, Duluth, GA 30097</v>
      </c>
      <c r="B121" s="50">
        <f>IFERROR(MATCH($A121,Data!$C:$C,0),"")</f>
        <v>121</v>
      </c>
      <c r="C121" s="55">
        <f t="shared" ca="1" si="19"/>
        <v>44800</v>
      </c>
      <c r="D121" s="64">
        <f t="shared" ca="1" si="29"/>
        <v>0.34945397815912638</v>
      </c>
      <c r="E121" s="56">
        <f t="shared" ca="1" si="30"/>
        <v>14933.333333333334</v>
      </c>
      <c r="F121" s="65">
        <f t="shared" ca="1" si="31"/>
        <v>0.11648465938637546</v>
      </c>
      <c r="G121" s="59">
        <f t="shared" ca="1" si="20"/>
        <v>11200</v>
      </c>
      <c r="H121" s="64">
        <f t="shared" ca="1" si="21"/>
        <v>8.7363494539781594E-2</v>
      </c>
      <c r="I121" s="60">
        <f t="shared" ca="1" si="22"/>
        <v>9.474768280123584</v>
      </c>
      <c r="J121" s="63">
        <f t="shared" ca="1" si="23"/>
        <v>16800</v>
      </c>
      <c r="K121" s="64">
        <f t="shared" ca="1" si="24"/>
        <v>0.12051649928263988</v>
      </c>
      <c r="L121" s="62">
        <f t="shared" ca="1" si="25"/>
        <v>17.3017507723996</v>
      </c>
      <c r="M121" s="63">
        <f t="shared" ca="1" si="26"/>
        <v>16800</v>
      </c>
      <c r="N121" s="64">
        <f t="shared" ca="1" si="27"/>
        <v>0.10755441741357234</v>
      </c>
      <c r="O121" s="62">
        <f t="shared" ca="1" si="28"/>
        <v>17.301750772399572</v>
      </c>
    </row>
    <row r="122" spans="1:15" x14ac:dyDescent="0.45">
      <c r="A122" s="54" t="str">
        <f>IF(ISBLANK(Data!C122),"",Data!C122)</f>
        <v>3065 Barnwood Xing, Duluth, GA 30097</v>
      </c>
      <c r="B122" s="50">
        <f>IFERROR(MATCH($A122,Data!$C:$C,0),"")</f>
        <v>122</v>
      </c>
      <c r="C122" s="55">
        <f t="shared" ca="1" si="19"/>
        <v>41500</v>
      </c>
      <c r="D122" s="64">
        <f t="shared" ca="1" si="29"/>
        <v>0.35409556313993173</v>
      </c>
      <c r="E122" s="56">
        <f t="shared" ca="1" si="30"/>
        <v>13833.333333333334</v>
      </c>
      <c r="F122" s="65">
        <f t="shared" ca="1" si="31"/>
        <v>0.11803185437997725</v>
      </c>
      <c r="G122" s="59">
        <f t="shared" ca="1" si="20"/>
        <v>11400</v>
      </c>
      <c r="H122" s="64">
        <f t="shared" ca="1" si="21"/>
        <v>9.7269624573378843E-2</v>
      </c>
      <c r="I122" s="60">
        <f t="shared" ca="1" si="22"/>
        <v>11.244019138755974</v>
      </c>
      <c r="J122" s="63">
        <f t="shared" ca="1" si="23"/>
        <v>15200</v>
      </c>
      <c r="K122" s="64">
        <f t="shared" ca="1" si="24"/>
        <v>0.1181959564541213</v>
      </c>
      <c r="L122" s="62">
        <f t="shared" ca="1" si="25"/>
        <v>18.181818181818187</v>
      </c>
      <c r="M122" s="63">
        <f t="shared" ca="1" si="26"/>
        <v>14900</v>
      </c>
      <c r="N122" s="64">
        <f t="shared" ca="1" si="27"/>
        <v>0.10361613351877608</v>
      </c>
      <c r="O122" s="62">
        <f t="shared" ca="1" si="28"/>
        <v>17.822966507177028</v>
      </c>
    </row>
    <row r="123" spans="1:15" x14ac:dyDescent="0.45">
      <c r="A123" s="54" t="str">
        <f>IF(ISBLANK(Data!C123),"",Data!C123)</f>
        <v>3070 Barnwood Xing, Duluth, GA 30097</v>
      </c>
      <c r="B123" s="50">
        <f>IFERROR(MATCH($A123,Data!$C:$C,0),"")</f>
        <v>123</v>
      </c>
      <c r="C123" s="55">
        <f t="shared" ca="1" si="19"/>
        <v>43500</v>
      </c>
      <c r="D123" s="64">
        <f t="shared" ca="1" si="29"/>
        <v>0.34772182254196643</v>
      </c>
      <c r="E123" s="56">
        <f t="shared" ca="1" si="30"/>
        <v>14500</v>
      </c>
      <c r="F123" s="65">
        <f t="shared" ca="1" si="31"/>
        <v>0.11590727418065548</v>
      </c>
      <c r="G123" s="59">
        <f t="shared" ca="1" si="20"/>
        <v>12300</v>
      </c>
      <c r="H123" s="64">
        <f t="shared" ca="1" si="21"/>
        <v>9.8321342925659472E-2</v>
      </c>
      <c r="I123" s="60">
        <f t="shared" ca="1" si="22"/>
        <v>11.293859649122794</v>
      </c>
      <c r="J123" s="63">
        <f t="shared" ca="1" si="23"/>
        <v>16500</v>
      </c>
      <c r="K123" s="64">
        <f t="shared" ca="1" si="24"/>
        <v>0.12008733624454149</v>
      </c>
      <c r="L123" s="62">
        <f t="shared" ca="1" si="25"/>
        <v>18.092105263157904</v>
      </c>
      <c r="M123" s="63">
        <f t="shared" ca="1" si="26"/>
        <v>14700</v>
      </c>
      <c r="N123" s="64">
        <f t="shared" ca="1" si="27"/>
        <v>9.5516569200779722E-2</v>
      </c>
      <c r="O123" s="62">
        <f t="shared" ca="1" si="28"/>
        <v>16.118421052631589</v>
      </c>
    </row>
    <row r="124" spans="1:15" x14ac:dyDescent="0.45">
      <c r="A124" s="54" t="str">
        <f>IF(ISBLANK(Data!C124),"",Data!C124)</f>
        <v>3075 Barnwood Xing, Duluth, GA 30097</v>
      </c>
      <c r="B124" s="50">
        <f>IFERROR(MATCH($A124,Data!$C:$C,0),"")</f>
        <v>124</v>
      </c>
      <c r="C124" s="55">
        <f t="shared" ca="1" si="19"/>
        <v>44100</v>
      </c>
      <c r="D124" s="64">
        <f t="shared" ca="1" si="29"/>
        <v>0.35</v>
      </c>
      <c r="E124" s="56">
        <f t="shared" ca="1" si="30"/>
        <v>14700</v>
      </c>
      <c r="F124" s="65">
        <f t="shared" ca="1" si="31"/>
        <v>0.11666666666666667</v>
      </c>
      <c r="G124" s="59">
        <f t="shared" ca="1" si="20"/>
        <v>11000</v>
      </c>
      <c r="H124" s="64">
        <f t="shared" ca="1" si="21"/>
        <v>8.7301587301587297E-2</v>
      </c>
      <c r="I124" s="60">
        <f t="shared" ca="1" si="22"/>
        <v>9.8684210526315752</v>
      </c>
      <c r="J124" s="63">
        <f t="shared" ca="1" si="23"/>
        <v>16500</v>
      </c>
      <c r="K124" s="64">
        <f t="shared" ca="1" si="24"/>
        <v>0.12043795620437957</v>
      </c>
      <c r="L124" s="62">
        <f t="shared" ca="1" si="25"/>
        <v>18.09210526315789</v>
      </c>
      <c r="M124" s="63">
        <f t="shared" ca="1" si="26"/>
        <v>16600</v>
      </c>
      <c r="N124" s="64">
        <f t="shared" ca="1" si="27"/>
        <v>0.10814332247557003</v>
      </c>
      <c r="O124" s="62">
        <f t="shared" ca="1" si="28"/>
        <v>18.201754385964932</v>
      </c>
    </row>
    <row r="125" spans="1:15" x14ac:dyDescent="0.45">
      <c r="A125" s="54" t="str">
        <f>IF(ISBLANK(Data!C125),"",Data!C125)</f>
        <v>3080 Barnwood Xing, Duluth, GA 30097</v>
      </c>
      <c r="B125" s="50">
        <f>IFERROR(MATCH($A125,Data!$C:$C,0),"")</f>
        <v>125</v>
      </c>
      <c r="C125" s="55">
        <f t="shared" ca="1" si="19"/>
        <v>-11400</v>
      </c>
      <c r="D125" s="64">
        <f t="shared" ca="1" si="29"/>
        <v>-6.5366972477064217E-2</v>
      </c>
      <c r="E125" s="56">
        <f t="shared" ca="1" si="30"/>
        <v>-3800</v>
      </c>
      <c r="F125" s="65">
        <f t="shared" ca="1" si="31"/>
        <v>-2.1788990825688075E-2</v>
      </c>
      <c r="G125" s="59">
        <f t="shared" ca="1" si="20"/>
        <v>15500</v>
      </c>
      <c r="H125" s="64">
        <f t="shared" ca="1" si="21"/>
        <v>8.887614678899082E-2</v>
      </c>
      <c r="I125" s="60">
        <f t="shared" ca="1" si="22"/>
        <v>29.077540106951872</v>
      </c>
      <c r="J125" s="63">
        <f t="shared" ca="1" si="23"/>
        <v>24500</v>
      </c>
      <c r="K125" s="64">
        <f t="shared" ca="1" si="24"/>
        <v>0.12901527119536599</v>
      </c>
      <c r="L125" s="62">
        <f t="shared" ca="1" si="25"/>
        <v>-3.6764705882352899</v>
      </c>
      <c r="M125" s="63">
        <f t="shared" ca="1" si="26"/>
        <v>-51400</v>
      </c>
      <c r="N125" s="64">
        <f t="shared" ca="1" si="27"/>
        <v>-0.23973880597014927</v>
      </c>
      <c r="O125" s="62">
        <f t="shared" ca="1" si="28"/>
        <v>-34.358288770053477</v>
      </c>
    </row>
    <row r="126" spans="1:15" x14ac:dyDescent="0.45">
      <c r="A126" s="54" t="str">
        <f>IF(ISBLANK(Data!C126),"",Data!C126)</f>
        <v>3085 Barnwood Xing, Duluth, GA 30097</v>
      </c>
      <c r="B126" s="50">
        <f>IFERROR(MATCH($A126,Data!$C:$C,0),"")</f>
        <v>126</v>
      </c>
      <c r="C126" s="55">
        <f t="shared" ca="1" si="19"/>
        <v>45800</v>
      </c>
      <c r="D126" s="64">
        <f t="shared" ca="1" si="29"/>
        <v>0.35149654643131234</v>
      </c>
      <c r="E126" s="56">
        <f t="shared" ca="1" si="30"/>
        <v>15266.666666666666</v>
      </c>
      <c r="F126" s="65">
        <f t="shared" ca="1" si="31"/>
        <v>0.11716551547710412</v>
      </c>
      <c r="G126" s="59">
        <f t="shared" ca="1" si="20"/>
        <v>12700</v>
      </c>
      <c r="H126" s="64">
        <f t="shared" ca="1" si="21"/>
        <v>9.7467382962394475E-2</v>
      </c>
      <c r="I126" s="60">
        <f t="shared" ca="1" si="22"/>
        <v>10.678642714570856</v>
      </c>
      <c r="J126" s="63">
        <f t="shared" ca="1" si="23"/>
        <v>17300</v>
      </c>
      <c r="K126" s="64">
        <f t="shared" ca="1" si="24"/>
        <v>0.12097902097902098</v>
      </c>
      <c r="L126" s="62">
        <f t="shared" ca="1" si="25"/>
        <v>17.265469061876246</v>
      </c>
      <c r="M126" s="63">
        <f t="shared" ca="1" si="26"/>
        <v>15800</v>
      </c>
      <c r="N126" s="64">
        <f t="shared" ca="1" si="27"/>
        <v>9.8565190268247033E-2</v>
      </c>
      <c r="O126" s="62">
        <f t="shared" ca="1" si="28"/>
        <v>15.768463073852303</v>
      </c>
    </row>
    <row r="127" spans="1:15" x14ac:dyDescent="0.45">
      <c r="A127" s="54" t="str">
        <f>IF(ISBLANK(Data!C127),"",Data!C127)</f>
        <v>3090 Barnwood Xing, Duluth, GA 30097</v>
      </c>
      <c r="B127" s="50">
        <f>IFERROR(MATCH($A127,Data!$C:$C,0),"")</f>
        <v>127</v>
      </c>
      <c r="C127" s="55">
        <f t="shared" ca="1" si="19"/>
        <v>43600</v>
      </c>
      <c r="D127" s="64">
        <f t="shared" ca="1" si="29"/>
        <v>0.34741035856573704</v>
      </c>
      <c r="E127" s="56">
        <f t="shared" ca="1" si="30"/>
        <v>14533.333333333334</v>
      </c>
      <c r="F127" s="65">
        <f t="shared" ca="1" si="31"/>
        <v>0.11580345285524569</v>
      </c>
      <c r="G127" s="59">
        <f t="shared" ca="1" si="20"/>
        <v>11000</v>
      </c>
      <c r="H127" s="64">
        <f t="shared" ca="1" si="21"/>
        <v>8.7649402390438252E-2</v>
      </c>
      <c r="I127" s="60">
        <f t="shared" ca="1" si="22"/>
        <v>10.135135135135144</v>
      </c>
      <c r="J127" s="63">
        <f t="shared" ca="1" si="23"/>
        <v>16300</v>
      </c>
      <c r="K127" s="64">
        <f t="shared" ca="1" si="24"/>
        <v>0.11941391941391942</v>
      </c>
      <c r="L127" s="62">
        <f t="shared" ca="1" si="25"/>
        <v>18.355855855855864</v>
      </c>
      <c r="M127" s="63">
        <f t="shared" ca="1" si="26"/>
        <v>16300</v>
      </c>
      <c r="N127" s="64">
        <f t="shared" ca="1" si="27"/>
        <v>0.10667539267015706</v>
      </c>
      <c r="O127" s="62">
        <f t="shared" ca="1" si="28"/>
        <v>18.35585585585585</v>
      </c>
    </row>
    <row r="128" spans="1:15" x14ac:dyDescent="0.45">
      <c r="A128" s="54" t="str">
        <f>IF(ISBLANK(Data!C128),"",Data!C128)</f>
        <v>3095 Barnwood Xing, Duluth, GA 30097</v>
      </c>
      <c r="B128" s="50">
        <f>IFERROR(MATCH($A128,Data!$C:$C,0),"")</f>
        <v>128</v>
      </c>
      <c r="C128" s="55">
        <f t="shared" ca="1" si="19"/>
        <v>51600</v>
      </c>
      <c r="D128" s="64">
        <f t="shared" ca="1" si="29"/>
        <v>0.37527272727272726</v>
      </c>
      <c r="E128" s="56">
        <f t="shared" ca="1" si="30"/>
        <v>17200</v>
      </c>
      <c r="F128" s="65">
        <f t="shared" ca="1" si="31"/>
        <v>0.12509090909090909</v>
      </c>
      <c r="G128" s="59">
        <f t="shared" ca="1" si="20"/>
        <v>13500</v>
      </c>
      <c r="H128" s="64">
        <f t="shared" ca="1" si="21"/>
        <v>9.8181818181818176E-2</v>
      </c>
      <c r="I128" s="60">
        <f t="shared" ca="1" si="22"/>
        <v>9.3800978792822178</v>
      </c>
      <c r="J128" s="63">
        <f t="shared" ca="1" si="23"/>
        <v>8500</v>
      </c>
      <c r="K128" s="64">
        <f t="shared" ca="1" si="24"/>
        <v>5.6291390728476824E-2</v>
      </c>
      <c r="L128" s="62">
        <f t="shared" ca="1" si="25"/>
        <v>6.933115823817289</v>
      </c>
      <c r="M128" s="63">
        <f t="shared" ca="1" si="26"/>
        <v>29600</v>
      </c>
      <c r="N128" s="64">
        <f t="shared" ca="1" si="27"/>
        <v>0.18557993730407524</v>
      </c>
      <c r="O128" s="62">
        <f t="shared" ca="1" si="28"/>
        <v>24.143556280587276</v>
      </c>
    </row>
    <row r="129" spans="1:15" x14ac:dyDescent="0.45">
      <c r="A129" s="54" t="str">
        <f>IF(ISBLANK(Data!C129),"",Data!C129)</f>
        <v>3100 Barnwood Xing, Duluth, GA 30097</v>
      </c>
      <c r="B129" s="50">
        <f>IFERROR(MATCH($A129,Data!$C:$C,0),"")</f>
        <v>129</v>
      </c>
      <c r="C129" s="55">
        <f t="shared" ca="1" si="19"/>
        <v>37500</v>
      </c>
      <c r="D129" s="64">
        <f t="shared" ca="1" si="29"/>
        <v>0.3345227475468332</v>
      </c>
      <c r="E129" s="56">
        <f t="shared" ca="1" si="30"/>
        <v>12500</v>
      </c>
      <c r="F129" s="65">
        <f t="shared" ca="1" si="31"/>
        <v>0.11150758251561106</v>
      </c>
      <c r="G129" s="59">
        <f t="shared" ca="1" si="20"/>
        <v>10900</v>
      </c>
      <c r="H129" s="64">
        <f t="shared" ca="1" si="21"/>
        <v>9.723461195361284E-2</v>
      </c>
      <c r="I129" s="60">
        <f t="shared" ca="1" si="22"/>
        <v>10.645933014354071</v>
      </c>
      <c r="J129" s="63">
        <f t="shared" ca="1" si="23"/>
        <v>14300</v>
      </c>
      <c r="K129" s="64">
        <f t="shared" ca="1" si="24"/>
        <v>0.11626016260162601</v>
      </c>
      <c r="L129" s="62">
        <f t="shared" ca="1" si="25"/>
        <v>17.10526315789474</v>
      </c>
      <c r="M129" s="63">
        <f t="shared" ca="1" si="26"/>
        <v>12300</v>
      </c>
      <c r="N129" s="64">
        <f t="shared" ca="1" si="27"/>
        <v>8.9584850691915519E-2</v>
      </c>
      <c r="O129" s="62">
        <f t="shared" ca="1" si="28"/>
        <v>14.712918660287073</v>
      </c>
    </row>
    <row r="130" spans="1:15" x14ac:dyDescent="0.45">
      <c r="A130" s="54" t="str">
        <f>IF(ISBLANK(Data!C130),"",Data!C130)</f>
        <v>3105 Barnwood Xing, Duluth, GA 30097</v>
      </c>
      <c r="B130" s="50">
        <f>IFERROR(MATCH($A130,Data!$C:$C,0),"")</f>
        <v>130</v>
      </c>
      <c r="C130" s="55">
        <f t="shared" ca="1" si="19"/>
        <v>52600</v>
      </c>
      <c r="D130" s="64">
        <f t="shared" ca="1" si="29"/>
        <v>0.38394160583941606</v>
      </c>
      <c r="E130" s="56">
        <f t="shared" ca="1" si="30"/>
        <v>17533.333333333332</v>
      </c>
      <c r="F130" s="65">
        <f t="shared" ca="1" si="31"/>
        <v>0.12798053527980535</v>
      </c>
      <c r="G130" s="59">
        <f t="shared" ca="1" si="20"/>
        <v>11900</v>
      </c>
      <c r="H130" s="64">
        <f t="shared" ca="1" si="21"/>
        <v>8.6861313868613135E-2</v>
      </c>
      <c r="I130" s="60">
        <f t="shared" ca="1" si="22"/>
        <v>8.3756345177664997</v>
      </c>
      <c r="J130" s="63">
        <f t="shared" ca="1" si="23"/>
        <v>18300</v>
      </c>
      <c r="K130" s="64">
        <f t="shared" ca="1" si="24"/>
        <v>0.1229012760241773</v>
      </c>
      <c r="L130" s="62">
        <f t="shared" ca="1" si="25"/>
        <v>15.48223350253808</v>
      </c>
      <c r="M130" s="63">
        <f t="shared" ca="1" si="26"/>
        <v>22400</v>
      </c>
      <c r="N130" s="64">
        <f t="shared" ca="1" si="27"/>
        <v>0.13397129186602871</v>
      </c>
      <c r="O130" s="62">
        <f t="shared" ca="1" si="28"/>
        <v>18.950930626057527</v>
      </c>
    </row>
    <row r="131" spans="1:15" x14ac:dyDescent="0.45">
      <c r="A131" s="54" t="str">
        <f>IF(ISBLANK(Data!C131),"",Data!C131)</f>
        <v>3110 Barnwood Xing, Duluth, GA 30097</v>
      </c>
      <c r="B131" s="50">
        <f>IFERROR(MATCH($A131,Data!$C:$C,0),"")</f>
        <v>131</v>
      </c>
      <c r="C131" s="55">
        <f t="shared" ca="1" si="19"/>
        <v>63500</v>
      </c>
      <c r="D131" s="64">
        <f t="shared" ca="1" si="29"/>
        <v>0.52960800667222685</v>
      </c>
      <c r="E131" s="56">
        <f t="shared" ca="1" si="30"/>
        <v>21166.666666666668</v>
      </c>
      <c r="F131" s="65">
        <f t="shared" ca="1" si="31"/>
        <v>0.17653600222407562</v>
      </c>
      <c r="G131" s="59">
        <f t="shared" ca="1" si="20"/>
        <v>15600</v>
      </c>
      <c r="H131" s="64">
        <f t="shared" ca="1" si="21"/>
        <v>0.13010842368640535</v>
      </c>
      <c r="I131" s="60">
        <f t="shared" ca="1" si="22"/>
        <v>14.078674948240163</v>
      </c>
      <c r="J131" s="63">
        <f t="shared" ca="1" si="23"/>
        <v>29600</v>
      </c>
      <c r="K131" s="64">
        <f t="shared" ca="1" si="24"/>
        <v>0.21845018450184503</v>
      </c>
      <c r="L131" s="62">
        <f t="shared" ca="1" si="25"/>
        <v>30.641821946169784</v>
      </c>
      <c r="M131" s="63">
        <f t="shared" ca="1" si="26"/>
        <v>18300</v>
      </c>
      <c r="N131" s="64">
        <f t="shared" ca="1" si="27"/>
        <v>0.1108419139915203</v>
      </c>
      <c r="O131" s="62">
        <f t="shared" ca="1" si="28"/>
        <v>18.944099378881987</v>
      </c>
    </row>
    <row r="132" spans="1:15" x14ac:dyDescent="0.45">
      <c r="A132" s="54" t="str">
        <f>IF(ISBLANK(Data!C132),"",Data!C132)</f>
        <v>3115 Barnwood Xing, Duluth, GA 30097</v>
      </c>
      <c r="B132" s="50">
        <f>IFERROR(MATCH($A132,Data!$C:$C,0),"")</f>
        <v>132</v>
      </c>
      <c r="C132" s="55">
        <f t="shared" ca="1" si="19"/>
        <v>8000</v>
      </c>
      <c r="D132" s="64">
        <f t="shared" ca="1" si="29"/>
        <v>5.1183621241202813E-2</v>
      </c>
      <c r="E132" s="56">
        <f t="shared" ca="1" si="30"/>
        <v>2666.6666666666665</v>
      </c>
      <c r="F132" s="65">
        <f t="shared" ca="1" si="31"/>
        <v>1.7061207080400938E-2</v>
      </c>
      <c r="G132" s="59">
        <f t="shared" ca="1" si="20"/>
        <v>8000</v>
      </c>
      <c r="H132" s="64">
        <f t="shared" ca="1" si="21"/>
        <v>5.1183621241202813E-2</v>
      </c>
      <c r="I132" s="60">
        <f t="shared" ca="1" si="22"/>
        <v>4.966887417218544</v>
      </c>
      <c r="J132" s="63">
        <f t="shared" ca="1" si="23"/>
        <v>0</v>
      </c>
      <c r="K132" s="64">
        <f t="shared" ca="1" si="24"/>
        <v>0</v>
      </c>
      <c r="L132" s="62">
        <f t="shared" ca="1" si="25"/>
        <v>0</v>
      </c>
      <c r="M132" s="63">
        <f t="shared" ca="1" si="26"/>
        <v>0</v>
      </c>
      <c r="N132" s="64">
        <f t="shared" ca="1" si="27"/>
        <v>0</v>
      </c>
      <c r="O132" s="62">
        <f t="shared" ca="1" si="28"/>
        <v>0</v>
      </c>
    </row>
    <row r="133" spans="1:15" x14ac:dyDescent="0.45">
      <c r="A133" s="54" t="str">
        <f>IF(ISBLANK(Data!C133),"",Data!C133)</f>
        <v>3120 Barnwood Xing, Duluth, GA 30097</v>
      </c>
      <c r="B133" s="50">
        <f>IFERROR(MATCH($A133,Data!$C:$C,0),"")</f>
        <v>133</v>
      </c>
      <c r="C133" s="55">
        <f t="shared" ca="1" si="19"/>
        <v>53700</v>
      </c>
      <c r="D133" s="64">
        <f t="shared" ref="D133:D164" ca="1" si="32">IFERROR($C133/INDIRECT("Data!J"&amp;$B133),"")</f>
        <v>0.33773584905660375</v>
      </c>
      <c r="E133" s="56">
        <f t="shared" ref="E133:E164" ca="1" si="33">IFERROR($C133/($C$1-2016),"")</f>
        <v>17900</v>
      </c>
      <c r="F133" s="65">
        <f t="shared" ref="F133:F164" ca="1" si="34">IFERROR($E133/INDIRECT("Data!$J"&amp;$B133),"")</f>
        <v>0.11257861635220126</v>
      </c>
      <c r="G133" s="59">
        <f t="shared" ca="1" si="20"/>
        <v>14000</v>
      </c>
      <c r="H133" s="64">
        <f t="shared" ca="1" si="21"/>
        <v>8.8050314465408799E-2</v>
      </c>
      <c r="I133" s="60">
        <f t="shared" ca="1" si="22"/>
        <v>9.5541401273885356</v>
      </c>
      <c r="J133" s="63">
        <f t="shared" ca="1" si="23"/>
        <v>22000</v>
      </c>
      <c r="K133" s="64">
        <f t="shared" ca="1" si="24"/>
        <v>0.12716763005780346</v>
      </c>
      <c r="L133" s="62">
        <f t="shared" ca="1" si="25"/>
        <v>17.515923566878982</v>
      </c>
      <c r="M133" s="63">
        <f t="shared" ca="1" si="26"/>
        <v>17700</v>
      </c>
      <c r="N133" s="64">
        <f t="shared" ca="1" si="27"/>
        <v>9.0769230769230769E-2</v>
      </c>
      <c r="O133" s="62">
        <f t="shared" ca="1" si="28"/>
        <v>14.092356687898075</v>
      </c>
    </row>
    <row r="134" spans="1:15" x14ac:dyDescent="0.45">
      <c r="A134" s="54" t="str">
        <f>IF(ISBLANK(Data!C134),"",Data!C134)</f>
        <v>3125 Barnwood Xing, Duluth, GA 30097</v>
      </c>
      <c r="B134" s="50">
        <f>IFERROR(MATCH($A134,Data!$C:$C,0),"")</f>
        <v>134</v>
      </c>
      <c r="C134" s="55">
        <f t="shared" ref="C134:C185" ca="1" si="35">IFERROR(INDIRECT($C$4&amp;$B134)-INDIRECT("Data!J"&amp;$B134),"")</f>
        <v>8900</v>
      </c>
      <c r="D134" s="64">
        <f t="shared" ca="1" si="32"/>
        <v>5.738233397807866E-2</v>
      </c>
      <c r="E134" s="56">
        <f t="shared" ca="1" si="33"/>
        <v>2966.6666666666665</v>
      </c>
      <c r="F134" s="65">
        <f t="shared" ca="1" si="34"/>
        <v>1.9127444659359553E-2</v>
      </c>
      <c r="G134" s="59">
        <f t="shared" ref="G134:G185" ca="1" si="36">IFERROR(INDIRECT(G$4&amp;$B134)-INDIRECT("Data!$J"&amp;$B134),"")</f>
        <v>13400</v>
      </c>
      <c r="H134" s="64">
        <f t="shared" ref="H134:H185" ca="1" si="37">IFERROR(G134/INDIRECT("Data!$J"&amp;$B134),"")</f>
        <v>8.6395873629916187E-2</v>
      </c>
      <c r="I134" s="60">
        <f t="shared" ref="I134:I185" ca="1" si="38">IFERROR(INDIRECT(I$4&amp;$B134)-INDIRECT("Calculations!$E"&amp;$B134),"")</f>
        <v>9.2532467532467564</v>
      </c>
      <c r="J134" s="63">
        <f t="shared" ref="J134:J185" ca="1" si="39">IFERROR(INDIRECT(J$4&amp;$B134)-INDIRECT(G$4&amp;$B134),"")</f>
        <v>20900</v>
      </c>
      <c r="K134" s="64">
        <f t="shared" ref="K134:K185" ca="1" si="40">IFERROR(J134/INDIRECT(G$4&amp;$B134),"")</f>
        <v>0.12403560830860534</v>
      </c>
      <c r="L134" s="62">
        <f t="shared" ref="L134:L185" ca="1" si="41">IFERROR(INDIRECT(L$4&amp;$B134)-INDIRECT(I$4&amp;$B134),"")</f>
        <v>16.964285714285708</v>
      </c>
      <c r="M134" s="63">
        <f t="shared" ref="M134:M185" ca="1" si="42">IFERROR(INDIRECT("Data!S"&amp;$B134)-INDIRECT("Data!$P"&amp;$B134),"")</f>
        <v>-25400</v>
      </c>
      <c r="N134" s="64">
        <f t="shared" ref="N134:N185" ca="1" si="43">IFERROR(M134/INDIRECT(J$4&amp;$B134),"")</f>
        <v>-0.13410770855332629</v>
      </c>
      <c r="O134" s="62">
        <f t="shared" ref="O134:O185" ca="1" si="44">IFERROR(INDIRECT(O$4&amp;$B134)-INDIRECT(L$4&amp;$B134),"")</f>
        <v>-20.616883116883116</v>
      </c>
    </row>
    <row r="135" spans="1:15" x14ac:dyDescent="0.45">
      <c r="A135" s="54" t="str">
        <f>IF(ISBLANK(Data!C135),"",Data!C135)</f>
        <v>3130 Barnwood Xing, Duluth, GA 30097</v>
      </c>
      <c r="B135" s="50">
        <f>IFERROR(MATCH($A135,Data!$C:$C,0),"")</f>
        <v>135</v>
      </c>
      <c r="C135" s="55">
        <f t="shared" ca="1" si="35"/>
        <v>55400</v>
      </c>
      <c r="D135" s="64">
        <f t="shared" ca="1" si="32"/>
        <v>0.34113300492610837</v>
      </c>
      <c r="E135" s="56">
        <f t="shared" ca="1" si="33"/>
        <v>18466.666666666668</v>
      </c>
      <c r="F135" s="65">
        <f t="shared" ca="1" si="34"/>
        <v>0.11371100164203614</v>
      </c>
      <c r="G135" s="59">
        <f t="shared" ca="1" si="36"/>
        <v>14300</v>
      </c>
      <c r="H135" s="64">
        <f t="shared" ca="1" si="37"/>
        <v>8.805418719211823E-2</v>
      </c>
      <c r="I135" s="60">
        <f t="shared" ca="1" si="38"/>
        <v>9.7929936305732497</v>
      </c>
      <c r="J135" s="63">
        <f t="shared" ca="1" si="39"/>
        <v>22500</v>
      </c>
      <c r="K135" s="64">
        <f t="shared" ca="1" si="40"/>
        <v>0.12733446519524619</v>
      </c>
      <c r="L135" s="62">
        <f t="shared" ca="1" si="41"/>
        <v>17.914012738853515</v>
      </c>
      <c r="M135" s="63">
        <f t="shared" ca="1" si="42"/>
        <v>18600</v>
      </c>
      <c r="N135" s="64">
        <f t="shared" ca="1" si="43"/>
        <v>9.337349397590361E-2</v>
      </c>
      <c r="O135" s="62">
        <f t="shared" ca="1" si="44"/>
        <v>14.808917197452217</v>
      </c>
    </row>
    <row r="136" spans="1:15" x14ac:dyDescent="0.45">
      <c r="A136" s="54" t="str">
        <f>IF(ISBLANK(Data!C136),"",Data!C136)</f>
        <v>3135 Barnwood Xing, Duluth, GA 30097</v>
      </c>
      <c r="B136" s="50">
        <f>IFERROR(MATCH($A136,Data!$C:$C,0),"")</f>
        <v>136</v>
      </c>
      <c r="C136" s="55">
        <f t="shared" ca="1" si="35"/>
        <v>56000</v>
      </c>
      <c r="D136" s="64">
        <f t="shared" ca="1" si="32"/>
        <v>0.39436619718309857</v>
      </c>
      <c r="E136" s="56">
        <f t="shared" ca="1" si="33"/>
        <v>18666.666666666668</v>
      </c>
      <c r="F136" s="65">
        <f t="shared" ca="1" si="34"/>
        <v>0.13145539906103287</v>
      </c>
      <c r="G136" s="59">
        <f t="shared" ca="1" si="36"/>
        <v>31000</v>
      </c>
      <c r="H136" s="64">
        <f t="shared" ca="1" si="37"/>
        <v>0.21830985915492956</v>
      </c>
      <c r="I136" s="60">
        <f t="shared" ca="1" si="38"/>
        <v>23.089171974522287</v>
      </c>
      <c r="J136" s="63">
        <f t="shared" ca="1" si="39"/>
        <v>22000</v>
      </c>
      <c r="K136" s="64">
        <f t="shared" ca="1" si="40"/>
        <v>0.12716763005780346</v>
      </c>
      <c r="L136" s="62">
        <f t="shared" ca="1" si="41"/>
        <v>17.515923566878982</v>
      </c>
      <c r="M136" s="63">
        <f t="shared" ca="1" si="42"/>
        <v>3000</v>
      </c>
      <c r="N136" s="64">
        <f t="shared" ca="1" si="43"/>
        <v>1.5384615384615385E-2</v>
      </c>
      <c r="O136" s="62">
        <f t="shared" ca="1" si="44"/>
        <v>2.388535031847141</v>
      </c>
    </row>
    <row r="137" spans="1:15" x14ac:dyDescent="0.45">
      <c r="A137" s="54" t="str">
        <f>IF(ISBLANK(Data!C137),"",Data!C137)</f>
        <v>4000 Chattahoochee Trce, Duluth, GA 30097</v>
      </c>
      <c r="B137" s="50">
        <f>IFERROR(MATCH($A137,Data!$C:$C,0),"")</f>
        <v>137</v>
      </c>
      <c r="C137" s="55">
        <f t="shared" ca="1" si="35"/>
        <v>41200</v>
      </c>
      <c r="D137" s="64">
        <f t="shared" ca="1" si="32"/>
        <v>0.34247714048212802</v>
      </c>
      <c r="E137" s="56">
        <f t="shared" ca="1" si="33"/>
        <v>13733.333333333334</v>
      </c>
      <c r="F137" s="65">
        <f t="shared" ca="1" si="34"/>
        <v>0.11415904682737602</v>
      </c>
      <c r="G137" s="59">
        <f t="shared" ca="1" si="36"/>
        <v>10500</v>
      </c>
      <c r="H137" s="64">
        <f t="shared" ca="1" si="37"/>
        <v>8.7281795511221949E-2</v>
      </c>
      <c r="I137" s="60">
        <f t="shared" ca="1" si="38"/>
        <v>8.8357588357588241</v>
      </c>
      <c r="J137" s="63">
        <f t="shared" ca="1" si="39"/>
        <v>15500</v>
      </c>
      <c r="K137" s="64">
        <f t="shared" ca="1" si="40"/>
        <v>0.11850152905198777</v>
      </c>
      <c r="L137" s="62">
        <f t="shared" ca="1" si="41"/>
        <v>16.112266112266113</v>
      </c>
      <c r="M137" s="63">
        <f t="shared" ca="1" si="42"/>
        <v>15200</v>
      </c>
      <c r="N137" s="64">
        <f t="shared" ca="1" si="43"/>
        <v>0.1038961038961039</v>
      </c>
      <c r="O137" s="62">
        <f t="shared" ca="1" si="44"/>
        <v>15.80041580041582</v>
      </c>
    </row>
    <row r="138" spans="1:15" x14ac:dyDescent="0.45">
      <c r="A138" s="54" t="str">
        <f>IF(ISBLANK(Data!C138),"",Data!C138)</f>
        <v>4010 Chattahoochee Trce, Duluth, GA 30097</v>
      </c>
      <c r="B138" s="50">
        <f>IFERROR(MATCH($A138,Data!$C:$C,0),"")</f>
        <v>138</v>
      </c>
      <c r="C138" s="55">
        <f t="shared" ca="1" si="35"/>
        <v>73000</v>
      </c>
      <c r="D138" s="64">
        <f t="shared" ca="1" si="32"/>
        <v>0.62180579216354348</v>
      </c>
      <c r="E138" s="56">
        <f t="shared" ca="1" si="33"/>
        <v>24333.333333333332</v>
      </c>
      <c r="F138" s="65">
        <f t="shared" ca="1" si="34"/>
        <v>0.20726859738784781</v>
      </c>
      <c r="G138" s="59">
        <f t="shared" ca="1" si="36"/>
        <v>26600</v>
      </c>
      <c r="H138" s="64">
        <f t="shared" ca="1" si="37"/>
        <v>0.22657580919931858</v>
      </c>
      <c r="I138" s="60">
        <f t="shared" ca="1" si="38"/>
        <v>21.808510638297875</v>
      </c>
      <c r="J138" s="63">
        <f t="shared" ca="1" si="39"/>
        <v>24000</v>
      </c>
      <c r="K138" s="64">
        <f t="shared" ca="1" si="40"/>
        <v>0.16666666666666666</v>
      </c>
      <c r="L138" s="62">
        <f t="shared" ca="1" si="41"/>
        <v>21.276595744680847</v>
      </c>
      <c r="M138" s="63">
        <f t="shared" ca="1" si="42"/>
        <v>22400</v>
      </c>
      <c r="N138" s="64">
        <f t="shared" ca="1" si="43"/>
        <v>0.13333333333333333</v>
      </c>
      <c r="O138" s="62">
        <f t="shared" ca="1" si="44"/>
        <v>19.858156028368796</v>
      </c>
    </row>
    <row r="139" spans="1:15" x14ac:dyDescent="0.45">
      <c r="A139" s="54" t="str">
        <f>IF(ISBLANK(Data!C139),"",Data!C139)</f>
        <v>4020 Chattahoochee Trce, Duluth, GA 30097</v>
      </c>
      <c r="B139" s="50">
        <f>IFERROR(MATCH($A139,Data!$C:$C,0),"")</f>
        <v>139</v>
      </c>
      <c r="C139" s="55">
        <f t="shared" ca="1" si="35"/>
        <v>56900</v>
      </c>
      <c r="D139" s="64">
        <f t="shared" ca="1" si="32"/>
        <v>0.33549528301886794</v>
      </c>
      <c r="E139" s="56">
        <f t="shared" ca="1" si="33"/>
        <v>18966.666666666668</v>
      </c>
      <c r="F139" s="65">
        <f t="shared" ca="1" si="34"/>
        <v>0.11183176100628932</v>
      </c>
      <c r="G139" s="59">
        <f t="shared" ca="1" si="36"/>
        <v>15000</v>
      </c>
      <c r="H139" s="64">
        <f t="shared" ca="1" si="37"/>
        <v>8.8443396226415089E-2</v>
      </c>
      <c r="I139" s="60">
        <f t="shared" ca="1" si="38"/>
        <v>8.6898395721925112</v>
      </c>
      <c r="J139" s="63">
        <f t="shared" ca="1" si="39"/>
        <v>23700</v>
      </c>
      <c r="K139" s="64">
        <f t="shared" ca="1" si="40"/>
        <v>0.12838569880823403</v>
      </c>
      <c r="L139" s="62">
        <f t="shared" ca="1" si="41"/>
        <v>15.842245989304814</v>
      </c>
      <c r="M139" s="63">
        <f t="shared" ca="1" si="42"/>
        <v>18200</v>
      </c>
      <c r="N139" s="64">
        <f t="shared" ca="1" si="43"/>
        <v>8.7373979836773891E-2</v>
      </c>
      <c r="O139" s="62">
        <f t="shared" ca="1" si="44"/>
        <v>12.16577540106951</v>
      </c>
    </row>
    <row r="140" spans="1:15" x14ac:dyDescent="0.45">
      <c r="A140" s="54" t="str">
        <f>IF(ISBLANK(Data!C140),"",Data!C140)</f>
        <v>4030 Chattahoochee Trce, Duluth, GA 30097</v>
      </c>
      <c r="B140" s="50">
        <f>IFERROR(MATCH($A140,Data!$C:$C,0),"")</f>
        <v>140</v>
      </c>
      <c r="C140" s="55">
        <f t="shared" ca="1" si="35"/>
        <v>69200</v>
      </c>
      <c r="D140" s="64">
        <f t="shared" ca="1" si="32"/>
        <v>0.58793542905692442</v>
      </c>
      <c r="E140" s="56">
        <f t="shared" ca="1" si="33"/>
        <v>23066.666666666668</v>
      </c>
      <c r="F140" s="65">
        <f t="shared" ca="1" si="34"/>
        <v>0.19597847635230814</v>
      </c>
      <c r="G140" s="59">
        <f t="shared" ca="1" si="36"/>
        <v>30000</v>
      </c>
      <c r="H140" s="64">
        <f t="shared" ca="1" si="37"/>
        <v>0.25488530161427359</v>
      </c>
      <c r="I140" s="60">
        <f t="shared" ca="1" si="38"/>
        <v>25.925925925925924</v>
      </c>
      <c r="J140" s="63">
        <f t="shared" ca="1" si="39"/>
        <v>19800</v>
      </c>
      <c r="K140" s="64">
        <f t="shared" ca="1" si="40"/>
        <v>0.13405551794177387</v>
      </c>
      <c r="L140" s="62">
        <f t="shared" ca="1" si="41"/>
        <v>18.333333333333329</v>
      </c>
      <c r="M140" s="63">
        <f t="shared" ca="1" si="42"/>
        <v>19400</v>
      </c>
      <c r="N140" s="64">
        <f t="shared" ca="1" si="43"/>
        <v>0.11582089552238806</v>
      </c>
      <c r="O140" s="62">
        <f t="shared" ca="1" si="44"/>
        <v>17.962962962962962</v>
      </c>
    </row>
    <row r="141" spans="1:15" x14ac:dyDescent="0.45">
      <c r="A141" s="54" t="str">
        <f>IF(ISBLANK(Data!C141),"",Data!C141)</f>
        <v>4040 Chattahoochee Trce, Duluth, GA 30097</v>
      </c>
      <c r="B141" s="50">
        <f>IFERROR(MATCH($A141,Data!$C:$C,0),"")</f>
        <v>141</v>
      </c>
      <c r="C141" s="55">
        <f t="shared" ca="1" si="35"/>
        <v>59500</v>
      </c>
      <c r="D141" s="64">
        <f t="shared" ca="1" si="32"/>
        <v>0.47072784810126583</v>
      </c>
      <c r="E141" s="56">
        <f t="shared" ca="1" si="33"/>
        <v>19833.333333333332</v>
      </c>
      <c r="F141" s="65">
        <f t="shared" ca="1" si="34"/>
        <v>0.15690928270042193</v>
      </c>
      <c r="G141" s="59">
        <f t="shared" ca="1" si="36"/>
        <v>20300</v>
      </c>
      <c r="H141" s="64">
        <f t="shared" ca="1" si="37"/>
        <v>0.16060126582278481</v>
      </c>
      <c r="I141" s="60">
        <f t="shared" ca="1" si="38"/>
        <v>16.576086956521735</v>
      </c>
      <c r="J141" s="63">
        <f t="shared" ca="1" si="39"/>
        <v>19600</v>
      </c>
      <c r="K141" s="64">
        <f t="shared" ca="1" si="40"/>
        <v>0.1336059986366735</v>
      </c>
      <c r="L141" s="62">
        <f t="shared" ca="1" si="41"/>
        <v>17.753623188405797</v>
      </c>
      <c r="M141" s="63">
        <f t="shared" ca="1" si="42"/>
        <v>19600</v>
      </c>
      <c r="N141" s="64">
        <f t="shared" ca="1" si="43"/>
        <v>0.11785929043896573</v>
      </c>
      <c r="O141" s="62">
        <f t="shared" ca="1" si="44"/>
        <v>17.753623188405797</v>
      </c>
    </row>
    <row r="142" spans="1:15" x14ac:dyDescent="0.45">
      <c r="A142" s="54" t="str">
        <f>IF(ISBLANK(Data!C142),"",Data!C142)</f>
        <v>4050 Chattahoochee Trce, Duluth, GA 30097</v>
      </c>
      <c r="B142" s="50">
        <f>IFERROR(MATCH($A142,Data!$C:$C,0),"")</f>
        <v>142</v>
      </c>
      <c r="C142" s="55">
        <f t="shared" ca="1" si="35"/>
        <v>59200</v>
      </c>
      <c r="D142" s="64">
        <f t="shared" ca="1" si="32"/>
        <v>0.34926253687315634</v>
      </c>
      <c r="E142" s="56">
        <f t="shared" ca="1" si="33"/>
        <v>19733.333333333332</v>
      </c>
      <c r="F142" s="65">
        <f t="shared" ca="1" si="34"/>
        <v>0.11642084562438544</v>
      </c>
      <c r="G142" s="59">
        <f t="shared" ca="1" si="36"/>
        <v>15000</v>
      </c>
      <c r="H142" s="64">
        <f t="shared" ca="1" si="37"/>
        <v>8.8495575221238937E-2</v>
      </c>
      <c r="I142" s="60">
        <f t="shared" ca="1" si="38"/>
        <v>8.9531680440771453</v>
      </c>
      <c r="J142" s="63">
        <f t="shared" ca="1" si="39"/>
        <v>26000</v>
      </c>
      <c r="K142" s="64">
        <f t="shared" ca="1" si="40"/>
        <v>0.14092140921409213</v>
      </c>
      <c r="L142" s="62">
        <f t="shared" ca="1" si="41"/>
        <v>17.906336088154262</v>
      </c>
      <c r="M142" s="63">
        <f t="shared" ca="1" si="42"/>
        <v>18200</v>
      </c>
      <c r="N142" s="64">
        <f t="shared" ca="1" si="43"/>
        <v>8.6460807600950124E-2</v>
      </c>
      <c r="O142" s="62">
        <f t="shared" ca="1" si="44"/>
        <v>12.534435261707983</v>
      </c>
    </row>
    <row r="143" spans="1:15" x14ac:dyDescent="0.45">
      <c r="A143" s="54" t="str">
        <f>IF(ISBLANK(Data!C143),"",Data!C143)</f>
        <v>4060 Chattahoochee Trce, Duluth, GA 30097</v>
      </c>
      <c r="B143" s="50">
        <f>IFERROR(MATCH($A143,Data!$C:$C,0),"")</f>
        <v>143</v>
      </c>
      <c r="C143" s="55">
        <f t="shared" ca="1" si="35"/>
        <v>43500</v>
      </c>
      <c r="D143" s="64">
        <f t="shared" ca="1" si="32"/>
        <v>0.347444089456869</v>
      </c>
      <c r="E143" s="56">
        <f t="shared" ca="1" si="33"/>
        <v>14500</v>
      </c>
      <c r="F143" s="65">
        <f t="shared" ca="1" si="34"/>
        <v>0.11581469648562301</v>
      </c>
      <c r="G143" s="59">
        <f t="shared" ca="1" si="36"/>
        <v>12200</v>
      </c>
      <c r="H143" s="64">
        <f t="shared" ca="1" si="37"/>
        <v>9.7444089456869012E-2</v>
      </c>
      <c r="I143" s="60">
        <f t="shared" ca="1" si="38"/>
        <v>11.18421052631578</v>
      </c>
      <c r="J143" s="63">
        <f t="shared" ca="1" si="39"/>
        <v>16500</v>
      </c>
      <c r="K143" s="64">
        <f t="shared" ca="1" si="40"/>
        <v>0.12008733624454149</v>
      </c>
      <c r="L143" s="62">
        <f t="shared" ca="1" si="41"/>
        <v>18.092105263157904</v>
      </c>
      <c r="M143" s="63">
        <f t="shared" ca="1" si="42"/>
        <v>14800</v>
      </c>
      <c r="N143" s="64">
        <f t="shared" ca="1" si="43"/>
        <v>9.6166341780376863E-2</v>
      </c>
      <c r="O143" s="62">
        <f t="shared" ca="1" si="44"/>
        <v>16.228070175438603</v>
      </c>
    </row>
    <row r="144" spans="1:15" x14ac:dyDescent="0.45">
      <c r="A144" s="54" t="str">
        <f>IF(ISBLANK(Data!C144),"",Data!C144)</f>
        <v>4070 Chattahoochee Trce, Duluth, GA 30097</v>
      </c>
      <c r="B144" s="50">
        <f>IFERROR(MATCH($A144,Data!$C:$C,0),"")</f>
        <v>144</v>
      </c>
      <c r="C144" s="55">
        <f t="shared" ca="1" si="35"/>
        <v>49600</v>
      </c>
      <c r="D144" s="64">
        <f t="shared" ca="1" si="32"/>
        <v>0.34349030470914127</v>
      </c>
      <c r="E144" s="56">
        <f t="shared" ca="1" si="33"/>
        <v>16533.333333333332</v>
      </c>
      <c r="F144" s="65">
        <f t="shared" ca="1" si="34"/>
        <v>0.11449676823638041</v>
      </c>
      <c r="G144" s="59">
        <f t="shared" ca="1" si="36"/>
        <v>14200</v>
      </c>
      <c r="H144" s="64">
        <f t="shared" ca="1" si="37"/>
        <v>9.833795013850416E-2</v>
      </c>
      <c r="I144" s="60">
        <f t="shared" ca="1" si="38"/>
        <v>10.445205479452056</v>
      </c>
      <c r="J144" s="63">
        <f t="shared" ca="1" si="39"/>
        <v>19800</v>
      </c>
      <c r="K144" s="64">
        <f t="shared" ca="1" si="40"/>
        <v>0.12484237074401008</v>
      </c>
      <c r="L144" s="62">
        <f t="shared" ca="1" si="41"/>
        <v>16.952054794520549</v>
      </c>
      <c r="M144" s="63">
        <f t="shared" ca="1" si="42"/>
        <v>15600</v>
      </c>
      <c r="N144" s="64">
        <f t="shared" ca="1" si="43"/>
        <v>8.744394618834081E-2</v>
      </c>
      <c r="O144" s="62">
        <f t="shared" ca="1" si="44"/>
        <v>13.356164383561634</v>
      </c>
    </row>
    <row r="145" spans="1:15" x14ac:dyDescent="0.45">
      <c r="A145" s="54" t="str">
        <f>IF(ISBLANK(Data!C145),"",Data!C145)</f>
        <v>4080 Chattahoochee Trce, Duluth, GA 30097</v>
      </c>
      <c r="B145" s="50">
        <f>IFERROR(MATCH($A145,Data!$C:$C,0),"")</f>
        <v>145</v>
      </c>
      <c r="C145" s="55">
        <f t="shared" ca="1" si="35"/>
        <v>43800</v>
      </c>
      <c r="D145" s="64">
        <f t="shared" ca="1" si="32"/>
        <v>0.35609756097560974</v>
      </c>
      <c r="E145" s="56">
        <f t="shared" ca="1" si="33"/>
        <v>14600</v>
      </c>
      <c r="F145" s="65">
        <f t="shared" ca="1" si="34"/>
        <v>0.11869918699186992</v>
      </c>
      <c r="G145" s="59">
        <f t="shared" ca="1" si="36"/>
        <v>10700</v>
      </c>
      <c r="H145" s="64">
        <f t="shared" ca="1" si="37"/>
        <v>8.6991869918699186E-2</v>
      </c>
      <c r="I145" s="60">
        <f t="shared" ca="1" si="38"/>
        <v>9.7533632286995555</v>
      </c>
      <c r="J145" s="63">
        <f t="shared" ca="1" si="39"/>
        <v>17500</v>
      </c>
      <c r="K145" s="64">
        <f t="shared" ca="1" si="40"/>
        <v>0.13089005235602094</v>
      </c>
      <c r="L145" s="62">
        <f t="shared" ca="1" si="41"/>
        <v>19.618834080717491</v>
      </c>
      <c r="M145" s="63">
        <f t="shared" ca="1" si="42"/>
        <v>15600</v>
      </c>
      <c r="N145" s="64">
        <f t="shared" ca="1" si="43"/>
        <v>0.10317460317460317</v>
      </c>
      <c r="O145" s="62">
        <f t="shared" ca="1" si="44"/>
        <v>17.488789237668158</v>
      </c>
    </row>
    <row r="146" spans="1:15" x14ac:dyDescent="0.45">
      <c r="A146" s="54" t="str">
        <f>IF(ISBLANK(Data!C146),"",Data!C146)</f>
        <v>4090 Chattahoochee Trce, Duluth, GA 30097</v>
      </c>
      <c r="B146" s="50">
        <f>IFERROR(MATCH($A146,Data!$C:$C,0),"")</f>
        <v>146</v>
      </c>
      <c r="C146" s="55">
        <f t="shared" ca="1" si="35"/>
        <v>37800</v>
      </c>
      <c r="D146" s="64">
        <f t="shared" ca="1" si="32"/>
        <v>0.29693637077769047</v>
      </c>
      <c r="E146" s="56">
        <f t="shared" ca="1" si="33"/>
        <v>12600</v>
      </c>
      <c r="F146" s="65">
        <f t="shared" ca="1" si="34"/>
        <v>9.8978790259230162E-2</v>
      </c>
      <c r="G146" s="59">
        <f t="shared" ca="1" si="36"/>
        <v>11200</v>
      </c>
      <c r="H146" s="64">
        <f t="shared" ca="1" si="37"/>
        <v>8.7981146897093479E-2</v>
      </c>
      <c r="I146" s="60">
        <f t="shared" ca="1" si="38"/>
        <v>9.6842105263157947</v>
      </c>
      <c r="J146" s="63">
        <f t="shared" ca="1" si="39"/>
        <v>18200</v>
      </c>
      <c r="K146" s="64">
        <f t="shared" ca="1" si="40"/>
        <v>0.13140794223826716</v>
      </c>
      <c r="L146" s="62">
        <f t="shared" ca="1" si="41"/>
        <v>19.15789473684211</v>
      </c>
      <c r="M146" s="63">
        <f t="shared" ca="1" si="42"/>
        <v>8400</v>
      </c>
      <c r="N146" s="64">
        <f t="shared" ca="1" si="43"/>
        <v>5.3605615826419914E-2</v>
      </c>
      <c r="O146" s="62">
        <f t="shared" ca="1" si="44"/>
        <v>8.8421052631578902</v>
      </c>
    </row>
    <row r="147" spans="1:15" x14ac:dyDescent="0.45">
      <c r="A147" s="54" t="str">
        <f>IF(ISBLANK(Data!C147),"",Data!C147)</f>
        <v>4095 Chattahoochee Trce, Duluth, GA 30097</v>
      </c>
      <c r="B147" s="50">
        <f>IFERROR(MATCH($A147,Data!$C:$C,0),"")</f>
        <v>147</v>
      </c>
      <c r="C147" s="55">
        <f t="shared" ca="1" si="35"/>
        <v>54900</v>
      </c>
      <c r="D147" s="64">
        <f t="shared" ca="1" si="32"/>
        <v>0.34506599622878692</v>
      </c>
      <c r="E147" s="56">
        <f t="shared" ca="1" si="33"/>
        <v>18300</v>
      </c>
      <c r="F147" s="65">
        <f t="shared" ca="1" si="34"/>
        <v>0.11502199874292897</v>
      </c>
      <c r="G147" s="59">
        <f t="shared" ca="1" si="36"/>
        <v>14000</v>
      </c>
      <c r="H147" s="64">
        <f t="shared" ca="1" si="37"/>
        <v>8.7994971715901954E-2</v>
      </c>
      <c r="I147" s="60">
        <f t="shared" ca="1" si="38"/>
        <v>9.5846645367412151</v>
      </c>
      <c r="J147" s="63">
        <f t="shared" ca="1" si="39"/>
        <v>18900</v>
      </c>
      <c r="K147" s="64">
        <f t="shared" ca="1" si="40"/>
        <v>0.10918544194107452</v>
      </c>
      <c r="L147" s="62">
        <f t="shared" ca="1" si="41"/>
        <v>15.095846645367416</v>
      </c>
      <c r="M147" s="63">
        <f t="shared" ca="1" si="42"/>
        <v>22000</v>
      </c>
      <c r="N147" s="64">
        <f t="shared" ca="1" si="43"/>
        <v>0.11458333333333333</v>
      </c>
      <c r="O147" s="62">
        <f t="shared" ca="1" si="44"/>
        <v>17.571884984025559</v>
      </c>
    </row>
    <row r="148" spans="1:15" x14ac:dyDescent="0.45">
      <c r="A148" s="54" t="str">
        <f>IF(ISBLANK(Data!C148),"",Data!C148)</f>
        <v>4105 Chattahoochee Trce, Duluth, GA 30097</v>
      </c>
      <c r="B148" s="50">
        <f>IFERROR(MATCH($A148,Data!$C:$C,0),"")</f>
        <v>148</v>
      </c>
      <c r="C148" s="55">
        <f t="shared" ca="1" si="35"/>
        <v>43500</v>
      </c>
      <c r="D148" s="64">
        <f t="shared" ca="1" si="32"/>
        <v>0.34772182254196643</v>
      </c>
      <c r="E148" s="56">
        <f t="shared" ca="1" si="33"/>
        <v>14500</v>
      </c>
      <c r="F148" s="65">
        <f t="shared" ca="1" si="34"/>
        <v>0.11590727418065548</v>
      </c>
      <c r="G148" s="59">
        <f t="shared" ca="1" si="36"/>
        <v>12300</v>
      </c>
      <c r="H148" s="64">
        <f t="shared" ca="1" si="37"/>
        <v>9.8321342925659472E-2</v>
      </c>
      <c r="I148" s="60">
        <f t="shared" ca="1" si="38"/>
        <v>-5.0438596491228083</v>
      </c>
      <c r="J148" s="63">
        <f t="shared" ca="1" si="39"/>
        <v>16500</v>
      </c>
      <c r="K148" s="64">
        <f t="shared" ca="1" si="40"/>
        <v>0.12008733624454149</v>
      </c>
      <c r="L148" s="62">
        <f t="shared" ca="1" si="41"/>
        <v>18.092105263157904</v>
      </c>
      <c r="M148" s="63">
        <f t="shared" ca="1" si="42"/>
        <v>14700</v>
      </c>
      <c r="N148" s="64">
        <f t="shared" ca="1" si="43"/>
        <v>9.5516569200779722E-2</v>
      </c>
      <c r="O148" s="62">
        <f t="shared" ca="1" si="44"/>
        <v>16.118421052631589</v>
      </c>
    </row>
    <row r="149" spans="1:15" x14ac:dyDescent="0.45">
      <c r="A149" s="54" t="str">
        <f>IF(ISBLANK(Data!C149),"",Data!C149)</f>
        <v>3933 Hawks Nest Ct, Duluth, GA 30097</v>
      </c>
      <c r="B149" s="50">
        <f>IFERROR(MATCH($A149,Data!$C:$C,0),"")</f>
        <v>149</v>
      </c>
      <c r="C149" s="55">
        <f t="shared" ca="1" si="35"/>
        <v>57000</v>
      </c>
      <c r="D149" s="64">
        <f t="shared" ca="1" si="32"/>
        <v>0.40714285714285714</v>
      </c>
      <c r="E149" s="56">
        <f t="shared" ca="1" si="33"/>
        <v>19000</v>
      </c>
      <c r="F149" s="65">
        <f t="shared" ca="1" si="34"/>
        <v>0.1357142857142857</v>
      </c>
      <c r="G149" s="59">
        <f t="shared" ca="1" si="36"/>
        <v>0</v>
      </c>
      <c r="H149" s="64">
        <f t="shared" ca="1" si="37"/>
        <v>0</v>
      </c>
      <c r="I149" s="60">
        <f t="shared" ca="1" si="38"/>
        <v>-1.6353229762878243</v>
      </c>
      <c r="J149" s="63">
        <f t="shared" ca="1" si="39"/>
        <v>0</v>
      </c>
      <c r="K149" s="64">
        <f t="shared" ca="1" si="40"/>
        <v>0</v>
      </c>
      <c r="L149" s="62">
        <f t="shared" ca="1" si="41"/>
        <v>0</v>
      </c>
      <c r="M149" s="63">
        <f t="shared" ca="1" si="42"/>
        <v>57000</v>
      </c>
      <c r="N149" s="64">
        <f t="shared" ca="1" si="43"/>
        <v>0.40714285714285714</v>
      </c>
      <c r="O149" s="62">
        <f t="shared" ca="1" si="44"/>
        <v>46.606704824202794</v>
      </c>
    </row>
    <row r="150" spans="1:15" x14ac:dyDescent="0.45">
      <c r="A150" s="54" t="str">
        <f>IF(ISBLANK(Data!C150),"",Data!C150)</f>
        <v>3938 Hawks Nest Ct, Duluth, GA 30097</v>
      </c>
      <c r="B150" s="50">
        <f>IFERROR(MATCH($A150,Data!$C:$C,0),"")</f>
        <v>150</v>
      </c>
      <c r="C150" s="55">
        <f t="shared" ca="1" si="35"/>
        <v>41100</v>
      </c>
      <c r="D150" s="64">
        <f t="shared" ca="1" si="32"/>
        <v>0.34221482098251454</v>
      </c>
      <c r="E150" s="56">
        <f t="shared" ca="1" si="33"/>
        <v>13700</v>
      </c>
      <c r="F150" s="65">
        <f t="shared" ca="1" si="34"/>
        <v>0.11407160699417153</v>
      </c>
      <c r="G150" s="59">
        <f t="shared" ca="1" si="36"/>
        <v>11800</v>
      </c>
      <c r="H150" s="64">
        <f t="shared" ca="1" si="37"/>
        <v>9.8251457119067451E-2</v>
      </c>
      <c r="I150" s="60">
        <f t="shared" ca="1" si="38"/>
        <v>11.44859813084112</v>
      </c>
      <c r="J150" s="63">
        <f t="shared" ca="1" si="39"/>
        <v>15600</v>
      </c>
      <c r="K150" s="64">
        <f t="shared" ca="1" si="40"/>
        <v>0.11827141774071266</v>
      </c>
      <c r="L150" s="62">
        <f t="shared" ca="1" si="41"/>
        <v>18.224299065420553</v>
      </c>
      <c r="M150" s="63">
        <f t="shared" ca="1" si="42"/>
        <v>13700</v>
      </c>
      <c r="N150" s="64">
        <f t="shared" ca="1" si="43"/>
        <v>9.2881355932203397E-2</v>
      </c>
      <c r="O150" s="62">
        <f t="shared" ca="1" si="44"/>
        <v>16.004672897196286</v>
      </c>
    </row>
    <row r="151" spans="1:15" x14ac:dyDescent="0.45">
      <c r="A151" s="54" t="str">
        <f>IF(ISBLANK(Data!C151),"",Data!C151)</f>
        <v>3943 Hawks Nest Ct, Duluth, GA 30097</v>
      </c>
      <c r="B151" s="50">
        <f>IFERROR(MATCH($A151,Data!$C:$C,0),"")</f>
        <v>151</v>
      </c>
      <c r="C151" s="55">
        <f t="shared" ca="1" si="35"/>
        <v>36800</v>
      </c>
      <c r="D151" s="64">
        <f t="shared" ca="1" si="32"/>
        <v>0.33063791554357591</v>
      </c>
      <c r="E151" s="56">
        <f t="shared" ca="1" si="33"/>
        <v>12266.666666666666</v>
      </c>
      <c r="F151" s="65">
        <f t="shared" ca="1" si="34"/>
        <v>0.1102126385145253</v>
      </c>
      <c r="G151" s="59">
        <f t="shared" ca="1" si="36"/>
        <v>10700</v>
      </c>
      <c r="H151" s="64">
        <f t="shared" ca="1" si="37"/>
        <v>9.6136567834681039E-2</v>
      </c>
      <c r="I151" s="60">
        <f t="shared" ca="1" si="38"/>
        <v>11.363636363636374</v>
      </c>
      <c r="J151" s="63">
        <f t="shared" ca="1" si="39"/>
        <v>14100</v>
      </c>
      <c r="K151" s="64">
        <f t="shared" ca="1" si="40"/>
        <v>0.11557377049180328</v>
      </c>
      <c r="L151" s="62">
        <f t="shared" ca="1" si="41"/>
        <v>17.803030303030312</v>
      </c>
      <c r="M151" s="63">
        <f t="shared" ca="1" si="42"/>
        <v>12000</v>
      </c>
      <c r="N151" s="64">
        <f t="shared" ca="1" si="43"/>
        <v>8.8170462894930204E-2</v>
      </c>
      <c r="O151" s="62">
        <f t="shared" ca="1" si="44"/>
        <v>15.151515151515127</v>
      </c>
    </row>
    <row r="152" spans="1:15" x14ac:dyDescent="0.45">
      <c r="A152" s="54" t="str">
        <f>IF(ISBLANK(Data!C152),"",Data!C152)</f>
        <v>3948 Hawks Nest Ct, Duluth, GA 30097</v>
      </c>
      <c r="B152" s="50">
        <f>IFERROR(MATCH($A152,Data!$C:$C,0),"")</f>
        <v>152</v>
      </c>
      <c r="C152" s="55">
        <f t="shared" ca="1" si="35"/>
        <v>35500</v>
      </c>
      <c r="D152" s="64">
        <f t="shared" ca="1" si="32"/>
        <v>0.33054003724394787</v>
      </c>
      <c r="E152" s="56">
        <f t="shared" ca="1" si="33"/>
        <v>11833.333333333334</v>
      </c>
      <c r="F152" s="65">
        <f t="shared" ca="1" si="34"/>
        <v>0.11018001241464929</v>
      </c>
      <c r="G152" s="59">
        <f t="shared" ca="1" si="36"/>
        <v>10400</v>
      </c>
      <c r="H152" s="64">
        <f t="shared" ca="1" si="37"/>
        <v>9.683426443202979E-2</v>
      </c>
      <c r="I152" s="60">
        <f t="shared" ca="1" si="38"/>
        <v>10.65989847715737</v>
      </c>
      <c r="J152" s="63">
        <f t="shared" ca="1" si="39"/>
        <v>13500</v>
      </c>
      <c r="K152" s="64">
        <f t="shared" ca="1" si="40"/>
        <v>0.11460101867572156</v>
      </c>
      <c r="L152" s="62">
        <f t="shared" ca="1" si="41"/>
        <v>17.131979695431454</v>
      </c>
      <c r="M152" s="63">
        <f t="shared" ca="1" si="42"/>
        <v>11600</v>
      </c>
      <c r="N152" s="64">
        <f t="shared" ca="1" si="43"/>
        <v>8.8347296268088349E-2</v>
      </c>
      <c r="O152" s="62">
        <f t="shared" ca="1" si="44"/>
        <v>14.720812182741128</v>
      </c>
    </row>
    <row r="153" spans="1:15" x14ac:dyDescent="0.45">
      <c r="A153" s="54" t="str">
        <f>IF(ISBLANK(Data!C153),"",Data!C153)</f>
        <v>3953 Hawks Nest Ct, Duluth, GA 30097</v>
      </c>
      <c r="B153" s="50">
        <f>IFERROR(MATCH($A153,Data!$C:$C,0),"")</f>
        <v>153</v>
      </c>
      <c r="C153" s="55">
        <f t="shared" ca="1" si="35"/>
        <v>42100</v>
      </c>
      <c r="D153" s="64">
        <f t="shared" ca="1" si="32"/>
        <v>0.34451718494271688</v>
      </c>
      <c r="E153" s="56">
        <f t="shared" ca="1" si="33"/>
        <v>14033.333333333334</v>
      </c>
      <c r="F153" s="65">
        <f t="shared" ca="1" si="34"/>
        <v>0.11483906164757229</v>
      </c>
      <c r="G153" s="59">
        <f t="shared" ca="1" si="36"/>
        <v>12000</v>
      </c>
      <c r="H153" s="64">
        <f t="shared" ca="1" si="37"/>
        <v>9.8199672667757767E-2</v>
      </c>
      <c r="I153" s="60">
        <f t="shared" ca="1" si="38"/>
        <v>10.10101010101009</v>
      </c>
      <c r="J153" s="63">
        <f t="shared" ca="1" si="39"/>
        <v>16000</v>
      </c>
      <c r="K153" s="64">
        <f t="shared" ca="1" si="40"/>
        <v>0.11922503725782414</v>
      </c>
      <c r="L153" s="62">
        <f t="shared" ca="1" si="41"/>
        <v>16.161616161616166</v>
      </c>
      <c r="M153" s="63">
        <f t="shared" ca="1" si="42"/>
        <v>14100</v>
      </c>
      <c r="N153" s="64">
        <f t="shared" ca="1" si="43"/>
        <v>9.3874833555259649E-2</v>
      </c>
      <c r="O153" s="62">
        <f t="shared" ca="1" si="44"/>
        <v>14.242424242424235</v>
      </c>
    </row>
    <row r="154" spans="1:15" x14ac:dyDescent="0.45">
      <c r="A154" s="54" t="str">
        <f>IF(ISBLANK(Data!C154),"",Data!C154)</f>
        <v>3958 Hawks Nest Ct, Duluth, GA 30097</v>
      </c>
      <c r="B154" s="50">
        <f>IFERROR(MATCH($A154,Data!$C:$C,0),"")</f>
        <v>154</v>
      </c>
      <c r="C154" s="55">
        <f t="shared" ca="1" si="35"/>
        <v>43100</v>
      </c>
      <c r="D154" s="64">
        <f t="shared" ca="1" si="32"/>
        <v>0.35619834710743803</v>
      </c>
      <c r="E154" s="56">
        <f t="shared" ca="1" si="33"/>
        <v>14366.666666666666</v>
      </c>
      <c r="F154" s="65">
        <f t="shared" ca="1" si="34"/>
        <v>0.118732782369146</v>
      </c>
      <c r="G154" s="59">
        <f t="shared" ca="1" si="36"/>
        <v>11800</v>
      </c>
      <c r="H154" s="64">
        <f t="shared" ca="1" si="37"/>
        <v>9.7520661157024791E-2</v>
      </c>
      <c r="I154" s="60">
        <f t="shared" ca="1" si="38"/>
        <v>9.5145631067961176</v>
      </c>
      <c r="J154" s="63">
        <f t="shared" ca="1" si="39"/>
        <v>15800</v>
      </c>
      <c r="K154" s="64">
        <f t="shared" ca="1" si="40"/>
        <v>0.11897590361445783</v>
      </c>
      <c r="L154" s="62">
        <f t="shared" ca="1" si="41"/>
        <v>15.339805825242721</v>
      </c>
      <c r="M154" s="63">
        <f t="shared" ca="1" si="42"/>
        <v>15500</v>
      </c>
      <c r="N154" s="64">
        <f t="shared" ca="1" si="43"/>
        <v>0.10430686406460296</v>
      </c>
      <c r="O154" s="62">
        <f t="shared" ca="1" si="44"/>
        <v>15.048543689320397</v>
      </c>
    </row>
    <row r="155" spans="1:15" x14ac:dyDescent="0.45">
      <c r="A155" s="54" t="str">
        <f>IF(ISBLANK(Data!C155),"",Data!C155)</f>
        <v>3963 Hawks Nest Ct, Duluth, GA 30097</v>
      </c>
      <c r="B155" s="50">
        <f>IFERROR(MATCH($A155,Data!$C:$C,0),"")</f>
        <v>155</v>
      </c>
      <c r="C155" s="55">
        <f t="shared" ca="1" si="35"/>
        <v>53300</v>
      </c>
      <c r="D155" s="64">
        <f t="shared" ca="1" si="32"/>
        <v>0.37614678899082571</v>
      </c>
      <c r="E155" s="56">
        <f t="shared" ca="1" si="33"/>
        <v>17766.666666666668</v>
      </c>
      <c r="F155" s="65">
        <f t="shared" ca="1" si="34"/>
        <v>0.12538226299694191</v>
      </c>
      <c r="G155" s="59">
        <f t="shared" ca="1" si="36"/>
        <v>14000</v>
      </c>
      <c r="H155" s="64">
        <f t="shared" ca="1" si="37"/>
        <v>9.8800282286520824E-2</v>
      </c>
      <c r="I155" s="60">
        <f t="shared" ca="1" si="38"/>
        <v>9.3970242756460465</v>
      </c>
      <c r="J155" s="63">
        <f t="shared" ca="1" si="39"/>
        <v>12300</v>
      </c>
      <c r="K155" s="64">
        <f t="shared" ca="1" si="40"/>
        <v>7.8998073217726394E-2</v>
      </c>
      <c r="L155" s="62">
        <f t="shared" ca="1" si="41"/>
        <v>9.6319498825371994</v>
      </c>
      <c r="M155" s="63">
        <f t="shared" ca="1" si="42"/>
        <v>27000</v>
      </c>
      <c r="N155" s="64">
        <f t="shared" ca="1" si="43"/>
        <v>0.16071428571428573</v>
      </c>
      <c r="O155" s="62">
        <f t="shared" ca="1" si="44"/>
        <v>21.143304620203594</v>
      </c>
    </row>
    <row r="156" spans="1:15" x14ac:dyDescent="0.45">
      <c r="A156" s="54" t="str">
        <f>IF(ISBLANK(Data!C156),"",Data!C156)</f>
        <v>3968 Hawks Nest Ct, Duluth, GA 30097</v>
      </c>
      <c r="B156" s="50">
        <f>IFERROR(MATCH($A156,Data!$C:$C,0),"")</f>
        <v>156</v>
      </c>
      <c r="C156" s="55">
        <f t="shared" ca="1" si="35"/>
        <v>55200</v>
      </c>
      <c r="D156" s="64">
        <f t="shared" ca="1" si="32"/>
        <v>0.41566265060240964</v>
      </c>
      <c r="E156" s="56">
        <f t="shared" ca="1" si="33"/>
        <v>18400</v>
      </c>
      <c r="F156" s="65">
        <f t="shared" ca="1" si="34"/>
        <v>0.13855421686746988</v>
      </c>
      <c r="G156" s="59">
        <f t="shared" ca="1" si="36"/>
        <v>13100</v>
      </c>
      <c r="H156" s="64">
        <f t="shared" ca="1" si="37"/>
        <v>9.8644578313253017E-2</v>
      </c>
      <c r="I156" s="60">
        <f t="shared" ca="1" si="38"/>
        <v>11.372950819672127</v>
      </c>
      <c r="J156" s="63">
        <f t="shared" ca="1" si="39"/>
        <v>17800</v>
      </c>
      <c r="K156" s="64">
        <f t="shared" ca="1" si="40"/>
        <v>0.12200137080191913</v>
      </c>
      <c r="L156" s="62">
        <f t="shared" ca="1" si="41"/>
        <v>18.23770491803279</v>
      </c>
      <c r="M156" s="63">
        <f t="shared" ca="1" si="42"/>
        <v>24300</v>
      </c>
      <c r="N156" s="64">
        <f t="shared" ca="1" si="43"/>
        <v>0.14844227244960292</v>
      </c>
      <c r="O156" s="62">
        <f t="shared" ca="1" si="44"/>
        <v>24.897540983606547</v>
      </c>
    </row>
    <row r="157" spans="1:15" x14ac:dyDescent="0.45">
      <c r="A157" s="54" t="str">
        <f>IF(ISBLANK(Data!C157),"",Data!C157)</f>
        <v>3973 Hawks Nest Ct, Duluth, GA 30097</v>
      </c>
      <c r="B157" s="50">
        <f>IFERROR(MATCH($A157,Data!$C:$C,0),"")</f>
        <v>157</v>
      </c>
      <c r="C157" s="55">
        <f t="shared" ca="1" si="35"/>
        <v>43700</v>
      </c>
      <c r="D157" s="64">
        <f t="shared" ca="1" si="32"/>
        <v>0.35442011354420111</v>
      </c>
      <c r="E157" s="56">
        <f t="shared" ca="1" si="33"/>
        <v>14566.666666666666</v>
      </c>
      <c r="F157" s="65">
        <f t="shared" ca="1" si="34"/>
        <v>0.11814003784806704</v>
      </c>
      <c r="G157" s="59">
        <f t="shared" ca="1" si="36"/>
        <v>9700</v>
      </c>
      <c r="H157" s="64">
        <f t="shared" ca="1" si="37"/>
        <v>7.8669910786699104E-2</v>
      </c>
      <c r="I157" s="60">
        <f t="shared" ca="1" si="38"/>
        <v>7.4757281553398087</v>
      </c>
      <c r="J157" s="63">
        <f t="shared" ca="1" si="39"/>
        <v>18600</v>
      </c>
      <c r="K157" s="64">
        <f t="shared" ca="1" si="40"/>
        <v>0.13984962406015036</v>
      </c>
      <c r="L157" s="62">
        <f t="shared" ca="1" si="41"/>
        <v>18.05825242718447</v>
      </c>
      <c r="M157" s="63">
        <f t="shared" ca="1" si="42"/>
        <v>15400</v>
      </c>
      <c r="N157" s="64">
        <f t="shared" ca="1" si="43"/>
        <v>0.10158311345646438</v>
      </c>
      <c r="O157" s="62">
        <f t="shared" ca="1" si="44"/>
        <v>14.951456310679617</v>
      </c>
    </row>
    <row r="158" spans="1:15" x14ac:dyDescent="0.45">
      <c r="A158" s="54" t="str">
        <f>IF(ISBLANK(Data!C158),"",Data!C158)</f>
        <v>3983 Hawks Nest Ct, Duluth, GA 30097</v>
      </c>
      <c r="B158" s="50">
        <f>IFERROR(MATCH($A158,Data!$C:$C,0),"")</f>
        <v>158</v>
      </c>
      <c r="C158" s="55">
        <f t="shared" ca="1" si="35"/>
        <v>45000</v>
      </c>
      <c r="D158" s="64">
        <f t="shared" ca="1" si="32"/>
        <v>0.34965034965034963</v>
      </c>
      <c r="E158" s="56">
        <f t="shared" ca="1" si="33"/>
        <v>15000</v>
      </c>
      <c r="F158" s="65">
        <f t="shared" ca="1" si="34"/>
        <v>0.11655011655011654</v>
      </c>
      <c r="G158" s="59">
        <f t="shared" ca="1" si="36"/>
        <v>12600</v>
      </c>
      <c r="H158" s="64">
        <f t="shared" ca="1" si="37"/>
        <v>9.7902097902097904E-2</v>
      </c>
      <c r="I158" s="60">
        <f t="shared" ca="1" si="38"/>
        <v>10.728744939271252</v>
      </c>
      <c r="J158" s="63">
        <f t="shared" ca="1" si="39"/>
        <v>17100</v>
      </c>
      <c r="K158" s="64">
        <f t="shared" ca="1" si="40"/>
        <v>0.12101910828025478</v>
      </c>
      <c r="L158" s="62">
        <f t="shared" ca="1" si="41"/>
        <v>17.307692307692307</v>
      </c>
      <c r="M158" s="63">
        <f t="shared" ca="1" si="42"/>
        <v>15300</v>
      </c>
      <c r="N158" s="64">
        <f t="shared" ca="1" si="43"/>
        <v>9.6590909090909088E-2</v>
      </c>
      <c r="O158" s="62">
        <f t="shared" ca="1" si="44"/>
        <v>15.485829959514177</v>
      </c>
    </row>
    <row r="159" spans="1:15" x14ac:dyDescent="0.45">
      <c r="A159" s="54" t="str">
        <f>IF(ISBLANK(Data!C159),"",Data!C159)</f>
        <v>3993 Hawks Nest Ct, Duluth, GA 30097</v>
      </c>
      <c r="B159" s="50">
        <f>IFERROR(MATCH($A159,Data!$C:$C,0),"")</f>
        <v>159</v>
      </c>
      <c r="C159" s="55">
        <f t="shared" ca="1" si="35"/>
        <v>44000</v>
      </c>
      <c r="D159" s="64">
        <f t="shared" ca="1" si="32"/>
        <v>0.35115722266560256</v>
      </c>
      <c r="E159" s="56">
        <f t="shared" ca="1" si="33"/>
        <v>14666.666666666666</v>
      </c>
      <c r="F159" s="65">
        <f t="shared" ca="1" si="34"/>
        <v>0.11705240755520084</v>
      </c>
      <c r="G159" s="59">
        <f t="shared" ca="1" si="36"/>
        <v>12300</v>
      </c>
      <c r="H159" s="64">
        <f t="shared" ca="1" si="37"/>
        <v>9.8164405426975257E-2</v>
      </c>
      <c r="I159" s="60">
        <f t="shared" ca="1" si="38"/>
        <v>10.238568588469178</v>
      </c>
      <c r="J159" s="63">
        <f t="shared" ca="1" si="39"/>
        <v>16500</v>
      </c>
      <c r="K159" s="64">
        <f t="shared" ca="1" si="40"/>
        <v>0.11991279069767442</v>
      </c>
      <c r="L159" s="62">
        <f t="shared" ca="1" si="41"/>
        <v>16.401590457256461</v>
      </c>
      <c r="M159" s="63">
        <f t="shared" ca="1" si="42"/>
        <v>15200</v>
      </c>
      <c r="N159" s="64">
        <f t="shared" ca="1" si="43"/>
        <v>9.8637248539909156E-2</v>
      </c>
      <c r="O159" s="62">
        <f t="shared" ca="1" si="44"/>
        <v>15.10934393638172</v>
      </c>
    </row>
    <row r="160" spans="1:15" x14ac:dyDescent="0.45">
      <c r="A160" s="54" t="str">
        <f>IF(ISBLANK(Data!C160),"",Data!C160)</f>
        <v>3924 White Owl Ct, Duluth, GA 30097</v>
      </c>
      <c r="B160" s="50">
        <f>IFERROR(MATCH($A160,Data!$C:$C,0),"")</f>
        <v>160</v>
      </c>
      <c r="C160" s="55">
        <f t="shared" ca="1" si="35"/>
        <v>41100</v>
      </c>
      <c r="D160" s="64">
        <f t="shared" ca="1" si="32"/>
        <v>0.35068259385665529</v>
      </c>
      <c r="E160" s="56">
        <f t="shared" ca="1" si="33"/>
        <v>13700</v>
      </c>
      <c r="F160" s="65">
        <f t="shared" ca="1" si="34"/>
        <v>0.11689419795221843</v>
      </c>
      <c r="G160" s="59">
        <f t="shared" ca="1" si="36"/>
        <v>10200</v>
      </c>
      <c r="H160" s="64">
        <f t="shared" ca="1" si="37"/>
        <v>8.7030716723549492E-2</v>
      </c>
      <c r="I160" s="60">
        <f t="shared" ca="1" si="38"/>
        <v>10.14851485148516</v>
      </c>
      <c r="J160" s="63">
        <f t="shared" ca="1" si="39"/>
        <v>16400</v>
      </c>
      <c r="K160" s="64">
        <f t="shared" ca="1" si="40"/>
        <v>0.12872841444270017</v>
      </c>
      <c r="L160" s="62">
        <f t="shared" ca="1" si="41"/>
        <v>20.297029702970306</v>
      </c>
      <c r="M160" s="63">
        <f t="shared" ca="1" si="42"/>
        <v>14500</v>
      </c>
      <c r="N160" s="64">
        <f t="shared" ca="1" si="43"/>
        <v>0.10083449235048679</v>
      </c>
      <c r="O160" s="62">
        <f t="shared" ca="1" si="44"/>
        <v>17.945544554455438</v>
      </c>
    </row>
    <row r="161" spans="1:15" x14ac:dyDescent="0.45">
      <c r="A161" s="54" t="str">
        <f>IF(ISBLANK(Data!C161),"",Data!C161)</f>
        <v>3929 White Owl Ct, Duluth, GA 30097</v>
      </c>
      <c r="B161" s="50">
        <f>IFERROR(MATCH($A161,Data!$C:$C,0),"")</f>
        <v>161</v>
      </c>
      <c r="C161" s="55">
        <f t="shared" ca="1" si="35"/>
        <v>45600</v>
      </c>
      <c r="D161" s="64">
        <f t="shared" ca="1" si="32"/>
        <v>0.36018957345971564</v>
      </c>
      <c r="E161" s="56">
        <f t="shared" ca="1" si="33"/>
        <v>15200</v>
      </c>
      <c r="F161" s="65">
        <f t="shared" ca="1" si="34"/>
        <v>0.12006319115323855</v>
      </c>
      <c r="G161" s="59">
        <f t="shared" ca="1" si="36"/>
        <v>11000</v>
      </c>
      <c r="H161" s="64">
        <f t="shared" ca="1" si="37"/>
        <v>8.6887835703001584E-2</v>
      </c>
      <c r="I161" s="60">
        <f t="shared" ca="1" si="38"/>
        <v>9.8684210526315752</v>
      </c>
      <c r="J161" s="63">
        <f t="shared" ca="1" si="39"/>
        <v>18200</v>
      </c>
      <c r="K161" s="64">
        <f t="shared" ca="1" si="40"/>
        <v>0.13226744186046513</v>
      </c>
      <c r="L161" s="62">
        <f t="shared" ca="1" si="41"/>
        <v>19.956140350877206</v>
      </c>
      <c r="M161" s="63">
        <f t="shared" ca="1" si="42"/>
        <v>16400</v>
      </c>
      <c r="N161" s="64">
        <f t="shared" ca="1" si="43"/>
        <v>0.10526315789473684</v>
      </c>
      <c r="O161" s="62">
        <f t="shared" ca="1" si="44"/>
        <v>17.982456140350877</v>
      </c>
    </row>
    <row r="162" spans="1:15" x14ac:dyDescent="0.45">
      <c r="A162" s="54" t="str">
        <f>IF(ISBLANK(Data!C162),"",Data!C162)</f>
        <v>3934 White Owl Ct, Duluth, GA 30097</v>
      </c>
      <c r="B162" s="50">
        <f>IFERROR(MATCH($A162,Data!$C:$C,0),"")</f>
        <v>162</v>
      </c>
      <c r="C162" s="55">
        <f t="shared" ca="1" si="35"/>
        <v>55300</v>
      </c>
      <c r="D162" s="64">
        <f t="shared" ca="1" si="32"/>
        <v>0.39136588818117479</v>
      </c>
      <c r="E162" s="56">
        <f t="shared" ca="1" si="33"/>
        <v>18433.333333333332</v>
      </c>
      <c r="F162" s="65">
        <f t="shared" ca="1" si="34"/>
        <v>0.13045529606039161</v>
      </c>
      <c r="G162" s="59">
        <f t="shared" ca="1" si="36"/>
        <v>12400</v>
      </c>
      <c r="H162" s="64">
        <f t="shared" ca="1" si="37"/>
        <v>8.7756546355272469E-2</v>
      </c>
      <c r="I162" s="60">
        <f t="shared" ca="1" si="38"/>
        <v>8.1440877055599117</v>
      </c>
      <c r="J162" s="63">
        <f t="shared" ca="1" si="39"/>
        <v>20800</v>
      </c>
      <c r="K162" s="64">
        <f t="shared" ca="1" si="40"/>
        <v>0.13532856213402733</v>
      </c>
      <c r="L162" s="62">
        <f t="shared" ca="1" si="41"/>
        <v>16.288175411119809</v>
      </c>
      <c r="M162" s="63">
        <f t="shared" ca="1" si="42"/>
        <v>22100</v>
      </c>
      <c r="N162" s="64">
        <f t="shared" ca="1" si="43"/>
        <v>0.12664756446991404</v>
      </c>
      <c r="O162" s="62">
        <f t="shared" ca="1" si="44"/>
        <v>17.306186374314805</v>
      </c>
    </row>
    <row r="163" spans="1:15" x14ac:dyDescent="0.45">
      <c r="A163" s="54" t="str">
        <f>IF(ISBLANK(Data!C163),"",Data!C163)</f>
        <v>3939 White Owl Ct, Duluth, GA 30097</v>
      </c>
      <c r="B163" s="50">
        <f>IFERROR(MATCH($A163,Data!$C:$C,0),"")</f>
        <v>163</v>
      </c>
      <c r="C163" s="55">
        <f t="shared" ca="1" si="35"/>
        <v>51000</v>
      </c>
      <c r="D163" s="64">
        <f t="shared" ca="1" si="32"/>
        <v>0.3780578206078577</v>
      </c>
      <c r="E163" s="56">
        <f t="shared" ca="1" si="33"/>
        <v>17000</v>
      </c>
      <c r="F163" s="65">
        <f t="shared" ca="1" si="34"/>
        <v>0.12601927353595255</v>
      </c>
      <c r="G163" s="59">
        <f t="shared" ca="1" si="36"/>
        <v>11800</v>
      </c>
      <c r="H163" s="64">
        <f t="shared" ca="1" si="37"/>
        <v>8.7472201630837659E-2</v>
      </c>
      <c r="I163" s="60">
        <f t="shared" ca="1" si="38"/>
        <v>8.8768115942029056</v>
      </c>
      <c r="J163" s="63">
        <f t="shared" ca="1" si="39"/>
        <v>19600</v>
      </c>
      <c r="K163" s="64">
        <f t="shared" ca="1" si="40"/>
        <v>0.1336059986366735</v>
      </c>
      <c r="L163" s="62">
        <f t="shared" ca="1" si="41"/>
        <v>17.753623188405797</v>
      </c>
      <c r="M163" s="63">
        <f t="shared" ca="1" si="42"/>
        <v>19600</v>
      </c>
      <c r="N163" s="64">
        <f t="shared" ca="1" si="43"/>
        <v>0.11785929043896573</v>
      </c>
      <c r="O163" s="62">
        <f t="shared" ca="1" si="44"/>
        <v>17.753623188405797</v>
      </c>
    </row>
    <row r="164" spans="1:15" x14ac:dyDescent="0.45">
      <c r="A164" s="54" t="str">
        <f>IF(ISBLANK(Data!C164),"",Data!C164)</f>
        <v>3949 White Owl Ct, Duluth, GA 30097</v>
      </c>
      <c r="B164" s="50">
        <f>IFERROR(MATCH($A164,Data!$C:$C,0),"")</f>
        <v>164</v>
      </c>
      <c r="C164" s="55">
        <f t="shared" ca="1" si="35"/>
        <v>45400</v>
      </c>
      <c r="D164" s="64">
        <f t="shared" ca="1" si="32"/>
        <v>0.35889328063241105</v>
      </c>
      <c r="E164" s="56">
        <f t="shared" ca="1" si="33"/>
        <v>15133.333333333334</v>
      </c>
      <c r="F164" s="65">
        <f t="shared" ca="1" si="34"/>
        <v>0.11963109354413702</v>
      </c>
      <c r="G164" s="59">
        <f t="shared" ca="1" si="36"/>
        <v>11000</v>
      </c>
      <c r="H164" s="64">
        <f t="shared" ca="1" si="37"/>
        <v>8.6956521739130432E-2</v>
      </c>
      <c r="I164" s="60">
        <f t="shared" ca="1" si="38"/>
        <v>8.7209302325581461</v>
      </c>
      <c r="J164" s="63">
        <f t="shared" ca="1" si="39"/>
        <v>18100</v>
      </c>
      <c r="K164" s="64">
        <f t="shared" ca="1" si="40"/>
        <v>0.13163636363636363</v>
      </c>
      <c r="L164" s="62">
        <f t="shared" ca="1" si="41"/>
        <v>17.538759689922472</v>
      </c>
      <c r="M164" s="63">
        <f t="shared" ca="1" si="42"/>
        <v>16300</v>
      </c>
      <c r="N164" s="64">
        <f t="shared" ca="1" si="43"/>
        <v>0.10475578406169665</v>
      </c>
      <c r="O164" s="62">
        <f t="shared" ca="1" si="44"/>
        <v>15.794573643410857</v>
      </c>
    </row>
    <row r="165" spans="1:15" x14ac:dyDescent="0.45">
      <c r="A165" s="54" t="str">
        <f>IF(ISBLANK(Data!C165),"",Data!C165)</f>
        <v>3954 White Owl Ct, Duluth, GA 30097</v>
      </c>
      <c r="B165" s="50">
        <f>IFERROR(MATCH($A165,Data!$C:$C,0),"")</f>
        <v>165</v>
      </c>
      <c r="C165" s="55">
        <f t="shared" ca="1" si="35"/>
        <v>47700</v>
      </c>
      <c r="D165" s="64">
        <f t="shared" ref="D165:D185" ca="1" si="45">IFERROR($C165/INDIRECT("Data!J"&amp;$B165),"")</f>
        <v>0.36218678815489752</v>
      </c>
      <c r="E165" s="56">
        <f t="shared" ref="E165:E185" ca="1" si="46">IFERROR($C165/($C$1-2016),"")</f>
        <v>15900</v>
      </c>
      <c r="F165" s="65">
        <f t="shared" ref="F165:F185" ca="1" si="47">IFERROR($E165/INDIRECT("Data!$J"&amp;$B165),"")</f>
        <v>0.12072892938496584</v>
      </c>
      <c r="G165" s="59">
        <f t="shared" ca="1" si="36"/>
        <v>11500</v>
      </c>
      <c r="H165" s="64">
        <f t="shared" ca="1" si="37"/>
        <v>8.7319665907365229E-2</v>
      </c>
      <c r="I165" s="60">
        <f t="shared" ca="1" si="38"/>
        <v>9.7336065573770441</v>
      </c>
      <c r="J165" s="63">
        <f t="shared" ca="1" si="39"/>
        <v>19100</v>
      </c>
      <c r="K165" s="64">
        <f t="shared" ca="1" si="40"/>
        <v>0.13337988826815642</v>
      </c>
      <c r="L165" s="62">
        <f t="shared" ca="1" si="41"/>
        <v>19.569672131147541</v>
      </c>
      <c r="M165" s="63">
        <f t="shared" ca="1" si="42"/>
        <v>17100</v>
      </c>
      <c r="N165" s="64">
        <f t="shared" ca="1" si="43"/>
        <v>0.10536044362292052</v>
      </c>
      <c r="O165" s="62">
        <f t="shared" ca="1" si="44"/>
        <v>17.520491803278702</v>
      </c>
    </row>
    <row r="166" spans="1:15" x14ac:dyDescent="0.45">
      <c r="A166" s="54" t="str">
        <f>IF(ISBLANK(Data!C166),"",Data!C166)</f>
        <v>3959 White Owl Ct, Duluth, GA 30097</v>
      </c>
      <c r="B166" s="50">
        <f>IFERROR(MATCH($A166,Data!$C:$C,0),"")</f>
        <v>166</v>
      </c>
      <c r="C166" s="55">
        <f t="shared" ca="1" si="35"/>
        <v>46100</v>
      </c>
      <c r="D166" s="64">
        <f t="shared" ca="1" si="45"/>
        <v>0.36043784206411261</v>
      </c>
      <c r="E166" s="56">
        <f t="shared" ca="1" si="46"/>
        <v>15366.666666666666</v>
      </c>
      <c r="F166" s="65">
        <f t="shared" ca="1" si="47"/>
        <v>0.12014594735470419</v>
      </c>
      <c r="G166" s="59">
        <f t="shared" ca="1" si="36"/>
        <v>11200</v>
      </c>
      <c r="H166" s="64">
        <f t="shared" ca="1" si="37"/>
        <v>8.7568412822517594E-2</v>
      </c>
      <c r="I166" s="60">
        <f t="shared" ca="1" si="38"/>
        <v>8.745247148288982</v>
      </c>
      <c r="J166" s="63">
        <f t="shared" ca="1" si="39"/>
        <v>18400</v>
      </c>
      <c r="K166" s="64">
        <f t="shared" ca="1" si="40"/>
        <v>0.13227893601725377</v>
      </c>
      <c r="L166" s="62">
        <f t="shared" ca="1" si="41"/>
        <v>17.490494296577936</v>
      </c>
      <c r="M166" s="63">
        <f t="shared" ca="1" si="42"/>
        <v>16500</v>
      </c>
      <c r="N166" s="64">
        <f t="shared" ca="1" si="43"/>
        <v>0.10476190476190476</v>
      </c>
      <c r="O166" s="62">
        <f t="shared" ca="1" si="44"/>
        <v>15.684410646387846</v>
      </c>
    </row>
    <row r="167" spans="1:15" x14ac:dyDescent="0.45">
      <c r="A167" s="54" t="str">
        <f>IF(ISBLANK(Data!C167),"",Data!C167)</f>
        <v>3964 White Owl Ct, Duluth, GA 30097</v>
      </c>
      <c r="B167" s="50">
        <f>IFERROR(MATCH($A167,Data!$C:$C,0),"")</f>
        <v>167</v>
      </c>
      <c r="C167" s="55">
        <f t="shared" ca="1" si="35"/>
        <v>51000</v>
      </c>
      <c r="D167" s="64">
        <f t="shared" ca="1" si="45"/>
        <v>0.37833827893175076</v>
      </c>
      <c r="E167" s="56">
        <f t="shared" ca="1" si="46"/>
        <v>17000</v>
      </c>
      <c r="F167" s="65">
        <f t="shared" ca="1" si="47"/>
        <v>0.12611275964391691</v>
      </c>
      <c r="G167" s="59">
        <f t="shared" ca="1" si="36"/>
        <v>11800</v>
      </c>
      <c r="H167" s="64">
        <f t="shared" ca="1" si="37"/>
        <v>8.7537091988130561E-2</v>
      </c>
      <c r="I167" s="60">
        <f t="shared" ca="1" si="38"/>
        <v>8.8768115942028913</v>
      </c>
      <c r="J167" s="63">
        <f t="shared" ca="1" si="39"/>
        <v>19600</v>
      </c>
      <c r="K167" s="64">
        <f t="shared" ca="1" si="40"/>
        <v>0.13369713506139155</v>
      </c>
      <c r="L167" s="62">
        <f t="shared" ca="1" si="41"/>
        <v>17.753623188405797</v>
      </c>
      <c r="M167" s="63">
        <f t="shared" ca="1" si="42"/>
        <v>19600</v>
      </c>
      <c r="N167" s="64">
        <f t="shared" ca="1" si="43"/>
        <v>0.11793020457280386</v>
      </c>
      <c r="O167" s="62">
        <f t="shared" ca="1" si="44"/>
        <v>17.753623188405797</v>
      </c>
    </row>
    <row r="168" spans="1:15" x14ac:dyDescent="0.45">
      <c r="A168" s="54" t="str">
        <f>IF(ISBLANK(Data!C168),"",Data!C168)</f>
        <v>3969 White Owl Ct, Duluth, GA 30097</v>
      </c>
      <c r="B168" s="50">
        <f>IFERROR(MATCH($A168,Data!$C:$C,0),"")</f>
        <v>168</v>
      </c>
      <c r="C168" s="55">
        <f t="shared" ca="1" si="35"/>
        <v>45600</v>
      </c>
      <c r="D168" s="64">
        <f t="shared" ca="1" si="45"/>
        <v>0.36075949367088606</v>
      </c>
      <c r="E168" s="56">
        <f t="shared" ca="1" si="46"/>
        <v>15200</v>
      </c>
      <c r="F168" s="65">
        <f t="shared" ca="1" si="47"/>
        <v>0.12025316455696203</v>
      </c>
      <c r="G168" s="59">
        <f t="shared" ca="1" si="36"/>
        <v>11000</v>
      </c>
      <c r="H168" s="64">
        <f t="shared" ca="1" si="37"/>
        <v>8.7025316455696208E-2</v>
      </c>
      <c r="I168" s="60">
        <f t="shared" ca="1" si="38"/>
        <v>9.8684210526315752</v>
      </c>
      <c r="J168" s="63">
        <f t="shared" ca="1" si="39"/>
        <v>18100</v>
      </c>
      <c r="K168" s="64">
        <f t="shared" ca="1" si="40"/>
        <v>0.13173216885007277</v>
      </c>
      <c r="L168" s="62">
        <f t="shared" ca="1" si="41"/>
        <v>19.846491228070178</v>
      </c>
      <c r="M168" s="63">
        <f t="shared" ca="1" si="42"/>
        <v>16500</v>
      </c>
      <c r="N168" s="64">
        <f t="shared" ca="1" si="43"/>
        <v>0.10610932475884244</v>
      </c>
      <c r="O168" s="62">
        <f t="shared" ca="1" si="44"/>
        <v>18.09210526315789</v>
      </c>
    </row>
    <row r="169" spans="1:15" x14ac:dyDescent="0.45">
      <c r="A169" s="54" t="str">
        <f>IF(ISBLANK(Data!C169),"",Data!C169)</f>
        <v>3974 White Owl Ct, Duluth, GA 30097</v>
      </c>
      <c r="B169" s="50">
        <f>IFERROR(MATCH($A169,Data!$C:$C,0),"")</f>
        <v>169</v>
      </c>
      <c r="C169" s="55">
        <f t="shared" ca="1" si="35"/>
        <v>51000</v>
      </c>
      <c r="D169" s="64">
        <f t="shared" ca="1" si="45"/>
        <v>0.37417461482024944</v>
      </c>
      <c r="E169" s="56">
        <f t="shared" ca="1" si="46"/>
        <v>17000</v>
      </c>
      <c r="F169" s="65">
        <f t="shared" ca="1" si="47"/>
        <v>0.12472487160674982</v>
      </c>
      <c r="G169" s="59">
        <f t="shared" ca="1" si="36"/>
        <v>11800</v>
      </c>
      <c r="H169" s="64">
        <f t="shared" ca="1" si="37"/>
        <v>8.6573734409391048E-2</v>
      </c>
      <c r="I169" s="60">
        <f t="shared" ca="1" si="38"/>
        <v>8.8768115942029056</v>
      </c>
      <c r="J169" s="63">
        <f t="shared" ca="1" si="39"/>
        <v>19600</v>
      </c>
      <c r="K169" s="64">
        <f t="shared" ca="1" si="40"/>
        <v>0.13234301147873059</v>
      </c>
      <c r="L169" s="62">
        <f t="shared" ca="1" si="41"/>
        <v>17.753623188405797</v>
      </c>
      <c r="M169" s="63">
        <f t="shared" ca="1" si="42"/>
        <v>19600</v>
      </c>
      <c r="N169" s="64">
        <f t="shared" ca="1" si="43"/>
        <v>0.11687537268932618</v>
      </c>
      <c r="O169" s="62">
        <f t="shared" ca="1" si="44"/>
        <v>17.753623188405783</v>
      </c>
    </row>
    <row r="170" spans="1:15" x14ac:dyDescent="0.45">
      <c r="A170" s="54" t="str">
        <f>IF(ISBLANK(Data!C170),"",Data!C170)</f>
        <v>3979 White Owl Ct, Duluth, GA 30097</v>
      </c>
      <c r="B170" s="50">
        <f>IFERROR(MATCH($A170,Data!$C:$C,0),"")</f>
        <v>170</v>
      </c>
      <c r="C170" s="55">
        <f t="shared" ca="1" si="35"/>
        <v>46700</v>
      </c>
      <c r="D170" s="64">
        <f t="shared" ca="1" si="45"/>
        <v>0.33621310295176388</v>
      </c>
      <c r="E170" s="56">
        <f t="shared" ca="1" si="46"/>
        <v>15566.666666666666</v>
      </c>
      <c r="F170" s="65">
        <f t="shared" ca="1" si="47"/>
        <v>0.11207103431725461</v>
      </c>
      <c r="G170" s="59">
        <f t="shared" ca="1" si="36"/>
        <v>12100</v>
      </c>
      <c r="H170" s="64">
        <f t="shared" ca="1" si="37"/>
        <v>8.7113030957523402E-2</v>
      </c>
      <c r="I170" s="60">
        <f t="shared" ca="1" si="38"/>
        <v>9.232175502742237</v>
      </c>
      <c r="J170" s="63">
        <f t="shared" ca="1" si="39"/>
        <v>20400</v>
      </c>
      <c r="K170" s="64">
        <f t="shared" ca="1" si="40"/>
        <v>0.13509933774834437</v>
      </c>
      <c r="L170" s="62">
        <f t="shared" ca="1" si="41"/>
        <v>18.647166361974413</v>
      </c>
      <c r="M170" s="63">
        <f t="shared" ca="1" si="42"/>
        <v>14200</v>
      </c>
      <c r="N170" s="64">
        <f t="shared" ca="1" si="43"/>
        <v>8.284714119019837E-2</v>
      </c>
      <c r="O170" s="62">
        <f t="shared" ca="1" si="44"/>
        <v>12.979890310786089</v>
      </c>
    </row>
    <row r="171" spans="1:15" x14ac:dyDescent="0.45">
      <c r="A171" s="54" t="str">
        <f>IF(ISBLANK(Data!C171),"",Data!C171)</f>
        <v>3984 White Owl Ct, Duluth, GA 30097</v>
      </c>
      <c r="B171" s="50">
        <f>IFERROR(MATCH($A171,Data!$C:$C,0),"")</f>
        <v>171</v>
      </c>
      <c r="C171" s="55">
        <f t="shared" ca="1" si="35"/>
        <v>54100</v>
      </c>
      <c r="D171" s="64">
        <f t="shared" ca="1" si="45"/>
        <v>0.39808682855040473</v>
      </c>
      <c r="E171" s="56">
        <f t="shared" ca="1" si="46"/>
        <v>18033.333333333332</v>
      </c>
      <c r="F171" s="65">
        <f t="shared" ca="1" si="47"/>
        <v>0.13269560951680157</v>
      </c>
      <c r="G171" s="59">
        <f t="shared" ca="1" si="36"/>
        <v>11900</v>
      </c>
      <c r="H171" s="64">
        <f t="shared" ca="1" si="37"/>
        <v>8.7564385577630605E-2</v>
      </c>
      <c r="I171" s="60">
        <f t="shared" ca="1" si="38"/>
        <v>8.3333333333333428</v>
      </c>
      <c r="J171" s="63">
        <f t="shared" ca="1" si="39"/>
        <v>19900</v>
      </c>
      <c r="K171" s="64">
        <f t="shared" ca="1" si="40"/>
        <v>0.13464140730717186</v>
      </c>
      <c r="L171" s="62">
        <f t="shared" ca="1" si="41"/>
        <v>16.750841750841744</v>
      </c>
      <c r="M171" s="63">
        <f t="shared" ca="1" si="42"/>
        <v>22300</v>
      </c>
      <c r="N171" s="64">
        <f t="shared" ca="1" si="43"/>
        <v>0.13297555158020274</v>
      </c>
      <c r="O171" s="62">
        <f t="shared" ca="1" si="44"/>
        <v>18.771043771043765</v>
      </c>
    </row>
    <row r="172" spans="1:15" x14ac:dyDescent="0.45">
      <c r="A172" s="54" t="str">
        <f>IF(ISBLANK(Data!C172),"",Data!C172)</f>
        <v>3989 White Owl Ct, Duluth, GA 30097</v>
      </c>
      <c r="B172" s="50">
        <f>IFERROR(MATCH($A172,Data!$C:$C,0),"")</f>
        <v>172</v>
      </c>
      <c r="C172" s="55">
        <f t="shared" ca="1" si="35"/>
        <v>37900</v>
      </c>
      <c r="D172" s="64">
        <f t="shared" ca="1" si="45"/>
        <v>0.33510167992926615</v>
      </c>
      <c r="E172" s="56">
        <f t="shared" ca="1" si="46"/>
        <v>12633.333333333334</v>
      </c>
      <c r="F172" s="65">
        <f t="shared" ca="1" si="47"/>
        <v>0.11170055997642205</v>
      </c>
      <c r="G172" s="59">
        <f t="shared" ca="1" si="36"/>
        <v>9800</v>
      </c>
      <c r="H172" s="64">
        <f t="shared" ca="1" si="37"/>
        <v>8.6648983200707339E-2</v>
      </c>
      <c r="I172" s="60">
        <f t="shared" ca="1" si="38"/>
        <v>8.7837837837837895</v>
      </c>
      <c r="J172" s="63">
        <f t="shared" ca="1" si="39"/>
        <v>15700</v>
      </c>
      <c r="K172" s="64">
        <f t="shared" ca="1" si="40"/>
        <v>0.12774613506916191</v>
      </c>
      <c r="L172" s="62">
        <f t="shared" ca="1" si="41"/>
        <v>17.680180180180173</v>
      </c>
      <c r="M172" s="63">
        <f t="shared" ca="1" si="42"/>
        <v>12400</v>
      </c>
      <c r="N172" s="64">
        <f t="shared" ca="1" si="43"/>
        <v>8.9466089466089471E-2</v>
      </c>
      <c r="O172" s="62">
        <f t="shared" ca="1" si="44"/>
        <v>13.963963963963977</v>
      </c>
    </row>
    <row r="173" spans="1:15" x14ac:dyDescent="0.45">
      <c r="A173" s="54" t="str">
        <f>IF(ISBLANK(Data!C173),"",Data!C173)</f>
        <v>3994 White Owl Ct, Duluth, GA 30097</v>
      </c>
      <c r="B173" s="50">
        <f>IFERROR(MATCH($A173,Data!$C:$C,0),"")</f>
        <v>173</v>
      </c>
      <c r="C173" s="55">
        <f t="shared" ca="1" si="35"/>
        <v>52100</v>
      </c>
      <c r="D173" s="64">
        <f t="shared" ca="1" si="45"/>
        <v>0.38592592592592595</v>
      </c>
      <c r="E173" s="56">
        <f t="shared" ca="1" si="46"/>
        <v>17366.666666666668</v>
      </c>
      <c r="F173" s="65">
        <f t="shared" ca="1" si="47"/>
        <v>0.12864197530864199</v>
      </c>
      <c r="G173" s="59">
        <f t="shared" ca="1" si="36"/>
        <v>14200</v>
      </c>
      <c r="H173" s="64">
        <f t="shared" ca="1" si="37"/>
        <v>0.10518518518518519</v>
      </c>
      <c r="I173" s="60">
        <f t="shared" ca="1" si="38"/>
        <v>10.321489001692044</v>
      </c>
      <c r="J173" s="63">
        <f t="shared" ca="1" si="39"/>
        <v>20100</v>
      </c>
      <c r="K173" s="64">
        <f t="shared" ca="1" si="40"/>
        <v>0.13471849865951743</v>
      </c>
      <c r="L173" s="62">
        <f t="shared" ca="1" si="41"/>
        <v>17.005076142131983</v>
      </c>
      <c r="M173" s="63">
        <f t="shared" ca="1" si="42"/>
        <v>17800</v>
      </c>
      <c r="N173" s="64">
        <f t="shared" ca="1" si="43"/>
        <v>0.10513880685174247</v>
      </c>
      <c r="O173" s="62">
        <f t="shared" ca="1" si="44"/>
        <v>15.059221658206425</v>
      </c>
    </row>
    <row r="174" spans="1:15" x14ac:dyDescent="0.45">
      <c r="A174" s="54" t="str">
        <f>IF(ISBLANK(Data!C174),"",Data!C174)</f>
        <v>3999 White Owl Ct, Duluth, GA 30097</v>
      </c>
      <c r="B174" s="50">
        <f>IFERROR(MATCH($A174,Data!$C:$C,0),"")</f>
        <v>174</v>
      </c>
      <c r="C174" s="55">
        <f t="shared" ca="1" si="35"/>
        <v>48400</v>
      </c>
      <c r="D174" s="64">
        <f t="shared" ca="1" si="45"/>
        <v>0.36445783132530118</v>
      </c>
      <c r="E174" s="56">
        <f t="shared" ca="1" si="46"/>
        <v>16133.333333333334</v>
      </c>
      <c r="F174" s="65">
        <f t="shared" ca="1" si="47"/>
        <v>0.1214859437751004</v>
      </c>
      <c r="G174" s="59">
        <f t="shared" ca="1" si="36"/>
        <v>11600</v>
      </c>
      <c r="H174" s="64">
        <f t="shared" ca="1" si="37"/>
        <v>8.7349397590361449E-2</v>
      </c>
      <c r="I174" s="60">
        <f t="shared" ca="1" si="38"/>
        <v>9.3567251461988263</v>
      </c>
      <c r="J174" s="63">
        <f t="shared" ca="1" si="39"/>
        <v>19300</v>
      </c>
      <c r="K174" s="64">
        <f t="shared" ca="1" si="40"/>
        <v>0.13365650969529086</v>
      </c>
      <c r="L174" s="62">
        <f t="shared" ca="1" si="41"/>
        <v>18.810916179337241</v>
      </c>
      <c r="M174" s="63">
        <f t="shared" ca="1" si="42"/>
        <v>17500</v>
      </c>
      <c r="N174" s="64">
        <f t="shared" ca="1" si="43"/>
        <v>0.10690287110568113</v>
      </c>
      <c r="O174" s="62">
        <f t="shared" ca="1" si="44"/>
        <v>17.056530214424953</v>
      </c>
    </row>
    <row r="175" spans="1:15" x14ac:dyDescent="0.45">
      <c r="A175" s="54" t="str">
        <f>IF(ISBLANK(Data!C175),"",Data!C175)</f>
        <v>4004 White Owl Ct, Duluth, GA 30097</v>
      </c>
      <c r="B175" s="50">
        <f>IFERROR(MATCH($A175,Data!$C:$C,0),"")</f>
        <v>175</v>
      </c>
      <c r="C175" s="55">
        <f t="shared" ca="1" si="35"/>
        <v>47700</v>
      </c>
      <c r="D175" s="64">
        <f t="shared" ca="1" si="45"/>
        <v>0.36356707317073172</v>
      </c>
      <c r="E175" s="56">
        <f t="shared" ca="1" si="46"/>
        <v>15900</v>
      </c>
      <c r="F175" s="65">
        <f t="shared" ca="1" si="47"/>
        <v>0.1211890243902439</v>
      </c>
      <c r="G175" s="59">
        <f t="shared" ca="1" si="36"/>
        <v>11500</v>
      </c>
      <c r="H175" s="64">
        <f t="shared" ca="1" si="37"/>
        <v>8.7652439024390238E-2</v>
      </c>
      <c r="I175" s="60">
        <f t="shared" ca="1" si="38"/>
        <v>9.4621513944223068</v>
      </c>
      <c r="J175" s="63">
        <f t="shared" ca="1" si="39"/>
        <v>19000</v>
      </c>
      <c r="K175" s="64">
        <f t="shared" ca="1" si="40"/>
        <v>0.13314646110721795</v>
      </c>
      <c r="L175" s="62">
        <f t="shared" ca="1" si="41"/>
        <v>18.924302788844628</v>
      </c>
      <c r="M175" s="63">
        <f t="shared" ca="1" si="42"/>
        <v>17200</v>
      </c>
      <c r="N175" s="64">
        <f t="shared" ca="1" si="43"/>
        <v>0.10636982065553494</v>
      </c>
      <c r="O175" s="62">
        <f t="shared" ca="1" si="44"/>
        <v>17.131474103585646</v>
      </c>
    </row>
    <row r="176" spans="1:15" x14ac:dyDescent="0.45">
      <c r="A176" s="54" t="str">
        <f>IF(ISBLANK(Data!C176),"",Data!C176)</f>
        <v>4014 White Owl Ct, Duluth, GA 30097</v>
      </c>
      <c r="B176" s="50">
        <f>IFERROR(MATCH($A176,Data!$C:$C,0),"")</f>
        <v>176</v>
      </c>
      <c r="C176" s="55">
        <f t="shared" ca="1" si="35"/>
        <v>43400</v>
      </c>
      <c r="D176" s="64">
        <f t="shared" ca="1" si="45"/>
        <v>0.35284552845528455</v>
      </c>
      <c r="E176" s="56">
        <f t="shared" ca="1" si="46"/>
        <v>14466.666666666666</v>
      </c>
      <c r="F176" s="65">
        <f t="shared" ca="1" si="47"/>
        <v>0.11761517615176151</v>
      </c>
      <c r="G176" s="59">
        <f t="shared" ca="1" si="36"/>
        <v>10700</v>
      </c>
      <c r="H176" s="64">
        <f t="shared" ca="1" si="37"/>
        <v>8.6991869918699186E-2</v>
      </c>
      <c r="I176" s="60">
        <f t="shared" ca="1" si="38"/>
        <v>9.0436590436590336</v>
      </c>
      <c r="J176" s="63">
        <f t="shared" ca="1" si="39"/>
        <v>17500</v>
      </c>
      <c r="K176" s="64">
        <f t="shared" ca="1" si="40"/>
        <v>0.13089005235602094</v>
      </c>
      <c r="L176" s="62">
        <f t="shared" ca="1" si="41"/>
        <v>18.191268191268193</v>
      </c>
      <c r="M176" s="63">
        <f t="shared" ca="1" si="42"/>
        <v>15200</v>
      </c>
      <c r="N176" s="64">
        <f t="shared" ca="1" si="43"/>
        <v>0.10052910052910052</v>
      </c>
      <c r="O176" s="62">
        <f t="shared" ca="1" si="44"/>
        <v>15.800415800415792</v>
      </c>
    </row>
    <row r="177" spans="1:15" x14ac:dyDescent="0.45">
      <c r="A177" s="54" t="str">
        <f>IF(ISBLANK(Data!C177),"",Data!C177)</f>
        <v>4019 White Owl Ct, Duluth, GA 30097</v>
      </c>
      <c r="B177" s="50">
        <f>IFERROR(MATCH($A177,Data!$C:$C,0),"")</f>
        <v>177</v>
      </c>
      <c r="C177" s="55">
        <f t="shared" ca="1" si="35"/>
        <v>57900</v>
      </c>
      <c r="D177" s="64">
        <f t="shared" ca="1" si="45"/>
        <v>0.41298145506419404</v>
      </c>
      <c r="E177" s="56">
        <f t="shared" ca="1" si="46"/>
        <v>19300</v>
      </c>
      <c r="F177" s="65">
        <f t="shared" ca="1" si="47"/>
        <v>0.13766048502139799</v>
      </c>
      <c r="G177" s="59">
        <f t="shared" ca="1" si="36"/>
        <v>19700</v>
      </c>
      <c r="H177" s="64">
        <f t="shared" ca="1" si="37"/>
        <v>0.1405135520684736</v>
      </c>
      <c r="I177" s="60">
        <f t="shared" ca="1" si="38"/>
        <v>16.449814126394045</v>
      </c>
      <c r="J177" s="63">
        <f t="shared" ca="1" si="39"/>
        <v>20400</v>
      </c>
      <c r="K177" s="64">
        <f t="shared" ca="1" si="40"/>
        <v>0.12757973733583489</v>
      </c>
      <c r="L177" s="62">
        <f t="shared" ca="1" si="41"/>
        <v>18.959107806691449</v>
      </c>
      <c r="M177" s="63">
        <f t="shared" ca="1" si="42"/>
        <v>17800</v>
      </c>
      <c r="N177" s="64">
        <f t="shared" ca="1" si="43"/>
        <v>9.8724348308374926E-2</v>
      </c>
      <c r="O177" s="62">
        <f t="shared" ca="1" si="44"/>
        <v>16.542750929368026</v>
      </c>
    </row>
    <row r="178" spans="1:15" x14ac:dyDescent="0.45">
      <c r="A178" s="54" t="str">
        <f>IF(ISBLANK(Data!C178),"",Data!C178)</f>
        <v>4024 White Owl Ct, Duluth, GA 30097</v>
      </c>
      <c r="B178" s="50">
        <f>IFERROR(MATCH($A178,Data!$C:$C,0),"")</f>
        <v>178</v>
      </c>
      <c r="C178" s="55">
        <f t="shared" ca="1" si="35"/>
        <v>37400</v>
      </c>
      <c r="D178" s="64">
        <f t="shared" ca="1" si="45"/>
        <v>0.34311926605504589</v>
      </c>
      <c r="E178" s="56">
        <f t="shared" ca="1" si="46"/>
        <v>12466.666666666666</v>
      </c>
      <c r="F178" s="65">
        <f t="shared" ca="1" si="47"/>
        <v>0.11437308868501528</v>
      </c>
      <c r="G178" s="59">
        <f t="shared" ca="1" si="36"/>
        <v>9400</v>
      </c>
      <c r="H178" s="64">
        <f t="shared" ca="1" si="37"/>
        <v>8.6238532110091748E-2</v>
      </c>
      <c r="I178" s="60">
        <f t="shared" ca="1" si="38"/>
        <v>9.3908629441624356</v>
      </c>
      <c r="J178" s="63">
        <f t="shared" ca="1" si="39"/>
        <v>14900</v>
      </c>
      <c r="K178" s="64">
        <f t="shared" ca="1" si="40"/>
        <v>0.1258445945945946</v>
      </c>
      <c r="L178" s="62">
        <f t="shared" ca="1" si="41"/>
        <v>18.90862944162437</v>
      </c>
      <c r="M178" s="63">
        <f t="shared" ca="1" si="42"/>
        <v>13100</v>
      </c>
      <c r="N178" s="64">
        <f t="shared" ca="1" si="43"/>
        <v>9.827456864216054E-2</v>
      </c>
      <c r="O178" s="62">
        <f t="shared" ca="1" si="44"/>
        <v>16.624365482233486</v>
      </c>
    </row>
    <row r="179" spans="1:15" x14ac:dyDescent="0.45">
      <c r="A179" s="54" t="str">
        <f>IF(ISBLANK(Data!C179),"",Data!C179)</f>
        <v>4034 White Owl Ct, Duluth, GA 30097</v>
      </c>
      <c r="B179" s="50">
        <f>IFERROR(MATCH($A179,Data!$C:$C,0),"")</f>
        <v>179</v>
      </c>
      <c r="C179" s="55">
        <f t="shared" ca="1" si="35"/>
        <v>52100</v>
      </c>
      <c r="D179" s="64">
        <f t="shared" ca="1" si="45"/>
        <v>0.39114114114114112</v>
      </c>
      <c r="E179" s="56">
        <f t="shared" ca="1" si="46"/>
        <v>17366.666666666668</v>
      </c>
      <c r="F179" s="65">
        <f t="shared" ca="1" si="47"/>
        <v>0.13038038038038038</v>
      </c>
      <c r="G179" s="59">
        <f t="shared" ca="1" si="36"/>
        <v>11600</v>
      </c>
      <c r="H179" s="64">
        <f t="shared" ca="1" si="37"/>
        <v>8.7087087087087081E-2</v>
      </c>
      <c r="I179" s="60">
        <f t="shared" ca="1" si="38"/>
        <v>8.8888888888888857</v>
      </c>
      <c r="J179" s="63">
        <f t="shared" ca="1" si="39"/>
        <v>19400</v>
      </c>
      <c r="K179" s="64">
        <f t="shared" ca="1" si="40"/>
        <v>0.13397790055248618</v>
      </c>
      <c r="L179" s="62">
        <f t="shared" ca="1" si="41"/>
        <v>17.962962962962962</v>
      </c>
      <c r="M179" s="63">
        <f t="shared" ca="1" si="42"/>
        <v>21100</v>
      </c>
      <c r="N179" s="64">
        <f t="shared" ca="1" si="43"/>
        <v>0.12850182704019489</v>
      </c>
      <c r="O179" s="62">
        <f t="shared" ca="1" si="44"/>
        <v>19.537037037037052</v>
      </c>
    </row>
    <row r="180" spans="1:15" x14ac:dyDescent="0.45">
      <c r="A180" s="54" t="str">
        <f>IF(ISBLANK(Data!C180),"",Data!C180)</f>
        <v>4039 White Owl Ct, Duluth, GA 30097</v>
      </c>
      <c r="B180" s="50">
        <f>IFERROR(MATCH($A180,Data!$C:$C,0),"")</f>
        <v>180</v>
      </c>
      <c r="C180" s="55">
        <f t="shared" ca="1" si="35"/>
        <v>49100</v>
      </c>
      <c r="D180" s="64">
        <f t="shared" ca="1" si="45"/>
        <v>0.36559940431868948</v>
      </c>
      <c r="E180" s="56">
        <f t="shared" ca="1" si="46"/>
        <v>16366.666666666666</v>
      </c>
      <c r="F180" s="65">
        <f t="shared" ca="1" si="47"/>
        <v>0.12186646810622984</v>
      </c>
      <c r="G180" s="59">
        <f t="shared" ca="1" si="36"/>
        <v>11800</v>
      </c>
      <c r="H180" s="64">
        <f t="shared" ca="1" si="37"/>
        <v>8.7862993298585254E-2</v>
      </c>
      <c r="I180" s="60">
        <f t="shared" ca="1" si="38"/>
        <v>9.5330739299610912</v>
      </c>
      <c r="J180" s="63">
        <f t="shared" ca="1" si="39"/>
        <v>19600</v>
      </c>
      <c r="K180" s="64">
        <f t="shared" ca="1" si="40"/>
        <v>0.13415468856947296</v>
      </c>
      <c r="L180" s="62">
        <f t="shared" ca="1" si="41"/>
        <v>19.066147859922182</v>
      </c>
      <c r="M180" s="63">
        <f t="shared" ca="1" si="42"/>
        <v>17700</v>
      </c>
      <c r="N180" s="64">
        <f t="shared" ca="1" si="43"/>
        <v>0.10681955340977671</v>
      </c>
      <c r="O180" s="62">
        <f t="shared" ca="1" si="44"/>
        <v>17.217898832684824</v>
      </c>
    </row>
    <row r="181" spans="1:15" x14ac:dyDescent="0.45">
      <c r="A181" s="54" t="str">
        <f>IF(ISBLANK(Data!C181),"",Data!C181)</f>
        <v>4044 White Owl Ct, Duluth, GA 30097</v>
      </c>
      <c r="B181" s="50">
        <f>IFERROR(MATCH($A181,Data!$C:$C,0),"")</f>
        <v>181</v>
      </c>
      <c r="C181" s="55">
        <f t="shared" ca="1" si="35"/>
        <v>47700</v>
      </c>
      <c r="D181" s="64">
        <f t="shared" ca="1" si="45"/>
        <v>0.36301369863013699</v>
      </c>
      <c r="E181" s="56">
        <f t="shared" ca="1" si="46"/>
        <v>15900</v>
      </c>
      <c r="F181" s="65">
        <f t="shared" ca="1" si="47"/>
        <v>0.12100456621004566</v>
      </c>
      <c r="G181" s="59">
        <f t="shared" ca="1" si="36"/>
        <v>11500</v>
      </c>
      <c r="H181" s="64">
        <f t="shared" ca="1" si="37"/>
        <v>8.7519025875190254E-2</v>
      </c>
      <c r="I181" s="60">
        <f t="shared" ca="1" si="38"/>
        <v>10.416666666666671</v>
      </c>
      <c r="J181" s="63">
        <f t="shared" ca="1" si="39"/>
        <v>17100</v>
      </c>
      <c r="K181" s="64">
        <f t="shared" ca="1" si="40"/>
        <v>0.11966410076976906</v>
      </c>
      <c r="L181" s="62">
        <f t="shared" ca="1" si="41"/>
        <v>18.749999999999986</v>
      </c>
      <c r="M181" s="63">
        <f t="shared" ca="1" si="42"/>
        <v>19100</v>
      </c>
      <c r="N181" s="64">
        <f t="shared" ca="1" si="43"/>
        <v>0.119375</v>
      </c>
      <c r="O181" s="62">
        <f t="shared" ca="1" si="44"/>
        <v>20.942982456140356</v>
      </c>
    </row>
    <row r="182" spans="1:15" x14ac:dyDescent="0.45">
      <c r="A182" s="54" t="str">
        <f>IF(ISBLANK(Data!C182),"",Data!C182)</f>
        <v>4049 White Owl Ct, Duluth, GA 30097</v>
      </c>
      <c r="B182" s="50">
        <f>IFERROR(MATCH($A182,Data!$C:$C,0),"")</f>
        <v>182</v>
      </c>
      <c r="C182" s="55">
        <f t="shared" ca="1" si="35"/>
        <v>52000</v>
      </c>
      <c r="D182" s="64">
        <f t="shared" ca="1" si="45"/>
        <v>0.33078880407124683</v>
      </c>
      <c r="E182" s="56">
        <f t="shared" ca="1" si="46"/>
        <v>17333.333333333332</v>
      </c>
      <c r="F182" s="65">
        <f t="shared" ca="1" si="47"/>
        <v>0.11026293469041559</v>
      </c>
      <c r="G182" s="59">
        <f t="shared" ca="1" si="36"/>
        <v>13800</v>
      </c>
      <c r="H182" s="64">
        <f t="shared" ca="1" si="37"/>
        <v>8.7786259541984726E-2</v>
      </c>
      <c r="I182" s="60">
        <f t="shared" ca="1" si="38"/>
        <v>8.9393939393939377</v>
      </c>
      <c r="J182" s="63">
        <f t="shared" ca="1" si="39"/>
        <v>23800</v>
      </c>
      <c r="K182" s="64">
        <f t="shared" ca="1" si="40"/>
        <v>0.1391812865497076</v>
      </c>
      <c r="L182" s="62">
        <f t="shared" ca="1" si="41"/>
        <v>18.030303030303031</v>
      </c>
      <c r="M182" s="63">
        <f t="shared" ca="1" si="42"/>
        <v>14400</v>
      </c>
      <c r="N182" s="64">
        <f t="shared" ca="1" si="43"/>
        <v>7.3921971252566734E-2</v>
      </c>
      <c r="O182" s="62">
        <f t="shared" ca="1" si="44"/>
        <v>10.909090909090907</v>
      </c>
    </row>
    <row r="183" spans="1:15" x14ac:dyDescent="0.45">
      <c r="A183" s="54" t="str">
        <f>IF(ISBLANK(Data!C183),"",Data!C183)</f>
        <v>4054 White Owl Ct, Duluth, GA 30097</v>
      </c>
      <c r="B183" s="50">
        <f>IFERROR(MATCH($A183,Data!$C:$C,0),"")</f>
        <v>183</v>
      </c>
      <c r="C183" s="55">
        <f t="shared" ca="1" si="35"/>
        <v>43200</v>
      </c>
      <c r="D183" s="64">
        <f t="shared" ca="1" si="45"/>
        <v>0.35497124075595726</v>
      </c>
      <c r="E183" s="56">
        <f t="shared" ca="1" si="46"/>
        <v>14400</v>
      </c>
      <c r="F183" s="65">
        <f t="shared" ca="1" si="47"/>
        <v>0.11832374691865243</v>
      </c>
      <c r="G183" s="59">
        <f t="shared" ca="1" si="36"/>
        <v>10600</v>
      </c>
      <c r="H183" s="64">
        <f t="shared" ca="1" si="37"/>
        <v>8.7099424815119147E-2</v>
      </c>
      <c r="I183" s="60">
        <f t="shared" ca="1" si="38"/>
        <v>9.9078341013824911</v>
      </c>
      <c r="J183" s="63">
        <f t="shared" ca="1" si="39"/>
        <v>17200</v>
      </c>
      <c r="K183" s="64">
        <f t="shared" ca="1" si="40"/>
        <v>0.13000755857898716</v>
      </c>
      <c r="L183" s="62">
        <f t="shared" ca="1" si="41"/>
        <v>19.815668202764982</v>
      </c>
      <c r="M183" s="63">
        <f t="shared" ca="1" si="42"/>
        <v>15400</v>
      </c>
      <c r="N183" s="64">
        <f t="shared" ca="1" si="43"/>
        <v>0.10301003344481606</v>
      </c>
      <c r="O183" s="62">
        <f t="shared" ca="1" si="44"/>
        <v>17.741935483870947</v>
      </c>
    </row>
    <row r="184" spans="1:15" x14ac:dyDescent="0.45">
      <c r="A184" s="54" t="str">
        <f>IF(ISBLANK(Data!C184),"",Data!C184)</f>
        <v>4059 White Owl Ct, Duluth, GA 30097</v>
      </c>
      <c r="B184" s="50">
        <f>IFERROR(MATCH($A184,Data!$C:$C,0),"")</f>
        <v>184</v>
      </c>
      <c r="C184" s="55">
        <f t="shared" ca="1" si="35"/>
        <v>49200</v>
      </c>
      <c r="D184" s="64">
        <f t="shared" ca="1" si="45"/>
        <v>0.37076111529766392</v>
      </c>
      <c r="E184" s="56">
        <f t="shared" ca="1" si="46"/>
        <v>16400</v>
      </c>
      <c r="F184" s="65">
        <f t="shared" ca="1" si="47"/>
        <v>0.12358703843255464</v>
      </c>
      <c r="G184" s="59">
        <f t="shared" ca="1" si="36"/>
        <v>11600</v>
      </c>
      <c r="H184" s="64">
        <f t="shared" ca="1" si="37"/>
        <v>8.7415222305953277E-2</v>
      </c>
      <c r="I184" s="60">
        <f t="shared" ca="1" si="38"/>
        <v>8.6486486486486456</v>
      </c>
      <c r="J184" s="63">
        <f t="shared" ca="1" si="39"/>
        <v>19200</v>
      </c>
      <c r="K184" s="64">
        <f t="shared" ca="1" si="40"/>
        <v>0.13305613305613306</v>
      </c>
      <c r="L184" s="62">
        <f t="shared" ca="1" si="41"/>
        <v>17.297297297297305</v>
      </c>
      <c r="M184" s="63">
        <f t="shared" ca="1" si="42"/>
        <v>18400</v>
      </c>
      <c r="N184" s="64">
        <f t="shared" ca="1" si="43"/>
        <v>0.11253822629969419</v>
      </c>
      <c r="O184" s="62">
        <f t="shared" ca="1" si="44"/>
        <v>16.576576576576585</v>
      </c>
    </row>
    <row r="185" spans="1:15" x14ac:dyDescent="0.45">
      <c r="A185" s="54" t="str">
        <f>IF(ISBLANK(Data!C185),"",Data!C185)</f>
        <v>4064 White Owl Ct, Duluth, GA 30097</v>
      </c>
      <c r="B185" s="50">
        <f>IFERROR(MATCH($A185,Data!$C:$C,0),"")</f>
        <v>185</v>
      </c>
      <c r="C185" s="55">
        <f t="shared" ca="1" si="35"/>
        <v>84400</v>
      </c>
      <c r="D185" s="64">
        <f t="shared" ca="1" si="45"/>
        <v>0.6393939393939394</v>
      </c>
      <c r="E185" s="56">
        <f t="shared" ca="1" si="46"/>
        <v>28133.333333333332</v>
      </c>
      <c r="F185" s="65">
        <f t="shared" ca="1" si="47"/>
        <v>0.21313131313131312</v>
      </c>
      <c r="G185" s="59">
        <f t="shared" ca="1" si="36"/>
        <v>42400</v>
      </c>
      <c r="H185" s="64">
        <f t="shared" ca="1" si="37"/>
        <v>0.32121212121212123</v>
      </c>
      <c r="I185" s="60">
        <f t="shared" ca="1" si="38"/>
        <v>32.423756019261646</v>
      </c>
      <c r="J185" s="63">
        <f t="shared" ca="1" si="39"/>
        <v>24400</v>
      </c>
      <c r="K185" s="64">
        <f t="shared" ca="1" si="40"/>
        <v>0.13990825688073394</v>
      </c>
      <c r="L185" s="62">
        <f t="shared" ca="1" si="41"/>
        <v>19.582664526484763</v>
      </c>
      <c r="M185" s="63">
        <f t="shared" ca="1" si="42"/>
        <v>17600</v>
      </c>
      <c r="N185" s="64">
        <f t="shared" ca="1" si="43"/>
        <v>8.8531187122736416E-2</v>
      </c>
      <c r="O185" s="62">
        <f t="shared" ca="1" si="44"/>
        <v>14.125200642054551</v>
      </c>
    </row>
  </sheetData>
  <mergeCells count="7">
    <mergeCell ref="A1:B1"/>
    <mergeCell ref="G1:I1"/>
    <mergeCell ref="J1:L1"/>
    <mergeCell ref="M1:O1"/>
    <mergeCell ref="G2:I2"/>
    <mergeCell ref="J2:L2"/>
    <mergeCell ref="M2:O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2019 Summary</vt:lpstr>
      <vt:lpstr>2018 Summary</vt:lpstr>
      <vt:lpstr>2017 Summary</vt:lpstr>
      <vt:lpstr>2016 Summary</vt:lpstr>
      <vt:lpstr>Data</vt:lpstr>
      <vt:lpstr>Calculations</vt:lpstr>
      <vt:lpstr>Deltas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Schmitt</dc:creator>
  <cp:lastModifiedBy>Schmitt, Chris</cp:lastModifiedBy>
  <dcterms:created xsi:type="dcterms:W3CDTF">2018-04-18T01:04:17Z</dcterms:created>
  <dcterms:modified xsi:type="dcterms:W3CDTF">2019-05-02T19:35:00Z</dcterms:modified>
</cp:coreProperties>
</file>